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defaultThemeVersion="124226"/>
  <mc:AlternateContent xmlns:mc="http://schemas.openxmlformats.org/markup-compatibility/2006">
    <mc:Choice Requires="x15">
      <x15ac:absPath xmlns:x15ac="http://schemas.microsoft.com/office/spreadsheetml/2010/11/ac" url="G:\Vertriebssupport\Privatversicherungen\Marktanalyse\Leistungsvergleiche\Hausrat\"/>
    </mc:Choice>
  </mc:AlternateContent>
  <workbookProtection workbookPassword="98DB" lockStructure="1"/>
  <bookViews>
    <workbookView xWindow="120" yWindow="60" windowWidth="13995" windowHeight="8955"/>
  </bookViews>
  <sheets>
    <sheet name="HSR-Druck" sheetId="1" r:id="rId1"/>
    <sheet name="HSR-Daten" sheetId="2" state="hidden" r:id="rId2"/>
    <sheet name="HSR-Archiv Daten ab 2020 " sheetId="13" state="hidden" r:id="rId3"/>
    <sheet name="Archiv bis 2018-12" sheetId="3" state="hidden" r:id="rId4"/>
    <sheet name="Definitionen" sheetId="9" state="hidden" r:id="rId5"/>
    <sheet name="Gesellschaften" sheetId="10" state="hidden" r:id="rId6"/>
    <sheet name="Aufbau 2019 NeuAlt" sheetId="8" state="hidden" r:id="rId7"/>
    <sheet name="in Bearbeitung" sheetId="4" state="hidden" r:id="rId8"/>
    <sheet name="Tabelle1" sheetId="5" state="hidden" r:id="rId9"/>
  </sheets>
  <definedNames>
    <definedName name="Auswahl1HR">'HSR-Daten'!$AJ$2</definedName>
    <definedName name="Auswahl2HR">'HSR-Daten'!$AK$2</definedName>
    <definedName name="Auswahl3HR">'HSR-Daten'!$AL$2</definedName>
    <definedName name="AuswMatrixHR">'HSR-Daten'!$AF$1:$AG$32</definedName>
    <definedName name="_xlnm.Print_Area" localSheetId="0">'HSR-Druck'!$A$1:$E$205</definedName>
    <definedName name="_xlnm.Print_Titles" localSheetId="0">'HSR-Druck'!$A:$A,'HSR-Druck'!$3:$3</definedName>
    <definedName name="GesMatrixHR">'HSR-Daten'!$AG$1:$AG$33</definedName>
    <definedName name="VergleichMatrixHR">'HSR-Daten'!$B$1:$AD$345</definedName>
    <definedName name="Z_7F75E596_18F6_4BB0_8B05_898440E130DF_.wvu.PrintArea" localSheetId="0" hidden="1">'HSR-Druck'!$A$1:$E$190</definedName>
    <definedName name="Z_7F75E596_18F6_4BB0_8B05_898440E130DF_.wvu.PrintTitles" localSheetId="0" hidden="1">'HSR-Druck'!$A:$A,'HSR-Druck'!$3:$3</definedName>
  </definedNames>
  <calcPr calcId="152511"/>
  <customWorkbookViews>
    <customWorkbookView name="Andreas Böhm - Persönliche Ansicht" guid="{7F75E596-18F6-4BB0-8B05-898440E130DF}" mergeInterval="0" personalView="1" maximized="1" xWindow="1" yWindow="1" windowWidth="1916" windowHeight="853" activeSheetId="1"/>
  </customWorkbookViews>
</workbook>
</file>

<file path=xl/calcChain.xml><?xml version="1.0" encoding="utf-8"?>
<calcChain xmlns="http://schemas.openxmlformats.org/spreadsheetml/2006/main">
  <c r="BI19" i="13" l="1"/>
  <c r="BI63" i="13"/>
  <c r="BI91" i="13"/>
  <c r="BI114" i="13"/>
  <c r="BI168" i="13"/>
  <c r="BI176" i="13"/>
  <c r="BI248" i="13"/>
  <c r="BI270" i="13"/>
  <c r="BI310" i="13"/>
  <c r="BI322" i="13"/>
  <c r="BI326" i="13"/>
  <c r="BI336" i="13"/>
  <c r="BI344" i="13"/>
  <c r="Q19" i="13" l="1"/>
  <c r="Q63" i="13"/>
  <c r="Q91" i="13"/>
  <c r="Q114" i="13"/>
  <c r="Q168" i="13"/>
  <c r="Q176" i="13"/>
  <c r="Q248" i="13"/>
  <c r="Q270" i="13"/>
  <c r="Q310" i="13"/>
  <c r="Q322" i="13"/>
  <c r="Q326" i="13"/>
  <c r="Q336" i="13"/>
  <c r="Q344" i="13"/>
  <c r="I344" i="2"/>
  <c r="I336" i="2"/>
  <c r="I326" i="2"/>
  <c r="I322" i="2"/>
  <c r="I310" i="2"/>
  <c r="I270" i="2"/>
  <c r="I248" i="2"/>
  <c r="I176" i="2"/>
  <c r="I168" i="2"/>
  <c r="I114" i="2"/>
  <c r="I91" i="2"/>
  <c r="I63" i="2"/>
  <c r="I19" i="2"/>
  <c r="BH19" i="13" l="1"/>
  <c r="BH63" i="13"/>
  <c r="BH91" i="13"/>
  <c r="BH114" i="13"/>
  <c r="BH168" i="13"/>
  <c r="BH176" i="13"/>
  <c r="BH248" i="13"/>
  <c r="BH270" i="13"/>
  <c r="BH310" i="13"/>
  <c r="BH322" i="13"/>
  <c r="BH326" i="13"/>
  <c r="BH336" i="13"/>
  <c r="BH344" i="13"/>
  <c r="BD19" i="13"/>
  <c r="BF19" i="13"/>
  <c r="BD63" i="13"/>
  <c r="BF63" i="13"/>
  <c r="BD91" i="13"/>
  <c r="BF91" i="13"/>
  <c r="BD114" i="13"/>
  <c r="BF114" i="13"/>
  <c r="BD168" i="13"/>
  <c r="BF168" i="13"/>
  <c r="BD176" i="13"/>
  <c r="BF176" i="13"/>
  <c r="BD248" i="13"/>
  <c r="BF248" i="13"/>
  <c r="BD270" i="13"/>
  <c r="BF270" i="13"/>
  <c r="BD310" i="13"/>
  <c r="BF310" i="13"/>
  <c r="BD322" i="13"/>
  <c r="BF322" i="13"/>
  <c r="BD326" i="13"/>
  <c r="BF326" i="13"/>
  <c r="BD336" i="13"/>
  <c r="BF336" i="13"/>
  <c r="BD344" i="13"/>
  <c r="BF344" i="13"/>
  <c r="X336" i="2" l="1"/>
  <c r="X344" i="2"/>
  <c r="X326" i="2"/>
  <c r="X322" i="2"/>
  <c r="X310" i="2"/>
  <c r="X270" i="2"/>
  <c r="X248" i="2"/>
  <c r="X176" i="2"/>
  <c r="X168" i="2"/>
  <c r="X114" i="2" l="1"/>
  <c r="X91" i="2"/>
  <c r="X63" i="2"/>
  <c r="X19" i="2"/>
  <c r="W344" i="2" l="1"/>
  <c r="W248" i="2"/>
  <c r="W176" i="2"/>
  <c r="W168" i="2"/>
  <c r="W114" i="2"/>
  <c r="W91" i="2"/>
  <c r="W270" i="2"/>
  <c r="W310" i="2"/>
  <c r="W322" i="2"/>
  <c r="W326" i="2"/>
  <c r="W336" i="2"/>
  <c r="W63" i="2"/>
  <c r="W19" i="2" l="1"/>
  <c r="Y344" i="2" l="1"/>
  <c r="Y322" i="2"/>
  <c r="Y63" i="2"/>
  <c r="Y19" i="2"/>
  <c r="Y310" i="2"/>
  <c r="Y270" i="2"/>
  <c r="Y326" i="2"/>
  <c r="Y168" i="2"/>
  <c r="Y248" i="2"/>
  <c r="Y176" i="2" l="1"/>
  <c r="Y114" i="2"/>
  <c r="Y91" i="2"/>
  <c r="Y336" i="2"/>
  <c r="Z19" i="2"/>
  <c r="V19" i="2"/>
  <c r="R336" i="2"/>
  <c r="Z270" i="2"/>
  <c r="Z310" i="2"/>
  <c r="Z322" i="2"/>
  <c r="Z326" i="2"/>
  <c r="Z336" i="2"/>
  <c r="Z344" i="2"/>
  <c r="Z63" i="2"/>
  <c r="Z248" i="2"/>
  <c r="Z176" i="2"/>
  <c r="Z168" i="2"/>
  <c r="Z114" i="2"/>
  <c r="Z91" i="2"/>
  <c r="V248" i="2" l="1"/>
  <c r="V270" i="2" l="1"/>
  <c r="V344" i="2"/>
  <c r="U344" i="2"/>
  <c r="V63" i="2"/>
  <c r="V326" i="2"/>
  <c r="V322" i="2"/>
  <c r="V310" i="2"/>
  <c r="V336" i="2"/>
  <c r="V176" i="2" l="1"/>
  <c r="V168" i="2"/>
  <c r="V114" i="2"/>
  <c r="V91" i="2" l="1"/>
  <c r="R326" i="2" l="1"/>
  <c r="R322" i="2"/>
  <c r="R310" i="2"/>
  <c r="R270" i="2"/>
  <c r="R248" i="2"/>
  <c r="R176" i="2"/>
  <c r="R168" i="2"/>
  <c r="R114" i="2"/>
  <c r="R63" i="2"/>
  <c r="Q248" i="2" l="1"/>
  <c r="Q344" i="2"/>
  <c r="R344" i="2" l="1"/>
  <c r="Q336" i="2"/>
  <c r="Q326" i="2"/>
  <c r="Q322" i="2"/>
  <c r="Q310" i="2" l="1"/>
  <c r="Q270" i="2"/>
  <c r="Q168" i="2" l="1"/>
  <c r="Q176" i="2" l="1"/>
  <c r="Q114" i="2"/>
  <c r="R91" i="2"/>
  <c r="Q91" i="2"/>
  <c r="Q63" i="2" l="1"/>
  <c r="R19" i="2"/>
  <c r="Q19" i="2"/>
  <c r="S19" i="13" l="1"/>
  <c r="S63" i="13"/>
  <c r="S91" i="13"/>
  <c r="S114" i="13"/>
  <c r="S168" i="13"/>
  <c r="S176" i="13"/>
  <c r="S248" i="13"/>
  <c r="S270" i="13"/>
  <c r="S310" i="13"/>
  <c r="S322" i="13"/>
  <c r="S326" i="13"/>
  <c r="S336" i="13"/>
  <c r="S344" i="13"/>
  <c r="P19" i="13"/>
  <c r="P63" i="13"/>
  <c r="P91" i="13"/>
  <c r="P114" i="13"/>
  <c r="P168" i="13"/>
  <c r="P176" i="13"/>
  <c r="P248" i="13"/>
  <c r="P270" i="13"/>
  <c r="P310" i="13"/>
  <c r="P322" i="13"/>
  <c r="P326" i="13"/>
  <c r="P336" i="13"/>
  <c r="P344" i="13"/>
  <c r="N19" i="13"/>
  <c r="N63" i="13"/>
  <c r="N91" i="13"/>
  <c r="N114" i="13"/>
  <c r="N168" i="13"/>
  <c r="N176" i="13"/>
  <c r="N248" i="13"/>
  <c r="N270" i="13"/>
  <c r="N310" i="13"/>
  <c r="N322" i="13"/>
  <c r="N326" i="13"/>
  <c r="N336" i="13"/>
  <c r="N344" i="13"/>
  <c r="L19" i="13"/>
  <c r="L63" i="13"/>
  <c r="L91" i="13"/>
  <c r="L114" i="13"/>
  <c r="L168" i="13"/>
  <c r="L176" i="13"/>
  <c r="L248" i="13"/>
  <c r="L270" i="13"/>
  <c r="L310" i="13"/>
  <c r="L322" i="13"/>
  <c r="L326" i="13"/>
  <c r="L336" i="13"/>
  <c r="L344" i="13"/>
  <c r="K19" i="13"/>
  <c r="K63" i="13"/>
  <c r="K91" i="13"/>
  <c r="K114" i="13"/>
  <c r="K168" i="13"/>
  <c r="K176" i="13"/>
  <c r="K248" i="13"/>
  <c r="K270" i="13"/>
  <c r="K310" i="13"/>
  <c r="K322" i="13"/>
  <c r="K326" i="13"/>
  <c r="K336" i="13"/>
  <c r="K344" i="13"/>
  <c r="I19" i="13"/>
  <c r="I63" i="13"/>
  <c r="I91" i="13"/>
  <c r="I114" i="13"/>
  <c r="I168" i="13"/>
  <c r="I176" i="13"/>
  <c r="I248" i="13"/>
  <c r="I270" i="13"/>
  <c r="I310" i="13"/>
  <c r="I322" i="13"/>
  <c r="I326" i="13"/>
  <c r="I336" i="13"/>
  <c r="I344" i="13"/>
  <c r="E344" i="2"/>
  <c r="E336" i="2"/>
  <c r="E326" i="2"/>
  <c r="E322" i="2"/>
  <c r="E310" i="2"/>
  <c r="E270" i="2"/>
  <c r="E248" i="2"/>
  <c r="E176" i="2"/>
  <c r="E168" i="2"/>
  <c r="E114" i="2"/>
  <c r="E91" i="2"/>
  <c r="E63" i="2"/>
  <c r="E19" i="2"/>
  <c r="G344" i="2"/>
  <c r="G336" i="2"/>
  <c r="G326" i="2"/>
  <c r="G322" i="2"/>
  <c r="G310" i="2"/>
  <c r="G270" i="2"/>
  <c r="G248" i="2"/>
  <c r="G176" i="2"/>
  <c r="G168" i="2"/>
  <c r="G114" i="2"/>
  <c r="G91" i="2"/>
  <c r="G63" i="2"/>
  <c r="G19" i="2"/>
  <c r="H344" i="2"/>
  <c r="H336" i="2"/>
  <c r="H326" i="2"/>
  <c r="H322" i="2"/>
  <c r="H310" i="2"/>
  <c r="H270" i="2"/>
  <c r="H248" i="2"/>
  <c r="H176" i="2"/>
  <c r="H168" i="2"/>
  <c r="H114" i="2"/>
  <c r="H91" i="2"/>
  <c r="H63" i="2"/>
  <c r="H19" i="2"/>
  <c r="J344" i="2"/>
  <c r="J336" i="2"/>
  <c r="J326" i="2"/>
  <c r="J322" i="2"/>
  <c r="J310" i="2"/>
  <c r="J270" i="2"/>
  <c r="J248" i="2"/>
  <c r="J176" i="2"/>
  <c r="J168" i="2"/>
  <c r="J114" i="2"/>
  <c r="J91" i="2"/>
  <c r="J63" i="2"/>
  <c r="J19" i="2"/>
  <c r="F344" i="2"/>
  <c r="F336" i="2"/>
  <c r="F326" i="2"/>
  <c r="F322" i="2"/>
  <c r="F310" i="2"/>
  <c r="F270" i="2"/>
  <c r="F248" i="2"/>
  <c r="F176" i="2"/>
  <c r="F168" i="2"/>
  <c r="F114" i="2"/>
  <c r="F91" i="2"/>
  <c r="F63" i="2"/>
  <c r="F19" i="2"/>
  <c r="E177" i="1" l="1"/>
  <c r="E134" i="1"/>
  <c r="E123" i="1"/>
  <c r="E87" i="1"/>
  <c r="E30" i="1"/>
  <c r="AG19" i="13"/>
  <c r="AH19" i="13"/>
  <c r="AI19" i="13"/>
  <c r="AG63" i="13"/>
  <c r="AH63" i="13"/>
  <c r="AI63" i="13"/>
  <c r="AG91" i="13"/>
  <c r="AH91" i="13"/>
  <c r="AI91" i="13"/>
  <c r="AG114" i="13"/>
  <c r="AH114" i="13"/>
  <c r="AI114" i="13"/>
  <c r="AG168" i="13"/>
  <c r="AH168" i="13"/>
  <c r="AI168" i="13"/>
  <c r="AG176" i="13"/>
  <c r="AH176" i="13"/>
  <c r="AI176" i="13"/>
  <c r="AG248" i="13"/>
  <c r="AH248" i="13"/>
  <c r="AI248" i="13"/>
  <c r="AG270" i="13"/>
  <c r="AH270" i="13"/>
  <c r="AI270" i="13"/>
  <c r="AG310" i="13"/>
  <c r="AH310" i="13"/>
  <c r="AI310" i="13"/>
  <c r="AG322" i="13"/>
  <c r="AH322" i="13"/>
  <c r="AI322" i="13"/>
  <c r="AG326" i="13"/>
  <c r="AH326" i="13"/>
  <c r="AI326" i="13"/>
  <c r="AG336" i="13"/>
  <c r="AH336" i="13"/>
  <c r="AI336" i="13"/>
  <c r="AG344" i="13"/>
  <c r="AH344" i="13"/>
  <c r="AI344" i="13"/>
  <c r="M344" i="2" l="1"/>
  <c r="K344" i="2"/>
  <c r="L344" i="2"/>
  <c r="M326" i="2"/>
  <c r="K326" i="2"/>
  <c r="L326" i="2"/>
  <c r="M322" i="2"/>
  <c r="K322" i="2"/>
  <c r="L322" i="2"/>
  <c r="M310" i="2"/>
  <c r="K310" i="2"/>
  <c r="L310" i="2"/>
  <c r="M270" i="2"/>
  <c r="K270" i="2"/>
  <c r="L270" i="2"/>
  <c r="M248" i="2"/>
  <c r="K248" i="2"/>
  <c r="L248" i="2"/>
  <c r="M336" i="2"/>
  <c r="K336" i="2"/>
  <c r="L336" i="2"/>
  <c r="M176" i="2"/>
  <c r="K176" i="2"/>
  <c r="L176" i="2"/>
  <c r="M168" i="2"/>
  <c r="K168" i="2"/>
  <c r="L168" i="2"/>
  <c r="M114" i="2"/>
  <c r="K114" i="2"/>
  <c r="L114" i="2"/>
  <c r="M91" i="2"/>
  <c r="K91" i="2"/>
  <c r="L91" i="2"/>
  <c r="M63" i="2" l="1"/>
  <c r="K63" i="2"/>
  <c r="L63" i="2"/>
  <c r="M19" i="2"/>
  <c r="K19" i="2"/>
  <c r="L19" i="2"/>
  <c r="E58" i="1"/>
  <c r="E183" i="1" l="1"/>
  <c r="E190" i="1"/>
  <c r="E193" i="1"/>
  <c r="E199" i="1"/>
  <c r="E204" i="1"/>
  <c r="E160" i="1"/>
  <c r="E148" i="1"/>
  <c r="E7" i="1"/>
  <c r="E106" i="1"/>
  <c r="E18" i="1"/>
  <c r="AD344" i="2" l="1"/>
  <c r="AC344" i="2"/>
  <c r="AB344" i="2"/>
  <c r="AA344" i="2"/>
  <c r="P344" i="2"/>
  <c r="O344" i="2"/>
  <c r="N344" i="2"/>
  <c r="T344" i="2"/>
  <c r="S344" i="2"/>
  <c r="AD336" i="2"/>
  <c r="AC336" i="2"/>
  <c r="AB336" i="2"/>
  <c r="AA336" i="2"/>
  <c r="P336" i="2"/>
  <c r="O336" i="2"/>
  <c r="N336" i="2"/>
  <c r="U336" i="2"/>
  <c r="T336" i="2"/>
  <c r="S336" i="2"/>
  <c r="AD326" i="2"/>
  <c r="AC326" i="2"/>
  <c r="AB326" i="2"/>
  <c r="AA326" i="2"/>
  <c r="P326" i="2"/>
  <c r="O326" i="2"/>
  <c r="N326" i="2"/>
  <c r="U326" i="2"/>
  <c r="T326" i="2"/>
  <c r="S326" i="2"/>
  <c r="AD322" i="2"/>
  <c r="AC322" i="2"/>
  <c r="AB322" i="2"/>
  <c r="AA322" i="2"/>
  <c r="P322" i="2"/>
  <c r="O322" i="2"/>
  <c r="N322" i="2"/>
  <c r="U322" i="2"/>
  <c r="T322" i="2"/>
  <c r="S322" i="2"/>
  <c r="AD310" i="2"/>
  <c r="AC310" i="2"/>
  <c r="AB310" i="2"/>
  <c r="AA310" i="2"/>
  <c r="P310" i="2"/>
  <c r="O310" i="2"/>
  <c r="N310" i="2"/>
  <c r="U310" i="2"/>
  <c r="T310" i="2"/>
  <c r="S310" i="2"/>
  <c r="AD270" i="2"/>
  <c r="AC270" i="2"/>
  <c r="AB270" i="2"/>
  <c r="AA270" i="2"/>
  <c r="P270" i="2"/>
  <c r="O270" i="2"/>
  <c r="N270" i="2"/>
  <c r="U270" i="2"/>
  <c r="T270" i="2"/>
  <c r="S270" i="2"/>
  <c r="AD248" i="2"/>
  <c r="AC248" i="2"/>
  <c r="AB248" i="2"/>
  <c r="AA248" i="2"/>
  <c r="P248" i="2"/>
  <c r="O248" i="2"/>
  <c r="N248" i="2"/>
  <c r="U248" i="2"/>
  <c r="T248" i="2"/>
  <c r="S248" i="2"/>
  <c r="AD176" i="2"/>
  <c r="AC176" i="2"/>
  <c r="AB176" i="2"/>
  <c r="AA176" i="2"/>
  <c r="P176" i="2"/>
  <c r="O176" i="2"/>
  <c r="N176" i="2"/>
  <c r="U176" i="2"/>
  <c r="T176" i="2"/>
  <c r="S176" i="2"/>
  <c r="AD168" i="2"/>
  <c r="AC168" i="2"/>
  <c r="AB168" i="2"/>
  <c r="AA168" i="2"/>
  <c r="P168" i="2"/>
  <c r="O168" i="2"/>
  <c r="N168" i="2"/>
  <c r="U168" i="2"/>
  <c r="T168" i="2"/>
  <c r="S168" i="2"/>
  <c r="AD114" i="2"/>
  <c r="AC114" i="2"/>
  <c r="AB114" i="2"/>
  <c r="AA114" i="2"/>
  <c r="P114" i="2"/>
  <c r="O114" i="2"/>
  <c r="N114" i="2"/>
  <c r="U114" i="2"/>
  <c r="T114" i="2"/>
  <c r="S114" i="2"/>
  <c r="AD91" i="2"/>
  <c r="AC91" i="2"/>
  <c r="AB91" i="2"/>
  <c r="AA91" i="2"/>
  <c r="P91" i="2"/>
  <c r="O91" i="2"/>
  <c r="N91" i="2"/>
  <c r="U91" i="2"/>
  <c r="T91" i="2"/>
  <c r="S91" i="2"/>
  <c r="AD63" i="2"/>
  <c r="AC63" i="2"/>
  <c r="AB63" i="2"/>
  <c r="AA63" i="2"/>
  <c r="P63" i="2"/>
  <c r="O63" i="2"/>
  <c r="N63" i="2"/>
  <c r="U63" i="2"/>
  <c r="T63" i="2"/>
  <c r="S63" i="2"/>
  <c r="AD19" i="2"/>
  <c r="AC19" i="2"/>
  <c r="AB19" i="2"/>
  <c r="AA19" i="2"/>
  <c r="P19" i="2"/>
  <c r="O19" i="2"/>
  <c r="N19" i="2"/>
  <c r="U19" i="2"/>
  <c r="T19" i="2"/>
  <c r="S19" i="2"/>
  <c r="D344" i="2"/>
  <c r="C344" i="2"/>
  <c r="B344" i="2"/>
  <c r="D336" i="2"/>
  <c r="C336" i="2"/>
  <c r="B336" i="2"/>
  <c r="D326" i="2"/>
  <c r="C326" i="2"/>
  <c r="B326" i="2"/>
  <c r="D322" i="2"/>
  <c r="C322" i="2"/>
  <c r="B322" i="2"/>
  <c r="D310" i="2"/>
  <c r="C310" i="2"/>
  <c r="B310" i="2"/>
  <c r="D270" i="2"/>
  <c r="C270" i="2"/>
  <c r="B270" i="2"/>
  <c r="D248" i="2"/>
  <c r="C248" i="2"/>
  <c r="B248" i="2"/>
  <c r="D176" i="2"/>
  <c r="C176" i="2"/>
  <c r="B176" i="2"/>
  <c r="D168" i="2"/>
  <c r="C168" i="2"/>
  <c r="B168" i="2"/>
  <c r="D114" i="2"/>
  <c r="C114" i="2"/>
  <c r="B114" i="2"/>
  <c r="D91" i="2"/>
  <c r="C91" i="2"/>
  <c r="B91" i="2"/>
  <c r="D63" i="2"/>
  <c r="C63" i="2"/>
  <c r="B63" i="2"/>
  <c r="D19" i="2"/>
  <c r="C19" i="2"/>
  <c r="B19" i="2"/>
  <c r="CF344" i="13"/>
  <c r="CE344" i="13"/>
  <c r="CD344" i="13"/>
  <c r="CC344" i="13"/>
  <c r="CB344" i="13"/>
  <c r="CA344" i="13"/>
  <c r="BZ344" i="13"/>
  <c r="BY344" i="13"/>
  <c r="BX344" i="13"/>
  <c r="BW344" i="13"/>
  <c r="BV344" i="13"/>
  <c r="BU344" i="13"/>
  <c r="BT344" i="13"/>
  <c r="BS344" i="13"/>
  <c r="BR344" i="13"/>
  <c r="BQ344" i="13"/>
  <c r="BP344" i="13"/>
  <c r="BO344" i="13"/>
  <c r="BN344" i="13"/>
  <c r="BM344" i="13"/>
  <c r="BL344" i="13"/>
  <c r="BK344" i="13"/>
  <c r="BJ344" i="13"/>
  <c r="BG344" i="13"/>
  <c r="BE344" i="13"/>
  <c r="BC344" i="13"/>
  <c r="BB344" i="13"/>
  <c r="BA344" i="13"/>
  <c r="AZ344" i="13"/>
  <c r="AY344" i="13"/>
  <c r="AX344" i="13"/>
  <c r="AW344" i="13"/>
  <c r="AV344" i="13"/>
  <c r="AU344" i="13"/>
  <c r="AT344" i="13"/>
  <c r="AS344" i="13"/>
  <c r="AR344" i="13"/>
  <c r="AQ344" i="13"/>
  <c r="AP344" i="13"/>
  <c r="AO344" i="13"/>
  <c r="AN344" i="13"/>
  <c r="AM344" i="13"/>
  <c r="AL344" i="13"/>
  <c r="AK344" i="13"/>
  <c r="AJ344" i="13"/>
  <c r="AF344" i="13"/>
  <c r="AE344" i="13"/>
  <c r="AD344" i="13"/>
  <c r="AC344" i="13"/>
  <c r="AB344" i="13"/>
  <c r="AA344" i="13"/>
  <c r="Z344" i="13"/>
  <c r="Y344" i="13"/>
  <c r="X344" i="13"/>
  <c r="W344" i="13"/>
  <c r="V344" i="13"/>
  <c r="U344" i="13"/>
  <c r="T344" i="13"/>
  <c r="R344" i="13"/>
  <c r="O344" i="13"/>
  <c r="M344" i="13"/>
  <c r="J344" i="13"/>
  <c r="H344" i="13"/>
  <c r="G344" i="13"/>
  <c r="F344" i="13"/>
  <c r="E344" i="13"/>
  <c r="D344" i="13"/>
  <c r="C344" i="13"/>
  <c r="CF336" i="13"/>
  <c r="CE336" i="13"/>
  <c r="CD336" i="13"/>
  <c r="CC336" i="13"/>
  <c r="CB336" i="13"/>
  <c r="CA336" i="13"/>
  <c r="BZ336" i="13"/>
  <c r="BY336" i="13"/>
  <c r="BX336" i="13"/>
  <c r="BW336" i="13"/>
  <c r="BV336" i="13"/>
  <c r="BU336" i="13"/>
  <c r="BT336" i="13"/>
  <c r="BS336" i="13"/>
  <c r="BR336" i="13"/>
  <c r="BQ336" i="13"/>
  <c r="BP336" i="13"/>
  <c r="BO336" i="13"/>
  <c r="BN336" i="13"/>
  <c r="BM336" i="13"/>
  <c r="BL336" i="13"/>
  <c r="BK336" i="13"/>
  <c r="BJ336" i="13"/>
  <c r="BG336" i="13"/>
  <c r="BE336" i="13"/>
  <c r="BC336" i="13"/>
  <c r="BB336" i="13"/>
  <c r="BA336" i="13"/>
  <c r="AZ336" i="13"/>
  <c r="AY336" i="13"/>
  <c r="AX336" i="13"/>
  <c r="AW336" i="13"/>
  <c r="AV336" i="13"/>
  <c r="AU336" i="13"/>
  <c r="AT336" i="13"/>
  <c r="AS336" i="13"/>
  <c r="AR336" i="13"/>
  <c r="AQ336" i="13"/>
  <c r="AP336" i="13"/>
  <c r="AO336" i="13"/>
  <c r="AN336" i="13"/>
  <c r="AM336" i="13"/>
  <c r="AL336" i="13"/>
  <c r="AK336" i="13"/>
  <c r="AJ336" i="13"/>
  <c r="AF336" i="13"/>
  <c r="AE336" i="13"/>
  <c r="AD336" i="13"/>
  <c r="AC336" i="13"/>
  <c r="AB336" i="13"/>
  <c r="AA336" i="13"/>
  <c r="Z336" i="13"/>
  <c r="Y336" i="13"/>
  <c r="X336" i="13"/>
  <c r="W336" i="13"/>
  <c r="V336" i="13"/>
  <c r="U336" i="13"/>
  <c r="T336" i="13"/>
  <c r="R336" i="13"/>
  <c r="O336" i="13"/>
  <c r="M336" i="13"/>
  <c r="J336" i="13"/>
  <c r="H336" i="13"/>
  <c r="G336" i="13"/>
  <c r="F336" i="13"/>
  <c r="E336" i="13"/>
  <c r="D336" i="13"/>
  <c r="C336" i="13"/>
  <c r="CF326" i="13"/>
  <c r="CE326" i="13"/>
  <c r="CD326" i="13"/>
  <c r="CC326" i="13"/>
  <c r="CB326" i="13"/>
  <c r="CA326" i="13"/>
  <c r="BZ326" i="13"/>
  <c r="BY326" i="13"/>
  <c r="BX326" i="13"/>
  <c r="BW326" i="13"/>
  <c r="BV326" i="13"/>
  <c r="BU326" i="13"/>
  <c r="BT326" i="13"/>
  <c r="BS326" i="13"/>
  <c r="BR326" i="13"/>
  <c r="BQ326" i="13"/>
  <c r="BP326" i="13"/>
  <c r="BO326" i="13"/>
  <c r="BN326" i="13"/>
  <c r="BM326" i="13"/>
  <c r="BL326" i="13"/>
  <c r="BK326" i="13"/>
  <c r="BJ326" i="13"/>
  <c r="BG326" i="13"/>
  <c r="BE326" i="13"/>
  <c r="BC326" i="13"/>
  <c r="BB326" i="13"/>
  <c r="BA326" i="13"/>
  <c r="AZ326" i="13"/>
  <c r="AY326" i="13"/>
  <c r="AX326" i="13"/>
  <c r="AW326" i="13"/>
  <c r="AV326" i="13"/>
  <c r="AU326" i="13"/>
  <c r="AT326" i="13"/>
  <c r="AS326" i="13"/>
  <c r="AR326" i="13"/>
  <c r="AQ326" i="13"/>
  <c r="AP326" i="13"/>
  <c r="AO326" i="13"/>
  <c r="AN326" i="13"/>
  <c r="AM326" i="13"/>
  <c r="AL326" i="13"/>
  <c r="AK326" i="13"/>
  <c r="AJ326" i="13"/>
  <c r="AF326" i="13"/>
  <c r="AE326" i="13"/>
  <c r="AD326" i="13"/>
  <c r="AC326" i="13"/>
  <c r="AB326" i="13"/>
  <c r="AA326" i="13"/>
  <c r="Z326" i="13"/>
  <c r="Y326" i="13"/>
  <c r="X326" i="13"/>
  <c r="W326" i="13"/>
  <c r="V326" i="13"/>
  <c r="U326" i="13"/>
  <c r="T326" i="13"/>
  <c r="R326" i="13"/>
  <c r="O326" i="13"/>
  <c r="M326" i="13"/>
  <c r="J326" i="13"/>
  <c r="H326" i="13"/>
  <c r="G326" i="13"/>
  <c r="F326" i="13"/>
  <c r="E326" i="13"/>
  <c r="D326" i="13"/>
  <c r="C326" i="13"/>
  <c r="CF322" i="13"/>
  <c r="CE322" i="13"/>
  <c r="CD322" i="13"/>
  <c r="CC322" i="13"/>
  <c r="CB322" i="13"/>
  <c r="CA322" i="13"/>
  <c r="BZ322" i="13"/>
  <c r="BY322" i="13"/>
  <c r="BX322" i="13"/>
  <c r="BW322" i="13"/>
  <c r="BV322" i="13"/>
  <c r="BU322" i="13"/>
  <c r="BT322" i="13"/>
  <c r="BS322" i="13"/>
  <c r="BR322" i="13"/>
  <c r="BQ322" i="13"/>
  <c r="BP322" i="13"/>
  <c r="BO322" i="13"/>
  <c r="BN322" i="13"/>
  <c r="BM322" i="13"/>
  <c r="BL322" i="13"/>
  <c r="BK322" i="13"/>
  <c r="BJ322" i="13"/>
  <c r="BG322" i="13"/>
  <c r="BE322" i="13"/>
  <c r="BC322" i="13"/>
  <c r="BB322" i="13"/>
  <c r="BA322" i="13"/>
  <c r="AZ322" i="13"/>
  <c r="AY322" i="13"/>
  <c r="AX322" i="13"/>
  <c r="AW322" i="13"/>
  <c r="AV322" i="13"/>
  <c r="AU322" i="13"/>
  <c r="AT322" i="13"/>
  <c r="AS322" i="13"/>
  <c r="AR322" i="13"/>
  <c r="AQ322" i="13"/>
  <c r="AP322" i="13"/>
  <c r="AO322" i="13"/>
  <c r="AN322" i="13"/>
  <c r="AM322" i="13"/>
  <c r="AL322" i="13"/>
  <c r="AK322" i="13"/>
  <c r="AJ322" i="13"/>
  <c r="AF322" i="13"/>
  <c r="AE322" i="13"/>
  <c r="AD322" i="13"/>
  <c r="AC322" i="13"/>
  <c r="AB322" i="13"/>
  <c r="AA322" i="13"/>
  <c r="Z322" i="13"/>
  <c r="Y322" i="13"/>
  <c r="X322" i="13"/>
  <c r="W322" i="13"/>
  <c r="V322" i="13"/>
  <c r="U322" i="13"/>
  <c r="T322" i="13"/>
  <c r="R322" i="13"/>
  <c r="O322" i="13"/>
  <c r="M322" i="13"/>
  <c r="J322" i="13"/>
  <c r="H322" i="13"/>
  <c r="G322" i="13"/>
  <c r="F322" i="13"/>
  <c r="E322" i="13"/>
  <c r="D322" i="13"/>
  <c r="C322" i="13"/>
  <c r="CF310" i="13"/>
  <c r="CE310" i="13"/>
  <c r="CD310" i="13"/>
  <c r="CC310" i="13"/>
  <c r="CB310" i="13"/>
  <c r="CA310" i="13"/>
  <c r="BZ310" i="13"/>
  <c r="BY310" i="13"/>
  <c r="BX310" i="13"/>
  <c r="BW310" i="13"/>
  <c r="BV310" i="13"/>
  <c r="BU310" i="13"/>
  <c r="BT310" i="13"/>
  <c r="BS310" i="13"/>
  <c r="BR310" i="13"/>
  <c r="BQ310" i="13"/>
  <c r="BP310" i="13"/>
  <c r="BO310" i="13"/>
  <c r="BN310" i="13"/>
  <c r="BM310" i="13"/>
  <c r="BL310" i="13"/>
  <c r="BK310" i="13"/>
  <c r="BJ310" i="13"/>
  <c r="BG310" i="13"/>
  <c r="BE310" i="13"/>
  <c r="BC310" i="13"/>
  <c r="BB310" i="13"/>
  <c r="BA310" i="13"/>
  <c r="AZ310" i="13"/>
  <c r="AY310" i="13"/>
  <c r="AX310" i="13"/>
  <c r="AW310" i="13"/>
  <c r="AV310" i="13"/>
  <c r="AU310" i="13"/>
  <c r="AT310" i="13"/>
  <c r="AS310" i="13"/>
  <c r="AR310" i="13"/>
  <c r="AQ310" i="13"/>
  <c r="AP310" i="13"/>
  <c r="AO310" i="13"/>
  <c r="AN310" i="13"/>
  <c r="AM310" i="13"/>
  <c r="AL310" i="13"/>
  <c r="AK310" i="13"/>
  <c r="AJ310" i="13"/>
  <c r="AF310" i="13"/>
  <c r="AE310" i="13"/>
  <c r="AD310" i="13"/>
  <c r="AC310" i="13"/>
  <c r="AB310" i="13"/>
  <c r="AA310" i="13"/>
  <c r="Z310" i="13"/>
  <c r="Y310" i="13"/>
  <c r="X310" i="13"/>
  <c r="W310" i="13"/>
  <c r="V310" i="13"/>
  <c r="U310" i="13"/>
  <c r="T310" i="13"/>
  <c r="R310" i="13"/>
  <c r="O310" i="13"/>
  <c r="M310" i="13"/>
  <c r="J310" i="13"/>
  <c r="H310" i="13"/>
  <c r="G310" i="13"/>
  <c r="F310" i="13"/>
  <c r="E310" i="13"/>
  <c r="D310" i="13"/>
  <c r="C310" i="13"/>
  <c r="CF270" i="13"/>
  <c r="CE270" i="13"/>
  <c r="CD270" i="13"/>
  <c r="CC270" i="13"/>
  <c r="CB270" i="13"/>
  <c r="CA270" i="13"/>
  <c r="BZ270" i="13"/>
  <c r="BY270" i="13"/>
  <c r="BX270" i="13"/>
  <c r="BW270" i="13"/>
  <c r="BV270" i="13"/>
  <c r="BU270" i="13"/>
  <c r="BT270" i="13"/>
  <c r="BS270" i="13"/>
  <c r="BR270" i="13"/>
  <c r="BQ270" i="13"/>
  <c r="BP270" i="13"/>
  <c r="BO270" i="13"/>
  <c r="BN270" i="13"/>
  <c r="BM270" i="13"/>
  <c r="BL270" i="13"/>
  <c r="BK270" i="13"/>
  <c r="BJ270" i="13"/>
  <c r="BG270" i="13"/>
  <c r="BE270" i="13"/>
  <c r="BC270" i="13"/>
  <c r="BB270" i="13"/>
  <c r="BA270" i="13"/>
  <c r="AZ270" i="13"/>
  <c r="AY270" i="13"/>
  <c r="AX270" i="13"/>
  <c r="AW270" i="13"/>
  <c r="AV270" i="13"/>
  <c r="AU270" i="13"/>
  <c r="AT270" i="13"/>
  <c r="AS270" i="13"/>
  <c r="AR270" i="13"/>
  <c r="AQ270" i="13"/>
  <c r="AP270" i="13"/>
  <c r="AO270" i="13"/>
  <c r="AN270" i="13"/>
  <c r="AM270" i="13"/>
  <c r="AL270" i="13"/>
  <c r="AK270" i="13"/>
  <c r="AJ270" i="13"/>
  <c r="AF270" i="13"/>
  <c r="AE270" i="13"/>
  <c r="AD270" i="13"/>
  <c r="AC270" i="13"/>
  <c r="AB270" i="13"/>
  <c r="AA270" i="13"/>
  <c r="Z270" i="13"/>
  <c r="Y270" i="13"/>
  <c r="X270" i="13"/>
  <c r="W270" i="13"/>
  <c r="V270" i="13"/>
  <c r="U270" i="13"/>
  <c r="T270" i="13"/>
  <c r="R270" i="13"/>
  <c r="O270" i="13"/>
  <c r="M270" i="13"/>
  <c r="J270" i="13"/>
  <c r="H270" i="13"/>
  <c r="G270" i="13"/>
  <c r="F270" i="13"/>
  <c r="E270" i="13"/>
  <c r="D270" i="13"/>
  <c r="C270" i="13"/>
  <c r="CF248" i="13"/>
  <c r="CE248" i="13"/>
  <c r="CD248" i="13"/>
  <c r="CC248" i="13"/>
  <c r="CB248" i="13"/>
  <c r="CA248" i="13"/>
  <c r="BZ248" i="13"/>
  <c r="BY248" i="13"/>
  <c r="BX248" i="13"/>
  <c r="BW248" i="13"/>
  <c r="BV248" i="13"/>
  <c r="BU248" i="13"/>
  <c r="BT248" i="13"/>
  <c r="BS248" i="13"/>
  <c r="BR248" i="13"/>
  <c r="BQ248" i="13"/>
  <c r="BP248" i="13"/>
  <c r="BO248" i="13"/>
  <c r="BN248" i="13"/>
  <c r="BM248" i="13"/>
  <c r="BL248" i="13"/>
  <c r="BK248" i="13"/>
  <c r="BJ248" i="13"/>
  <c r="BG248" i="13"/>
  <c r="BE248" i="13"/>
  <c r="BC248" i="13"/>
  <c r="BB248" i="13"/>
  <c r="BA248" i="13"/>
  <c r="AZ248" i="13"/>
  <c r="AY248" i="13"/>
  <c r="AX248" i="13"/>
  <c r="AW248" i="13"/>
  <c r="AV248" i="13"/>
  <c r="AU248" i="13"/>
  <c r="AT248" i="13"/>
  <c r="AS248" i="13"/>
  <c r="AR248" i="13"/>
  <c r="AQ248" i="13"/>
  <c r="AP248" i="13"/>
  <c r="AO248" i="13"/>
  <c r="AN248" i="13"/>
  <c r="AM248" i="13"/>
  <c r="AL248" i="13"/>
  <c r="AK248" i="13"/>
  <c r="AJ248" i="13"/>
  <c r="AF248" i="13"/>
  <c r="AE248" i="13"/>
  <c r="AD248" i="13"/>
  <c r="AC248" i="13"/>
  <c r="AB248" i="13"/>
  <c r="AA248" i="13"/>
  <c r="Z248" i="13"/>
  <c r="Y248" i="13"/>
  <c r="X248" i="13"/>
  <c r="W248" i="13"/>
  <c r="V248" i="13"/>
  <c r="U248" i="13"/>
  <c r="T248" i="13"/>
  <c r="R248" i="13"/>
  <c r="O248" i="13"/>
  <c r="M248" i="13"/>
  <c r="J248" i="13"/>
  <c r="H248" i="13"/>
  <c r="G248" i="13"/>
  <c r="F248" i="13"/>
  <c r="E248" i="13"/>
  <c r="D248" i="13"/>
  <c r="C248" i="13"/>
  <c r="CF176" i="13"/>
  <c r="CE176" i="13"/>
  <c r="CD176" i="13"/>
  <c r="CC176" i="13"/>
  <c r="CB176" i="13"/>
  <c r="CA176" i="13"/>
  <c r="BZ176" i="13"/>
  <c r="BY176" i="13"/>
  <c r="BX176" i="13"/>
  <c r="BW176" i="13"/>
  <c r="BV176" i="13"/>
  <c r="BU176" i="13"/>
  <c r="BT176" i="13"/>
  <c r="BS176" i="13"/>
  <c r="BR176" i="13"/>
  <c r="BQ176" i="13"/>
  <c r="BP176" i="13"/>
  <c r="BO176" i="13"/>
  <c r="BN176" i="13"/>
  <c r="BM176" i="13"/>
  <c r="BL176" i="13"/>
  <c r="BK176" i="13"/>
  <c r="BJ176" i="13"/>
  <c r="BG176" i="13"/>
  <c r="BE176" i="13"/>
  <c r="BC176" i="13"/>
  <c r="BB176" i="13"/>
  <c r="BA176" i="13"/>
  <c r="AZ176" i="13"/>
  <c r="AY176" i="13"/>
  <c r="AX176" i="13"/>
  <c r="AW176" i="13"/>
  <c r="AV176" i="13"/>
  <c r="AU176" i="13"/>
  <c r="AT176" i="13"/>
  <c r="AS176" i="13"/>
  <c r="AR176" i="13"/>
  <c r="AQ176" i="13"/>
  <c r="AP176" i="13"/>
  <c r="AO176" i="13"/>
  <c r="AN176" i="13"/>
  <c r="AM176" i="13"/>
  <c r="AL176" i="13"/>
  <c r="AK176" i="13"/>
  <c r="AJ176" i="13"/>
  <c r="AF176" i="13"/>
  <c r="AE176" i="13"/>
  <c r="AD176" i="13"/>
  <c r="AC176" i="13"/>
  <c r="AB176" i="13"/>
  <c r="AA176" i="13"/>
  <c r="Z176" i="13"/>
  <c r="Y176" i="13"/>
  <c r="X176" i="13"/>
  <c r="W176" i="13"/>
  <c r="V176" i="13"/>
  <c r="U176" i="13"/>
  <c r="T176" i="13"/>
  <c r="R176" i="13"/>
  <c r="O176" i="13"/>
  <c r="M176" i="13"/>
  <c r="J176" i="13"/>
  <c r="H176" i="13"/>
  <c r="G176" i="13"/>
  <c r="F176" i="13"/>
  <c r="E176" i="13"/>
  <c r="D176" i="13"/>
  <c r="C176" i="13"/>
  <c r="CF168" i="13"/>
  <c r="CE168" i="13"/>
  <c r="CD168" i="13"/>
  <c r="CC168" i="13"/>
  <c r="CB168" i="13"/>
  <c r="CA168" i="13"/>
  <c r="BZ168" i="13"/>
  <c r="BY168" i="13"/>
  <c r="BX168" i="13"/>
  <c r="BW168" i="13"/>
  <c r="BV168" i="13"/>
  <c r="BU168" i="13"/>
  <c r="BT168" i="13"/>
  <c r="BS168" i="13"/>
  <c r="BR168" i="13"/>
  <c r="BQ168" i="13"/>
  <c r="BP168" i="13"/>
  <c r="BO168" i="13"/>
  <c r="BN168" i="13"/>
  <c r="BM168" i="13"/>
  <c r="BL168" i="13"/>
  <c r="BK168" i="13"/>
  <c r="BJ168" i="13"/>
  <c r="BG168" i="13"/>
  <c r="BE168" i="13"/>
  <c r="BC168" i="13"/>
  <c r="BB168" i="13"/>
  <c r="BA168" i="13"/>
  <c r="AZ168" i="13"/>
  <c r="AY168" i="13"/>
  <c r="AX168" i="13"/>
  <c r="AW168" i="13"/>
  <c r="AV168" i="13"/>
  <c r="AU168" i="13"/>
  <c r="AT168" i="13"/>
  <c r="AS168" i="13"/>
  <c r="AR168" i="13"/>
  <c r="AQ168" i="13"/>
  <c r="AP168" i="13"/>
  <c r="AO168" i="13"/>
  <c r="AN168" i="13"/>
  <c r="AM168" i="13"/>
  <c r="AL168" i="13"/>
  <c r="AK168" i="13"/>
  <c r="AJ168" i="13"/>
  <c r="AF168" i="13"/>
  <c r="AE168" i="13"/>
  <c r="AD168" i="13"/>
  <c r="AC168" i="13"/>
  <c r="AB168" i="13"/>
  <c r="AA168" i="13"/>
  <c r="Z168" i="13"/>
  <c r="Y168" i="13"/>
  <c r="X168" i="13"/>
  <c r="W168" i="13"/>
  <c r="V168" i="13"/>
  <c r="U168" i="13"/>
  <c r="T168" i="13"/>
  <c r="R168" i="13"/>
  <c r="O168" i="13"/>
  <c r="M168" i="13"/>
  <c r="J168" i="13"/>
  <c r="H168" i="13"/>
  <c r="G168" i="13"/>
  <c r="F168" i="13"/>
  <c r="E168" i="13"/>
  <c r="D168" i="13"/>
  <c r="C168" i="13"/>
  <c r="CF114" i="13"/>
  <c r="CE114" i="13"/>
  <c r="CD114" i="13"/>
  <c r="CC114" i="13"/>
  <c r="CB114" i="13"/>
  <c r="CA114" i="13"/>
  <c r="BZ114" i="13"/>
  <c r="BY114" i="13"/>
  <c r="BX114" i="13"/>
  <c r="BW114" i="13"/>
  <c r="BV114" i="13"/>
  <c r="BU114" i="13"/>
  <c r="BT114" i="13"/>
  <c r="BS114" i="13"/>
  <c r="BR114" i="13"/>
  <c r="BQ114" i="13"/>
  <c r="BP114" i="13"/>
  <c r="BO114" i="13"/>
  <c r="BN114" i="13"/>
  <c r="BM114" i="13"/>
  <c r="BL114" i="13"/>
  <c r="BK114" i="13"/>
  <c r="BJ114" i="13"/>
  <c r="BG114" i="13"/>
  <c r="BE114" i="13"/>
  <c r="BC114" i="13"/>
  <c r="BB114" i="13"/>
  <c r="BA114" i="13"/>
  <c r="AZ114" i="13"/>
  <c r="AY114" i="13"/>
  <c r="AX114" i="13"/>
  <c r="AW114" i="13"/>
  <c r="AV114" i="13"/>
  <c r="AU114" i="13"/>
  <c r="AT114" i="13"/>
  <c r="AS114" i="13"/>
  <c r="AR114" i="13"/>
  <c r="AQ114" i="13"/>
  <c r="AP114" i="13"/>
  <c r="AO114" i="13"/>
  <c r="AN114" i="13"/>
  <c r="AM114" i="13"/>
  <c r="AL114" i="13"/>
  <c r="AK114" i="13"/>
  <c r="AJ114" i="13"/>
  <c r="AF114" i="13"/>
  <c r="AE114" i="13"/>
  <c r="AD114" i="13"/>
  <c r="AC114" i="13"/>
  <c r="AB114" i="13"/>
  <c r="AA114" i="13"/>
  <c r="Z114" i="13"/>
  <c r="Y114" i="13"/>
  <c r="X114" i="13"/>
  <c r="W114" i="13"/>
  <c r="V114" i="13"/>
  <c r="U114" i="13"/>
  <c r="T114" i="13"/>
  <c r="R114" i="13"/>
  <c r="O114" i="13"/>
  <c r="M114" i="13"/>
  <c r="J114" i="13"/>
  <c r="H114" i="13"/>
  <c r="G114" i="13"/>
  <c r="F114" i="13"/>
  <c r="E114" i="13"/>
  <c r="D114" i="13"/>
  <c r="C114" i="13"/>
  <c r="CF91" i="13"/>
  <c r="CE91" i="13"/>
  <c r="CD91" i="13"/>
  <c r="CC91" i="13"/>
  <c r="CB91" i="13"/>
  <c r="CA91" i="13"/>
  <c r="BZ91" i="13"/>
  <c r="BY91" i="13"/>
  <c r="BX91" i="13"/>
  <c r="BW91" i="13"/>
  <c r="BV91" i="13"/>
  <c r="BU91" i="13"/>
  <c r="BT91" i="13"/>
  <c r="BS91" i="13"/>
  <c r="BR91" i="13"/>
  <c r="BQ91" i="13"/>
  <c r="BP91" i="13"/>
  <c r="BO91" i="13"/>
  <c r="BN91" i="13"/>
  <c r="BM91" i="13"/>
  <c r="BL91" i="13"/>
  <c r="BK91" i="13"/>
  <c r="BJ91" i="13"/>
  <c r="BG91" i="13"/>
  <c r="BE91" i="13"/>
  <c r="BC91" i="13"/>
  <c r="BB91" i="13"/>
  <c r="BA91" i="13"/>
  <c r="AZ91" i="13"/>
  <c r="AY91" i="13"/>
  <c r="AX91" i="13"/>
  <c r="AW91" i="13"/>
  <c r="AV91" i="13"/>
  <c r="AU91" i="13"/>
  <c r="AT91" i="13"/>
  <c r="AS91" i="13"/>
  <c r="AR91" i="13"/>
  <c r="AQ91" i="13"/>
  <c r="AP91" i="13"/>
  <c r="AO91" i="13"/>
  <c r="AN91" i="13"/>
  <c r="AM91" i="13"/>
  <c r="AL91" i="13"/>
  <c r="AK91" i="13"/>
  <c r="AJ91" i="13"/>
  <c r="AF91" i="13"/>
  <c r="AE91" i="13"/>
  <c r="AD91" i="13"/>
  <c r="AC91" i="13"/>
  <c r="AB91" i="13"/>
  <c r="AA91" i="13"/>
  <c r="Z91" i="13"/>
  <c r="Y91" i="13"/>
  <c r="X91" i="13"/>
  <c r="W91" i="13"/>
  <c r="V91" i="13"/>
  <c r="U91" i="13"/>
  <c r="T91" i="13"/>
  <c r="R91" i="13"/>
  <c r="O91" i="13"/>
  <c r="M91" i="13"/>
  <c r="J91" i="13"/>
  <c r="H91" i="13"/>
  <c r="G91" i="13"/>
  <c r="F91" i="13"/>
  <c r="E91" i="13"/>
  <c r="D91" i="13"/>
  <c r="C91" i="13"/>
  <c r="CF63" i="13"/>
  <c r="CE63" i="13"/>
  <c r="CD63" i="13"/>
  <c r="CC63" i="13"/>
  <c r="CB63" i="13"/>
  <c r="CA63" i="13"/>
  <c r="BZ63" i="13"/>
  <c r="BY63" i="13"/>
  <c r="BX63" i="13"/>
  <c r="BW63" i="13"/>
  <c r="BV63" i="13"/>
  <c r="BU63" i="13"/>
  <c r="BT63" i="13"/>
  <c r="BS63" i="13"/>
  <c r="BR63" i="13"/>
  <c r="BQ63" i="13"/>
  <c r="BP63" i="13"/>
  <c r="BO63" i="13"/>
  <c r="BN63" i="13"/>
  <c r="BM63" i="13"/>
  <c r="BL63" i="13"/>
  <c r="BK63" i="13"/>
  <c r="BJ63" i="13"/>
  <c r="BG63" i="13"/>
  <c r="BE63" i="13"/>
  <c r="BC63" i="13"/>
  <c r="BB63" i="13"/>
  <c r="BA63" i="13"/>
  <c r="AZ63" i="13"/>
  <c r="AY63" i="13"/>
  <c r="AX63" i="13"/>
  <c r="AW63" i="13"/>
  <c r="AV63" i="13"/>
  <c r="AU63" i="13"/>
  <c r="AT63" i="13"/>
  <c r="AS63" i="13"/>
  <c r="AR63" i="13"/>
  <c r="AQ63" i="13"/>
  <c r="AP63" i="13"/>
  <c r="AO63" i="13"/>
  <c r="AN63" i="13"/>
  <c r="AM63" i="13"/>
  <c r="AL63" i="13"/>
  <c r="AK63" i="13"/>
  <c r="AJ63" i="13"/>
  <c r="AF63" i="13"/>
  <c r="AE63" i="13"/>
  <c r="AD63" i="13"/>
  <c r="AC63" i="13"/>
  <c r="AB63" i="13"/>
  <c r="AA63" i="13"/>
  <c r="Z63" i="13"/>
  <c r="Y63" i="13"/>
  <c r="X63" i="13"/>
  <c r="W63" i="13"/>
  <c r="V63" i="13"/>
  <c r="U63" i="13"/>
  <c r="T63" i="13"/>
  <c r="R63" i="13"/>
  <c r="O63" i="13"/>
  <c r="M63" i="13"/>
  <c r="J63" i="13"/>
  <c r="H63" i="13"/>
  <c r="G63" i="13"/>
  <c r="F63" i="13"/>
  <c r="E63" i="13"/>
  <c r="D63" i="13"/>
  <c r="C63" i="13"/>
  <c r="CF19" i="13"/>
  <c r="CE19" i="13"/>
  <c r="CD19" i="13"/>
  <c r="CC19" i="13"/>
  <c r="CB19" i="13"/>
  <c r="CA19" i="13"/>
  <c r="BZ19" i="13"/>
  <c r="BY19" i="13"/>
  <c r="BX19" i="13"/>
  <c r="BW19" i="13"/>
  <c r="BV19" i="13"/>
  <c r="BU19" i="13"/>
  <c r="BT19" i="13"/>
  <c r="BS19" i="13"/>
  <c r="BR19" i="13"/>
  <c r="BQ19" i="13"/>
  <c r="BP19" i="13"/>
  <c r="BO19" i="13"/>
  <c r="BN19" i="13"/>
  <c r="BM19" i="13"/>
  <c r="BL19" i="13"/>
  <c r="BK19" i="13"/>
  <c r="BJ19" i="13"/>
  <c r="BG19" i="13"/>
  <c r="BE19" i="13"/>
  <c r="BC19" i="13"/>
  <c r="BB19" i="13"/>
  <c r="BA19" i="13"/>
  <c r="AZ19" i="13"/>
  <c r="AY19" i="13"/>
  <c r="AX19" i="13"/>
  <c r="AW19" i="13"/>
  <c r="AV19" i="13"/>
  <c r="AU19" i="13"/>
  <c r="AT19" i="13"/>
  <c r="AS19" i="13"/>
  <c r="AR19" i="13"/>
  <c r="AQ19" i="13"/>
  <c r="AP19" i="13"/>
  <c r="AO19" i="13"/>
  <c r="AN19" i="13"/>
  <c r="AM19" i="13"/>
  <c r="AL19" i="13"/>
  <c r="AK19" i="13"/>
  <c r="AJ19" i="13"/>
  <c r="AF19" i="13"/>
  <c r="AE19" i="13"/>
  <c r="AD19" i="13"/>
  <c r="AC19" i="13"/>
  <c r="AB19" i="13"/>
  <c r="AA19" i="13"/>
  <c r="Z19" i="13"/>
  <c r="Y19" i="13"/>
  <c r="X19" i="13"/>
  <c r="W19" i="13"/>
  <c r="V19" i="13"/>
  <c r="U19" i="13"/>
  <c r="T19" i="13"/>
  <c r="R19" i="13"/>
  <c r="O19" i="13"/>
  <c r="M19" i="13"/>
  <c r="J19" i="13"/>
  <c r="H19" i="13"/>
  <c r="G19" i="13"/>
  <c r="F19" i="13"/>
  <c r="E19" i="13"/>
  <c r="D19" i="13"/>
  <c r="C19" i="13"/>
  <c r="AJ2" i="2" l="1"/>
  <c r="AK2" i="2"/>
  <c r="AL2" i="2"/>
  <c r="D201" i="1" l="1"/>
  <c r="D202" i="1"/>
  <c r="D205" i="1"/>
  <c r="C201" i="1"/>
  <c r="C202" i="1"/>
  <c r="C205" i="1"/>
  <c r="B205" i="1"/>
  <c r="B201" i="1"/>
  <c r="B202" i="1"/>
  <c r="D200" i="1"/>
  <c r="C200" i="1"/>
  <c r="B200" i="1"/>
  <c r="D87" i="1"/>
  <c r="D123" i="1"/>
  <c r="D134" i="1"/>
  <c r="D177" i="1"/>
  <c r="B123" i="1"/>
  <c r="B134" i="1"/>
  <c r="B177" i="1"/>
  <c r="B87" i="1"/>
  <c r="C134" i="1"/>
  <c r="C87" i="1"/>
  <c r="C177" i="1"/>
  <c r="C123" i="1"/>
  <c r="D89" i="1"/>
  <c r="D93" i="1"/>
  <c r="D97" i="1"/>
  <c r="D92" i="1"/>
  <c r="D96" i="1"/>
  <c r="D91" i="1"/>
  <c r="D95" i="1"/>
  <c r="D99" i="1"/>
  <c r="D90" i="1"/>
  <c r="D94" i="1"/>
  <c r="D98" i="1"/>
  <c r="D199" i="1"/>
  <c r="D204" i="1"/>
  <c r="D183" i="1"/>
  <c r="D160" i="1"/>
  <c r="D190" i="1"/>
  <c r="D7" i="1"/>
  <c r="D106" i="1"/>
  <c r="D58" i="1"/>
  <c r="D193" i="1"/>
  <c r="C92" i="1"/>
  <c r="C96" i="1"/>
  <c r="C91" i="1"/>
  <c r="C95" i="1"/>
  <c r="C99" i="1"/>
  <c r="C90" i="1"/>
  <c r="C94" i="1"/>
  <c r="C98" i="1"/>
  <c r="C89" i="1"/>
  <c r="C93" i="1"/>
  <c r="C97" i="1"/>
  <c r="C193" i="1"/>
  <c r="C190" i="1"/>
  <c r="C106" i="1"/>
  <c r="C199" i="1"/>
  <c r="C204" i="1"/>
  <c r="C183" i="1"/>
  <c r="C160" i="1"/>
  <c r="C7" i="1"/>
  <c r="C58" i="1"/>
  <c r="B91" i="1"/>
  <c r="B95" i="1"/>
  <c r="B99" i="1"/>
  <c r="B90" i="1"/>
  <c r="B94" i="1"/>
  <c r="B98" i="1"/>
  <c r="B89" i="1"/>
  <c r="B93" i="1"/>
  <c r="B97" i="1"/>
  <c r="B92" i="1"/>
  <c r="B96" i="1"/>
  <c r="B190" i="1"/>
  <c r="B7" i="1"/>
  <c r="B106" i="1"/>
  <c r="B58" i="1"/>
  <c r="B160" i="1"/>
  <c r="B193" i="1"/>
  <c r="B199" i="1"/>
  <c r="B204" i="1"/>
  <c r="B183" i="1"/>
  <c r="D172" i="1"/>
  <c r="D113" i="1"/>
  <c r="D108" i="1"/>
  <c r="D191" i="1"/>
  <c r="D187" i="1"/>
  <c r="D181" i="1"/>
  <c r="D175" i="1"/>
  <c r="D169" i="1"/>
  <c r="D164" i="1"/>
  <c r="D157" i="1"/>
  <c r="D151" i="1"/>
  <c r="D144" i="1"/>
  <c r="D138" i="1"/>
  <c r="D127" i="1"/>
  <c r="D118" i="1"/>
  <c r="D110" i="1"/>
  <c r="D102" i="1"/>
  <c r="D196" i="1"/>
  <c r="D194" i="1"/>
  <c r="D188" i="1"/>
  <c r="D186" i="1"/>
  <c r="D184" i="1"/>
  <c r="D180" i="1"/>
  <c r="D178" i="1"/>
  <c r="D174" i="1"/>
  <c r="D170" i="1"/>
  <c r="D168" i="1"/>
  <c r="D166" i="1"/>
  <c r="D163" i="1"/>
  <c r="D162" i="1"/>
  <c r="D158" i="1"/>
  <c r="D156" i="1"/>
  <c r="D154" i="1"/>
  <c r="D152" i="1"/>
  <c r="D150" i="1"/>
  <c r="D140" i="1"/>
  <c r="D145" i="1"/>
  <c r="D143" i="1"/>
  <c r="D141" i="1"/>
  <c r="D136" i="1"/>
  <c r="D137" i="1"/>
  <c r="D132" i="1"/>
  <c r="D130" i="1"/>
  <c r="D128" i="1"/>
  <c r="D126" i="1"/>
  <c r="D121" i="1"/>
  <c r="D119" i="1"/>
  <c r="D117" i="1"/>
  <c r="D115" i="1"/>
  <c r="D112" i="1"/>
  <c r="D104" i="1"/>
  <c r="D103" i="1"/>
  <c r="D84" i="1"/>
  <c r="D82" i="1"/>
  <c r="D80" i="1"/>
  <c r="D78" i="1"/>
  <c r="D76" i="1"/>
  <c r="D74" i="1"/>
  <c r="D69" i="1"/>
  <c r="D67" i="1"/>
  <c r="D65" i="1"/>
  <c r="D63" i="1"/>
  <c r="D61" i="1"/>
  <c r="D55" i="1"/>
  <c r="D53" i="1"/>
  <c r="D54" i="1"/>
  <c r="D50" i="1"/>
  <c r="D48" i="1"/>
  <c r="D46" i="1"/>
  <c r="D44" i="1"/>
  <c r="D40" i="1"/>
  <c r="D38" i="1"/>
  <c r="D36" i="1"/>
  <c r="D34" i="1"/>
  <c r="D32" i="1"/>
  <c r="D28" i="1"/>
  <c r="D26" i="1"/>
  <c r="D195" i="1"/>
  <c r="D185" i="1"/>
  <c r="D179" i="1"/>
  <c r="D165" i="1"/>
  <c r="D155" i="1"/>
  <c r="D149" i="1"/>
  <c r="D142" i="1"/>
  <c r="D135" i="1"/>
  <c r="D129" i="1"/>
  <c r="D120" i="1"/>
  <c r="D114" i="1"/>
  <c r="D171" i="1"/>
  <c r="D111" i="1"/>
  <c r="D109" i="1"/>
  <c r="D52" i="1"/>
  <c r="D197" i="1"/>
  <c r="D173" i="1"/>
  <c r="D167" i="1"/>
  <c r="D161" i="1"/>
  <c r="D153" i="1"/>
  <c r="D146" i="1"/>
  <c r="D139" i="1"/>
  <c r="D131" i="1"/>
  <c r="D125" i="1"/>
  <c r="D116" i="1"/>
  <c r="D85" i="1"/>
  <c r="D77" i="1"/>
  <c r="D66" i="1"/>
  <c r="D56" i="1"/>
  <c r="D47" i="1"/>
  <c r="D37" i="1"/>
  <c r="D27" i="1"/>
  <c r="D45" i="1"/>
  <c r="D25" i="1"/>
  <c r="D68" i="1"/>
  <c r="D39" i="1"/>
  <c r="D83" i="1"/>
  <c r="D75" i="1"/>
  <c r="D64" i="1"/>
  <c r="D35" i="1"/>
  <c r="D49" i="1"/>
  <c r="D81" i="1"/>
  <c r="D73" i="1"/>
  <c r="D62" i="1"/>
  <c r="D51" i="1"/>
  <c r="D41" i="1"/>
  <c r="D33" i="1"/>
  <c r="D79" i="1"/>
  <c r="D60" i="1"/>
  <c r="D31" i="1"/>
  <c r="D148" i="1"/>
  <c r="C197" i="1"/>
  <c r="C195" i="1"/>
  <c r="C191" i="1"/>
  <c r="C187" i="1"/>
  <c r="C185" i="1"/>
  <c r="C181" i="1"/>
  <c r="C179" i="1"/>
  <c r="C175" i="1"/>
  <c r="C173" i="1"/>
  <c r="C169" i="1"/>
  <c r="C167" i="1"/>
  <c r="C165" i="1"/>
  <c r="C164" i="1"/>
  <c r="C161" i="1"/>
  <c r="C157" i="1"/>
  <c r="C155" i="1"/>
  <c r="C153" i="1"/>
  <c r="C151" i="1"/>
  <c r="C149" i="1"/>
  <c r="C146" i="1"/>
  <c r="C144" i="1"/>
  <c r="C142" i="1"/>
  <c r="C139" i="1"/>
  <c r="C138" i="1"/>
  <c r="C135" i="1"/>
  <c r="C131" i="1"/>
  <c r="C129" i="1"/>
  <c r="C127" i="1"/>
  <c r="C125" i="1"/>
  <c r="C120" i="1"/>
  <c r="C118" i="1"/>
  <c r="C116" i="1"/>
  <c r="C111" i="1"/>
  <c r="C108" i="1"/>
  <c r="C102" i="1"/>
  <c r="C85" i="1"/>
  <c r="C83" i="1"/>
  <c r="C81" i="1"/>
  <c r="C79" i="1"/>
  <c r="C77" i="1"/>
  <c r="C75" i="1"/>
  <c r="C73" i="1"/>
  <c r="C68" i="1"/>
  <c r="C66" i="1"/>
  <c r="C64" i="1"/>
  <c r="C62" i="1"/>
  <c r="C60" i="1"/>
  <c r="C56" i="1"/>
  <c r="C52" i="1"/>
  <c r="C51" i="1"/>
  <c r="C49" i="1"/>
  <c r="C47" i="1"/>
  <c r="C45" i="1"/>
  <c r="C41" i="1"/>
  <c r="C39" i="1"/>
  <c r="C37" i="1"/>
  <c r="C35" i="1"/>
  <c r="C33" i="1"/>
  <c r="C31" i="1"/>
  <c r="C27" i="1"/>
  <c r="C25" i="1"/>
  <c r="C172" i="1"/>
  <c r="C114" i="1"/>
  <c r="C110" i="1"/>
  <c r="C171" i="1"/>
  <c r="C109" i="1"/>
  <c r="C196" i="1"/>
  <c r="C194" i="1"/>
  <c r="C188" i="1"/>
  <c r="C186" i="1"/>
  <c r="C184" i="1"/>
  <c r="C180" i="1"/>
  <c r="C178" i="1"/>
  <c r="C174" i="1"/>
  <c r="C170" i="1"/>
  <c r="C168" i="1"/>
  <c r="C166" i="1"/>
  <c r="C163" i="1"/>
  <c r="C162" i="1"/>
  <c r="C158" i="1"/>
  <c r="C156" i="1"/>
  <c r="C154" i="1"/>
  <c r="C152" i="1"/>
  <c r="C150" i="1"/>
  <c r="C140" i="1"/>
  <c r="C145" i="1"/>
  <c r="C143" i="1"/>
  <c r="C141" i="1"/>
  <c r="C136" i="1"/>
  <c r="C137" i="1"/>
  <c r="C132" i="1"/>
  <c r="C130" i="1"/>
  <c r="C128" i="1"/>
  <c r="C126" i="1"/>
  <c r="C121" i="1"/>
  <c r="C119" i="1"/>
  <c r="C117" i="1"/>
  <c r="C115" i="1"/>
  <c r="C113" i="1"/>
  <c r="C104" i="1"/>
  <c r="C103" i="1"/>
  <c r="C84" i="1"/>
  <c r="C82" i="1"/>
  <c r="C80" i="1"/>
  <c r="C78" i="1"/>
  <c r="C76" i="1"/>
  <c r="C74" i="1"/>
  <c r="C69" i="1"/>
  <c r="C67" i="1"/>
  <c r="C65" i="1"/>
  <c r="C63" i="1"/>
  <c r="C61" i="1"/>
  <c r="C55" i="1"/>
  <c r="C54" i="1"/>
  <c r="C50" i="1"/>
  <c r="C48" i="1"/>
  <c r="C46" i="1"/>
  <c r="C44" i="1"/>
  <c r="C40" i="1"/>
  <c r="C38" i="1"/>
  <c r="C36" i="1"/>
  <c r="C34" i="1"/>
  <c r="C32" i="1"/>
  <c r="C28" i="1"/>
  <c r="C26" i="1"/>
  <c r="C112" i="1"/>
  <c r="C53" i="1"/>
  <c r="C148" i="1"/>
  <c r="B197" i="1"/>
  <c r="B191" i="1"/>
  <c r="B185" i="1"/>
  <c r="B179" i="1"/>
  <c r="B173" i="1"/>
  <c r="B169" i="1"/>
  <c r="B165" i="1"/>
  <c r="B161" i="1"/>
  <c r="B155" i="1"/>
  <c r="B151" i="1"/>
  <c r="B146" i="1"/>
  <c r="B142" i="1"/>
  <c r="B138" i="1"/>
  <c r="B131" i="1"/>
  <c r="B127" i="1"/>
  <c r="B120" i="1"/>
  <c r="B116" i="1"/>
  <c r="B113" i="1"/>
  <c r="B108" i="1"/>
  <c r="B85" i="1"/>
  <c r="B81" i="1"/>
  <c r="B77" i="1"/>
  <c r="B73" i="1"/>
  <c r="B66" i="1"/>
  <c r="B62" i="1"/>
  <c r="B56" i="1"/>
  <c r="B51" i="1"/>
  <c r="B47" i="1"/>
  <c r="B41" i="1"/>
  <c r="B37" i="1"/>
  <c r="B33" i="1"/>
  <c r="B27" i="1"/>
  <c r="B163" i="1"/>
  <c r="B145" i="1"/>
  <c r="B137" i="1"/>
  <c r="B126" i="1"/>
  <c r="B114" i="1"/>
  <c r="B84" i="1"/>
  <c r="B69" i="1"/>
  <c r="B46" i="1"/>
  <c r="B32" i="1"/>
  <c r="B194" i="1"/>
  <c r="B186" i="1"/>
  <c r="B180" i="1"/>
  <c r="B174" i="1"/>
  <c r="B171" i="1"/>
  <c r="B170" i="1"/>
  <c r="B166" i="1"/>
  <c r="B162" i="1"/>
  <c r="B156" i="1"/>
  <c r="B152" i="1"/>
  <c r="B140" i="1"/>
  <c r="B143" i="1"/>
  <c r="B136" i="1"/>
  <c r="B132" i="1"/>
  <c r="B128" i="1"/>
  <c r="B121" i="1"/>
  <c r="B117" i="1"/>
  <c r="B112" i="1"/>
  <c r="B103" i="1"/>
  <c r="B82" i="1"/>
  <c r="B78" i="1"/>
  <c r="B74" i="1"/>
  <c r="B67" i="1"/>
  <c r="B63" i="1"/>
  <c r="B55" i="1"/>
  <c r="B53" i="1"/>
  <c r="B54" i="1"/>
  <c r="B48" i="1"/>
  <c r="B44" i="1"/>
  <c r="B38" i="1"/>
  <c r="B34" i="1"/>
  <c r="B28" i="1"/>
  <c r="B196" i="1"/>
  <c r="B184" i="1"/>
  <c r="B168" i="1"/>
  <c r="B158" i="1"/>
  <c r="B150" i="1"/>
  <c r="B130" i="1"/>
  <c r="B115" i="1"/>
  <c r="B110" i="1"/>
  <c r="B80" i="1"/>
  <c r="B65" i="1"/>
  <c r="B36" i="1"/>
  <c r="B195" i="1"/>
  <c r="B187" i="1"/>
  <c r="B181" i="1"/>
  <c r="B175" i="1"/>
  <c r="B172" i="1"/>
  <c r="B167" i="1"/>
  <c r="B164" i="1"/>
  <c r="B157" i="1"/>
  <c r="B153" i="1"/>
  <c r="B149" i="1"/>
  <c r="B144" i="1"/>
  <c r="B139" i="1"/>
  <c r="B135" i="1"/>
  <c r="B129" i="1"/>
  <c r="B125" i="1"/>
  <c r="B118" i="1"/>
  <c r="B111" i="1"/>
  <c r="B109" i="1"/>
  <c r="B102" i="1"/>
  <c r="B83" i="1"/>
  <c r="B79" i="1"/>
  <c r="B75" i="1"/>
  <c r="B68" i="1"/>
  <c r="B64" i="1"/>
  <c r="B60" i="1"/>
  <c r="B52" i="1"/>
  <c r="B49" i="1"/>
  <c r="B45" i="1"/>
  <c r="B39" i="1"/>
  <c r="B35" i="1"/>
  <c r="B31" i="1"/>
  <c r="B25" i="1"/>
  <c r="B188" i="1"/>
  <c r="B178" i="1"/>
  <c r="B154" i="1"/>
  <c r="B141" i="1"/>
  <c r="B119" i="1"/>
  <c r="B104" i="1"/>
  <c r="B76" i="1"/>
  <c r="B61" i="1"/>
  <c r="B50" i="1"/>
  <c r="B40" i="1"/>
  <c r="B26" i="1"/>
  <c r="B148" i="1"/>
  <c r="E71" i="1"/>
  <c r="E43" i="1"/>
  <c r="E101" i="1"/>
  <c r="C8" i="1"/>
  <c r="B43" i="1"/>
  <c r="D12" i="1" l="1"/>
  <c r="D13" i="1"/>
  <c r="D43" i="1"/>
  <c r="D10" i="1"/>
  <c r="D8" i="1"/>
  <c r="D71" i="1"/>
  <c r="D4" i="1"/>
  <c r="D101" i="1"/>
  <c r="D11" i="1"/>
  <c r="D9" i="1"/>
  <c r="C43" i="1"/>
  <c r="C4" i="1"/>
  <c r="C9" i="1"/>
  <c r="C101" i="1"/>
  <c r="C11" i="1"/>
  <c r="C71" i="1"/>
  <c r="C10" i="1"/>
  <c r="C13" i="1"/>
  <c r="C12" i="1"/>
  <c r="B71" i="1"/>
  <c r="B8" i="1"/>
  <c r="B101" i="1"/>
  <c r="B11" i="1"/>
  <c r="B4" i="1"/>
  <c r="B9" i="1"/>
  <c r="B12" i="1"/>
  <c r="B10" i="1"/>
  <c r="B13" i="1"/>
  <c r="B23" i="1"/>
  <c r="B21" i="1"/>
  <c r="B24" i="1"/>
  <c r="B22" i="1"/>
  <c r="B20" i="1"/>
  <c r="D23" i="1"/>
  <c r="D21" i="1"/>
  <c r="D24" i="1"/>
  <c r="D22" i="1"/>
  <c r="D20" i="1"/>
  <c r="C24" i="1"/>
  <c r="C22" i="1"/>
  <c r="C20" i="1"/>
  <c r="C23" i="1"/>
  <c r="C21" i="1"/>
  <c r="B15" i="1"/>
  <c r="B19" i="1"/>
  <c r="B14" i="1"/>
  <c r="D15" i="1"/>
  <c r="D19" i="1"/>
  <c r="D14" i="1"/>
  <c r="C19" i="1"/>
  <c r="C14" i="1"/>
  <c r="C15" i="1"/>
  <c r="B18" i="1" l="1"/>
  <c r="B30" i="1"/>
  <c r="D18" i="1"/>
  <c r="D30" i="1"/>
  <c r="C18" i="1"/>
  <c r="C30" i="1"/>
</calcChain>
</file>

<file path=xl/sharedStrings.xml><?xml version="1.0" encoding="utf-8"?>
<sst xmlns="http://schemas.openxmlformats.org/spreadsheetml/2006/main" count="53329" uniqueCount="9786">
  <si>
    <t>-</t>
  </si>
  <si>
    <t>Versicherte Sachen</t>
  </si>
  <si>
    <t>Verpuffung</t>
  </si>
  <si>
    <t>Fahrraddiebstahl</t>
  </si>
  <si>
    <t>Diebstahl von Überwachungseinrichtungen, Markisen und Antennen</t>
  </si>
  <si>
    <t>Verlängerung der Meldefrist bei Wohnungswechsel</t>
  </si>
  <si>
    <t>bis 500 €</t>
  </si>
  <si>
    <t>Außenversicherung</t>
  </si>
  <si>
    <t xml:space="preserve">Kinderwagendiebstahl </t>
  </si>
  <si>
    <t>Diebstahl von Wäsche auf der Leine (auf eingefriedetem Grundstück)</t>
  </si>
  <si>
    <t>Diebstahl von Gartenmöbeln und -geräten (auf eingefriedetem Grundstück)</t>
  </si>
  <si>
    <t xml:space="preserve">Reiserückholkosten </t>
  </si>
  <si>
    <t xml:space="preserve">Hotelkosten </t>
  </si>
  <si>
    <t>10% der VS</t>
  </si>
  <si>
    <t>bis 300 €</t>
  </si>
  <si>
    <t>Versicherte Kosten</t>
  </si>
  <si>
    <t>Überschallknall</t>
  </si>
  <si>
    <t>bis 2% der VS</t>
  </si>
  <si>
    <t>bis 2.000 €</t>
  </si>
  <si>
    <t>Seng- und Schmorschäden</t>
  </si>
  <si>
    <t>Obliegenheiten</t>
  </si>
  <si>
    <t>keine Meldepflicht bei Gefahrerhöhung durch Gerüst</t>
  </si>
  <si>
    <t>bei VS = 650 € pro qm</t>
  </si>
  <si>
    <t>Rauch und Ruß</t>
  </si>
  <si>
    <t>150 € SB</t>
  </si>
  <si>
    <t>innere Unruhen, Streik oder Aussperrung</t>
  </si>
  <si>
    <t>bis 5% der VS</t>
  </si>
  <si>
    <t>bis 250 €</t>
  </si>
  <si>
    <t>bis 250 € 
(Bargeld 150 €)</t>
  </si>
  <si>
    <t>bis 1.200 € 
(Bargeld 600 €)</t>
  </si>
  <si>
    <t>bis 120 Tage</t>
  </si>
  <si>
    <t>Trickdiebstahl</t>
  </si>
  <si>
    <t>bis 1.000 €
(bei VN über 50)</t>
  </si>
  <si>
    <t>Datenrettungskosten</t>
  </si>
  <si>
    <t>Erstattung persönlicher Auslagen</t>
  </si>
  <si>
    <t>bis 5.000 €
bei Schäden &gt; 5.000 €</t>
  </si>
  <si>
    <t>bis 100 Tage 
75 € pro Tag</t>
  </si>
  <si>
    <t>80%, max 6.000 €
bei Schäden &gt; 10.000 €</t>
  </si>
  <si>
    <t>Bewachungskosten</t>
  </si>
  <si>
    <t>bis 48h</t>
  </si>
  <si>
    <t>bis 100 Tage</t>
  </si>
  <si>
    <t>bis 200 Tage</t>
  </si>
  <si>
    <t>provisorische Reparatur- und Sicherungsmaßnahmen</t>
  </si>
  <si>
    <t>Schlossänderungen</t>
  </si>
  <si>
    <t>bis 3% der VS</t>
  </si>
  <si>
    <t>bis 5.000 €
bei Schäden &gt; 25.000 €</t>
  </si>
  <si>
    <t>bis 180 Tage</t>
  </si>
  <si>
    <t>bis 50% Anteil an 
der Wohnfläche</t>
  </si>
  <si>
    <t>bis Höchstentschädigung
bei Schäden &gt; 25.000 €</t>
  </si>
  <si>
    <t>Sachverständigenverfahren</t>
  </si>
  <si>
    <t>innere Unruhen</t>
  </si>
  <si>
    <t>Bargeld - 1.000 €
Urkunden - 2.500 €
Schmuck - 20.000 €</t>
  </si>
  <si>
    <t>Entschädigungsgrenzen für Wertsachen außerhalb eines VdS anerkannten und verschlossenen, mind. 200kg schweren bzw. fachmännisch verankerten oder bündig eingelassenen Wertschutzschrankes</t>
  </si>
  <si>
    <t>Bargeld - 1.000 €
Urkunden - 3.000 €
Schmuck - 20.000 €</t>
  </si>
  <si>
    <t>Bedingungs Update-Garantie</t>
  </si>
  <si>
    <t>Keine</t>
  </si>
  <si>
    <t>zusätzlich versicherbar</t>
  </si>
  <si>
    <t>ja</t>
  </si>
  <si>
    <t>bis zur Höchstentschädigung</t>
  </si>
  <si>
    <t>bis 1% der VS
(ohne Nachtzeitklausel)</t>
  </si>
  <si>
    <t>10 € pro qm, max 1.000 €
(ohne Nachtzeitklausel)</t>
  </si>
  <si>
    <t xml:space="preserve">bis 500 € </t>
  </si>
  <si>
    <t>bis 50.000 € inkl.
Bargeld bis 10.000 €</t>
  </si>
  <si>
    <t>Studentenwohnung</t>
  </si>
  <si>
    <t>bis 15.000 €</t>
  </si>
  <si>
    <t xml:space="preserve"> </t>
  </si>
  <si>
    <t>VHV Klassik Garant</t>
  </si>
  <si>
    <t>bis 20% der VS</t>
  </si>
  <si>
    <t>Kunde:</t>
  </si>
  <si>
    <t>Datum:</t>
  </si>
  <si>
    <t>Bedingungswerk</t>
  </si>
  <si>
    <t>Kosten (sofern keine anderen Entschädigungsgrenzen bestehen)</t>
  </si>
  <si>
    <t>Entschädigung Sachsubstanz</t>
  </si>
  <si>
    <t>Höchstentschädigung
bis 250.000 €</t>
  </si>
  <si>
    <t>summarisch bis 10% 
über Sachsubstanzwert</t>
  </si>
  <si>
    <t>Leistungsgarantie gegenüber Verbandsbedingungen</t>
  </si>
  <si>
    <t>Unterversicherungsverzicht</t>
  </si>
  <si>
    <t>Vorsorge bei Risikoänderungen</t>
  </si>
  <si>
    <t>Vorsorge bei Haushaltsgründung der Kinder</t>
  </si>
  <si>
    <t>10.000 € bis zur nächsten
Hauptfälligkeit</t>
  </si>
  <si>
    <t>innerhalb der 
Höchstentschädigung</t>
  </si>
  <si>
    <t>innerhalb der 
Vers.-Summe</t>
  </si>
  <si>
    <t>techn. und optische 
Sicherungsanlagen</t>
  </si>
  <si>
    <t>summarisch in Höhe der 
Wertsachenentschädigung</t>
  </si>
  <si>
    <t>korrekte Wohnfläche (15% 
versehentliche Abweichung)</t>
  </si>
  <si>
    <t>Hausrat (Gebrauch und Verbrauch)</t>
  </si>
  <si>
    <t>Eingebrachte Gebäudebestandteile als Mieter oder Wohnungseigentümer (u. a. Einbaumöbel / -küchen)</t>
  </si>
  <si>
    <t>Anbaumöbel und -küchen</t>
  </si>
  <si>
    <t>bis 30% der VS inkl.
Bargeld bis 10.000 €</t>
  </si>
  <si>
    <t>Zubehör im und außen am Gebäude</t>
  </si>
  <si>
    <t>Gewerbliche Arbeitsgeräte und Einrichtungsgegenstände</t>
  </si>
  <si>
    <t>Handelsware und Musterkollektionen</t>
  </si>
  <si>
    <t>Haustiere</t>
  </si>
  <si>
    <t>Fahrräder, Kinderwagen</t>
  </si>
  <si>
    <t>Roll- und Krankenfahrstühle</t>
  </si>
  <si>
    <t>sonstige nicht zulassungs- und versicherungspflichtige Fahrzeuge
bis 6 km/h Höchstgeschwindigkeit</t>
  </si>
  <si>
    <t>Kanus, Ruder-, Falt- und Schlauchboote</t>
  </si>
  <si>
    <t>Ruder-, Falt- und Schlauchboote einschließlich Motoren</t>
  </si>
  <si>
    <t>Surfgeräte</t>
  </si>
  <si>
    <t>Fall- und Gleitschirme</t>
  </si>
  <si>
    <t>nichtmotorisierte Flugdrachen</t>
  </si>
  <si>
    <t>Versicherungsort</t>
  </si>
  <si>
    <t>Wohn- und Nebenräume, Gemeinschaftsräume, Garagen auf dem Grundstück</t>
  </si>
  <si>
    <t xml:space="preserve">Beruflich oder gewerblich genutzte Räume </t>
  </si>
  <si>
    <t>mit direktem Zugang
zu der Whng.</t>
  </si>
  <si>
    <t>VHV Klassik Garant Exkl.</t>
  </si>
  <si>
    <t>nur ED</t>
  </si>
  <si>
    <t>Sportausrüstung dauerhaft außer Haus</t>
  </si>
  <si>
    <t>Kundenschließfächer in Tresorräumen</t>
  </si>
  <si>
    <t>Vorübergehendes Unbewohntsein</t>
  </si>
  <si>
    <t>bis 60 Tage</t>
  </si>
  <si>
    <t>bis 1.000 €</t>
  </si>
  <si>
    <t>private Sicherungsanlagen, Markisen und Antennen- anlagen für die Whg. des VN</t>
  </si>
  <si>
    <t>bis 10.000 €</t>
  </si>
  <si>
    <t>Versicherte bzw. versicherbare Gefahren</t>
  </si>
  <si>
    <t>Feuer, Leitungswasser, Sturm, Hagel, Einbruchdiebstahl</t>
  </si>
  <si>
    <t>Elementar</t>
  </si>
  <si>
    <t>Glasbruch</t>
  </si>
  <si>
    <t>Feuer</t>
  </si>
  <si>
    <t>Versicherte Gefahren und Schäden (Deckungsinhalte)</t>
  </si>
  <si>
    <t>Nutzwärmeschäden</t>
  </si>
  <si>
    <t>Überspannung durch Blitz</t>
  </si>
  <si>
    <t>Stromausfall (Verderb von Tiefkühlgut)</t>
  </si>
  <si>
    <t>100 € SB</t>
  </si>
  <si>
    <t>Blindgängerschäden</t>
  </si>
  <si>
    <t>radioaktive Isotope</t>
  </si>
  <si>
    <t>Anprall von Luft-, Schienen-, Wasser- und Strassenfahrzeugen</t>
  </si>
  <si>
    <t>Leitungswasser - Nässeschäden</t>
  </si>
  <si>
    <t>bestimmungswidriger Austritt von … aus:</t>
  </si>
  <si>
    <t>Leitungswasser und anderen wärmetragenden Flüssigkeiten</t>
  </si>
  <si>
    <t>Zu- und Ableitungsrohren und den damit verbundenen Schläuchen</t>
  </si>
  <si>
    <t>mit dem Rohrsystem verbundenen Einrichtungen</t>
  </si>
  <si>
    <t>Einrichtungen der Heizungs-, Klima-, Wärmepumpen- und 
Solaranlagen</t>
  </si>
  <si>
    <t>Einrichtungen der Wasserlösch- und Berieselungsanlagen</t>
  </si>
  <si>
    <t>Regenwassernutzungsanlagen</t>
  </si>
  <si>
    <t>innenliegenden Regenwasserableitungsrohren</t>
  </si>
  <si>
    <t>Lüftungs- und Gasrohren</t>
  </si>
  <si>
    <t>Aquarien und Wasserbetten</t>
  </si>
  <si>
    <t>Zimmerbrunnen und Wassersäulen</t>
  </si>
  <si>
    <t>Schwimmbecken</t>
  </si>
  <si>
    <t>Regenwasser</t>
  </si>
  <si>
    <t>bestimmungswidriger Austritt von Reinigungs- und Planschwasser</t>
  </si>
  <si>
    <t>Leitungswasser - Bruchschäden</t>
  </si>
  <si>
    <t>Bruchschäden innerhalb des Gebäudes an:</t>
  </si>
  <si>
    <t>Armaturen</t>
  </si>
  <si>
    <t>Rohren der Heizungs-, Klima-, Wärmepumpen- und Solaranlagen</t>
  </si>
  <si>
    <t>Rohren der Wasserlösch- und Berieselungsanlagen</t>
  </si>
  <si>
    <t>Frostbedingte Bruchschäden innerhalb des Gebäudes an:</t>
  </si>
  <si>
    <t>Sanitäreinrichtungen und -installationen</t>
  </si>
  <si>
    <t>Heizungs-, Klima-, Wärmepumpen- und Solaranlagen</t>
  </si>
  <si>
    <t>Sturm, Hagel</t>
  </si>
  <si>
    <t>Mindestwindstärke</t>
  </si>
  <si>
    <t>8</t>
  </si>
  <si>
    <t>keine</t>
  </si>
  <si>
    <t>Vandalismus infolge Einbruch</t>
  </si>
  <si>
    <t>Raub</t>
  </si>
  <si>
    <t>Raub durch Erpressung</t>
  </si>
  <si>
    <t>Vandalismus infolge Raub</t>
  </si>
  <si>
    <t>Diebstahl von Roll- und Krankenfahrstühlen</t>
  </si>
  <si>
    <t>bis 1% der VS</t>
  </si>
  <si>
    <t>Diebstahl aus Fahrzeugen</t>
  </si>
  <si>
    <t>24 Stunden
innerhalb Europas</t>
  </si>
  <si>
    <t>Kraftfahrzeuge und Anhänger</t>
  </si>
  <si>
    <t>Wasserfahrzeuge</t>
  </si>
  <si>
    <t>Diebstahl von Garteninventar (auf eingefriedetem Grundstück)</t>
  </si>
  <si>
    <t xml:space="preserve">Einfacher Diebstahl aus dem Kranken-, Kur- und Rehazimmer </t>
  </si>
  <si>
    <t>bis 500 € 
(Bargeld 250 €)</t>
  </si>
  <si>
    <t xml:space="preserve">Diebstahl am Arbeitsplatz </t>
  </si>
  <si>
    <t>Diebstahl von Go-Karts (auf eingefriedetem Grundstück)</t>
  </si>
  <si>
    <t>Diebstahl von Rasenmähern (auf eingefriedetem Grundstück)</t>
  </si>
  <si>
    <t>Diebstahl von Spielfahrzeugen (auf eingefriedetem Grundstück) nicht jedoch zulassungs- oder versicherungspflichtige Fahrzeuge über 6 km/h</t>
  </si>
  <si>
    <t>Überschwemmung, Rückstau</t>
  </si>
  <si>
    <t>Erdbeben, Erdsenkung, Erdrutsch, Schneedruck, Lawinen, Vulkanausbruch</t>
  </si>
  <si>
    <t>1 Monat</t>
  </si>
  <si>
    <t>Mehrkosten durch Technologiefortschritt</t>
  </si>
  <si>
    <t>Umzugskosten bei dauernder Unbewohnbarkeit des Risikoortes</t>
  </si>
  <si>
    <t>Haustierunterbringungskosten</t>
  </si>
  <si>
    <t>Transport und Lagerung</t>
  </si>
  <si>
    <t>bis 1.000 €
bei Schäden &gt; 25.000 €</t>
  </si>
  <si>
    <t>bis 200 Tage 
100 € pro Tag</t>
  </si>
  <si>
    <t>bis VS
bei Schäden &gt; 25.000 €</t>
  </si>
  <si>
    <t>bis 250 €
bei Schäden &gt; 10.000 €</t>
  </si>
  <si>
    <t>Reparatur von Gebäude- und Nässeschäden</t>
  </si>
  <si>
    <t>Wasserverlust bzw. Mehrverbrauch aufgrund eines versicherten Schadens</t>
  </si>
  <si>
    <t>Vermögensschäden durch Online-Betrug (Phishing)</t>
  </si>
  <si>
    <t>14 Tage</t>
  </si>
  <si>
    <t>Sicherungsvereinbarung</t>
  </si>
  <si>
    <t>Mindestsicherungen</t>
  </si>
  <si>
    <t>ab 150 qm</t>
  </si>
  <si>
    <t>ab VS 100.000 €</t>
  </si>
  <si>
    <t>Einbruchdiebstahl / Diebstahl</t>
  </si>
  <si>
    <t>Brand, Blitzschlag, Explosion, Implosion</t>
  </si>
  <si>
    <t>20% der VS</t>
  </si>
  <si>
    <t>bis 200 Tage
2‰ der VS pro Tag</t>
  </si>
  <si>
    <t>bis 200 Tage
4‰ der VS pro Tag</t>
  </si>
  <si>
    <t>bis 2.500 €</t>
  </si>
  <si>
    <t>bis 20.000 €</t>
  </si>
  <si>
    <t>bis 5.000 €</t>
  </si>
  <si>
    <t>bis 30% der VS</t>
  </si>
  <si>
    <t>bis 40% der VS</t>
  </si>
  <si>
    <t>15% der VS</t>
  </si>
  <si>
    <t>30% der VS</t>
  </si>
  <si>
    <t>bis 30.000 €, bis max. 3 Monate nach der nächsten HF</t>
  </si>
  <si>
    <t>nur ED bis 1.000 €</t>
  </si>
  <si>
    <t>bis 20 % der VS</t>
  </si>
  <si>
    <t xml:space="preserve">30 % der VS,
ab 700 € pro qm </t>
  </si>
  <si>
    <t>Diebstahl von Gehhilfen</t>
  </si>
  <si>
    <t>Kunden-, Scheck- und Kreditkartenmissbrauch nach ED -subsidiär-</t>
  </si>
  <si>
    <t>bis 750 €</t>
  </si>
  <si>
    <t>bis VS
bei Schäden &gt; 5.000 €</t>
  </si>
  <si>
    <t>bis 3.000 €</t>
  </si>
  <si>
    <t>nur Luftfahrzeuge</t>
  </si>
  <si>
    <t>bis 1.000 €, 
keine Pelz- und Lederwaren</t>
  </si>
  <si>
    <t>fahrbare Gehilfen
bis 1.000 €</t>
  </si>
  <si>
    <t>10 % der VS</t>
  </si>
  <si>
    <t>20 % der VS</t>
  </si>
  <si>
    <t>Verzicht auf Einrede der groben Fahrlässigkeit</t>
  </si>
  <si>
    <t>bis 1.000 €, darüber 50 % des
Schadens, max. 50.000 €</t>
  </si>
  <si>
    <t>bis VS, soweit ausschließlich
über versicherte Wohnung 
zu betreten</t>
  </si>
  <si>
    <t>innere Unruhen
bis 5.000 €</t>
  </si>
  <si>
    <t>bis 6 Monate</t>
  </si>
  <si>
    <t>bis 90 Tage</t>
  </si>
  <si>
    <t>1% der VS, 
max. 1.000 €</t>
  </si>
  <si>
    <t>bis 1.500 €</t>
  </si>
  <si>
    <t>25 % der VS, max. 6 Monate,
bis 20.000 €</t>
  </si>
  <si>
    <t>bis 30 % der VS</t>
  </si>
  <si>
    <t>Bargeld - 2.000 €
Urkunden - 5.000 €
Schmuck - 25.000 €</t>
  </si>
  <si>
    <t>zusätzlich versicherbar,
bis 5.000 €</t>
  </si>
  <si>
    <t xml:space="preserve">bis 750 €
(tagsüber angeschlossen bzw. nachts angeschlossen in Gebäuden bis 3.000 €) </t>
  </si>
  <si>
    <t>VHB 2009 (06-2009)</t>
  </si>
  <si>
    <t>VHB 2008 (01-2008)</t>
  </si>
  <si>
    <t>ab VS 200.000 €
oder bei Zweitrisiken</t>
  </si>
  <si>
    <t>keine Wasserfahrzeuge</t>
  </si>
  <si>
    <t>mit Nachtzeitklausel
innerhalb Deutschlands</t>
  </si>
  <si>
    <t>VHB 2008 (01-2009)</t>
  </si>
  <si>
    <t>bis 96h</t>
  </si>
  <si>
    <t>bis 48h 
(max. 500 €)</t>
  </si>
  <si>
    <t>bis 5 % der VS, 
(max. 5.000 €)</t>
  </si>
  <si>
    <t>bis 100 Tage
30 € pro Tag
(inklusive Frühstück)</t>
  </si>
  <si>
    <t>bis 200 Tage
1 ‰ der VS pro Tag
(inklusive Frühstück)</t>
  </si>
  <si>
    <t>bis 6.000 €,
bei Schäden &gt; 20.000 €</t>
  </si>
  <si>
    <t>bis 1.000 €, 
(Bargeld 100 €)</t>
  </si>
  <si>
    <t>bis 150 €, 
(Bargeld 50 €)</t>
  </si>
  <si>
    <t>mit Nachtzeitklausel
innerhalb der EU- und EFTA-Staaten</t>
  </si>
  <si>
    <t>bis 1 % der VS 
(max. 1.000 €)</t>
  </si>
  <si>
    <t>bis 1.000 €
(ohne Nachtzeitklausel)</t>
  </si>
  <si>
    <t>ab VS 120.000 €</t>
  </si>
  <si>
    <t>bis 1.500 €
(bis 5.000 € bei Erpressung der Geheimzahl)</t>
  </si>
  <si>
    <t>Bargeld - 1.500 €
Urkunden - 20.000 €
Schmuck - 40.000 €</t>
  </si>
  <si>
    <t>unbegrenzt über die VS hinaus</t>
  </si>
  <si>
    <t>VHB 2008-XXL (10-2009)</t>
  </si>
  <si>
    <t>bis zur VS</t>
  </si>
  <si>
    <t>ja, privat genutzte Garagen auch in der angrenzenden Gemeinde</t>
  </si>
  <si>
    <t>ja, Garagen auch in der nähe des Versicherungsortes;
nicht in der Nähe, innerhalb der BRD = 1 % der VS</t>
  </si>
  <si>
    <t>ja, Garagen auch in der nähe des Versicherungsortes</t>
  </si>
  <si>
    <t>bis zu einem Jahr</t>
  </si>
  <si>
    <t>bis 1.500 €,
altersunabhängig</t>
  </si>
  <si>
    <t>flüssigen oder gasförmigen Stoffen</t>
  </si>
  <si>
    <t>bis 15.000 €, während
Ausbildung / Studium</t>
  </si>
  <si>
    <t>auch 
unbemannte Flugkörper</t>
  </si>
  <si>
    <t>ab VS 200.000 €</t>
  </si>
  <si>
    <t>bis 1% der VS
(50€ SB)</t>
  </si>
  <si>
    <t>30 % der VS
(max. 30.000 €)</t>
  </si>
  <si>
    <t>bei VS = 600 € pro qm</t>
  </si>
  <si>
    <t>ab 5.000 €</t>
  </si>
  <si>
    <t>Janitos Balance</t>
  </si>
  <si>
    <t>Janitos Best Selection</t>
  </si>
  <si>
    <t>Besonderheiten</t>
  </si>
  <si>
    <t>garantierte Annahme von Elementar, wenn keine Schäden in den letzten 5 Jahren
(keine Zürseinschränkung)</t>
  </si>
  <si>
    <t>bis 25% der VS</t>
  </si>
  <si>
    <t>Bargeld - 1.500 €
Urkunden - 5.000 €
Schmuck - 20.000 €</t>
  </si>
  <si>
    <t>Bargeld - 3.000 €
Urkunden - 10.000 €
Schmuck - 40.000 €</t>
  </si>
  <si>
    <t>bis 1.000 €
(ab 60. Lebensjahr)</t>
  </si>
  <si>
    <t>bis 25% der VS
max. 1 Jahr</t>
  </si>
  <si>
    <t>bis 40% der VS
max. 1 Jahr</t>
  </si>
  <si>
    <t>bis 12 Monate</t>
  </si>
  <si>
    <t>bis zur VS
max. 12 Monate</t>
  </si>
  <si>
    <t>bis 25% der VS
max. 6 Monate</t>
  </si>
  <si>
    <t>20 % der VS (max. 20.000 €)
max. 6 Monate</t>
  </si>
  <si>
    <t>10 % der VS (max. 10.000 €)
max. 3 Monate</t>
  </si>
  <si>
    <t>bis 40% der VS
max. 6 Monate</t>
  </si>
  <si>
    <t xml:space="preserve">bis 10.000 €
max. 12 Monate </t>
  </si>
  <si>
    <t>bis 20.000 €
max. 12 Monate</t>
  </si>
  <si>
    <t xml:space="preserve">bis 20.000 €
max. 12 Monate </t>
  </si>
  <si>
    <t>15% der VS (max. 15.000 €)
max. 6 Monate</t>
  </si>
  <si>
    <t>20% der VS
max. 12 Monate</t>
  </si>
  <si>
    <t>bis 12 Monate
2,5 ‰ der VS pro Tag</t>
  </si>
  <si>
    <t>bis 6 Monate
2,5 ‰ der VS pro Tag</t>
  </si>
  <si>
    <t>bis12 Monate</t>
  </si>
  <si>
    <t>bis 2,5% der VS
(100 € SB)</t>
  </si>
  <si>
    <t>bis 3 % der VS
(100 € SB)</t>
  </si>
  <si>
    <t>bis 2% der VS
(Bargeld, Schmuck, etc. 
max. 500 €)</t>
  </si>
  <si>
    <t>bis 1% der VS
(Bargeld, Schmuck, etc. 
max. 500 €)</t>
  </si>
  <si>
    <t>mit Nachtzeitklausel
innerhalb Deutschland</t>
  </si>
  <si>
    <t>bis 1% der VS
(Bargeld 100 €)</t>
  </si>
  <si>
    <t>bis 2% der VS
(Bargeld 200 €)</t>
  </si>
  <si>
    <t>bis 2.500 €
bei Schäden &gt; 5.000 €</t>
  </si>
  <si>
    <t>80% max. 10.000 €
bei Schäden &gt; 10.000 €</t>
  </si>
  <si>
    <t>VHB 2010 (04-2010)</t>
  </si>
  <si>
    <t>Markisen und Antennen- anlagen für die Whg. des VN</t>
  </si>
  <si>
    <t>generell gemäß Antrag</t>
  </si>
  <si>
    <t>VWB Komfort</t>
  </si>
  <si>
    <t>VWB Komfort Plus</t>
  </si>
  <si>
    <t>10% der VS (max. 10.000 €)
max. 3 Monate</t>
  </si>
  <si>
    <t>20% der VS (max. 20.000 €)
max. 6 Monate</t>
  </si>
  <si>
    <t>bis 10% der VS</t>
  </si>
  <si>
    <t>bis 1.500 €
(250 € SB)</t>
  </si>
  <si>
    <t>bis 3.000 €
(250 € SB)</t>
  </si>
  <si>
    <t>bis 800 €</t>
  </si>
  <si>
    <t>bis 500 €
(Wertsachen bis 100 €)</t>
  </si>
  <si>
    <t>24 Stunden
innerhalb EG, Schweiz, Norwegen, Liechtenstein, Island</t>
  </si>
  <si>
    <t>bis 72 h</t>
  </si>
  <si>
    <t>bis 100 Tage
1‰ der VS pro Tag</t>
  </si>
  <si>
    <t>bis 200 Tage
3‰ der VS pro Tag</t>
  </si>
  <si>
    <t>bis 1% der VS,
max. 500 €</t>
  </si>
  <si>
    <t>bis 5% der VS
bei Schäden &gt; 5.000 €</t>
  </si>
  <si>
    <t>max. 5.000 € (20% SB) 
bei Schäden &gt; 25.000 €</t>
  </si>
  <si>
    <t>ab VS 150.000 €</t>
  </si>
  <si>
    <t xml:space="preserve">ja
20 % der VS, max 12.500 € </t>
  </si>
  <si>
    <t>bis 3.500 €</t>
  </si>
  <si>
    <t>40% der VS (max. 35.000 €)
max. 12 Monate</t>
  </si>
  <si>
    <t>Schiffskabinen, Zugabteile (Schlafwagen)</t>
  </si>
  <si>
    <t>beitragsfrei 
(ohne Hochwasser und
Überschwemmung)</t>
  </si>
  <si>
    <t>bis 2.500 €
(500 € SB)</t>
  </si>
  <si>
    <t>ja
(500 € SB)</t>
  </si>
  <si>
    <t>bis 250 € beitragsfrei
(ohne Nachtzeitklausel)</t>
  </si>
  <si>
    <t>bis 750 € beitragsfrei
(ohne Nachtzeitklausel)</t>
  </si>
  <si>
    <t>24 Stunden</t>
  </si>
  <si>
    <t>bis 250 €,
(nicht Anhänger)</t>
  </si>
  <si>
    <t>bis 1.000 €, bei Totaldiebstahl bis 3.500 €
(nicht Anhänger)</t>
  </si>
  <si>
    <t xml:space="preserve">bis 250 € </t>
  </si>
  <si>
    <t>bis 250 €
(ohne Bargeld, Handy, usw.)</t>
  </si>
  <si>
    <t>bis 1.000 €
(ohne Bargeld, Handy, usw.)</t>
  </si>
  <si>
    <t>beitragsfrei</t>
  </si>
  <si>
    <t>Elementar (SB Variationen beachten) - sofern vereinbart -</t>
  </si>
  <si>
    <t>Rückstau
beitragsfrei</t>
  </si>
  <si>
    <t>bis 150 Tage</t>
  </si>
  <si>
    <t>bis 365 Tage</t>
  </si>
  <si>
    <t>bis 1.500 €
bei Schäden &gt; 5.000 €</t>
  </si>
  <si>
    <t>bis 3.500 €
bei Schäden &gt; 5.000 €</t>
  </si>
  <si>
    <t>bis 150 Tage
1‰ der VS pro Tag</t>
  </si>
  <si>
    <t>bis 365 Tage
2‰ der VS pro Tag</t>
  </si>
  <si>
    <t>80%, max. 5.000 € 
bei Schäden &gt; 25.000 €</t>
  </si>
  <si>
    <t>80%, max. 10.000 €
bei Schäden &gt; 15.000 €</t>
  </si>
  <si>
    <t>ab VS 50.000 €</t>
  </si>
  <si>
    <t>Schäden durch Regen-/ 
Schmelzwasser bis 1.000 € beitragsfrei mitversichert</t>
  </si>
  <si>
    <t>Gothaer Top</t>
  </si>
  <si>
    <t>Gothaer Top Plus</t>
  </si>
  <si>
    <t>Bargeld - 1.200 €
Urkunden - 3.000 €
Schmuck - 21.000 €</t>
  </si>
  <si>
    <t>max. 6 Monate</t>
  </si>
  <si>
    <t>bis 600 €</t>
  </si>
  <si>
    <t>Luft- und Straßenfahrzeuge</t>
  </si>
  <si>
    <t>Regen</t>
  </si>
  <si>
    <t>24 Stunden
innerhalb BRD</t>
  </si>
  <si>
    <t>bis 2% der VS
nachts bis 600 € Zeitwert
(nicht Anhänger)</t>
  </si>
  <si>
    <t>Erdbeben, Erdrutsch,
Schneedruck</t>
  </si>
  <si>
    <t>bis 48 h</t>
  </si>
  <si>
    <t>bis 600 €
bei Schäden &gt; 5.000 €</t>
  </si>
  <si>
    <t>VHB 2008 (07-2008)</t>
  </si>
  <si>
    <t>bis 20% der VS
max. 6 Monate</t>
  </si>
  <si>
    <t>Bargeld - 1.500 €
Urkunden - 5.000 €
Schmuck - 25.000 €</t>
  </si>
  <si>
    <t>Schiffskabinen</t>
  </si>
  <si>
    <t>bis 10% der VS
max. 3 Monate</t>
  </si>
  <si>
    <t>bis 10% der VS
(Sengschäden)</t>
  </si>
  <si>
    <t>bis 1% der VS 
beitragsfrei,
inkl. Fahrradanhänger
(ohne Nachtzeitklausel)</t>
  </si>
  <si>
    <t xml:space="preserve">bis 1% der VS </t>
  </si>
  <si>
    <t>bis 150 €</t>
  </si>
  <si>
    <t>bis 1% der VS
(Wäsche)</t>
  </si>
  <si>
    <t>bis 1% der VS, max. 500 €</t>
  </si>
  <si>
    <t>bis 100 Tage
150 € pro Tag</t>
  </si>
  <si>
    <t>1% der VS, inkl. Mehrkosten
für die Wasserbeseitigung</t>
  </si>
  <si>
    <t>bis 40% der VS
-Baustein Wertsachen-</t>
  </si>
  <si>
    <t>Bargeld - 1.000 €
Urkunden - 4.000 €
Schmuck - 25.000 €
-Baustein Wertsachen-</t>
  </si>
  <si>
    <t>max. 6 Monate
30% der VS max. 15.000 €</t>
  </si>
  <si>
    <t>max. 3 Monate
-Baustein Wertsachen-</t>
  </si>
  <si>
    <t>bis 180 Tage
-Baustein Sicherheit-</t>
  </si>
  <si>
    <t>ja
-Baustein Sicherheit-</t>
  </si>
  <si>
    <t>50 € SB
-Baustein Sicherheit-</t>
  </si>
  <si>
    <t>bis 5.000 €
-Baustein Fahrrad-</t>
  </si>
  <si>
    <t>bis 1% der VS, 50€ SB
-Baustein Sicherheit-</t>
  </si>
  <si>
    <t>bis 5% der VS, 50 € SB
-Baustein Sicherheit-</t>
  </si>
  <si>
    <t>bis  VS
(Wertsachen bis 750 €)</t>
  </si>
  <si>
    <t>bis 1% der VS, 50 € SB (Bargeld/Geldkarten 150 €)
-Baustein Sicherheit-</t>
  </si>
  <si>
    <t>bis 10% der VS, max 6.000 €
bei Schäden &gt; 10.000 €
-Baustein Sicherheit-</t>
  </si>
  <si>
    <t>bis 180 Tage
3‰ der VS pro Tag</t>
  </si>
  <si>
    <t>24 Stunden
innerhalb EG</t>
  </si>
  <si>
    <t>Beiträge:</t>
  </si>
  <si>
    <t>private Sicherungsanlagen
(5 % der VS, max. 2.500 €)
Markisen und Antennen- anlagen für die Whg. des VN</t>
  </si>
  <si>
    <t>Reisegepäckversicherung über optionales Servicepaket "Tour", 
Handwerkerservice im Schadenfall</t>
  </si>
  <si>
    <t>Golfausrüstung bis 2.500 €</t>
  </si>
  <si>
    <t>nicht Implosion</t>
  </si>
  <si>
    <t>keine Schläuche</t>
  </si>
  <si>
    <t>keine Angabe</t>
  </si>
  <si>
    <t>AXA BOXplus Standard</t>
  </si>
  <si>
    <t>ja, bis zur nächsten Hauptfälligkeit</t>
  </si>
  <si>
    <t>Flüssigkeiten</t>
  </si>
  <si>
    <t>Sengschäden</t>
  </si>
  <si>
    <t>bis 1 Monat</t>
  </si>
  <si>
    <t>bis 14 Tage</t>
  </si>
  <si>
    <t>bis 30.000 €</t>
  </si>
  <si>
    <t>bis 1.500 €
(kein Bargeld)</t>
  </si>
  <si>
    <t>korrekte Wohnfläche</t>
  </si>
  <si>
    <t>unbegrenzt</t>
  </si>
  <si>
    <r>
      <t>Wertsachen</t>
    </r>
    <r>
      <rPr>
        <b/>
        <sz val="7"/>
        <rFont val="Arial"/>
        <family val="2"/>
      </rPr>
      <t xml:space="preserve"> (Sicherungsvorschriften beachten !!!)</t>
    </r>
  </si>
  <si>
    <t>Generali Basis</t>
  </si>
  <si>
    <t>Generali KomfortPlus</t>
  </si>
  <si>
    <t>20% der VS 
(50%, wenn VS=850 € pro qm)</t>
  </si>
  <si>
    <t>25% der VS,
max. 1 jahr</t>
  </si>
  <si>
    <t xml:space="preserve">bis 20% der VS </t>
  </si>
  <si>
    <t>Markisen und Antennenanlagen
für die Wohnung des VN</t>
  </si>
  <si>
    <t>bis 10% der VS,
max. 3 Monate</t>
  </si>
  <si>
    <t>bis 25% der VS,
max. 6 Monate</t>
  </si>
  <si>
    <t>Leitungswasser und anderen 
wärmetragenden Flüssigkeiten</t>
  </si>
  <si>
    <t>bis 0,5% der VS</t>
  </si>
  <si>
    <t>bis 100 Tage,
1‰ der VS</t>
  </si>
  <si>
    <t>bis 100 Tage,
1‰ der VS
Verpflegungskosten bis 100 €</t>
  </si>
  <si>
    <t>ab VS 200.000 € oder
Wertsachenanteil über 30%</t>
  </si>
  <si>
    <t xml:space="preserve">erweiterter Raub (Entreißen, 
Auf-/Abschneiden von Taschen)
bis 1% der VS </t>
  </si>
  <si>
    <t>VHB 2008 (07-2010)</t>
  </si>
  <si>
    <t>bis Entschädigungsgrenzen
(siehe versicherte Kosten)</t>
  </si>
  <si>
    <t>20% der VS,
max. 6 Monate</t>
  </si>
  <si>
    <t>Bargeld - 1.500 €
Urkunden - 4.000 €
Schmuck - 30.000 €</t>
  </si>
  <si>
    <t>Markisen, Antennenanlagen und Anlagen zur Erzeugung erneuerbarer Energien für die Whg. des VN</t>
  </si>
  <si>
    <t>ja, auch in der gleichen und 
angrenzenden Gemeinde</t>
  </si>
  <si>
    <t>nur mit direktem Zugang durch die Wohnung</t>
  </si>
  <si>
    <t>bis 5.000 €
max. 6 Monate</t>
  </si>
  <si>
    <t>Isolierungskosten bis 
100.000 €</t>
  </si>
  <si>
    <t>Lüftungsrohre</t>
  </si>
  <si>
    <t>Wasser und anderen 
wärmetragenden Flüssigkeiten</t>
  </si>
  <si>
    <t>ja; Gebäudebeschädigungen
bis 20.000 €</t>
  </si>
  <si>
    <t>zusätzlich versicherbar
(ohne Nachtzeitklausel)</t>
  </si>
  <si>
    <t>24 Stunden 
bis 1.200 €</t>
  </si>
  <si>
    <t>bis 1.200 €</t>
  </si>
  <si>
    <t>bis 600 €
(Bargeld 100 €)</t>
  </si>
  <si>
    <t>bis 100.000 €</t>
  </si>
  <si>
    <t>bis 72 Stunden</t>
  </si>
  <si>
    <t>bis 5.000 €
bei Schäden &gt;5.000 €</t>
  </si>
  <si>
    <t>bis 200 Tage
100 € pro Tag</t>
  </si>
  <si>
    <t>bis 100.000 €
bei Schäden &gt; 25.000 €</t>
  </si>
  <si>
    <t>Gebäudeschäden nach ED
bis 20.000 €</t>
  </si>
  <si>
    <t>auch Gas
bis 500 €</t>
  </si>
  <si>
    <t>max. 9 Monate</t>
  </si>
  <si>
    <t>bis zu einer Schadenhöhe von
10.000 €</t>
  </si>
  <si>
    <t xml:space="preserve">unbegrenzt, bei 
Obligenheitsverletzung bis 10.000 € </t>
  </si>
  <si>
    <t>Rückstau ohne Abschluss der
Elementargefahren enthalten/
Alle Kosten zusätzlich zur VS</t>
  </si>
  <si>
    <t>Schäden durch Phishing bis 1.000 € /
Rückstau ohne Abschluss der
Elementargefahren enthalten/
Alle Kosten zusätzlich zur VS</t>
  </si>
  <si>
    <t>VHB 2009 (07-2009)</t>
  </si>
  <si>
    <t>bis 1.000 € mit Nachtzeitklausel
o. in Gebrauch o. in gemeinschaftl. Abstellraum ;
bis 1% der VS außerhalb 
Versicherungsräume auf eingefriedetem Grundstück</t>
  </si>
  <si>
    <t>bis 150 Tage,
bis 2 ‰ der VS</t>
  </si>
  <si>
    <t>ja; 
auch für Kfz bis 1.000 €</t>
  </si>
  <si>
    <t>Bargeld - 1.000 €
Urkunden - 20.000 €
Schmuck - 20.000 €</t>
  </si>
  <si>
    <t>Unselbstständiger Hausstand für die Dauer des Wehr- und Zivildienstes und einer Ausbildung</t>
  </si>
  <si>
    <t>bis 15% der VS, 
max. 3 Monate</t>
  </si>
  <si>
    <t>Gebäudeschäden, soweit durch ED entstanden</t>
  </si>
  <si>
    <t>Rauch</t>
  </si>
  <si>
    <t>ja,
nicht von Kernreaktoren</t>
  </si>
  <si>
    <t>ab VS 200.000 € oder
Wertsachenanteil &gt; 50.000 €</t>
  </si>
  <si>
    <t>bis 20% der VS, 
erhöhbar</t>
  </si>
  <si>
    <t>SB-Variationen zwischen 
150 € und 1.000 € möglich</t>
  </si>
  <si>
    <t>bis zu 5% der VS</t>
  </si>
  <si>
    <t>VHB 2010 Optimal (03-2010)</t>
  </si>
  <si>
    <t>Bargeld - 1.500 €
Urkunden - 2.600 €
Schmuck - 20.500 €</t>
  </si>
  <si>
    <t>bis 250 €
(Wertsachen 100 €)</t>
  </si>
  <si>
    <t>ja, Garagen auch auf benachbarten Grundstücken des Versicherungsortes</t>
  </si>
  <si>
    <t>30 % der VS
max. 6 Monate</t>
  </si>
  <si>
    <t>ab VS 75.000 €</t>
  </si>
  <si>
    <t>nur, soweit auf Weisung des
VR veranlasst</t>
  </si>
  <si>
    <t>Loggien, Balkone, Terrassen (F, LW)</t>
  </si>
  <si>
    <t>Ammerländer Excellent</t>
  </si>
  <si>
    <t>250 € SB</t>
  </si>
  <si>
    <t>keine Wasserfahrzeuge, auch
unbemannte Flugkörper</t>
  </si>
  <si>
    <t>innerhalb des Vers.-orts 
bis 1% der VS</t>
  </si>
  <si>
    <t xml:space="preserve">technische, optische o.
akustische Sicherungsanlagen </t>
  </si>
  <si>
    <t>bis 50% der VS</t>
  </si>
  <si>
    <t>Bargeld - 2% d. VS
Urkunden - 10% d. VS, max. 10.000 €
Schmuck - 35% d. VS, max. 30.000 €</t>
  </si>
  <si>
    <t>ja, inkl. Tierarztkosten nach 
Versicherungsfall</t>
  </si>
  <si>
    <t>max. 12 Monate
30% der VS, max. 35.000 €</t>
  </si>
  <si>
    <t>Rückstau inklusive
bis 5% der VS, 500 € SB</t>
  </si>
  <si>
    <t>VHB 2008 Excellent-Schutz
(07-2010)</t>
  </si>
  <si>
    <t>ja,
bei Schäden &gt; 10.000 €</t>
  </si>
  <si>
    <t>nur fostbedingt</t>
  </si>
  <si>
    <t>bis 2.500 €
(auch Dachboxen)</t>
  </si>
  <si>
    <t>keine Beschäftigung von Angestellten o. Publikumsverkehr in den Räumen</t>
  </si>
  <si>
    <t>ja
(keine Handys oder Bargeld)</t>
  </si>
  <si>
    <t xml:space="preserve">ab VS 150.000 € oder
ab 75.000 € Wertsachenanteil </t>
  </si>
  <si>
    <t>2 € Gebühr für Ausfertigung von Versicherungs- u. Nachtragsscheinen;
Eindringen v. Niederschlägen 
bis 2% der VS;
Diebstahl von Gepäck 
(100 € SB)</t>
  </si>
  <si>
    <t>Ammerländer Exclusiv</t>
  </si>
  <si>
    <t>bis 1% der VS,
max. 1.000 €
(keine Anhänger)</t>
  </si>
  <si>
    <t>bis 2% der VS,
max. 2.500 €</t>
  </si>
  <si>
    <t>bis 1% der VS
(keine Handys oder Bargeld)</t>
  </si>
  <si>
    <t>2 € Gebühr für Ausfertigung von Versicherungs- u. Nachtragsscheinen;
Diebstahl von Gepäck bis 1% der VS
(100 € SB)</t>
  </si>
  <si>
    <t>VHB 2008 Exclusiv-Schutz
(07-2010)</t>
  </si>
  <si>
    <t>technische, optische o.
akustische Sicherungsanlagen
bis 5% der VS</t>
  </si>
  <si>
    <t>Bargeld - 2% d. VS
Urkunden - 5% d. VS, max. 5.000 €
Schmuck - 20% d. VS</t>
  </si>
  <si>
    <t>bis 350 €</t>
  </si>
  <si>
    <t>bis 150 Tage
2‰ der VS pro Tag</t>
  </si>
  <si>
    <t>bis 1% der VS, 
max. 1.000 €</t>
  </si>
  <si>
    <t>bis 5% der VS, max 8.000 €
bei Schäden &gt; 10.000 €</t>
  </si>
  <si>
    <t>bis 1% der VS, Tierarztkosten inkl. nach Versicherungsfall</t>
  </si>
  <si>
    <t>bis 2% der VS,
bei Schäden &gt; 50.000 €</t>
  </si>
  <si>
    <t>Ammerländer Comfort</t>
  </si>
  <si>
    <t>max. 1.500 €,
250 € SB</t>
  </si>
  <si>
    <t>bis 1% der VS,
max. 1.500 €</t>
  </si>
  <si>
    <t>bis 1% der VS,
max. 1.500 €
(keine Handys oder Bargeld)</t>
  </si>
  <si>
    <t>bis 1% der VS,
max. 750 €</t>
  </si>
  <si>
    <t>Bargeld - 2% d. VS, max. 1.500 €
Urkunden - 5% d. VS, max. 5.000 €
Schmuck - 20% d. VS, max. 20.000 €</t>
  </si>
  <si>
    <t>bis 200 €</t>
  </si>
  <si>
    <t>bis 1% der VS, 
max. 750 €</t>
  </si>
  <si>
    <t>bis 5% der VS, max 5.000 €
bei Schäden &gt; 10.000 €</t>
  </si>
  <si>
    <t>bis 1% der VS,
bei Schäden &gt; 50.000 €</t>
  </si>
  <si>
    <t>bis 15% der VS</t>
  </si>
  <si>
    <t>max. 6 Monate
25% der VS, max. 25.000 €</t>
  </si>
  <si>
    <t>VHB 2008 Comfort-Schutz
(07-2010)</t>
  </si>
  <si>
    <t>bis 200 Tage
2 ‰ der VS pro Tag</t>
  </si>
  <si>
    <t>durch Rohrbruch
bis 1.000 €</t>
  </si>
  <si>
    <t>bis 1% der VS
(mit Nachtzeitklausel)</t>
  </si>
  <si>
    <t>24 Stunden
innerhalb EU</t>
  </si>
  <si>
    <t>bis 1.000 €
(kein Bargeld)</t>
  </si>
  <si>
    <t>bis 500 €
(kein Bargeld / Wertsachen)</t>
  </si>
  <si>
    <t>20% der VS (max. 20.000 €)
max. 12 Monate</t>
  </si>
  <si>
    <t>Haus- und Wohnungs-Hotline
(Handwerker-Service)</t>
  </si>
  <si>
    <t>summarisch bis 25% 
über Sachsubstanzwert</t>
  </si>
  <si>
    <t>bis 500 €
(Sengschäden)</t>
  </si>
  <si>
    <t>techn., opt. und akustische Sicherungsanl. bis 1% d. VS</t>
  </si>
  <si>
    <t>ab VS 200.000 €
oder 30% Wersachenanteil</t>
  </si>
  <si>
    <t>nur frostbedingt</t>
  </si>
  <si>
    <t>Leitungswasser und anderen
wärmetragenden Flüssigkeiten</t>
  </si>
  <si>
    <t>nur soweit ausschließlich 
über Wohnung zu betreten</t>
  </si>
  <si>
    <t>ja, Garagen auch in der Nähe
des Versicherungsortes</t>
  </si>
  <si>
    <t>ja, Garagen auch in der Nähe des Versicherungsortes</t>
  </si>
  <si>
    <t>Bargeld - 1.500 €
Urkunden - 3.000 €
Schmuck - 20.000 €</t>
  </si>
  <si>
    <t>bis 150 € je qm Wohnfläche</t>
  </si>
  <si>
    <t>bis 20.000 €,
max. 3 Monate</t>
  </si>
  <si>
    <t>ja,
auch Garagen in der Nähe</t>
  </si>
  <si>
    <t>bis 100 Tage
100 € pro Tag</t>
  </si>
  <si>
    <t xml:space="preserve">bis 25.000 €
bei Schäden &gt; 25.000 €
</t>
  </si>
  <si>
    <t>Neuwert des Hausrats, 
ohne Begrenzung durch VS</t>
  </si>
  <si>
    <t>ja, auch als Wohnungseigentümer</t>
  </si>
  <si>
    <t>bis 1% der VS
(ohne Bargeld, Handy, usw.)</t>
  </si>
  <si>
    <t>ja, auch Vandalismus durch
Einschleichen</t>
  </si>
  <si>
    <t>bis 5% der VS;
auch Gasverlust</t>
  </si>
  <si>
    <t>bis 5% der VS
(300 € SB)</t>
  </si>
  <si>
    <t>VHB 2010 (04-2011)</t>
  </si>
  <si>
    <t>ja
(nicht von Kernreaktoren)</t>
  </si>
  <si>
    <t>Bargeld - 1.500 €
Urkunden - 3.000 €
Schmuck - 25.000 €</t>
  </si>
  <si>
    <t>bis 250 Tage
2‰ der VS pro Tag</t>
  </si>
  <si>
    <t>bis 3% der VS
bei Schäden &gt; 7.500 €</t>
  </si>
  <si>
    <t>unbegrenzt, soweit notwendig und mit VR abgesprochen</t>
  </si>
  <si>
    <t>bis 1% der VS bei Entschädigungen &gt; 10.000 €</t>
  </si>
  <si>
    <t>80%, max. 7.500 € 
bei Schäden &gt; 15.000 €</t>
  </si>
  <si>
    <t>bei VS = 650 € pro qm und
Kleinschäden bis 1% d. VS</t>
  </si>
  <si>
    <t>ja
und Tarif Uptate-Garantie</t>
  </si>
  <si>
    <t>Arbeitszimmer 
in der Wohnung</t>
  </si>
  <si>
    <t>bis 10% der VS,
max. 750 €</t>
  </si>
  <si>
    <t>auch aus Dachboxen
bis 1% der VS,
(kein Bargeld, Handy, usw.)</t>
  </si>
  <si>
    <t>bis 1% der VS
(kein Bargeld, Handy, usw.)</t>
  </si>
  <si>
    <t>bis 2% der VS
(kein Bargeld, usw.)</t>
  </si>
  <si>
    <t>auch Raub an mit der Betreuung vers. Sachen beauftragte Personen</t>
  </si>
  <si>
    <t>unbegrenzt; bei technischem Versagen bis 500 €</t>
  </si>
  <si>
    <t>zusätzlich versicherbar,
auch E-Fahrräder, Fahrradanhänger, Kinderwagen, Krankenfahrstühle, Gehhilfen</t>
  </si>
  <si>
    <t>Bargeld - 2.000 €
Urkunden - 5.000 €
Schmuck - 30.000 €</t>
  </si>
  <si>
    <t>bis 40 % der VS</t>
  </si>
  <si>
    <t>ja, Garagen / Kellerräume auch im Wohnort des VN</t>
  </si>
  <si>
    <t>ja, soweit dort nicht mehr als 
1 Angestellter tätig ist;
Einliegerwohnungen auch versichert (nicht Hausrat d. Mieter)</t>
  </si>
  <si>
    <t>Schäden d. Regen-/ Schmelzwasser 2% d. VS beitragsfrei mitversichert;
Teile/Zubehör v. Kfz/Anhängern bis 2% der VS; Hausratbeschädigungen d. Unfall mit Kfz / öffentl. Verkehrs-mitteln b. 40% d. VS; Beschädigung/ Verlust v. Gepäck 2% d. VS, 100 € SB</t>
  </si>
  <si>
    <t>bis 365 Tage
3‰ der VS pro Tag</t>
  </si>
  <si>
    <t>bis 10% der VS
bei Schäden &gt; 5.000 €</t>
  </si>
  <si>
    <t>bis 2% der VS; für 
Musik/ Videos/ Fotos bis 300 €</t>
  </si>
  <si>
    <t>bis 2% der VS bei Entschädigungen 
&gt; 10.000 €; f. Mietgeräte bis 1% der VS</t>
  </si>
  <si>
    <t>ja; und bis 1% d. VS für 
Gemeinschaftsräume/ Kfz</t>
  </si>
  <si>
    <t>ja; und bis 1% d. VS Wiederbefüllung 
von Wasserbetten/ Aquarien</t>
  </si>
  <si>
    <t>90%, max. 15.000 €
bei Schäden &gt; 15.000 €</t>
  </si>
  <si>
    <t>bei VS = 650 € pro qm und
Kleinschäden bis 2% d. VS</t>
  </si>
  <si>
    <t>ja und Tarif/ Individual Uptate-Garantie</t>
  </si>
  <si>
    <t>Hausratbeschädigungen d. Unfall mit Kfz / öffentl. Verkehrsmitteln bis 1% der VS; Beschädigung / Verlust von aufgegebenen Gepäck 
bis 1% der VS</t>
  </si>
  <si>
    <t>ja, auch Austritt aus Anlagen zur Erzeugung erneuerbarer Energien</t>
  </si>
  <si>
    <t>ja
40 % der VS</t>
  </si>
  <si>
    <t>ja
30 % der VS</t>
  </si>
  <si>
    <t>innerhalb BRD;
mit Nachtzeitklausel, soweit nicht auf bewachtem Parkplatz/ verscholssenem Hofraum</t>
  </si>
  <si>
    <t>mit angemessenem Reisemittel
bei Schäden &gt; 5.000 €</t>
  </si>
  <si>
    <t>ja
(Erdbeben gesondert versicherbar)</t>
  </si>
  <si>
    <t>zusätzlich versicherbar
über Schutzbrief</t>
  </si>
  <si>
    <t>Rasenmäher</t>
  </si>
  <si>
    <t>VHB 2009 (10-2009)</t>
  </si>
  <si>
    <t>ja
10% der VS, max. 12.000 €</t>
  </si>
  <si>
    <t>ja 
(100 € SB bei Blitzschlag)</t>
  </si>
  <si>
    <t>ja 
(100 € SB)</t>
  </si>
  <si>
    <t>ja (soweit der Mieter sie auf eigene Kosten beschafft hat)</t>
  </si>
  <si>
    <t>Zu-/ Ableitungsrohre von den 
Installationen (wie vorheriger Punkt)</t>
  </si>
  <si>
    <t>Bargeld - 1.500 €
Urkunden - 5.000 €
Schmuck - 30.000 €</t>
  </si>
  <si>
    <t>3 Tage</t>
  </si>
  <si>
    <t>40% der VS,
max. 1 Jahr</t>
  </si>
  <si>
    <t>ja, 
max. 3.000 €</t>
  </si>
  <si>
    <t>40% der VS
max. 6 Monate</t>
  </si>
  <si>
    <t>keine Angestellte/ 
kein Publikumsverkehr</t>
  </si>
  <si>
    <t>ja (auch durch technisches
Versagen der Geräte)</t>
  </si>
  <si>
    <t>ja 
(auch Gasverlust)</t>
  </si>
  <si>
    <t>ja
bei Schäden &gt; 5.000 €</t>
  </si>
  <si>
    <t>Gesamtentschädigungs-
grenze ist nicht vorgesehen</t>
  </si>
  <si>
    <t>bis 750 €, bis 3.000 € wenn mit anderem Gegenstand verbunden oder im Gebäude
(ohne Nachtzeitklausel)</t>
  </si>
  <si>
    <t>flüssigen oder gasförmigen Stoffe</t>
  </si>
  <si>
    <t>ja 
(innenliegend)</t>
  </si>
  <si>
    <t>unbegrenzt (außerhalb Versicherungsort bis 750 €)</t>
  </si>
  <si>
    <t>ja (Für Bargeld und Wertsachen max. 750 €)</t>
  </si>
  <si>
    <t>bis 3.000 € (aus Dachboxen bis 1.500 €) kein Geld, keine Urkunden/ Wertpapiere</t>
  </si>
  <si>
    <t>bis 3.000 € kein Geld, keine Urkunden/ Wertpapiere</t>
  </si>
  <si>
    <t>24 Stunden
weltweit</t>
  </si>
  <si>
    <t>vereinbarte Vers.-Summe
max. 500.000 €</t>
  </si>
  <si>
    <t>24 Stunden
innerhalb geographischen Grenzen Europas</t>
  </si>
  <si>
    <t>bis 500 €, auch Dachboxen;
(kein Bargeld/ Wertsachen/ elektronische Geräte)</t>
  </si>
  <si>
    <t>bis 1.000 €
(Bargeld/
Wersachen bis 100 €)</t>
  </si>
  <si>
    <t>bis 1.000 € (Bargeld/
Wersachen bis 100 €)</t>
  </si>
  <si>
    <t>bis 1.000 €
im Versicherungsort</t>
  </si>
  <si>
    <t>ED bis 1.500 €</t>
  </si>
  <si>
    <t>auch Terrarien</t>
  </si>
  <si>
    <t>Hausrat in fest installieren Wohwagen/ Häusern in Kleingartenanlagen 
bis 1.000 € mitversichert</t>
  </si>
  <si>
    <t>bis 1 Jahr,
2‰ der VS pro Tag,
mind. 50 €</t>
  </si>
  <si>
    <t>bis 1 Jahr</t>
  </si>
  <si>
    <t>85%
bei Schäden &gt; 20.000 €</t>
  </si>
  <si>
    <t>bis 10.000 €
bei Schäden &gt; 5.000 €</t>
  </si>
  <si>
    <t xml:space="preserve">bis 250 € (auch für legale
Musik-/Video-Downloads) </t>
  </si>
  <si>
    <t>Bargeld - 1.500 €
Urkunden - 7.500 €
Schmuck - 20.000 €</t>
  </si>
  <si>
    <t>bis 7% der VS</t>
  </si>
  <si>
    <t>Einbruch- und
Brandmeldeanlagen</t>
  </si>
  <si>
    <t>bis 100 Tage
1‰ der VS pro Tag,
mind. 50 €</t>
  </si>
  <si>
    <t>Bargeld - 1.000 €
Urkunden -  5.000 €
Schmuck - 20.000 €</t>
  </si>
  <si>
    <t>bis 500 €, 
auch Medikamente</t>
  </si>
  <si>
    <t>nur Luftfahrzeuge/ 
deren Teile/ deren Ladung</t>
  </si>
  <si>
    <t>ja, auch infolge von
Einschleichen</t>
  </si>
  <si>
    <t>nur Arbeitszimmer in der
Wohnung</t>
  </si>
  <si>
    <t>bis 30% der VS,
erhöhbar auf 50%</t>
  </si>
  <si>
    <t>zusätzlich versicherbar
(max. 6 Monate)</t>
  </si>
  <si>
    <t>HRB 01-2010</t>
  </si>
  <si>
    <t>bis zum Ende der laufenden
Versicherungsperiode</t>
  </si>
  <si>
    <t>ja, 
keine Schläuche</t>
  </si>
  <si>
    <t>ja, soweit des Risko 
dafür getragen wird</t>
  </si>
  <si>
    <t>nur Gebäudeschäden</t>
  </si>
  <si>
    <t>mit Nachtzeitklausel</t>
  </si>
  <si>
    <t>bis 500 € (keine Anhänger) 
kein Bargeld/ Wertsachen</t>
  </si>
  <si>
    <t>ja
bis 10.000 €</t>
  </si>
  <si>
    <t>ab 70.000 € 
Wertsachenanteil</t>
  </si>
  <si>
    <t>max. bis zu dem im Vers.-
Schein genannten Betrag</t>
  </si>
  <si>
    <t>bei VS = 650 € pro qm
oder bei Schäden bis 1.500 €</t>
  </si>
  <si>
    <t>Rückstau</t>
  </si>
  <si>
    <t>Leitungswasser</t>
  </si>
  <si>
    <t>bis 5% der VS (500 € SB);
darüber hinaus gegen Mehrbeitrag über Baustein Elementar</t>
  </si>
  <si>
    <t>Selbstbeteiligung Elementarversicherung</t>
  </si>
  <si>
    <t>10% der VS,
mind. 500 €, max. 4.500 €</t>
  </si>
  <si>
    <t xml:space="preserve">gegen Mehrbeitrag über
Baustein Elementar </t>
  </si>
  <si>
    <t>bis 50.000 €, erhöhbar auf 80.000 € 
inkl. Bargeld bis 2.000 €</t>
  </si>
  <si>
    <t>bis 20.000 €, erhöhbar auf 80.000 €
inkl. Bargeld bis 1.500 €</t>
  </si>
  <si>
    <t>SB-Regelung Elementarversicherung</t>
  </si>
  <si>
    <t>10% der VS,
mind. 250 €, max. 2.500 €</t>
  </si>
  <si>
    <t>1% der VS,
mind. 500 €, max. 5.000 €</t>
  </si>
  <si>
    <t>10% der VS,
mind. 500 €, max. 5.000 €</t>
  </si>
  <si>
    <t>ZÜRS 1: 10%, mind. 500 €, max. 5.000 €
Z2: 20%, mind. 1.000 € - Z3: 5.000 €</t>
  </si>
  <si>
    <t>10%, mind. 750 €, max. 5.000 € oder
20%, mind. 1.500 €, max. 5.000 €</t>
  </si>
  <si>
    <t>200 €</t>
  </si>
  <si>
    <t>10% der VS,
mind. 250 €, max. 5.000 €</t>
  </si>
  <si>
    <t>500 €</t>
  </si>
  <si>
    <t>je nach Gebäudeart und Elementarzone 250 € - 3.000 €</t>
  </si>
  <si>
    <t>SLP Prima</t>
  </si>
  <si>
    <t>SLP Prima Plus</t>
  </si>
  <si>
    <t>SLP Prima Sorglos</t>
  </si>
  <si>
    <t>SLP Prima Plus Sorglos</t>
  </si>
  <si>
    <t>ja,
auch bei Einschleichen</t>
  </si>
  <si>
    <t>bis 1.000 €
(Bargeld/Wertsachen 
bis 500 €)</t>
  </si>
  <si>
    <t>bis 2.000 €
(Bargeld/Wertsachen 
bis 500 €)</t>
  </si>
  <si>
    <t>bis 2% der VS
(ohne Nachtzeitklausel)</t>
  </si>
  <si>
    <t>7</t>
  </si>
  <si>
    <t>ja
(auch Gasverlust bis 1.000 €)</t>
  </si>
  <si>
    <t>ja, Garagen auch in einer angrenzenden Gemeinde</t>
  </si>
  <si>
    <t>bis 180 Tage
bis 2‰ der VS pro Tag</t>
  </si>
  <si>
    <t>bis 365 Tage
bis 3‰ der VS pro Tag</t>
  </si>
  <si>
    <t>bis 1% der VS (auch
Tierarztkosten bis 1% der VS)</t>
  </si>
  <si>
    <t>bis 1% der VS (auch
Tierarztkosten bis 2% der VS)</t>
  </si>
  <si>
    <t>80%, max. 5.000 €
bei Schäden &gt; 10.000 €</t>
  </si>
  <si>
    <t>80%, max. 10.000 €
bei Schäden &gt; 5.000 €</t>
  </si>
  <si>
    <t>30% der VS (max. 30.000 €)
max. 12 Monate</t>
  </si>
  <si>
    <t>Bargeld - 1.000 €
Urkunden - 5.000 €
Schmuck - 20.000 €</t>
  </si>
  <si>
    <t>Bargeld - 2.000 €
Urkunden - 10.000 €
Schmuck - 30.000 €</t>
  </si>
  <si>
    <t>bei VS = 700 € pro qm</t>
  </si>
  <si>
    <t>bis 30% der VS, 
max. 6 Monate</t>
  </si>
  <si>
    <t>-Kündigungsrecht bei Arbeitslosigkeit
-Sachen in vermieteten Einliegerwohnungen sind mitversichert</t>
  </si>
  <si>
    <t>ab VS 200.000 €;
ab Wertsachenanteil 50.000 €</t>
  </si>
  <si>
    <t>bis 100 €</t>
  </si>
  <si>
    <t>ja
(auch Gasverlust bis 500 €)</t>
  </si>
  <si>
    <t>ja
(auch Gasverlust)</t>
  </si>
  <si>
    <t>Arbeitsgeräte
bis 2.000 €</t>
  </si>
  <si>
    <t>Arbeitsgeräte
bis 5.000 €</t>
  </si>
  <si>
    <t>bis 180 Tage
bis 3‰ der VS pro Tag</t>
  </si>
  <si>
    <t>bis 365 Tage
bis 4‰ der VS pro Tag</t>
  </si>
  <si>
    <t>bis 2% der VS (auch
Tierarztkosten bis 2% der VS)</t>
  </si>
  <si>
    <t>summarisch bis 20% 
über Sachsubstanzwert</t>
  </si>
  <si>
    <t>max. 10.000 €
bei Schäden &gt; 10.000 €</t>
  </si>
  <si>
    <t>25% der VS
max. 6 Monate</t>
  </si>
  <si>
    <t>40% der VS
max. 12 Monate</t>
  </si>
  <si>
    <t>bis 35% der VS</t>
  </si>
  <si>
    <t>bis 100% der VS</t>
  </si>
  <si>
    <t>Bargeld - 1.500 €
Urkunden - 7.500 €
Schmuck - 25.000 €</t>
  </si>
  <si>
    <t>Bargeld - 2.500 €
Urkunden - 20.000 €
Schmuck - 40.000 €</t>
  </si>
  <si>
    <t>40% der VS</t>
  </si>
  <si>
    <t>bis 25% der VS, 
max. 6 Monate</t>
  </si>
  <si>
    <t>Arbeitsgeräte
bis 1.000 €</t>
  </si>
  <si>
    <t>ja
(max. bis zum 27. Lj.)</t>
  </si>
  <si>
    <t>-Mietfortzahlung für 3 Monate 
(max. 1.500 €)
-Differenzdeckung möglich
-Schäden durch Transportmittelunfall bis 250 €</t>
  </si>
  <si>
    <t>Arbeitsgeräte
bis 2.500 €</t>
  </si>
  <si>
    <t>ja, Austritt aus innenliegenden
Gasrohren</t>
  </si>
  <si>
    <t>mit Nachtzeitklausel
innerhalb Europa</t>
  </si>
  <si>
    <t>bis 5% der VS (soweit selbst-mähender Gartenroboter)</t>
  </si>
  <si>
    <t>bis 2% der VS (soweit selbst-mähender Gartenroboter)</t>
  </si>
  <si>
    <t>bis 2% der VS,
ohne Nachtzeitklausel
(Erhöhung möglich)</t>
  </si>
  <si>
    <t>-Kfz-Teile/-Zubehör bis 1.000 €
-Mietfortzahlung für 3 Monate 
(max. 3.000 €)
-Differenzdeckung möglich
-Schäden durch Transportmittelunfall bis 250 €
-berufl. Zweitwohnsitz bis 20.000 €</t>
  </si>
  <si>
    <t>-Kündigungsrecht bei Arbeitslosigkeit
-Sachen in vermieteten Einliegerwohnungen sind mitversichert
-Kfz-Teile/-Zubehör bis 500 €
-berufl. Zweitwohnsitz bis 10.000 €</t>
  </si>
  <si>
    <t>bis 10% der VS,
max. 500 €</t>
  </si>
  <si>
    <t>bis 500 €;
(Bargeld bis 100 €)</t>
  </si>
  <si>
    <t>bis 3.000 € (für legale Down-
loads bis 500 €)</t>
  </si>
  <si>
    <t>bis 5% der VS
ohne Nachtzeitklausel
(Erhöhung möglich)</t>
  </si>
  <si>
    <t>ja
(Gebäudeschäden)</t>
  </si>
  <si>
    <t>ja
keine Lüftungsrohre</t>
  </si>
  <si>
    <t>ab VS 150.000 € oder 
Wertsachen über 30.000 €</t>
  </si>
  <si>
    <t>10%
mind. 500 €, max. 5.000 €</t>
  </si>
  <si>
    <t>max. 1.000 €</t>
  </si>
  <si>
    <t>40 % der VS,
max. 25.000 €</t>
  </si>
  <si>
    <t>Musterkollektionen 
bis 10.000 €</t>
  </si>
  <si>
    <t>Sengschäden
(150 € SB)</t>
  </si>
  <si>
    <t>bis 2.000 € 
(Wertsachen max. 100 €)</t>
  </si>
  <si>
    <t>bis 40% der VS
max. 25.000 €</t>
  </si>
  <si>
    <t>bis 500 €
(ohne Nachtzeitklausel)</t>
  </si>
  <si>
    <t>bis 2% der VS
(Wertsachen bis 200 €)</t>
  </si>
  <si>
    <t>aufgrund eines versicherten Rohrbruchs bis 1.000 €</t>
  </si>
  <si>
    <t>360 Tage</t>
  </si>
  <si>
    <t>bis 360 Tage,
max. 3‰ der VS pro Tag</t>
  </si>
  <si>
    <t>80%, max. 6.000 €
bei Schäden &gt; 25.000 €</t>
  </si>
  <si>
    <t>ja
(nach Einbruchdiebstahl)</t>
  </si>
  <si>
    <t>bis 40% der VS, max. 
25.000 €, max. 12 Monate</t>
  </si>
  <si>
    <t>ja, privat genutzte Garagen auch bis 3 km Entfernung vom Versicherungsort</t>
  </si>
  <si>
    <t>bis 30% der VS
max. 6 Monate</t>
  </si>
  <si>
    <t xml:space="preserve">bis 10.000 € (durch Niederschläge); 
darüber hinaus gegen Mehrbeitrag über Baustein Elementar
</t>
  </si>
  <si>
    <t>VHB 2008 - Medien Optimal
(06-2011)</t>
  </si>
  <si>
    <t>innerhalb BRD</t>
  </si>
  <si>
    <t>bis 2.000 € - keine Anhänger
(Wertsachen max. 100 €)</t>
  </si>
  <si>
    <t>bis 15.000 € 
(erweiterbar bis zur VS)</t>
  </si>
  <si>
    <t>40% d.VS, max. 25.000 €,kein Publikumsverkehr/ Angestellte</t>
  </si>
  <si>
    <t>nur Reparaturkosten
für Gebäudeschäden</t>
  </si>
  <si>
    <t>-Schäden am Hausrat durch wild lebende Tiere bis 5.000 €
-Diebstahl von Gepäckstücken bis 1.000 €, keine Wertsachen/ Bargeld, etc. 
(100 € SB)</t>
  </si>
  <si>
    <t>bis 2.500 €
(100 € SB)</t>
  </si>
  <si>
    <t>bis 3.000 €
(mit Nachtzeitklausel)</t>
  </si>
  <si>
    <t>bis 1.000 €
(kein Bargeld/ Wertsachen)</t>
  </si>
  <si>
    <t>aus Kfz bis 1.000 €
(Wertsachen/ elektr. Geräte nur, soweit sichtgeschützt)</t>
  </si>
  <si>
    <t>bis 1.000 €
(100 € SB)</t>
  </si>
  <si>
    <t>-Schäden durch Einwirkung von Regen-/Schmelzwasser bis 5.000 €</t>
  </si>
  <si>
    <t>bis 50.000 €</t>
  </si>
  <si>
    <t>Bargeld - 2.000 €
Urkunden - 5.000 €
Schmuck - 20.000 €</t>
  </si>
  <si>
    <t>bis 200 Tage (falls kein Hotel in Anspruch genommen wird: 10 € je Tag für alle in häusl. Gemeinschaft lebende Personen, max. 200 Tage)</t>
  </si>
  <si>
    <t>ja (inkl. evtl. anfallende
Maklerprovision)</t>
  </si>
  <si>
    <t>ja
bei Schäden &gt; 25.000 €</t>
  </si>
  <si>
    <t>bis 500 € 
bei Schäden &gt; 10.000 €</t>
  </si>
  <si>
    <t>ja (auch Kosten für
Wiederbefüllung)</t>
  </si>
  <si>
    <t>bis 120 Tage
(im Einzelfall verlängerbar)</t>
  </si>
  <si>
    <t>1.000 € SB</t>
  </si>
  <si>
    <t>Haushalt-Schutz Bedingungen
(01-2011)</t>
  </si>
  <si>
    <t>EMA ab VS 200.000 € 
oder Wertsachenanteil &gt; 60.000 €</t>
  </si>
  <si>
    <t>Preissteigerungen</t>
  </si>
  <si>
    <t>ja,
bei Schäden &gt; 5.000 €</t>
  </si>
  <si>
    <t>ja
(wenn innenliegend)</t>
  </si>
  <si>
    <t>ja
(auch Gasmehrverbrauch)</t>
  </si>
  <si>
    <t>Markisen, Überwachungseinrichtungen und Antennenanlagen für die Whg. des VN</t>
  </si>
  <si>
    <t>10% der VS,
max. 20.000 €</t>
  </si>
  <si>
    <t>summarisch bis 20.000 € 
über Sachsubstanzwert</t>
  </si>
  <si>
    <t>bis 20.000 €, während Ausbildung, Wehr-/Zivildienst</t>
  </si>
  <si>
    <t>bis 20.000 €, 
max. 12 Monate</t>
  </si>
  <si>
    <t>-Beschädigung von Hausrat nach einem Unfall mit einem Transportmittel bis 250 €</t>
  </si>
  <si>
    <t>ja
(auch infolge Einschleichen)</t>
  </si>
  <si>
    <t>Kinderspielgeräte
bis 5% der VS</t>
  </si>
  <si>
    <t>bis 1.200 € 
(Bargeld/Wertsachen 600 €)</t>
  </si>
  <si>
    <t>Einbruchdiebstahl
bis 1.000 €</t>
  </si>
  <si>
    <t>ja, Garagen auch in der Nähe des Versicherungsortes
(auch eigene Sachen in vermieteten Einliegerwhg.)</t>
  </si>
  <si>
    <t>ja
(250 € SB)</t>
  </si>
  <si>
    <t>ja (auch infolge Einschleichen) + Ge-bäudebeschädigungen bis 20.000 €</t>
  </si>
  <si>
    <t>bis 40% der VS (wie Wertsachenentschädigung)</t>
  </si>
  <si>
    <t>bis VS, soweit ausschließlich
über versicherte Wohnung 
zu betreten
(nein???)</t>
  </si>
  <si>
    <t>bis 12 Monate
2,5 ‰ der VS pro Tag
(bis 100 Tage
max. 1‰ der VS pro Tag???)</t>
  </si>
  <si>
    <t>max. 2,5% der VS
100 € SB</t>
  </si>
  <si>
    <t>keine Beschäftigung von Angestellten o. Publikumsverkehr in den Räumen (Inhalt max. bis 35% der VS)</t>
  </si>
  <si>
    <t>zusätzlich versicherbar
bis 3.500 €
(ohne Nachtzeitklausel)</t>
  </si>
  <si>
    <t>ohne Begrenzung, bis 3 Monate nach nächster HF</t>
  </si>
  <si>
    <t>bis 5.000 €
(keine Musterkollektionen)</t>
  </si>
  <si>
    <t>Schiffskabinen,
max. 1.500 €</t>
  </si>
  <si>
    <t>bis 30.000 € (Diebstahl nur bei Einbruch in Raum versichert)</t>
  </si>
  <si>
    <t>fahrbare Gehhilfen
bis 5.000 €</t>
  </si>
  <si>
    <t>Kosten für Koordination 
der Wiederherstellung</t>
  </si>
  <si>
    <t>ja, soweit ausschließlich
über versicherte Wohnung 
zu betreten</t>
  </si>
  <si>
    <t>gegen Mehrbeitrag über
Baustein Elementar oder einzeln über Klausel 7012</t>
  </si>
  <si>
    <t>zusätzlich versicherbar
inkl. Fahrradanhänger
(ohne Nachtzeitklausel)</t>
  </si>
  <si>
    <t>ja (Androhung von Gewalt); bei 
Kreditkartenmissbrauch bis 5.000 €</t>
  </si>
  <si>
    <t>ja,
bei Schäden &gt; 25.000 €</t>
  </si>
  <si>
    <t>bis 1.000 € für Auslagen für die Wiedererlangung von Wertpapieren</t>
  </si>
  <si>
    <t>bis 30% der VS
(max. 6 Monate)</t>
  </si>
  <si>
    <t>ab Wertsachenanteil 
&gt;50.000 €</t>
  </si>
  <si>
    <t>VHB 2010 (01-2011)</t>
  </si>
  <si>
    <t>ja
(100 € SB)</t>
  </si>
  <si>
    <t>pauschal 50 € ab einer 
Schadenhöhe &gt; 1.000 €)</t>
  </si>
  <si>
    <t>bis 30% der VS
(nicht aus Anhängern, keine elektronischen Geräte)</t>
  </si>
  <si>
    <t>summarisch bis VS</t>
  </si>
  <si>
    <t>ARAG Premium
(Stand 01-2011)</t>
  </si>
  <si>
    <t>ITL afm Eurosecure 2009
(Stand 01-2008)</t>
  </si>
  <si>
    <t>ITL afm Protect 2009
(Stand 01-2008)</t>
  </si>
  <si>
    <t>HUK Classic 2009
(Stand 10-2009)</t>
  </si>
  <si>
    <t>Interrisk XXL
(Stand 10-2009)</t>
  </si>
  <si>
    <t>Janitos Balance
(Stand 01-2008)</t>
  </si>
  <si>
    <t>Janitos Best Selection
(Stand 01-2008)</t>
  </si>
  <si>
    <t>Medienvers. Optimal
(Stand 06-2011)</t>
  </si>
  <si>
    <t>VHV Klassik Garant
(Stand 06-2009)</t>
  </si>
  <si>
    <t>VHV Klassik Garant Exkl.
(Stand 06-2009)</t>
  </si>
  <si>
    <t>Rhion Plus
(Stand 04-2011)</t>
  </si>
  <si>
    <t>Rhion Standard
(Stand 04-2011)</t>
  </si>
  <si>
    <t>3.500 € SB, gegen Zuschlag auch 1.500 € SB</t>
  </si>
  <si>
    <t>VHR 2004 (01-2008)</t>
  </si>
  <si>
    <t>bis 40.000 €,
max. 3 Monate</t>
  </si>
  <si>
    <t>bis 40.000 €
(Außenversicherung)</t>
  </si>
  <si>
    <t>ja, auch in 500 Metern Umkreis 
des Versicherungsorts</t>
  </si>
  <si>
    <t>Sengschäden
bis 500 €</t>
  </si>
  <si>
    <t>bis 3.000 €
bei Schäden &gt; 5.000 €</t>
  </si>
  <si>
    <t>gewerbl. Musterkollektionen
bis 5.000 €</t>
  </si>
  <si>
    <t>Mehrkosten durch
Preissteigerungen</t>
  </si>
  <si>
    <t>80%, max. 10.000 €
bei Schäden &gt; 25.000 €</t>
  </si>
  <si>
    <t>bis 600 €
(mit Nachtzeitklausel)</t>
  </si>
  <si>
    <t>bis 100 h</t>
  </si>
  <si>
    <t>bis 150 Tage
 150 € pro Tag</t>
  </si>
  <si>
    <t>bis 40.000 €</t>
  </si>
  <si>
    <t>mit Nachtzeitklausel
innerhalb EU im geographischen Sinne</t>
  </si>
  <si>
    <t>bis 1.000 € (ohne Wertsachen / elektr. Geräte) - keine Anhänger</t>
  </si>
  <si>
    <t>bis 1.000 €
(erhöhbar)</t>
  </si>
  <si>
    <t>bis 1.000 €
(mit Nachtzeitklausel)</t>
  </si>
  <si>
    <t>bis 500 €
(keine Wertsachen)</t>
  </si>
  <si>
    <t>bis 1.000 €
(keine Wertsachen)</t>
  </si>
  <si>
    <t>versicherbar bis 
zum vereinbarten Betrag</t>
  </si>
  <si>
    <t>Büroräume innerhalb des 
Versicherungsortes bis 15.000 €</t>
  </si>
  <si>
    <t>ja
(keine Schläuche)</t>
  </si>
  <si>
    <t>leitungswasserführende 
Installationen</t>
  </si>
  <si>
    <t>Markisen und Antennenanlagen für die Whg. des VN</t>
  </si>
  <si>
    <t>Keine Vereinbarung eines Unter-
versicherungsverzichts möglich</t>
  </si>
  <si>
    <t>ab Wertsachenanteil &gt; 55.000 €</t>
  </si>
  <si>
    <t>bis 95.000 €</t>
  </si>
  <si>
    <t>bis zur Versicherungssumme</t>
  </si>
  <si>
    <t>Bargeld - 1.000 €
Urkunden - 5.000 € 
Schmuck - 50.000 € (summarisch inkl. Urkunden)</t>
  </si>
  <si>
    <t>60 Tage</t>
  </si>
  <si>
    <t>-unbegrenzte Versicherungssumme
-kein Neugeschäft möglich</t>
  </si>
  <si>
    <t>Zurich Maklerkonzept</t>
  </si>
  <si>
    <t>ab 150 qm oder 
ab VS 100.000 €</t>
  </si>
  <si>
    <t>72 h</t>
  </si>
  <si>
    <t>bis 100 €/qm * für Vertrag geltender Anpassungsfaktor</t>
  </si>
  <si>
    <t>Telefonkosten bei ständiger Unbe-wohnbarkeit d. Wohnung, max. 100 €</t>
  </si>
  <si>
    <t>bis 2% der VS
-Erhöhung möglich
(eingeschränkte Nachtzeitklausel)</t>
  </si>
  <si>
    <t>VHB 2011
Stand 04-2011</t>
  </si>
  <si>
    <t>HUK Classic</t>
  </si>
  <si>
    <t>HUK Plus</t>
  </si>
  <si>
    <t>bis 40% der VS
(max. 25.000 €)</t>
  </si>
  <si>
    <t>1.000 €</t>
  </si>
  <si>
    <t>bis 40% der VS, bis 25.000 €
max. 12 Monate</t>
  </si>
  <si>
    <t>Sengschäden
(100 € SB)</t>
  </si>
  <si>
    <t>ja (Garagen bis 3 km Luftlinie entfernt)</t>
  </si>
  <si>
    <r>
      <t xml:space="preserve">mit direktem Zugang zu der Whng. </t>
    </r>
    <r>
      <rPr>
        <b/>
        <u/>
        <sz val="7"/>
        <rFont val="Arial"/>
        <family val="2"/>
      </rPr>
      <t>oder</t>
    </r>
    <r>
      <rPr>
        <sz val="7"/>
        <rFont val="Arial"/>
        <family val="2"/>
      </rPr>
      <t xml:space="preserve"> ohne direktem Zugang jedoch keine Angestellte und/oder kein Publikumsverkehr </t>
    </r>
  </si>
  <si>
    <t>soweit ausschließlich über Wohnung zu betreten</t>
  </si>
  <si>
    <t>Straßen- und Luftfahrzeuge</t>
  </si>
  <si>
    <t>Heizungsanlagen</t>
  </si>
  <si>
    <t>7 Tage</t>
  </si>
  <si>
    <t>bis 1 Jahr
3‰ der VS pro Tag, mind. 100 €</t>
  </si>
  <si>
    <t>sofern durch Versicherer beauftragt</t>
  </si>
  <si>
    <t>ja (kein Außenversicherungsschutz)</t>
  </si>
  <si>
    <t>bis 2% der VS
(Bargeld bis 200 €)</t>
  </si>
  <si>
    <t>-Hausrat von in häusl. Gemeinsch. lebenden Person; -Schäden durch wildlebende Tiere; -Schäden an Wäsche in Waschmaschine; 
-Diebstahl von Waschmaschine; 
-ED in Umkleidekabinen/Spinde;
-Schutzbrief versicherbar</t>
  </si>
  <si>
    <t>-Schäden an Reisegepäck bis 40% der VS (max. 25.000 €); -Hausrat in Ferienhäusern/ Datschen bis 3.000 € (100 € SB)
-Besonderheiten wie in "HUK Classic"</t>
  </si>
  <si>
    <t>Fahrtmehrkosten
bei Schäden &gt; 5.000 €</t>
  </si>
  <si>
    <t>Mischsysteme</t>
  </si>
  <si>
    <t>bis 1.000 €
(bei Online-Banking)</t>
  </si>
  <si>
    <t>ja (keine Anhänger, Wohnmobile 
und Campingfahrzeuge)</t>
  </si>
  <si>
    <t>zusätzlich versicherbar bis 4% der VS (ohne Nachtzeitklausel)</t>
  </si>
  <si>
    <t>bis 40% d. VS (max. 25.000 €) für bestimmte Gegenstände</t>
  </si>
  <si>
    <t>nicht im Bedingungswerk 
genannt</t>
  </si>
  <si>
    <t>wenn VS pro qm &gt; 1.500 €</t>
  </si>
  <si>
    <t>24 Stunden
innerhalb Europas
-keine Wertsachen / elektr. Geräte-</t>
  </si>
  <si>
    <t>bis 30% d. VS (max. 6 Monate nach Ausbildung, Zivi oder Wehrpflicht)</t>
  </si>
  <si>
    <t>nach Bestimmungen der 
Außenversicherung</t>
  </si>
  <si>
    <t>bis VS, soweit Büro sich innerhalb der vers. Whg. befindet</t>
  </si>
  <si>
    <t>nur auf Versicherungsort betriebsbe-
dingt vorhandene oder verwendete</t>
  </si>
  <si>
    <t>bis 150 € pro qm Wohnfläche 
* geltender Anpassungsfaktor</t>
  </si>
  <si>
    <t>Bargeld - 3.000 €
Urkunden - 3.000 €
Schmuck - 25.000 €</t>
  </si>
  <si>
    <t>bis 1 Monate nach Ablauf des VJ, in dem Änderung erfolgte</t>
  </si>
  <si>
    <t>ja (auch ohne Über-
schwemmung versicherbar)</t>
  </si>
  <si>
    <t>HDI Privatschutz</t>
  </si>
  <si>
    <t>über Paket Draußen &amp; Unterwegs
bis 2.000 €</t>
  </si>
  <si>
    <t>über Paket Draußen &amp; Unterwegs
bis 2.000 € (nicht aus Anhängern)</t>
  </si>
  <si>
    <t>über Paket Draußen &amp; Unterwegs
bis 2.000 € (Bargeld 200 €)</t>
  </si>
  <si>
    <t>über Paket Draußen &amp; Unterwegs
(mit Nachtzeitklausel)</t>
  </si>
  <si>
    <t>bis 25.000 € (über Paket 
Risiko Plus bis 50.000 €)</t>
  </si>
  <si>
    <t>über Paket Risiko Plus</t>
  </si>
  <si>
    <t>Sengschäden
über Paket Risiko Plus</t>
  </si>
  <si>
    <t>bis 5.000 € (über Paket 
Risiko Plus max. 25.000 €)</t>
  </si>
  <si>
    <t>über Paket Risiko Plus
bis 10.000 €</t>
  </si>
  <si>
    <t>über Paket Risiko Plus
bei Schäden &gt; 5.000 € (max. 10.000 €)</t>
  </si>
  <si>
    <t>100 €*Wohnfl.*Anpassungsfaktor (max. 15.000 €, max. 3 Monate)
Über Paket Risiko Plus bis 6 Mon.</t>
  </si>
  <si>
    <t>über Paket Risiko Plus (150 € je qm 
* Anpassungsfaktor, max. 25.000 €)</t>
  </si>
  <si>
    <t>über Paket Rundum Sorglos
bis 3.000 €</t>
  </si>
  <si>
    <t>summarisch bis 10% über Sachsubs-tanzwert (Rundum Sorglos 20%)</t>
  </si>
  <si>
    <t>über Paket Rundum Sorglos</t>
  </si>
  <si>
    <t>-Über Paket Rundum Sorglos Versicherung unbenannter Gefahren und Reisegepäck möglich (je max. 3.000 €)/ bis 12 Monate Beitrags-befreiung bei Arbeitslosigkeit
-Handwerkerservice Haus und Wohnung versicherbar
(bis 2.100 € / Jahr)</t>
  </si>
  <si>
    <t>bis 600 € (keine Anhänger, Wohnmobile/ Campingfahrzeuge)
(keine Wertsachen, Handy, usw.)</t>
  </si>
  <si>
    <t>HFK Rundumschutz</t>
  </si>
  <si>
    <t>bis 10.000 € (über Plus-Paket)</t>
  </si>
  <si>
    <t>ja (über Plus-Paket)</t>
  </si>
  <si>
    <t>bis 600 € (über Plus-Paket)</t>
  </si>
  <si>
    <t>24 Stunden innerhalb Deutschland
(weltweit über Plus-Paket)</t>
  </si>
  <si>
    <t>Markisen und Antennen
bis 600 € (über Plus-Paket)</t>
  </si>
  <si>
    <t>(über Plus-Paket) -vorübergehend-
Diebstahl aus Räumen in Gebäuden
bis 600 € (Wertsachen bis 100 €)</t>
  </si>
  <si>
    <t>ja (über Plus-Paket auch Kosten für Schlüsseldienst/Türöffnung b. 600 €)</t>
  </si>
  <si>
    <t>bis 6.000 € (über Plus-Paket)</t>
  </si>
  <si>
    <t>bis 100 Tage,
100 € pro Tag</t>
  </si>
  <si>
    <t>ja, gewerbliches Arbeitszimmer in der versicherten Wohnung</t>
  </si>
  <si>
    <t>-Zweitwohnung (berufliche Gründe) innerhalb Deutschlands bis 10% der VS + Vorsorge + Anpassung mitversichert</t>
  </si>
  <si>
    <t>bis 600 €
bis 3.000 € (über Plus-Paket)</t>
  </si>
  <si>
    <t>bis 600 €
(bis 3.000 € über Plus-Paket)</t>
  </si>
  <si>
    <t>Sengschäden durch Feuer (sons-
tige an Möbeln/Fußboden bis 600 €)</t>
  </si>
  <si>
    <t>bis 600 €
(ohne Hilfsmotor)</t>
  </si>
  <si>
    <t>bis 600 €
(Wertsachen bis 100 €)</t>
  </si>
  <si>
    <t>bis 600 €,
Bargeld max. 100 €
(bis 3.000 € über Plus-Paket)</t>
  </si>
  <si>
    <t>Bargeld - 1.500 € (3.000 € über Plus-Paket)
Urkunden - 4.000 €
Schmuck - 21.000 €</t>
  </si>
  <si>
    <t>48 h
(72 h über Plus-Paket)</t>
  </si>
  <si>
    <t>ja (Garagen bis 500 m Luftlinie entfernt)</t>
  </si>
  <si>
    <t>bis 10 % der VS
max. 6 Monate</t>
  </si>
  <si>
    <t>Wertsachen &gt;30.000 € -&gt;Fragebogen
EMA ab Wertsachenanteil &gt; 75.000 €</t>
  </si>
  <si>
    <t>NV HausratSpar 4.0</t>
  </si>
  <si>
    <t>NV Hausratmax. 4.0</t>
  </si>
  <si>
    <t>NV HausratPremium</t>
  </si>
  <si>
    <t>Quelle:</t>
  </si>
  <si>
    <t>BBH HausratPremium 
Stand 05-2009</t>
  </si>
  <si>
    <t>BBH Hausratmax. 4.0
Stand 05-2009</t>
  </si>
  <si>
    <t>BBH HausratSpar 4.0
Stand 05-2009</t>
  </si>
  <si>
    <t>BBH § 2</t>
  </si>
  <si>
    <t>BBH § 3</t>
  </si>
  <si>
    <t>VHB § 13 Ziff. 2 b)</t>
  </si>
  <si>
    <t>VHB § 13 Ziff. 2 b) + BBH § 4</t>
  </si>
  <si>
    <t>BBH § 4</t>
  </si>
  <si>
    <t>BBH § 6</t>
  </si>
  <si>
    <t>BBH § 5</t>
  </si>
  <si>
    <t>Sengschäden
bis 2.500 €</t>
  </si>
  <si>
    <t>BBH § 7</t>
  </si>
  <si>
    <t>BBH § 8</t>
  </si>
  <si>
    <t xml:space="preserve">30% der VS, max. 20.000 €
max. 6 Monate </t>
  </si>
  <si>
    <t>Garagen auch innerhalb des Wohnortes bis 5.000 €</t>
  </si>
  <si>
    <t>bis 2.000 €
(mit Nachtzeitklausel)</t>
  </si>
  <si>
    <t>BBH § 10 a) + c)</t>
  </si>
  <si>
    <t>BBH § 10 b) + c)</t>
  </si>
  <si>
    <t>bis 1.000 €
(Bargeld 150 €)</t>
  </si>
  <si>
    <t>BBH § 11 Ziff. 3</t>
  </si>
  <si>
    <t>BBH § 12</t>
  </si>
  <si>
    <t>BBH § 13 Ziff. 1 + 3</t>
  </si>
  <si>
    <t>BBH § 13 Ziff. 4 + 5</t>
  </si>
  <si>
    <t>BBH § 14</t>
  </si>
  <si>
    <t>gewerblich genutzte Räume der Wohnung</t>
  </si>
  <si>
    <t>bis 150 Tage
bis 3 ‰ der VS pro Tag</t>
  </si>
  <si>
    <t>BBH § 15</t>
  </si>
  <si>
    <t>BBH § 16</t>
  </si>
  <si>
    <t>BBH § 17</t>
  </si>
  <si>
    <t>BBH § 18</t>
  </si>
  <si>
    <t>BBH § 19</t>
  </si>
  <si>
    <t>BBH § 19 Ziff. 2 + 6</t>
  </si>
  <si>
    <t>BBH § 20 Ziff. 1 + 3</t>
  </si>
  <si>
    <t>bis 1% der VS, max. 1.500 €
(ohne Nachtzeitklausel)</t>
  </si>
  <si>
    <t>VHB § 1 Ziff. 1a + BBH § 21</t>
  </si>
  <si>
    <t>BBH § 22</t>
  </si>
  <si>
    <t>BBH § 22 Ziff. 1</t>
  </si>
  <si>
    <t>BBH § 23</t>
  </si>
  <si>
    <t>BBH § 24 Ziff. 1 + 3</t>
  </si>
  <si>
    <t>BBH § 25</t>
  </si>
  <si>
    <t>BBH § 26</t>
  </si>
  <si>
    <t>BBH § 27</t>
  </si>
  <si>
    <t>max. 5.000 € (20% SB)
bei Schäden &gt; 10.000 €</t>
  </si>
  <si>
    <t>BBH § 28</t>
  </si>
  <si>
    <t>BBH § 29</t>
  </si>
  <si>
    <t>bis 300 €
(keine Wertsachen)</t>
  </si>
  <si>
    <t>BBH § 30 d)</t>
  </si>
  <si>
    <t>BBH § 31 Ziff. 8</t>
  </si>
  <si>
    <t>BBH § 32</t>
  </si>
  <si>
    <t>BBH § 32 Ziff. 2 + 4</t>
  </si>
  <si>
    <t>bis 5.000 €
(Bargeld/ Wertsachen 
bis 500 €)</t>
  </si>
  <si>
    <t>BBH § 33</t>
  </si>
  <si>
    <t>BBH § 34</t>
  </si>
  <si>
    <t>BBH § 35</t>
  </si>
  <si>
    <t>bis 2% der VS
max. 1.500 €</t>
  </si>
  <si>
    <t>BBH § 36</t>
  </si>
  <si>
    <t>BBH § 37</t>
  </si>
  <si>
    <t>Sengschäden
bis 1.000 €</t>
  </si>
  <si>
    <t xml:space="preserve">20% der VS, max. 20.000 €
max. 6 Monate </t>
  </si>
  <si>
    <t>Garagen auch innerhalb des Wohnortes bis 3.000 €</t>
  </si>
  <si>
    <t>bis 500 €
(Bargeld 150 €)</t>
  </si>
  <si>
    <t>bis 500 € (nicht Wertsachen + elektronischen Geräte)</t>
  </si>
  <si>
    <t>gewerblich genutzte Räume der Wohnung bis 15% der VS</t>
  </si>
  <si>
    <t>bis 150 Tage
bis 2 ‰ der VS pro Tag</t>
  </si>
  <si>
    <t>BBH § 30 Ziff. 2 + 4</t>
  </si>
  <si>
    <t>bis 1.000 €
(Bargeld/ Wertsachen 
bis 500 €)</t>
  </si>
  <si>
    <t>BBH § 31</t>
  </si>
  <si>
    <t>BBH § 33 Ziff. 7</t>
  </si>
  <si>
    <t>VHB § 1 Ziff. 1a + BBH § 3</t>
  </si>
  <si>
    <t>BBH § 10</t>
  </si>
  <si>
    <t>gewerblich genutzte Räume der Wohnung bis 1.000 d. VS</t>
  </si>
  <si>
    <t>BBH § 11</t>
  </si>
  <si>
    <t>bis 250 €
(mit Nachtzeitklausel)</t>
  </si>
  <si>
    <t>BBH § 12 a) + c)</t>
  </si>
  <si>
    <t>BBH § 12 b) + c)</t>
  </si>
  <si>
    <t>Garagen auch innerhalb des Wohnortes bis 250 €</t>
  </si>
  <si>
    <t>BBH § 16 Ziff. 1 + 3</t>
  </si>
  <si>
    <t>BBH § 16 Ziff. 4 + 5</t>
  </si>
  <si>
    <t>bis 150 € (nicht Wertsachen + elektronischen Geräte)</t>
  </si>
  <si>
    <t>BBH § 17 Ziff. 1 + 3</t>
  </si>
  <si>
    <t>bis 1% der VS,
max. 150 €</t>
  </si>
  <si>
    <t>BBH § 18 Ziff. 3</t>
  </si>
  <si>
    <t>bis 150 €
(Bargeld 50 €)</t>
  </si>
  <si>
    <t>BBH § 20 Ziff. 2 + 6</t>
  </si>
  <si>
    <t>bis 1.000 €
bei Schäden &gt; 5.000 €</t>
  </si>
  <si>
    <t>BBH § 21 Ziff. 1</t>
  </si>
  <si>
    <t>BBH § 24</t>
  </si>
  <si>
    <t>bis 100 Tage
bis 1 ‰ der VS pro Tag</t>
  </si>
  <si>
    <t>Onlinerechner</t>
  </si>
  <si>
    <t>Leistungsübersicht</t>
  </si>
  <si>
    <t>ja (nicht im Bedingungswerk - nur in Leistungsübersicht)</t>
  </si>
  <si>
    <t>BWHE § 3</t>
  </si>
  <si>
    <t>BWHE § 4 - 9</t>
  </si>
  <si>
    <t>BWHE § 16</t>
  </si>
  <si>
    <t>10% der Schadenhöhe
mind. 250 €, max. 5.000 €</t>
  </si>
  <si>
    <t>Servicecenter</t>
  </si>
  <si>
    <t>48 h</t>
  </si>
  <si>
    <t>gegen Mehrbeitrag über
Baustein Elementar</t>
  </si>
  <si>
    <t>Häger Top</t>
  </si>
  <si>
    <t xml:space="preserve">HHV Top 2011
Stand 01-2011 </t>
  </si>
  <si>
    <t>BB Ziff. 1.2 a)</t>
  </si>
  <si>
    <t>BB Ziff. 1.3</t>
  </si>
  <si>
    <t>BB Ziff. 2</t>
  </si>
  <si>
    <t>BB Ziff. 3.1</t>
  </si>
  <si>
    <t>Sengschäden
bis 5.000 €, 150 € SB</t>
  </si>
  <si>
    <t>BB Ziff. 3.2</t>
  </si>
  <si>
    <t>ja
SB: 10% des Schadens</t>
  </si>
  <si>
    <t>BB Ziff. 3.3</t>
  </si>
  <si>
    <t>BB Ziff. 3.6</t>
  </si>
  <si>
    <t>bis 25.000 €</t>
  </si>
  <si>
    <t>BB Ziff. 4.1</t>
  </si>
  <si>
    <t>BB Ziff. 4.2 bb) / dd)</t>
  </si>
  <si>
    <t>mit Nachtzeitklausel 
und Naturalersatz</t>
  </si>
  <si>
    <t>mit Nachtzeitklausel 
innerhalb Deutschlands</t>
  </si>
  <si>
    <t>bis 3.000 € (keine Anhänger, Wertsachen/ elektr. Geräte)</t>
  </si>
  <si>
    <t>BB Ziff. 4.4</t>
  </si>
  <si>
    <t>BB Ziff. 4.5</t>
  </si>
  <si>
    <t>ja,
mit Nachtzeitklausel</t>
  </si>
  <si>
    <t>BB Ziff. 4.6</t>
  </si>
  <si>
    <t>BB Ziff. 4.7</t>
  </si>
  <si>
    <t>ja - keine Wertsachen
(Bargeld bis 200 €)</t>
  </si>
  <si>
    <t>BB Ziff. 4.9</t>
  </si>
  <si>
    <t>bis 10.000 €
(Wertsachen bis 1.500 €)</t>
  </si>
  <si>
    <t>bis 1.000 €
keine Wertsachen</t>
  </si>
  <si>
    <t>BB Ziff. 4.11</t>
  </si>
  <si>
    <t>ja,
auch infolge Einschleichen</t>
  </si>
  <si>
    <t>-Beschädigung von Hausrat durch Transportmittelunfall bis 1.000 €
-Kurzschlussschäden (150 € SB)
-Einbruch durch nicht versicherte Räume versichert
-Diebstahl von Gepäck bis 3.000 € (250 € SB)</t>
  </si>
  <si>
    <t>BB Ziff. 3.5 / 3.7 / 4.10 / 4.13</t>
  </si>
  <si>
    <t>BB Ziff. 5.1</t>
  </si>
  <si>
    <t>inklusive bis 2.500 €</t>
  </si>
  <si>
    <t>BB Ziff. 5.2</t>
  </si>
  <si>
    <t>BB Ziff. 6.1</t>
  </si>
  <si>
    <t>ja, Garagen auch innerhalb 
der politischen Gemeinde</t>
  </si>
  <si>
    <t>BB Ziff. 7.1</t>
  </si>
  <si>
    <t>bis 30% der VS, max. 
35.000 €, max. 12 Monate</t>
  </si>
  <si>
    <t>BB Ziff. 7.2</t>
  </si>
  <si>
    <t>BB Ziff. 7.3</t>
  </si>
  <si>
    <t>keine zeitliche Begrenzung
max. 2 ‰ pro Tag</t>
  </si>
  <si>
    <t>BB Ziff. 8.1</t>
  </si>
  <si>
    <t>BB Ziff. 8.2</t>
  </si>
  <si>
    <t>BB Ziff. 8.3</t>
  </si>
  <si>
    <t>BB Ziff. 8.4</t>
  </si>
  <si>
    <t>BB Ziff. 8.5</t>
  </si>
  <si>
    <t>bis 10.000 €
bei Schäden &gt; 10.000 €</t>
  </si>
  <si>
    <t>nur wenn keine Hotelkosten
erbracht wurden</t>
  </si>
  <si>
    <t>BB Ziff. 8.6</t>
  </si>
  <si>
    <t>bis VS
bei Schäden &gt; 10.000 €</t>
  </si>
  <si>
    <t>BB Ziff. 8.7</t>
  </si>
  <si>
    <t>BB Ziff. 8.9</t>
  </si>
  <si>
    <t>ja (auch Tierarztkosten)</t>
  </si>
  <si>
    <t>BB Ziff. 8.10</t>
  </si>
  <si>
    <t>BB Ziff. 8.11</t>
  </si>
  <si>
    <t>144 Stunden 
( = 6 Tage)</t>
  </si>
  <si>
    <t>ja, auch Mehrkosten durch
Preissteigerungen</t>
  </si>
  <si>
    <t>BB Ziff. 8.8 / 8.12</t>
  </si>
  <si>
    <t>BB Ziff. 8.13</t>
  </si>
  <si>
    <t>ja und für Gemeinschaftstüren 
bis 500 €</t>
  </si>
  <si>
    <t>BB Ziff. 9.1</t>
  </si>
  <si>
    <t>BB Ziff. 9.2</t>
  </si>
  <si>
    <t>25% der VS
für 1 Jahr ab Auszug</t>
  </si>
  <si>
    <t>bei VS = 650 € pro qm 
oder Schadenhöhe &lt; 5.000 €</t>
  </si>
  <si>
    <t>BB Ziff. 11.1</t>
  </si>
  <si>
    <t>Bargeld - 3.000 €
Urkunden - 7.500 €
Schmuck - 30.000 €</t>
  </si>
  <si>
    <t>BB Ziff. 11.2 / 11.3 / 11.4</t>
  </si>
  <si>
    <t>BB Ziff. 11.5</t>
  </si>
  <si>
    <t>BB Ziff. 12.1</t>
  </si>
  <si>
    <t>BB Ziff. 12.2</t>
  </si>
  <si>
    <t>BB Ziff. 13</t>
  </si>
  <si>
    <t>bis 50% der VS,
max. 50.000 €</t>
  </si>
  <si>
    <t>BB Ziff. 15</t>
  </si>
  <si>
    <t>BB Ziff. 16</t>
  </si>
  <si>
    <t>Klausel 711011</t>
  </si>
  <si>
    <t>HHV § A6 Ziff. 2 c) hh)</t>
  </si>
  <si>
    <t>HHV § A6 Ziff. 2 c) ii)</t>
  </si>
  <si>
    <t>HHV § A6 Ziff. 2 c) ff)</t>
  </si>
  <si>
    <t>HHV § A6 Ziff. 2 c) gg)</t>
  </si>
  <si>
    <t>HHV § A6 Ziff. 2 c) ee)</t>
  </si>
  <si>
    <t>HHV § A6 2 c) cc) + BB 1.1 a)</t>
  </si>
  <si>
    <t>HHV § A6 Ziff. 2 a)</t>
  </si>
  <si>
    <t>HHV § A6 Ziff. 2 c) aa)</t>
  </si>
  <si>
    <t>HHV § A6 Ziff. 2 c) bb)</t>
  </si>
  <si>
    <t>HHV § A6 Ziff. 3 b)</t>
  </si>
  <si>
    <t>HHV § A6 3 a) u. c) + BB 6.2</t>
  </si>
  <si>
    <t>Tarifrechner + BB Ziff. 10</t>
  </si>
  <si>
    <t>HHV § A12 Ziff. 4</t>
  </si>
  <si>
    <t>HHV § A12 Ziff. 1 a)</t>
  </si>
  <si>
    <t>HHV § A7 Ziff. 2</t>
  </si>
  <si>
    <t>HHV § A1 Ziff. 1</t>
  </si>
  <si>
    <t>HHV § A2 Ziff. 1</t>
  </si>
  <si>
    <t>HHV § A1 Ziff. 2 c)</t>
  </si>
  <si>
    <t>HHV § A2, 1 d) + BB 3.4</t>
  </si>
  <si>
    <t>HHV § A5 Ziff. 2</t>
  </si>
  <si>
    <t>Angebotsrechner</t>
  </si>
  <si>
    <t>ja (Rückstau bis 2.500 € 
inklusive)</t>
  </si>
  <si>
    <t>BWE § 3 + BB Ziff. 5.2</t>
  </si>
  <si>
    <t>BWE § 2</t>
  </si>
  <si>
    <t>BWE § 12</t>
  </si>
  <si>
    <t>10% des Schadens,
mind. 500 €, max. 1.500 €</t>
  </si>
  <si>
    <t>HHV § A4 Ziff. 2</t>
  </si>
  <si>
    <t>HHV § A4 Ziff. 3 a) aa)</t>
  </si>
  <si>
    <t>HHV § A4 Ziff. 1 a) aa)</t>
  </si>
  <si>
    <t>HHV § A4 Ziff. 1 a) bb)</t>
  </si>
  <si>
    <t>HHV § A4 Ziff. 1 a) cc)</t>
  </si>
  <si>
    <t>HHV § A4 Ziff. 1 b) aa)</t>
  </si>
  <si>
    <t>HHV § A4 Ziff. 1 b) bb)</t>
  </si>
  <si>
    <t>HHV § A3 Ziff. 3+BB Ziff. 4.12</t>
  </si>
  <si>
    <t>HHV § A3 Ziff. 4</t>
  </si>
  <si>
    <t>BB Ziff. 4.3 a)</t>
  </si>
  <si>
    <t>BB Ziff. 4.3 b) - e)</t>
  </si>
  <si>
    <t>HHV § A3 Ziff. 4 a) aa)</t>
  </si>
  <si>
    <t>HHV § A8 Ziff. 1 a) + b)</t>
  </si>
  <si>
    <t>HHV § A8, 1 e) + BB 8.14</t>
  </si>
  <si>
    <t>HHV § A8 Ziff. 1 g) + h)</t>
  </si>
  <si>
    <t>HHV § A11 Ziff. 4 a)</t>
  </si>
  <si>
    <t>Klauselbogen</t>
  </si>
  <si>
    <t>auch Arbeitsmaschinen,
keine Wasserfahrzeuge</t>
  </si>
  <si>
    <t>VHB §1, Ziff. 1 + Klauselbogen</t>
  </si>
  <si>
    <t>Rechner + Klauselbogen</t>
  </si>
  <si>
    <t>bis 1% der VS,
mind. 500 €</t>
  </si>
  <si>
    <t>Leistungsübersicht/Klauselbogen</t>
  </si>
  <si>
    <t>Bargeld - 2.000 €
Urkunden - 3.000 €
Schmuck - 25.000 €</t>
  </si>
  <si>
    <t>AHB §6, Ziff. 2 c) cc)/Klauselbogen</t>
  </si>
  <si>
    <t>Gasrohre</t>
  </si>
  <si>
    <t>Klauselblatt</t>
  </si>
  <si>
    <t xml:space="preserve"> max. 12 Monate,
bis 3‰ der VS pro Tag</t>
  </si>
  <si>
    <t xml:space="preserve"> max. 6 Monate,
bis 2‰ der VS pro Tag</t>
  </si>
  <si>
    <t>bis 30.000 €,
max. 12 Monate</t>
  </si>
  <si>
    <t>versicherbar bis 1.000 €
über Baustein "Junge Familie"</t>
  </si>
  <si>
    <t>BB Junge Familie</t>
  </si>
  <si>
    <t>versicherbar über den Tarif
"privat 60 plus"</t>
  </si>
  <si>
    <t>VHB 2011
Stand 11-2011</t>
  </si>
  <si>
    <t>VHB § 6 Ziff. 2 c) cc)</t>
  </si>
  <si>
    <t>VHB § 6 Ziff. 2 c) hh)</t>
  </si>
  <si>
    <t>VHB § 13 Ziff. 4</t>
  </si>
  <si>
    <t>VHB § 9 2 b)</t>
  </si>
  <si>
    <t>VHB § 6 Ziff. 2 a)</t>
  </si>
  <si>
    <t>VHB § 6 Ziff. 2 c) aa)</t>
  </si>
  <si>
    <t>VHB § 6 Ziff. 2 c) bb)</t>
  </si>
  <si>
    <t>VHB § 13 Ziff. 2 a)</t>
  </si>
  <si>
    <t>VHB § 6 Ziff. 2 c) ii)</t>
  </si>
  <si>
    <t>VHB § 6 Ziff. 2 c) ee)</t>
  </si>
  <si>
    <t>VHB § 6 Ziff. 2 c) ff)</t>
  </si>
  <si>
    <t>VHB § 6 Ziff. 2 c) gg)</t>
  </si>
  <si>
    <t>VHB §6 Ziff. 3 + BBH § 13</t>
  </si>
  <si>
    <t>VHB §6 Ziff. 3 b)</t>
  </si>
  <si>
    <t>VHB § 7 Ziff. 1</t>
  </si>
  <si>
    <t>VHB § 17 c)</t>
  </si>
  <si>
    <t>VHB § 1 Ziff. 1</t>
  </si>
  <si>
    <t>VHB § 2 Ziff. 1)</t>
  </si>
  <si>
    <t>VHB § 1 Ziff. 2</t>
  </si>
  <si>
    <t>VHB § 4 Ziff. 2</t>
  </si>
  <si>
    <t>VHB § 4 Ziff. 2 + BBH § 9</t>
  </si>
  <si>
    <t>VHB § 4 Ziff. 2 + BBH § 6</t>
  </si>
  <si>
    <t>VHB §4 Ziff. 3 a) aa)</t>
  </si>
  <si>
    <t>VHB § 4 Ziff. 1 a) aa)</t>
  </si>
  <si>
    <t>VHB § 4 Ziff. 1 b) aa)</t>
  </si>
  <si>
    <t>VHB § 4 Ziff. 1 a) bb)</t>
  </si>
  <si>
    <t>VHB § 4 Ziff. 1 a) cc)</t>
  </si>
  <si>
    <t>VHB § 4 Ziff. 1 b) bb)</t>
  </si>
  <si>
    <t>VHB § 5 Ziff. 2</t>
  </si>
  <si>
    <t>VHB § 3 Ziff. 3</t>
  </si>
  <si>
    <t>VHB § 3 Ziff. 4</t>
  </si>
  <si>
    <t>VHB § 3 Ziff. 4 a) aa)</t>
  </si>
  <si>
    <t>VHB § 8 Ziff. 1 a) / b)</t>
  </si>
  <si>
    <t>VHB § 8 Ziff. 1 f)</t>
  </si>
  <si>
    <t>VHB § 8 Ziff. 1 e)</t>
  </si>
  <si>
    <t>VHB § 8 Ziff. 1 g) / h)</t>
  </si>
  <si>
    <t>VHB § 11 Ziff. 1</t>
  </si>
  <si>
    <t>VHB §1, Ziff. 1</t>
  </si>
  <si>
    <t>VHB § 1, Ziff. 2</t>
  </si>
  <si>
    <t>VHB § 1, Ziff. 2 c)</t>
  </si>
  <si>
    <t>VHB §2, Ziff. 1</t>
  </si>
  <si>
    <t>VHB §2, Ziff. 5</t>
  </si>
  <si>
    <t>VHB §2, Ziff. 8 b)</t>
  </si>
  <si>
    <t>VHB §2, Ziff. 7</t>
  </si>
  <si>
    <t>VHB §2, Ziff. 4</t>
  </si>
  <si>
    <t>VHB §3 Ziff. 4 c)</t>
  </si>
  <si>
    <t>VHB § 5, Ziff. 1 b) aa)/bb)</t>
  </si>
  <si>
    <t>VHB § 5, Ziff. 1 b)</t>
  </si>
  <si>
    <t>VHB § 4 Ziff. 3 a)</t>
  </si>
  <si>
    <t>VHB §9, Ziff. 2 a)</t>
  </si>
  <si>
    <t>10% der VS (30%  der VS bei Heirat, Geburt, Umzug)</t>
  </si>
  <si>
    <t>VHB §9, Ziff. 2 b)+ Klauselbogen</t>
  </si>
  <si>
    <t>VHB § 12, Ziff. 4</t>
  </si>
  <si>
    <t>VHB §13, Ziff. 2 a)</t>
  </si>
  <si>
    <t>VHB §13, Ziff. 2 b)</t>
  </si>
  <si>
    <t>Bargeld - 1.500 €
Urkunden - 2.500 €
Schmuck - 20.000 €</t>
  </si>
  <si>
    <t>AHB §6, Ziff. 2 c) ii)</t>
  </si>
  <si>
    <t>VHB §6, Ziff. 2 c) hh)</t>
  </si>
  <si>
    <t>VHB §6 Ziff. 3</t>
  </si>
  <si>
    <t>Garagen auch bis 500 m Entfernung</t>
  </si>
  <si>
    <t>VHB §6 Ziff. 3 a)</t>
  </si>
  <si>
    <t>bis 20.000 €,
max. 6 Monate</t>
  </si>
  <si>
    <t>VHB §7 Ziff. 1/ Ziff. 6</t>
  </si>
  <si>
    <t>VHB § 7 Ziff. 2</t>
  </si>
  <si>
    <t>VHB §17 c)</t>
  </si>
  <si>
    <t>VHB § 8 a) / b)</t>
  </si>
  <si>
    <t>VHB § 8 c)</t>
  </si>
  <si>
    <t>VHB § 8 d)</t>
  </si>
  <si>
    <t>VHB § 8 e)</t>
  </si>
  <si>
    <t>VHB § 8 f)</t>
  </si>
  <si>
    <t>VHB § 8 g)</t>
  </si>
  <si>
    <t>VHB § 8 h) / i)</t>
  </si>
  <si>
    <t>VHB § 11 Ziff. 4</t>
  </si>
  <si>
    <t>§ 34, Ziff. 1 b)</t>
  </si>
  <si>
    <t>VHB §15, Ziff. 6</t>
  </si>
  <si>
    <t>500 € (Erdbeben: 1% der VS, max. 5.000 €)</t>
  </si>
  <si>
    <t>Preisinformation</t>
  </si>
  <si>
    <t>bis 500 €,
keine Schmorschäden</t>
  </si>
  <si>
    <t>Preisinformation + Klauselbogen</t>
  </si>
  <si>
    <t>bis 20% der VS, max. 10.000 € gewerblich genutzte Räume der Wohnung, ausschließlich über die Wohnung zu betreten</t>
  </si>
  <si>
    <t>bis 1.000 €
(auch Arzneimittel)</t>
  </si>
  <si>
    <t>bis 500 € 
(Bargeld/Schmuck bis 250 €)</t>
  </si>
  <si>
    <t>bis 2.500 €
bei Schäden &gt;5.000 €</t>
  </si>
  <si>
    <t>bis 2.500 €
bei Schäden &gt; 25.000 €</t>
  </si>
  <si>
    <t>bis 500 €
(auch Gasverlust)</t>
  </si>
  <si>
    <t>Preisinformation + Klauselblatt</t>
  </si>
  <si>
    <t>bis 250 €
(auch Gasverlust)</t>
  </si>
  <si>
    <t>VHB §9, Ziff. 2 b)+ Preisinformation</t>
  </si>
  <si>
    <t>-Rabatt für neu abgeschlossene Hausratverträge
-Einbruch nach Schlüsseldiebstahl ist versichert</t>
  </si>
  <si>
    <t>-Rabatt für neu abgeschlossene Hausratverträge
-Einbruch nach Schlüsseldiebstahl ist versichert
-auch Hausrat in nicht ständig bewohnten Wohnungen ist 
versichert
-Versicherbar über "Junge Familie" ist die Betreuung von Kindern im Schadenfall und Garderobendiebstahl bis 500 €
-versicherbar über "pirvat 60 plus" sind Mehrkosten für altersgerechte Umgestaltung und Schlüsseldienst</t>
  </si>
  <si>
    <t>Klauselbogen + Preisinformation</t>
  </si>
  <si>
    <t>VHB §1, Ziff. 1 + Preisinformation</t>
  </si>
  <si>
    <t>AHB §6, Ziff. 2 c) cc)/Preisinformation</t>
  </si>
  <si>
    <t>Württembergische KompaktSchutz</t>
  </si>
  <si>
    <t>Württembergische PremiumSchutz</t>
  </si>
  <si>
    <t>Individuell</t>
  </si>
  <si>
    <t>Ideal Exklusiv</t>
  </si>
  <si>
    <t>EB_IHR, Ziff. 12.1 b)</t>
  </si>
  <si>
    <t>EB_IHR, Ziff. 12.1 a)</t>
  </si>
  <si>
    <t>AB/EB_IHR_0211
Stand 02-2011</t>
  </si>
  <si>
    <t>EB_IHR, Ziff. 12.2</t>
  </si>
  <si>
    <t>EB_IHR, Ziff. 12.3</t>
  </si>
  <si>
    <t>EB_IHR, Ziff. 12.4</t>
  </si>
  <si>
    <t>EB_IHR, Ziff. 12.5</t>
  </si>
  <si>
    <t>EB_IHR, Ziff. 12.6</t>
  </si>
  <si>
    <t>EB_IHR, Ziff. 13.3</t>
  </si>
  <si>
    <t>EB_IHR, Ziff. 14.3</t>
  </si>
  <si>
    <t>EB_IHR, Ziff. 15.1 b)</t>
  </si>
  <si>
    <t>EB_IHR, Ziff. 15.3</t>
  </si>
  <si>
    <t>EB_IHR, Ziff. 15.4</t>
  </si>
  <si>
    <t>ja (auch bei Abhandenkommen 
durch einfachen Diebstahl)</t>
  </si>
  <si>
    <t>EB_IHR, Ziff. 15.6</t>
  </si>
  <si>
    <t>max. 6.000 € (20% SB)
bei Schäden &gt; 10.000  €</t>
  </si>
  <si>
    <t>EB_IHR, Ziff. 15.7 c)</t>
  </si>
  <si>
    <t>EB_IHR, Ziff. 15.8</t>
  </si>
  <si>
    <t>EB_IHR, Ziff. 15.9</t>
  </si>
  <si>
    <t>bis 1.500 € 
(Wertsachen 150 €)</t>
  </si>
  <si>
    <t>EB_IHR, Ziff. 16</t>
  </si>
  <si>
    <t>ohne Nachtzeitklausel
innerhalb Deutschlands</t>
  </si>
  <si>
    <t>EB_IHR, Ziff. 6</t>
  </si>
  <si>
    <t>bis 1.500 € (nicht aus Anhängern)
(keine Wertsachen + elektr. Geräte)</t>
  </si>
  <si>
    <t>EB_IHR, Ziff. 6 / 17</t>
  </si>
  <si>
    <t>EB_IHR, Ziff. 18</t>
  </si>
  <si>
    <t>Handtaschentrickdiebstahl: bis 150 €
Haustürtrickdiebstahl: bis 1.500 €</t>
  </si>
  <si>
    <t>Ideal Klassik</t>
  </si>
  <si>
    <t>bis 150 € (nicht aus Anhängern)
(keine Wertsachen + elektr. Geräte)</t>
  </si>
  <si>
    <t>EB_IHR, Ziff. 4.1 b)</t>
  </si>
  <si>
    <t>EB_IHR, Ziff. 1.1</t>
  </si>
  <si>
    <t>EB_IHR, Ziff. 1.2</t>
  </si>
  <si>
    <t>EB_IHR, Ziff. 1.3</t>
  </si>
  <si>
    <t>AB_ IHR §2, 1d) /  EB_IHR, Ziff. 1.4</t>
  </si>
  <si>
    <t>EB_IHR, Ziff. 1.6 c)</t>
  </si>
  <si>
    <t>EB_IHR, Ziff. 1.7</t>
  </si>
  <si>
    <t>EB_IHR, Ziff. 1.8</t>
  </si>
  <si>
    <t>ja 
(auch Paludarien und Terrarien)</t>
  </si>
  <si>
    <t>EB_IHR, Ziff. 1.9</t>
  </si>
  <si>
    <t>AB_IHR,§6, 2 c) cc)+EB_IHR, Ziff. 2.1</t>
  </si>
  <si>
    <t>private Sicherungsanlagen, Markisen und Antennenanlagen für die Whg. des VN</t>
  </si>
  <si>
    <t>Garagen auch in der Nähe des Versicherungsorts (max. 2)</t>
  </si>
  <si>
    <t>EB_IHR, Ziff. 2.4</t>
  </si>
  <si>
    <t>AB_IHR, Ziff. 3 + EB_IHR, Ziff. 2.3</t>
  </si>
  <si>
    <t>-Hausrat des VN in vermieteter Einliegerwohnung ist versichert
-Hausrat in Gewächshäusern und Wintergärten ist versichert
-nicht eingebautes Kfz-Zubehör ist versichert (keine Schlüssel)</t>
  </si>
  <si>
    <t>-Hausrat d. VN in vermieteter Einliegerwohnung ist versichert
-Hausrat in Gewächshäusern und Wintergärten ist versichert
-nicht eingebautes Kfz-Zubehör ist versichert (keine Schlüssel)
-Schäden während eines Umzugs sind versichert
-Sturmschäden an Gartenmöbeln 
auf der Terrasse sind versichert
-Mietfortzahlungskosten der unbewohnbaren Wohnung
-Wiederbeschaffung privater Dokumente bis 150 €</t>
  </si>
  <si>
    <t>EB_IHR, Ziff. 2.2 / 2.5 / 2.6 / 12.7 / 13.2 / 15.2 / 15.5</t>
  </si>
  <si>
    <t>EB_IHR, Ziff. 2.2 / 2.5 / 2.6</t>
  </si>
  <si>
    <t>EB_IHR, Ziff. 3.2</t>
  </si>
  <si>
    <t>ja (auch aus verschlossenen Reisebuskabinen)</t>
  </si>
  <si>
    <t>EB_IHR, Ziff. 4.2 b)</t>
  </si>
  <si>
    <t>EB_IHR, Ziff. 4.3</t>
  </si>
  <si>
    <t>EB_IHR, Ziff. 4.4 d)</t>
  </si>
  <si>
    <t>bis 150 € (auch Mobiltelefon)</t>
  </si>
  <si>
    <t>EB_IHR, Ziff. 4.5</t>
  </si>
  <si>
    <t>EB_IHR, Ziff. 4.6</t>
  </si>
  <si>
    <t>EB_IHR, Ziff. 4.7 c)</t>
  </si>
  <si>
    <t>bis 150 €
(mit Nachtzeitklausell)</t>
  </si>
  <si>
    <t>EB_IHR, Ziff. 5.1 a) / 5.2</t>
  </si>
  <si>
    <t>EB_IHR, Ziff. 5.1 b) / 5.2</t>
  </si>
  <si>
    <t>EB_IHR, Ziff. 5.1 c) / 5.2</t>
  </si>
  <si>
    <t>EB_IHR, Ziff. 5.1 d) / 5.2</t>
  </si>
  <si>
    <t>bis 150 €
(auch portable Treppenlifte)</t>
  </si>
  <si>
    <t>bis 150 €  (auch Hör-/ Sehhilfen, Zähne und Gebisse)</t>
  </si>
  <si>
    <t>EB_IHR, Ziff. 5.1 e) / 5.2</t>
  </si>
  <si>
    <t>bis 150 € 
(keine Wertsachen)</t>
  </si>
  <si>
    <t>EB_IHR, Ziff. 7.2</t>
  </si>
  <si>
    <t>AB_IHR, §13, Ziff. 2</t>
  </si>
  <si>
    <t>Bargeld - 3.000 € (Verdoppelung für spezielle Anlässe/ bestimmte Tage)
Urkunden - 5.000 €
Schmuck - 25.000 €</t>
  </si>
  <si>
    <t>AB_IHR, §13, 2 + EB_IHR, Ziff. 7.1</t>
  </si>
  <si>
    <t>ja (Fenster / Fenstertüren müssen 
bei Abwesenheit verschlossen sein)</t>
  </si>
  <si>
    <t>AB_IHR, § 6, Ziff. 2 c) hh)</t>
  </si>
  <si>
    <t>EB_IHR, Ziff. 11.2</t>
  </si>
  <si>
    <t>AB_IHR, § 15, Ziff. 6</t>
  </si>
  <si>
    <t>AB_IHR, § 8, Ziff. 1 c)</t>
  </si>
  <si>
    <t>AB_IHR, §8, 1 c)+EB_IHR, Ziff. 15.1 a)</t>
  </si>
  <si>
    <t>bis 365 Tage
bis 100 € pro Tag</t>
  </si>
  <si>
    <t>bis 100 Tage
bis 100 € pro Tag</t>
  </si>
  <si>
    <t>AB_IHR, § 8, Ziff. 1 e)</t>
  </si>
  <si>
    <t>AB_IHR, § 3, Ziff. 4 a) aa)</t>
  </si>
  <si>
    <t>AB_IHR, § 3, Ziff. 4 c)</t>
  </si>
  <si>
    <t>AB_IHR, § 4, Ziff. 3 a) aa)</t>
  </si>
  <si>
    <t>AB_IHR, § 7, 6. + EB_IHR, Ziff. 3.1</t>
  </si>
  <si>
    <t>AB_IHR, § 6, Ziff. 3 b)</t>
  </si>
  <si>
    <t>AB_IHR, § 7, Ziff. 2</t>
  </si>
  <si>
    <t>vereinbarte Versicherungssumme</t>
  </si>
  <si>
    <t>Versicherbar ab 40. Lebensjahr;
vereinbarte Versicherungssumme</t>
  </si>
  <si>
    <t>AB_IHR, §12, Ziff. 4</t>
  </si>
  <si>
    <t>AB_IHR, §9, Ziff. 2 b)</t>
  </si>
  <si>
    <t>AB_IHR, §43</t>
  </si>
  <si>
    <t>AB_IHR, §44</t>
  </si>
  <si>
    <t>Tarifbuch</t>
  </si>
  <si>
    <t>Tarifbuch + AB_IHR, §9, Ziff. 1a) / 2a)</t>
  </si>
  <si>
    <t>AB_IHR, § 17, c)</t>
  </si>
  <si>
    <t>AB_IHR, § 1, Ziff. 1</t>
  </si>
  <si>
    <t>AB_IHR, § 11, Ziff. 4 a)</t>
  </si>
  <si>
    <t>AB_IHR, § 8, Ziff. 1 g) / h)</t>
  </si>
  <si>
    <t>AB_IHR, § 8, Ziff. 1 a) / b)</t>
  </si>
  <si>
    <t>AB_IHR, § 8, Ziff. 1 i)</t>
  </si>
  <si>
    <t>EB_IES, Ziff. 2</t>
  </si>
  <si>
    <t>EB_IES, Ziff. 12</t>
  </si>
  <si>
    <t>Tarifbuch + EB_IFS, Ziff. 2</t>
  </si>
  <si>
    <t>AB_IHR, § 3, Ziff. 3</t>
  </si>
  <si>
    <t>AB_IHR, § 3, Ziff. 4</t>
  </si>
  <si>
    <t>AB_IHR, § 5, Ziff. 2</t>
  </si>
  <si>
    <t>AB_IHR, § 4, Ziff. 2</t>
  </si>
  <si>
    <t>AB_IHR, § 4, Ziff. 1 a) aa)</t>
  </si>
  <si>
    <t>AB_IHR, § 4, Ziff. 1 a) bb)</t>
  </si>
  <si>
    <t>AB_IHR, § 4, Ziff. 1 a) cc)</t>
  </si>
  <si>
    <t>AB_IHR, § 4, Ziff. 1 b) aa)</t>
  </si>
  <si>
    <t>AB_IHR, § 4, Ziff. 1 b) bb)</t>
  </si>
  <si>
    <t>AB_IHR, § 2, Ziff. 1</t>
  </si>
  <si>
    <t>AB_IHR, § 1, Ziff. 2</t>
  </si>
  <si>
    <t>AB_IHR, §6, Ziff. 2 a)</t>
  </si>
  <si>
    <t>AB_IHR, §6, Ziff. 2 c) aa)</t>
  </si>
  <si>
    <t>AB_IHR, §6, Ziff. 2 c) bb)</t>
  </si>
  <si>
    <t>AB_IHR, §6, Ziff. 2 c) hh)</t>
  </si>
  <si>
    <t>AB_IHR, §6, Ziff. 2 c) ii)</t>
  </si>
  <si>
    <t>AB_IHR, §6, Ziff. 2 c) ee)</t>
  </si>
  <si>
    <t>AB_IHR, §6, Ziff. 2 c) ff)</t>
  </si>
  <si>
    <t>AB_IHR, §6, Ziff. 2 c) gg)</t>
  </si>
  <si>
    <t>-
(max. versicherbare VS: 160.000 €)</t>
  </si>
  <si>
    <t>auch mit separatem Eingang (ohne Angestellte / Publikumsverkehr)</t>
  </si>
  <si>
    <t>Alte Leipziger XL
(Stand 01-2009)</t>
  </si>
  <si>
    <t>Ammerländer Comfort
(Stand 07-2010)</t>
  </si>
  <si>
    <t>Ammerländer Excellent
(Stand 07-2010)</t>
  </si>
  <si>
    <t>Ammerländer Exclusiv
(Stand 07-2010)</t>
  </si>
  <si>
    <t>Alte Leipziger XXL
(Stand 01-2009)</t>
  </si>
  <si>
    <t>Domcura Komfort
(Stand 07-2009)</t>
  </si>
  <si>
    <t>Domcura Top
(Stand 07-2009)</t>
  </si>
  <si>
    <t>ERGO
(Stand 07-2008)</t>
  </si>
  <si>
    <t>Generali Basis
(Stand 07-2010)</t>
  </si>
  <si>
    <t>Generali KomfortPlus
(Stand 07-2010)</t>
  </si>
  <si>
    <t>HKD VARIO Plus
(Stand 04-2010)</t>
  </si>
  <si>
    <t>HKD VARIO Plus
(Stand 01-2011)</t>
  </si>
  <si>
    <t>HKD VARIO Status
(Stand 04-2010)</t>
  </si>
  <si>
    <t>R+V
(Stand 01-2010)</t>
  </si>
  <si>
    <t>Zurich Maklerkonzept
(Stand 01-2008)</t>
  </si>
  <si>
    <t>Neuwert des Hausrats,
ohne Begrenzung durch VS</t>
  </si>
  <si>
    <t>IV; Ziff. 1</t>
  </si>
  <si>
    <t>IV; Ziff. 1.2 / Leistungsübersicht</t>
  </si>
  <si>
    <t>IV; Ziff. 1.2</t>
  </si>
  <si>
    <t>IV; Ziff. 2 / Leistungsübersicht</t>
  </si>
  <si>
    <t>IV; Ziff. 3</t>
  </si>
  <si>
    <t>IV; Ziff. 3 / Leistungsübersicht</t>
  </si>
  <si>
    <t>ja; Schienen-/ Straßenfahrzeuge bis 10% der VS (keine Wasserfahrzeuge)</t>
  </si>
  <si>
    <t>bis 96 h</t>
  </si>
  <si>
    <t>bis 48 h 
(max. 500 €)</t>
  </si>
  <si>
    <t>IV; Ziff. 3.3.a) / Leistungsübersicht</t>
  </si>
  <si>
    <t>IV; Ziff. 3. / Leistungsübersicht</t>
  </si>
  <si>
    <t>bis 1.000 €
(keine Wertsachen/ elektr. Geräte)</t>
  </si>
  <si>
    <t>bis 1 % der VS (max. 1.000 €)
(keine Wertsachen/ elektr. Geräte)
-keine Anhänger-</t>
  </si>
  <si>
    <t>ja, Garagen auch in der Nähe des Versicherungsortes;
nicht in der Nähe, innerhalb der BRD bis 1 % der VS</t>
  </si>
  <si>
    <t>IV; Ziff. 3.</t>
  </si>
  <si>
    <t>innere Unruhen
bis 5.000 €, 250 € SB</t>
  </si>
  <si>
    <t>II; Ziff. 12.4</t>
  </si>
  <si>
    <t>II; Ziff. 15.6</t>
  </si>
  <si>
    <t>Markisen und Antennenanlagen für die Wohnung des VN</t>
  </si>
  <si>
    <t>private Sicherungsanlagen, Markisen und Antennenanlagen für die Wohnung des VN</t>
  </si>
  <si>
    <t>Markisen und Antennenanlagen und technische, optische, akustische Überwachungsanlagen / Sicherheitselektronik für die Wohnung des VN</t>
  </si>
  <si>
    <t>private Sicherungsanlagen
(5 % der VS, max. 2.500 €)
Markisen und Antennenanlagen für die Wohnung des VN</t>
  </si>
  <si>
    <t>II; Ziff. 6.2 c) cc)</t>
  </si>
  <si>
    <t>II; Ziff. 6.2 c) cc) / IV; Ziff. 3 / LÜ</t>
  </si>
  <si>
    <t>II; Ziff. 9.2 b)</t>
  </si>
  <si>
    <t>IV; Ziff. 4.</t>
  </si>
  <si>
    <t>IV; Ziff. 4.2.2 a)</t>
  </si>
  <si>
    <t>versicherbar bis 400 €
über Paket "Tour"</t>
  </si>
  <si>
    <t>-Reisegepäckversicherung inkl. Schäden durch Transportmittelunfall über Paket "Tour" versicherbar</t>
  </si>
  <si>
    <t>versicherbar über Paket "Tour"
bei Schäden &gt; 5.000 €</t>
  </si>
  <si>
    <t>BB Elementar, Ziff. 12.2</t>
  </si>
  <si>
    <t>BB Elementar, Ziff. 2.1</t>
  </si>
  <si>
    <t>BB Elementar, Ziff. 2.2 - 2.5</t>
  </si>
  <si>
    <t>II; Ziff. 2.5 b)</t>
  </si>
  <si>
    <t>II; Ziff. 2.1</t>
  </si>
  <si>
    <t>II; Ziff. 1.1</t>
  </si>
  <si>
    <t>II; Ziff. 1.1 a)</t>
  </si>
  <si>
    <t>II; Ziff. 1.2 c)</t>
  </si>
  <si>
    <t>II; Ziff. 1.2 b)</t>
  </si>
  <si>
    <t>Rechner</t>
  </si>
  <si>
    <t>Tarif</t>
  </si>
  <si>
    <t>II; Ziff. 3.3</t>
  </si>
  <si>
    <t>II; Ziff. 3.4</t>
  </si>
  <si>
    <t>II; Ziff. 3.4 c)</t>
  </si>
  <si>
    <t>II; Ziff. 4.1 a) aa)</t>
  </si>
  <si>
    <t>II; Ziff. 4.1 a) bb)</t>
  </si>
  <si>
    <t>II; Ziff. 4.1 a) cc)</t>
  </si>
  <si>
    <t>II; Ziff. 4.1 b) aa)</t>
  </si>
  <si>
    <t>II; Ziff. 4.1 b) bb)</t>
  </si>
  <si>
    <t>II; Ziff. 4.2</t>
  </si>
  <si>
    <t>II; Ziff. 4.3 a) aa)</t>
  </si>
  <si>
    <t>II; Ziff. 5.2</t>
  </si>
  <si>
    <t>II; Ziff. 6.2 a)</t>
  </si>
  <si>
    <t>II; Ziff. 6.2 c) aa)</t>
  </si>
  <si>
    <t>II; Ziff. 6.2 c) bb)</t>
  </si>
  <si>
    <t>II; Ziff. 6.2 c) ii)</t>
  </si>
  <si>
    <t>II; Ziff. 6.2 c) hh)</t>
  </si>
  <si>
    <t>II; Ziff. 6.2 c) gg)</t>
  </si>
  <si>
    <t>II; Ziff. 6.2 c) ff)</t>
  </si>
  <si>
    <t>II; Ziff. 6.2 c) ee)</t>
  </si>
  <si>
    <t>II; Ziff. 6.3 b)</t>
  </si>
  <si>
    <t>II; Ziff. 6.3 b) / c)</t>
  </si>
  <si>
    <t>II; Ziff. 6.3 a)</t>
  </si>
  <si>
    <t>II; Ziff. 7.1 / Ziff. 7.6</t>
  </si>
  <si>
    <t>II; Ziff. 7.2</t>
  </si>
  <si>
    <t>II; Ziff. 8.1 a) / b)</t>
  </si>
  <si>
    <t>II; Ziff. 8.1 d)</t>
  </si>
  <si>
    <t>II; Ziff. 8.1 e)</t>
  </si>
  <si>
    <t>II; Ziff. 8.1 f) / Leistungsübersicht</t>
  </si>
  <si>
    <t>II; Ziff. 8.1 g) / h)</t>
  </si>
  <si>
    <t>II; Ziff. 8.1 i)</t>
  </si>
  <si>
    <t>ja (auch nach Einbruchdiebstahl
bis 1.000 €)</t>
  </si>
  <si>
    <t>II; Ziff. 11.4</t>
  </si>
  <si>
    <t>II; Ziff. 12.1 a)</t>
  </si>
  <si>
    <t>II; Ziff. 13.2 b)</t>
  </si>
  <si>
    <t>II; Ziff. 13.2 a)</t>
  </si>
  <si>
    <t>I; Ziff. 3</t>
  </si>
  <si>
    <t>bis 30 % der VS
(gemäß Leistungsübersicht)</t>
  </si>
  <si>
    <t>Bargeld - 2.000 €
Urkunden - 5.000 €
Schmuck - 25.000 €
(gemäß Leistungsübersicht)</t>
  </si>
  <si>
    <t>bei VS=650 € je qm (ab Wertsachen-
entschädigung 31% gilt 800 € je qm)</t>
  </si>
  <si>
    <t>II; Ziff. 17.1 c)</t>
  </si>
  <si>
    <t>VHB 2012 Comfort-Schutz
(01-2012)</t>
  </si>
  <si>
    <t>VHB 2012 Excellent-Schutz
(01-2012)</t>
  </si>
  <si>
    <t>VHB 2012 Exclusiv-Schutz
(01-2012)</t>
  </si>
  <si>
    <t>BB Comfort; Ziff. 1.2</t>
  </si>
  <si>
    <t>BB Comfort; Ziff. 2.</t>
  </si>
  <si>
    <t>BB Comfort; Ziff. 3.</t>
  </si>
  <si>
    <t>BB Comfort; Ziff. 4.</t>
  </si>
  <si>
    <t>BB Comfort; Ziff. 6.</t>
  </si>
  <si>
    <t>infolge Überspannung durch Blitzschlag bis 500 €</t>
  </si>
  <si>
    <t>BB Comfort; Ziff. 5. / Ziff. 7</t>
  </si>
  <si>
    <t>BB Comfort; Ziff. 8. / Rechner</t>
  </si>
  <si>
    <t>zusätzlich versicherbar 
bis 4% der VS, max. 3.500 €
(ohne Nachtzeitklausel)</t>
  </si>
  <si>
    <t>BB Comfort; Ziff. 9.1  / 9.5</t>
  </si>
  <si>
    <t>BB Comfort; Ziff. 10</t>
  </si>
  <si>
    <t>BB Comfort; Ziff. 11</t>
  </si>
  <si>
    <t>BB Comfort; Ziff. 12</t>
  </si>
  <si>
    <t>BB Comfort; Ziff. 13.2</t>
  </si>
  <si>
    <t>BB Comfort; Ziff. 14.1</t>
  </si>
  <si>
    <t>BB Comfort; Ziff. 15.2</t>
  </si>
  <si>
    <t>BB Comfort; Ziff. 16</t>
  </si>
  <si>
    <t>BB Comfort; Ziff. 17</t>
  </si>
  <si>
    <t>BB Comfort; Ziff. 18</t>
  </si>
  <si>
    <t>BB Comfort; Ziff. 19</t>
  </si>
  <si>
    <t>max. 12 Monate</t>
  </si>
  <si>
    <t>BB Comfort; Ziff. 20</t>
  </si>
  <si>
    <t>max. 12 Monate
25% der VS, max. 25.000 €</t>
  </si>
  <si>
    <t>ja, Garagen auch in der Nähe des Versicherungsortes (Garagen innerhalb des Wohnortes bis 3.000 €)</t>
  </si>
  <si>
    <t>BB Comfort; Ziff. 22.1</t>
  </si>
  <si>
    <t>BB Comfort; Ziff. 22.2</t>
  </si>
  <si>
    <t>ja, soweit keine Beschäftigung von Angestellten o. Publikumsverkehr in den Räumen stattfindet (Inhalt max. 35% der VS)</t>
  </si>
  <si>
    <t>BB Comfort; Ziff. 23</t>
  </si>
  <si>
    <t>BB Comfort; Ziff. 24</t>
  </si>
  <si>
    <t>BB Comfort; Ziff. 25</t>
  </si>
  <si>
    <t>bis 1% der VS (max. 2.000 €)
bei Schäden &gt; 50.000 €</t>
  </si>
  <si>
    <t>BB Comfort; Ziff. 26</t>
  </si>
  <si>
    <t>BB Comfort; Ziff. 27</t>
  </si>
  <si>
    <t>BB Comfort; Ziff. 28</t>
  </si>
  <si>
    <t>BB Comfort; Ziff. 29</t>
  </si>
  <si>
    <t>BB Comfort; Ziff. 30.1</t>
  </si>
  <si>
    <t>BB Comfort; Ziff. 30.2 - 30.4</t>
  </si>
  <si>
    <t>BB Comfort; Ziff. 31</t>
  </si>
  <si>
    <t>BB Comfort; Ziff. 32</t>
  </si>
  <si>
    <t>bis 20% der VS,
max. 25.000 €</t>
  </si>
  <si>
    <t>BB Comfort; Ziff. 35</t>
  </si>
  <si>
    <t>BB Comfort; Ziff. 36</t>
  </si>
  <si>
    <t>BB Exclusiv; Ziff. 1.2</t>
  </si>
  <si>
    <t>BB Exclusiv; Ziff. 2.</t>
  </si>
  <si>
    <t>BB Exclusiv; Ziff. 3.</t>
  </si>
  <si>
    <t>BB Exclusiv; Ziff. 4.</t>
  </si>
  <si>
    <t>BB Exclusiv; Ziff. 5. / Ziff. 7</t>
  </si>
  <si>
    <t>BB Exclusiv; Ziff. 6.</t>
  </si>
  <si>
    <t>infolge Überspannung durch Blitzschlag bis 1% der VS</t>
  </si>
  <si>
    <t>BB Comfort; Ziff. 9.1  / 9.3</t>
  </si>
  <si>
    <t>BB Exclusiv; Ziff. 10.1 / Ziff. 10.3</t>
  </si>
  <si>
    <t>BB Exclusiv; Ziff. 10.1 / Ziff. 10.5</t>
  </si>
  <si>
    <t>BB Exclusiv; Ziff. 11</t>
  </si>
  <si>
    <t>BB Exclusiv; Ziff. 12</t>
  </si>
  <si>
    <t>BB Exclusiv; Ziff. 14</t>
  </si>
  <si>
    <t>BB Exclusiv; Ziff. 15.2</t>
  </si>
  <si>
    <t>BB Exclusiv; Ziff. 16.1</t>
  </si>
  <si>
    <t>BB Exclusiv; Ziff. 17.2</t>
  </si>
  <si>
    <t>BB Exclusiv; Ziff. 18</t>
  </si>
  <si>
    <t>BB Exclusiv; Ziff. 19</t>
  </si>
  <si>
    <t>BB Exclusiv; Ziff. 20</t>
  </si>
  <si>
    <t>BB Exclusiv; Ziff. 21</t>
  </si>
  <si>
    <t>BB Exclusiv; Ziff. 23</t>
  </si>
  <si>
    <t>BB Exclusiv; Ziff. 24</t>
  </si>
  <si>
    <t>BB Exclusiv; Ziff. 25</t>
  </si>
  <si>
    <t>BB Exclusiv; Ziff. 27.2</t>
  </si>
  <si>
    <t>ja, soweit keine Beschäftigung von Angestellten o. Publikumsverkehr in den Räumen stattfindet 
(Inhalt max. 35% der VS)</t>
  </si>
  <si>
    <t>BB Exclusiv; Ziff. 28</t>
  </si>
  <si>
    <t>BB Exclusiv; Ziff. 29</t>
  </si>
  <si>
    <t>BB Exclusiv; Ziff. 30</t>
  </si>
  <si>
    <t>BB Exclusiv; Ziff. 31</t>
  </si>
  <si>
    <t>BB Exclusiv; Ziff. 32</t>
  </si>
  <si>
    <t>BB Exclusiv; Ziff. 33</t>
  </si>
  <si>
    <t>BB Exclusiv; Ziff. 34</t>
  </si>
  <si>
    <t>BB Exclusiv; Ziff. 35</t>
  </si>
  <si>
    <t>BB Exclusiv; Ziff. 36</t>
  </si>
  <si>
    <t>BB Exclusiv; Ziff. 37.1</t>
  </si>
  <si>
    <t>BB Exclusiv; Ziff. 37.2 - 37.4</t>
  </si>
  <si>
    <t>BB Exclusiv; Ziff. 38</t>
  </si>
  <si>
    <t>BB Exclusiv; Ziff. 39</t>
  </si>
  <si>
    <t>bis 25% der VS,
max. 30.000 €</t>
  </si>
  <si>
    <t>BB Exclusiv; Ziff. 13/ 42/ 22/ 41</t>
  </si>
  <si>
    <t>BB Exclusiv; Ziff. 47</t>
  </si>
  <si>
    <t>BB Exclusiv; Ziff. 46</t>
  </si>
  <si>
    <t>BB Excellent; Ziff. 1.2</t>
  </si>
  <si>
    <t>BB Excellent; Ziff. 2</t>
  </si>
  <si>
    <t>BB Excellent; Ziff. 3</t>
  </si>
  <si>
    <t>BB Excellent; Ziff. 4</t>
  </si>
  <si>
    <t>BB Excellent; Ziff. 5 / Ziff. 7</t>
  </si>
  <si>
    <t>auch
unbemannte Flugkörper</t>
  </si>
  <si>
    <t>BB Excellent; Ziff. 6</t>
  </si>
  <si>
    <t>ja, infolge Überspannung durch Blitzschlag</t>
  </si>
  <si>
    <t>BB Exclusiv; Ziff. 8. / Ziff. 9</t>
  </si>
  <si>
    <t>BB Excellent; Ziff. 8 / Ziff. 9</t>
  </si>
  <si>
    <t>BB Excellent; Ziff. 10.1 / Ziff. 10.3</t>
  </si>
  <si>
    <t>BB Excellent; Ziff. 10.1 / Ziff. 10.4</t>
  </si>
  <si>
    <t>BB Excellent; Ziff. 11.1</t>
  </si>
  <si>
    <t>BB Excellent; Ziff. 11.2</t>
  </si>
  <si>
    <t>Skulpturen bis 1.500 €</t>
  </si>
  <si>
    <t>BB Excellent; Ziff. 12</t>
  </si>
  <si>
    <t>Kinderspiel- und Sportgeräte
bis 5% der VS</t>
  </si>
  <si>
    <t>BB Excellent; Ziff. 13</t>
  </si>
  <si>
    <t>BB Excellent; Ziff. 15</t>
  </si>
  <si>
    <t>ja
(keine Wertsachen/ Bargeld/ 
elektr. Geräte)</t>
  </si>
  <si>
    <t>bis 1% der VS, max. 1.000 €
(keine Wertsachen/ Bargeld/ 
elektr. Geräte)</t>
  </si>
  <si>
    <t>bis 1% der VS
(keine Wertsachen/ Bargeld/ 
elektr. Geräte)</t>
  </si>
  <si>
    <t>BB Excellent; Ziff. 16</t>
  </si>
  <si>
    <t>bis 1% der VS
(keine Wertsachen/ elektr. Geräte)</t>
  </si>
  <si>
    <t>BB Excellent; Ziff. 18.2</t>
  </si>
  <si>
    <t>BB Excellent; Ziff. 19</t>
  </si>
  <si>
    <t>BB Excellent; Ziff. 21</t>
  </si>
  <si>
    <t>bis 2% d. VS (wenn PIN bei bei Raub 
erzwungen wurde: bis 3% der VS)</t>
  </si>
  <si>
    <t>BB Excellent; Ziff. 22</t>
  </si>
  <si>
    <t>BB Excellent; Ziff. 23</t>
  </si>
  <si>
    <t>innerhalb des Versicherungsorts
bis 1% der VS</t>
  </si>
  <si>
    <t>BB Excellent; Ziff. 24.8</t>
  </si>
  <si>
    <t>BB Excellent; Ziff. 25</t>
  </si>
  <si>
    <t>BB Excellent; Ziff. 26</t>
  </si>
  <si>
    <t>BB Excellent; Ziff. 27</t>
  </si>
  <si>
    <t>BB Excellent; Ziff. 31</t>
  </si>
  <si>
    <t>BB Excellent; Ziff. 32</t>
  </si>
  <si>
    <t>BB Excellent; Ziff. 33</t>
  </si>
  <si>
    <t>BB Excellent; Ziff. 35.2</t>
  </si>
  <si>
    <t>BB Excellent; Ziff. 35.1</t>
  </si>
  <si>
    <t>BB Exclusiv; Ziff. 27.1</t>
  </si>
  <si>
    <t>BB Excellent; Ziff. 36</t>
  </si>
  <si>
    <t>BB Excellent; Ziff. 37</t>
  </si>
  <si>
    <t>BB Excellent; Ziff. 38</t>
  </si>
  <si>
    <t>BB Excellent; Ziff. 39</t>
  </si>
  <si>
    <t>BB Excellent; Ziff. 41</t>
  </si>
  <si>
    <t>BB Excellent; Ziff. 42</t>
  </si>
  <si>
    <t>BB Excellent; Ziff. 43</t>
  </si>
  <si>
    <t>BB Excellent; Ziff. 44</t>
  </si>
  <si>
    <t>BB Excellent; Ziff. 45</t>
  </si>
  <si>
    <t>BB Excellent; Ziff. 46 / Ziff. 47</t>
  </si>
  <si>
    <t>ja 
(auch durch Preissteigerungen)</t>
  </si>
  <si>
    <t>BB Excellent; Ziff. 48.1</t>
  </si>
  <si>
    <t>bis 50% der VS,
max. 75.000 €</t>
  </si>
  <si>
    <t>BB Excellent; Ziff. 48.2 - 48.4</t>
  </si>
  <si>
    <t>BB Excellent; Ziff. 49</t>
  </si>
  <si>
    <t>BB Excellent; Ziff. 50</t>
  </si>
  <si>
    <t>BB Excellent; Ziff. 14/ 53/ 17/ 28/ 29/ 30/ 52</t>
  </si>
  <si>
    <t>BB Excellent; Ziff. 56</t>
  </si>
  <si>
    <t>BB Exclusiv; Ziff. 45</t>
  </si>
  <si>
    <t>BB Excellent; Ziff. 58</t>
  </si>
  <si>
    <t>BB Excellent; Ziff. 57</t>
  </si>
  <si>
    <t>VHB; § 12, Ziff. 1 a)</t>
  </si>
  <si>
    <t>VHB; § 12, Ziff. 6</t>
  </si>
  <si>
    <t>nachgewiesene, 
tatsächlich angefallene Kosten</t>
  </si>
  <si>
    <t>VHB; § 9, Ziff. 2 c)</t>
  </si>
  <si>
    <t>VHB; § 6, Ziff. 2 a)</t>
  </si>
  <si>
    <t>VHB; § 6, Ziff. 2 c) aa)</t>
  </si>
  <si>
    <t>VHB; § 6, Ziff. 2 c) bb)</t>
  </si>
  <si>
    <t>VHB; § 6, Ziff. 2 c) ii)</t>
  </si>
  <si>
    <t>VHB; § 6, Ziff. 2 c) ee)</t>
  </si>
  <si>
    <t>VHB; § 6, Ziff. 2 c) ff)</t>
  </si>
  <si>
    <t>VHB; § 6, Ziff. 2 c) gg)</t>
  </si>
  <si>
    <t>VHB; § 6, Ziff. 2 c) hh)</t>
  </si>
  <si>
    <t>VHB; § 6, Ziff. 2 c) cc) / BB Comfort; Ziff. 34</t>
  </si>
  <si>
    <t>VHB; § 6, Ziff. 2 c) cc) / BB Excellent; Ziff. 55</t>
  </si>
  <si>
    <t>VHB; § 6, Ziff. 2 c) cc) / BB Exclusiv; Ziff. 44</t>
  </si>
  <si>
    <t>technische, optische o.
akustische Sicherungsanlagen
bis 5% der VS, max. 2.000 €;
Markisen und Antennenanlagen für die Wohnung des VN</t>
  </si>
  <si>
    <t xml:space="preserve">technische, optische o.
akustische Sicherungsanlagen;
Markisen und Antennenanlagen für die Wohnung des VN </t>
  </si>
  <si>
    <t>VHB; § 6, Ziff. 3 b)</t>
  </si>
  <si>
    <t>VHB; § 6, Ziff. 3 / BB Comfort; Ziff. 21</t>
  </si>
  <si>
    <t>VHB; § 6, Ziff. 3 / BB Excellent; Ziff. 34</t>
  </si>
  <si>
    <t>VHB; § 6, Ziff. 3 / BB Exclusiv; Ziff. 26</t>
  </si>
  <si>
    <t>VHB; § 7, Ziff. 2</t>
  </si>
  <si>
    <t>VHB; § 17 c)</t>
  </si>
  <si>
    <t>VHB; § 1, Ziff. 1</t>
  </si>
  <si>
    <t>VHB; § 2, Ziff. 1</t>
  </si>
  <si>
    <t>ja
(gemäß Leistungsübersicht)</t>
  </si>
  <si>
    <t>VHB; § 1, Ziff. 2 c)</t>
  </si>
  <si>
    <t>VHB; § 5, Ziff. 2</t>
  </si>
  <si>
    <t>VHB; § 3, Ziff. 3</t>
  </si>
  <si>
    <t>VHB; § 3, Ziff. 3 / BB Excellent; Ziff. 20</t>
  </si>
  <si>
    <t>VHB; § 3, Ziff. 4</t>
  </si>
  <si>
    <t>VHB; § 4, Ziff. 2</t>
  </si>
  <si>
    <t>VHB; § 4, Ziff. 1 a) aa)</t>
  </si>
  <si>
    <t>VHB; § 4, Ziff. 1 a) bb)</t>
  </si>
  <si>
    <t>VHB; § 4, Ziff. 1 a) cc)</t>
  </si>
  <si>
    <t>VHB; § 4, Ziff. 1 b) aa)</t>
  </si>
  <si>
    <t>VHB; § 4, Ziff. 1 b) bb)</t>
  </si>
  <si>
    <t>BWE, § 2 a)</t>
  </si>
  <si>
    <t>BWE, § 2 a) / BB Excellent; Ziff. 27</t>
  </si>
  <si>
    <t>BWE, § 2 a) / BB Exclusiv; Ziff. 21</t>
  </si>
  <si>
    <t>BWE, § 2 b) - e)</t>
  </si>
  <si>
    <t>BWE, § 12 b)</t>
  </si>
  <si>
    <t>VHB; § 4, Ziff. 3. a) aa)</t>
  </si>
  <si>
    <t>VHB; § 8, Ziff. 1 a) / b)</t>
  </si>
  <si>
    <t>VHB; § 8, Ziff. 1. f)</t>
  </si>
  <si>
    <t>VHB; § 8, Ziff. 1. e)</t>
  </si>
  <si>
    <t>VHB; § 8, Ziff. 1. g) / h)</t>
  </si>
  <si>
    <t>VHB; § 11, Ziff. 4. a)</t>
  </si>
  <si>
    <t>-Diebstahl von Gepäck bis 1% d. VS
(100 € SB) - Fahrräder als Gepäck bis 100 €
-Schäden durch Regen-/ Schmelzwasser bis 1% der VS, max. 1.000 €
-Transportmittelunfall bis 1% d. VS</t>
  </si>
  <si>
    <t>II B4</t>
  </si>
  <si>
    <t>bis 500 €
(auch durch technisches Versagen)</t>
  </si>
  <si>
    <t>Markisen und Sicherungsanlagen
bis 1.000 €</t>
  </si>
  <si>
    <t>bis 20.000 € (nach einfachem Diebstahl bis 500 €)</t>
  </si>
  <si>
    <t xml:space="preserve">ja (auch bis 10.000 € bei Obliegenheitsverletzungen) </t>
  </si>
  <si>
    <t>Antrag</t>
  </si>
  <si>
    <t>Rückstau inklusive</t>
  </si>
  <si>
    <t>II B 1; § 6</t>
  </si>
  <si>
    <t>ja (inklusive)</t>
  </si>
  <si>
    <t>II B 1; § 6 / II B 2; §2.1</t>
  </si>
  <si>
    <t>II B 2; §2.2 -2.5</t>
  </si>
  <si>
    <t>II B 3</t>
  </si>
  <si>
    <t>II B 3; § 1, Ziff. 1</t>
  </si>
  <si>
    <t>II B 3; § 2, Ziff. 1</t>
  </si>
  <si>
    <t>II B 3; § 2, Ziff. 2</t>
  </si>
  <si>
    <t>II B 3; § 2, Ziff. 4</t>
  </si>
  <si>
    <t>II B 3; § 2, Ziff. 3</t>
  </si>
  <si>
    <t>II B 3; § 8, Ziff. 2</t>
  </si>
  <si>
    <t>II B 3; § 2, Ziff. 1 d) / § 8, Ziff. 1</t>
  </si>
  <si>
    <t>II B 3; § 8, Ziff. 3</t>
  </si>
  <si>
    <t>II B 3; § 7</t>
  </si>
  <si>
    <t>II B 3; § 11, Ziff. 4</t>
  </si>
  <si>
    <t>II B 3; § 3, Ziff. 3</t>
  </si>
  <si>
    <t>II B 3; § 3, Ziff. 4</t>
  </si>
  <si>
    <t>II B 3; § 3, Ziff. 4 c)</t>
  </si>
  <si>
    <t>II B 3; § 3, Ziff. 5 d) 3.</t>
  </si>
  <si>
    <t>II B 3; § 3, Ziff. 5 a) bb)</t>
  </si>
  <si>
    <t>II B 3; § 3, Ziff. 5 a) aa)</t>
  </si>
  <si>
    <t>II B 3; § 3, Ziff. 5 b)</t>
  </si>
  <si>
    <t>II B 3; § 3, Ziff. 5 c)</t>
  </si>
  <si>
    <t>II B 3; § 3, Ziff. 5 c) a)</t>
  </si>
  <si>
    <t>II B 3; § 3, Ziff. 5 c) b)</t>
  </si>
  <si>
    <t>II B 3; § 3, Ziff. 5 e)</t>
  </si>
  <si>
    <t>aus Gemeinschaftsräumen
bis 3.000 €</t>
  </si>
  <si>
    <t>II B 3; § 4, Ziff. 1 a) aa)</t>
  </si>
  <si>
    <t>II B 3; § 4, Ziff. 1 a) bb)</t>
  </si>
  <si>
    <t>II B 3; § 4, Ziff. 1 a) cc)</t>
  </si>
  <si>
    <t>II B 3; § 4, Ziff. 1 a) dd) / ii)</t>
  </si>
  <si>
    <t>II B 3; § 4, Ziff. 1 a) ff)</t>
  </si>
  <si>
    <t>II B 3; § 4, Ziff. 1 b) aa)</t>
  </si>
  <si>
    <t>II B 3; § 4, Ziff. 1 b) bb)</t>
  </si>
  <si>
    <t>II B 3; § 4, Ziff. 1 a) gg)</t>
  </si>
  <si>
    <t>II B 3; § 4, Ziff. 2</t>
  </si>
  <si>
    <t>II B 3; § 4, Ziff. 2 b) aa)</t>
  </si>
  <si>
    <t>II B 3; § 4, Ziff. 2 b) bb)</t>
  </si>
  <si>
    <t>II B 3; § 4, Ziff. 2 b) cc)</t>
  </si>
  <si>
    <t>II B 3; § 4, Ziff. 2 b) dd)</t>
  </si>
  <si>
    <t>II B 3; § 4, Ziff. 2 b) gg)</t>
  </si>
  <si>
    <t>II B 3; § 4, Ziff. 2 b) hh)</t>
  </si>
  <si>
    <t>II B 3; § 4, Ziff. 2 b) jj)</t>
  </si>
  <si>
    <t>II B 3; § 4, Ziff. 2 b) ee)</t>
  </si>
  <si>
    <t>Zierbrunnen</t>
  </si>
  <si>
    <t>II B 3; § 4, Ziff. 2 b) ff)</t>
  </si>
  <si>
    <t>II B 3; § 4, Ziff. 3 a) aa)</t>
  </si>
  <si>
    <t>II B 3; § 5, Ziff. 2</t>
  </si>
  <si>
    <t>II B 3; § 11, Ziff. 15</t>
  </si>
  <si>
    <t>II B 3; § 9, Ziff. 2 a)</t>
  </si>
  <si>
    <t>II B 3; § 9, Ziff. 2 c) aa)</t>
  </si>
  <si>
    <t>Markisen, Antennenanlagen, Sonnenschirme/ Sonnensegel, Überwachungseinrichtungen und Anlagen zur Erzeugung erneuerbarer Energien für die Wohnung des VN</t>
  </si>
  <si>
    <t>II B 3; § 9, Ziff. 2 c) cc)</t>
  </si>
  <si>
    <t>II B 3; § 9, Ziff. 2 c) ee)</t>
  </si>
  <si>
    <t>II B 3; § 9, Ziff. 2 c) ff)</t>
  </si>
  <si>
    <t>II B 3; § 9, Ziff. 2 c) gg)</t>
  </si>
  <si>
    <t>II B 3; § 9, Ziff. 2 c) ii)</t>
  </si>
  <si>
    <t>II B 3; § 9, Ziff. 2 c) hh)</t>
  </si>
  <si>
    <t>II B 3; § 9, Ziff. 2 c) jj)</t>
  </si>
  <si>
    <t>II B 3; § 9, Ziff. 2 c) jj) / II B4</t>
  </si>
  <si>
    <t>II B 3; § 9, Ziff. 3 a)</t>
  </si>
  <si>
    <t>II B 3; § 9, Ziff. 3 b) aa)</t>
  </si>
  <si>
    <t>II B 3; § 9, Ziff. 3 b) bb) cc) / 3 c)</t>
  </si>
  <si>
    <t>ja, auch in der gleichen oder 
angrenzenden Gemeinde</t>
  </si>
  <si>
    <t>II B 3; § 9, Ziff. 3 d) / § 15, Ziff. 2 b) dd)</t>
  </si>
  <si>
    <t>II B 3; § 10, Ziff. 1 b)</t>
  </si>
  <si>
    <t>II B 3; § 10, Ziff. 1 a) / 6.</t>
  </si>
  <si>
    <t>max. 6 Monate
20% der VS, mind. 10.000 €</t>
  </si>
  <si>
    <t>II B 3; § 10, Ziff. 2</t>
  </si>
  <si>
    <t>II B 3; § 3, Ziff. 2</t>
  </si>
  <si>
    <t>II B 3; § 11, Ziff. 3 a) / b) / d)</t>
  </si>
  <si>
    <t>II B 3; § 11, Ziff. 5</t>
  </si>
  <si>
    <t>II B 3; § 11, Ziff. 6</t>
  </si>
  <si>
    <t>II B 3; § 11, Ziff. 7</t>
  </si>
  <si>
    <t>II B 3; § 11, Ziff. 8</t>
  </si>
  <si>
    <t>II B 3; § 11, Ziff. 9</t>
  </si>
  <si>
    <t>II B 3; § 11, Ziff. 9 / II B4</t>
  </si>
  <si>
    <t>II B 3; § 11, Ziff. 10</t>
  </si>
  <si>
    <t>II B 3; § 11, Ziff. 12</t>
  </si>
  <si>
    <t>II B 3; § 11, Ziff. 13 / Ziff. 14 d)</t>
  </si>
  <si>
    <t>bis 20.000 € 
(auch infolge Preissteigerungen)</t>
  </si>
  <si>
    <t>Gebäudeschäden nach ED
bis 20.000 € (LW bis 25.000 €)</t>
  </si>
  <si>
    <t>II B 3; § 11, Ziff. 11 / Ziff. 16</t>
  </si>
  <si>
    <t>II B 3; § 11, Ziff. 11 / Ziff. 16 / II B4</t>
  </si>
  <si>
    <t>nach ED bis 20.000 € (LW bis 
25.000 €; Sonsige bis 10.000 €)</t>
  </si>
  <si>
    <t>II B 3; § 19, Ziff. 1 d)</t>
  </si>
  <si>
    <t>II B 3; § 19, Ziff. 1 b) cc)</t>
  </si>
  <si>
    <t>II B 3; § 13, Ziff. 4</t>
  </si>
  <si>
    <t>II B 3; § 12, Ziff. 2 c)</t>
  </si>
  <si>
    <t>II B 3; § 12, Ziff. 1 a)</t>
  </si>
  <si>
    <t>II B 3; § 14, Ziff. 6</t>
  </si>
  <si>
    <t>II B 3; § 15, Ziff. 2 a)</t>
  </si>
  <si>
    <t>II B 3; § 15, Ziff. 2 b)</t>
  </si>
  <si>
    <t>alle Kosten zusätzlich zur VS
(auf erstes Risiko)</t>
  </si>
  <si>
    <t>-nicht eingebautes Kfz-Zubehör ist versichert</t>
  </si>
  <si>
    <r>
      <t>-nicht eingebautes Kfz-Zubehör ist versichert</t>
    </r>
    <r>
      <rPr>
        <sz val="7"/>
        <color indexed="10"/>
        <rFont val="Arial"/>
        <family val="2"/>
      </rPr>
      <t xml:space="preserve">
</t>
    </r>
    <r>
      <rPr>
        <sz val="7"/>
        <rFont val="Arial"/>
        <family val="2"/>
      </rPr>
      <t>-Transportmittelunfall bis 1.000 €
-Mietfortzahlung  bei unbewohnbarkeit der versicherten Wohnung bis 5.000 €
-Wiederherstellungskosten für private Unterlagen bis 1.000 €
-Wiederbepflanzung gärtnerischer Anlagen bis 1.000 €</t>
    </r>
  </si>
  <si>
    <t>II B 3; § 24, Ziff. 1</t>
  </si>
  <si>
    <t>KT2012HR; Ziff. 1.1</t>
  </si>
  <si>
    <t>KT2012HR; Ziff. 1.2</t>
  </si>
  <si>
    <t>KT2012HR; Ziff. 1.3</t>
  </si>
  <si>
    <t>KT2012HR; Ziff. 1.4</t>
  </si>
  <si>
    <t>KT2012HR; Ziff. 1.5</t>
  </si>
  <si>
    <t>KT2012HR; Ziff. 1.6</t>
  </si>
  <si>
    <t>KT2012HR; Ziff. 1.7</t>
  </si>
  <si>
    <t>KT2012HR; Ziff. 2.1</t>
  </si>
  <si>
    <t>KT2012HR; Ziff. 2.2</t>
  </si>
  <si>
    <t>KT2012HR; Ziff. 4.1</t>
  </si>
  <si>
    <t>KT2012HR; Ziff. 4.2</t>
  </si>
  <si>
    <t>ja (Hausrat in mehr als 500 m entfernten Garagen bis 1.000 €)</t>
  </si>
  <si>
    <t>KT2012HR; Ziff. 4.4</t>
  </si>
  <si>
    <t>Arbeitszimmer in versicherter Wohnung bis 15.000 €</t>
  </si>
  <si>
    <t>KT2012HR; Ziff. 4.5</t>
  </si>
  <si>
    <t>KT2012HR; Ziff. 4.6</t>
  </si>
  <si>
    <t>bis 15% der VS,  max. 3 Monate
(berufsbedingt max. 2 Jahre)</t>
  </si>
  <si>
    <t>KT2012HR; Ziff. 5.1</t>
  </si>
  <si>
    <t>KT2012HR; Ziff. 5.2</t>
  </si>
  <si>
    <t>KT2012HR; Ziff. 5.1.2</t>
  </si>
  <si>
    <t>KT2012HR; Ziff. 5.1.3</t>
  </si>
  <si>
    <t>KT2012HR; Ziff. 5.1.3 / Ziff. 5.1.4</t>
  </si>
  <si>
    <t>ja
(keine Wasserfahrzeuge)</t>
  </si>
  <si>
    <t>KT2012HR; Ziff. 5.1.5</t>
  </si>
  <si>
    <t>KT2012HR; Ziff. 5.1.6</t>
  </si>
  <si>
    <t>Sicherungsbeschreibung</t>
  </si>
  <si>
    <t>Leitungswasser führende 
Installationen</t>
  </si>
  <si>
    <t>KT2012HR; Ziff. 5.3</t>
  </si>
  <si>
    <t>KT2012HR; Ziff. 5.6</t>
  </si>
  <si>
    <t>KT2012HR; Ziff. 5.5</t>
  </si>
  <si>
    <t>KT2012HR; Ziff. 5.7</t>
  </si>
  <si>
    <t>bis 1% der VS;
erhöhbar auf bis zu 5% der VS
(ohne Nachtzeitklausel)</t>
  </si>
  <si>
    <t>KT2012HR; Ziff. 5.8</t>
  </si>
  <si>
    <t>bis 1.000 €
(keine Wertsachen)
-nicht aus Anhängern-</t>
  </si>
  <si>
    <t>innerhalb Deutschland</t>
  </si>
  <si>
    <t>bis 1.000 €
(Wertsachen bis 150 €)</t>
  </si>
  <si>
    <t>bis 1.000 €
(keine Wertsachen / elektronische Geräte)</t>
  </si>
  <si>
    <t>Antennenanlagen
bis 1.000 €</t>
  </si>
  <si>
    <t>KT2012HR; Ziff. 5.9</t>
  </si>
  <si>
    <t>ja,
nicht Kernenergie</t>
  </si>
  <si>
    <t>KT2012HR; Ziff. 7.2</t>
  </si>
  <si>
    <t>KT2012HR; Ziff. 7.5</t>
  </si>
  <si>
    <t>KT2012HR; Ziff. 8.6</t>
  </si>
  <si>
    <t>KT2012HR; Ziff. 9.2 / Ziff. 9.3</t>
  </si>
  <si>
    <t>KT2012HR; Ziff. 9.4</t>
  </si>
  <si>
    <t>KT2012HR; Ziff. 9.5 / Ziff. 9.10</t>
  </si>
  <si>
    <t>KT2012HR; Ziff. 9.6 / Ziff. 9.7</t>
  </si>
  <si>
    <t>KT2012HR; Ziff. 9.8</t>
  </si>
  <si>
    <t>nur Mehrkosten für umweltschonende Haushaltsgeräte</t>
  </si>
  <si>
    <t>KT2012HR; Ziff. 9.9</t>
  </si>
  <si>
    <t>KT2012HR; Ziff. 9</t>
  </si>
  <si>
    <t>KT2012HR; Ziff. 9.11</t>
  </si>
  <si>
    <t>bis 150 Tage; 35 € pauschal pro Tag (inkl. Frühstück)
oder 2 ‰ der VS pro Tag</t>
  </si>
  <si>
    <t>KT2012HR; Ziff. 9.12</t>
  </si>
  <si>
    <t>KT2012HR; Ziff. 9.14</t>
  </si>
  <si>
    <t>KT2012HR; Ziff. 9.13</t>
  </si>
  <si>
    <t>KT2012HR; Ziff. 9.15</t>
  </si>
  <si>
    <t>KT2012HR; Ziff. 11.3</t>
  </si>
  <si>
    <t>KT2012HR; Ziff. 13.4</t>
  </si>
  <si>
    <t>KT2012HR; Ziff. 17.1</t>
  </si>
  <si>
    <t>KT2012HR</t>
  </si>
  <si>
    <t>bis 100 Tage
(gemäß Leistungsübersicht)</t>
  </si>
  <si>
    <t>KT2012HR; Ziff. 5</t>
  </si>
  <si>
    <t>zusätzlich versicherbar
bis 1.000 €</t>
  </si>
  <si>
    <t>bis 1.000 €
im Rahmen der Notfallkosten</t>
  </si>
  <si>
    <t>-Kfz-Zubehör bis 1.000 €
-Beitragsbefreiung bei Arbeitslosigkeit
-Notfallkosten bis 1.000 €
(z.B. Schlüsseldienst, Unterbringung von Haustieren, Schädlings-bekämpfung)</t>
  </si>
  <si>
    <t>KT2012HR; Ziff. 1.8 / Antrag / Leistungsübersicht</t>
  </si>
  <si>
    <t>zusätzlich versicherbar
bis 10% der VS</t>
  </si>
  <si>
    <t>Klausel; HR 0200</t>
  </si>
  <si>
    <t>Klausel; HR 0201</t>
  </si>
  <si>
    <t>Klausel; HR 0203 / 0204</t>
  </si>
  <si>
    <t>Klausel; HR 0205 / Leistungsübersicht</t>
  </si>
  <si>
    <t>Klausel; HR 0206 / Leistungsübersicht</t>
  </si>
  <si>
    <t>Klausel; HR 0207</t>
  </si>
  <si>
    <t>Klausel; HR 0208 / Leistungsübersicht</t>
  </si>
  <si>
    <t>25% der VS,
max. 1 Jahr</t>
  </si>
  <si>
    <t>Klausel; HR 0215 / Leistungsübersicht</t>
  </si>
  <si>
    <t>Klausel; HR 0221 / Leistungsübersicht</t>
  </si>
  <si>
    <t>Klausel; HR 0224 / Leistungsübersicht</t>
  </si>
  <si>
    <t>Klausel; HR 0228 / Leistungsübersicht</t>
  </si>
  <si>
    <t>Klausel; HR 0229 / Leistungsübersicht</t>
  </si>
  <si>
    <t>Klausel; HR 0230 / Leistungsübersicht</t>
  </si>
  <si>
    <t>bis 1% der VS
(ohne Nachtzeitklausel)
-abwählbar-</t>
  </si>
  <si>
    <t>Klausel; HR 0231 / Leistungsübersicht</t>
  </si>
  <si>
    <t>bis 1% der VS
(keine Wertsachen / elekt. Geräte)
-nicht aus Anhängern-</t>
  </si>
  <si>
    <t>Klausel; HR 0234 / Leistungsübersicht</t>
  </si>
  <si>
    <t>Klausel; HR 0236 / Leistungsübersicht</t>
  </si>
  <si>
    <t>Klausel; HR 0224/ HR 0237/ Leistungsübersicht</t>
  </si>
  <si>
    <t>Klausel; HR 0237/ Leistungsübersicht</t>
  </si>
  <si>
    <t>zwei Regelungen im Bedingungswerk:
bis 1.000 € (mit Nachtzeitklausel)
auch außerhalb eines eingefriedeten Grundstücks
oder
bis 1% der VS außerhalb 
Versicherungsräume auf eingefriedetem Grundstück</t>
  </si>
  <si>
    <t>Klausel; HR 0238/ Leistungsübersicht</t>
  </si>
  <si>
    <t>bis 250 € (auch bei Arztbesuchen -
gilt nicht für Wertsachen)</t>
  </si>
  <si>
    <t>Klausel; HR 0239/ HR 0240/ Leistungsübersicht</t>
  </si>
  <si>
    <t>Klausel; HR 0245 / Leistungsübersicht</t>
  </si>
  <si>
    <t>Klausel; HR 0272 / Leistungsübersicht</t>
  </si>
  <si>
    <t>VHB; Ziff. 1.1</t>
  </si>
  <si>
    <t>VHB; Ziff. 1.2.1</t>
  </si>
  <si>
    <t>VHB; Ziff. 1.2.2</t>
  </si>
  <si>
    <t>VHB; Ziff. 1.2.3 / Klausel; HR 0027</t>
  </si>
  <si>
    <t>VHB; Ziff. 1.2.4</t>
  </si>
  <si>
    <t>VHB; Ziff. 1.2.5</t>
  </si>
  <si>
    <t>VHB; Ziff. 1.2.6</t>
  </si>
  <si>
    <t>VHB; Ziff. 1.2.7</t>
  </si>
  <si>
    <t>VHB; Ziff. 1.2.8</t>
  </si>
  <si>
    <t>VHB; Ziff. 2.3.1 - 2.3.3</t>
  </si>
  <si>
    <t>VHB; Ziff. 2.2 / Leistungsübersicht</t>
  </si>
  <si>
    <t>VHB; Ziff. 3.1.1 / Ziff. 3.1.2</t>
  </si>
  <si>
    <t>VHB; Ziff. 3.1.3 / Leistungsübersicht</t>
  </si>
  <si>
    <t>VHB; Ziff. 3.1.3</t>
  </si>
  <si>
    <t>VHB; Ziff. 3.1.3 / Klausel; HR 0226 / Leistungsübersicht</t>
  </si>
  <si>
    <t>ja (nach einfachem Diebstahl 
bis 500 €)</t>
  </si>
  <si>
    <t>Gebäudeschäden aufgrund ED (bei gemieteten Whg. auch durch LW)</t>
  </si>
  <si>
    <t>VHB; Ziff. 3.1.5 / Ziff. 3.1.6</t>
  </si>
  <si>
    <t>VHB; Ziff. 3.1.7 / Leistungsübersicht</t>
  </si>
  <si>
    <t>bis 150 Tage,
1‰ der VS</t>
  </si>
  <si>
    <t>VHB; Ziff. 3.1.8 / Leistungsübersicht</t>
  </si>
  <si>
    <t>VHB; Ziff. 3.1.9 / Leistungsübersicht</t>
  </si>
  <si>
    <t>VHB; Ziff. 23.2</t>
  </si>
  <si>
    <t>VHB; Ziff. 16.5</t>
  </si>
  <si>
    <t>VHB; Ziff. 6.4.2</t>
  </si>
  <si>
    <t>VHB; Ziff. 6.2</t>
  </si>
  <si>
    <t>VHB; Ziff. 7</t>
  </si>
  <si>
    <t>VHB; Ziff. 9.1</t>
  </si>
  <si>
    <t>VHB; Ziff. 8.1</t>
  </si>
  <si>
    <t>VHB; Ziff. 8.3</t>
  </si>
  <si>
    <t>VHB; Ziff. 8.4.1</t>
  </si>
  <si>
    <t>VHB; Ziff. 8.2</t>
  </si>
  <si>
    <t>VHB; Ziff. 5</t>
  </si>
  <si>
    <t>VHB; Ziff. 4.1</t>
  </si>
  <si>
    <t>VHB; Ziff. 4.2.2</t>
  </si>
  <si>
    <t>VHB; Ziff. 4.1 / Klausel; HR 0202</t>
  </si>
  <si>
    <t>VHB; Ziff. 5.6.2 / Leistungsübersicht</t>
  </si>
  <si>
    <t>VHB; Ziff. 18.1.3</t>
  </si>
  <si>
    <t>VHB; Ziff. 10.3.1</t>
  </si>
  <si>
    <t>VHB; Ziff. 10.1.1 / Ziff. 10.1.2 / Ziff. 10.1.3</t>
  </si>
  <si>
    <t>VHB; Ziff. 1.2.7 / Ziff. 10.1.5</t>
  </si>
  <si>
    <t>VHB; Ziff. 10.3. / Leistungsübersicht</t>
  </si>
  <si>
    <t>VHB; Ziff. 11.4</t>
  </si>
  <si>
    <t>VHB; Ziff. 11.5.1</t>
  </si>
  <si>
    <t>VHB; Ziff. 11.4 / Leistungsübersicht</t>
  </si>
  <si>
    <t>VHB; Ziff. 11.2</t>
  </si>
  <si>
    <t>BEH; Ziff. 2.1</t>
  </si>
  <si>
    <t>B2; Ziff. 1.1</t>
  </si>
  <si>
    <t>B2; Ziff. 1.2</t>
  </si>
  <si>
    <t>B2; Ziff. 1.3</t>
  </si>
  <si>
    <t>B2; Ziff. 2.1</t>
  </si>
  <si>
    <t>bis 2% der VS
(Bargeld, Wertsachen, optische Geräte max. 500 €)</t>
  </si>
  <si>
    <t>B2; Ziff. 2.2</t>
  </si>
  <si>
    <t>B2; Ziff. 2.2.1 a)</t>
  </si>
  <si>
    <t>bis 2% der VS
(mit Nachtzeitklausel)</t>
  </si>
  <si>
    <t>B2; Ziff. 2.2.1 c)</t>
  </si>
  <si>
    <t>fest verankerte Gartenskulpturen
bis 2% der VS</t>
  </si>
  <si>
    <t>mit Nachtzeitklausel
innerhalb Europas</t>
  </si>
  <si>
    <t>B2; Ziff. 2.3.1 / Ziff. 2.3.2 a)</t>
  </si>
  <si>
    <t>B2; Ziff. 2.3.3</t>
  </si>
  <si>
    <t>bis 2% der VS
(kein Bargeld / Wertsachen)</t>
  </si>
  <si>
    <t>B2; Ziff. 2.4.2</t>
  </si>
  <si>
    <t>B2; Ziff. 4</t>
  </si>
  <si>
    <t>B2; Ziff. 3</t>
  </si>
  <si>
    <t>B2; Ziff. 6.1</t>
  </si>
  <si>
    <t>ja,
max. 12 Monate</t>
  </si>
  <si>
    <t>B2; Ziff. 6.2</t>
  </si>
  <si>
    <t>B2; Ziff. 7.1</t>
  </si>
  <si>
    <t>B2; Ziff. 7.2</t>
  </si>
  <si>
    <t>B2; Ziff. 8.1</t>
  </si>
  <si>
    <t>B2; Ziff. 8.2</t>
  </si>
  <si>
    <t>B2; Ziff. 8.3</t>
  </si>
  <si>
    <t>B2; Ziff. 8.4</t>
  </si>
  <si>
    <t>B2; Ziff. 8.5</t>
  </si>
  <si>
    <t>B2; Ziff. 8.6.5</t>
  </si>
  <si>
    <t>ja 
(für Gemeinschaftstüren bis 1.000 €)</t>
  </si>
  <si>
    <t>B2; Ziff. 9.1</t>
  </si>
  <si>
    <t>B2; Ziff. 9.2</t>
  </si>
  <si>
    <t>B2; Ziff. 10</t>
  </si>
  <si>
    <t>C1; Ziff. 1.4</t>
  </si>
  <si>
    <t>bedingungsgemäß bis 1% der VS
(gemäß Antrag bis 2% der VS)</t>
  </si>
  <si>
    <t>C1; Ziff. 2.2 / Leistungsübersicht</t>
  </si>
  <si>
    <t>C1; Ziff. 8.1</t>
  </si>
  <si>
    <t>C2.</t>
  </si>
  <si>
    <t>C3.</t>
  </si>
  <si>
    <t>C3.; Ziff. 12</t>
  </si>
  <si>
    <t>C3.; Ziff. 1</t>
  </si>
  <si>
    <t>B1; Ziff. 1.1.2</t>
  </si>
  <si>
    <t>B1; Ziff. 1.2.2</t>
  </si>
  <si>
    <t>B1; Ziff. 1.3.2 / Ziff. 1.3.3</t>
  </si>
  <si>
    <t>bis 1% der VS
(Bargeld, Wertsachen, optische Geräte max. 500 €)</t>
  </si>
  <si>
    <t>fest verankerte Gartenskulpturen
bis 1% der VS</t>
  </si>
  <si>
    <t>bis 1% der VS
(kein Bargeld / Wertsachen)</t>
  </si>
  <si>
    <t>B1; Ziff. 2.6.2</t>
  </si>
  <si>
    <t>bis 1% der VS
(Bargeld bis 100 €)</t>
  </si>
  <si>
    <t>B1; Ziff. 2.5.1 / Ziff. 2.5.2 a)</t>
  </si>
  <si>
    <t>B1; Ziff. 2.3.3</t>
  </si>
  <si>
    <t>B1; Ziff. 2.4.1 c)</t>
  </si>
  <si>
    <t>B1; Ziff. 2.4.1 a)</t>
  </si>
  <si>
    <t>B1; Ziff. 2.4</t>
  </si>
  <si>
    <t>B1; Ziff. 2.3</t>
  </si>
  <si>
    <t>B1; Ziff. 2.2</t>
  </si>
  <si>
    <t>B1; Ziff. 2.1</t>
  </si>
  <si>
    <t>B1; Ziff. 1.5</t>
  </si>
  <si>
    <t>B1; Ziff. 2.7 / C4.</t>
  </si>
  <si>
    <t>-keine Zürseinschränkung innerhalb der Elementarschadendeckung
-Einbruch auch über nicht versicherte Räume
-Servicepaket (Schutzbrief) versicherbar bis 250 €</t>
  </si>
  <si>
    <t>B1; Ziff. 3.1.2</t>
  </si>
  <si>
    <t>B1; Ziff. 3.2</t>
  </si>
  <si>
    <t>ja
(auch Terrarien)</t>
  </si>
  <si>
    <t>B1; Ziff. 4</t>
  </si>
  <si>
    <t>B1; Ziff. 5</t>
  </si>
  <si>
    <t>B1; Ziff. 6.1</t>
  </si>
  <si>
    <t>B1; Ziff. 6.2</t>
  </si>
  <si>
    <t>B1; Ziff. 7.1</t>
  </si>
  <si>
    <t>ja, Garagen auch in der politischen Gemeinde des Versicherungsortes</t>
  </si>
  <si>
    <t>B1; Ziff. 7.3</t>
  </si>
  <si>
    <t>B1; Ziff. 8.1</t>
  </si>
  <si>
    <t>B1; Ziff. 8.2</t>
  </si>
  <si>
    <t>B1; Ziff. 8.3</t>
  </si>
  <si>
    <t>B1; Ziff. 8.4</t>
  </si>
  <si>
    <t>B1; Ziff. 8.5</t>
  </si>
  <si>
    <t>B1; Ziff. 8.6</t>
  </si>
  <si>
    <t>B1; Ziff. 8.8</t>
  </si>
  <si>
    <t>max. 10.000 € (20% SB)
bei Schäden &gt; 10.000 €</t>
  </si>
  <si>
    <t>B1; Ziff. 8.9</t>
  </si>
  <si>
    <t>B1; Ziff. 8.10.5</t>
  </si>
  <si>
    <t>B1; Ziff. 9.1</t>
  </si>
  <si>
    <t>B1; Ziff. 9.2</t>
  </si>
  <si>
    <t>B1; Ziff. 10</t>
  </si>
  <si>
    <t>B1; Ziff. 11</t>
  </si>
  <si>
    <t>B1; Ziff. 12</t>
  </si>
  <si>
    <t>VHB; §1, Ziff. 1</t>
  </si>
  <si>
    <t>VHB; §2, Ziff. 1</t>
  </si>
  <si>
    <t>VHB; §3, Ziff. 3</t>
  </si>
  <si>
    <t>VHB, §2, Ziff. 1 d) / B1; Ziff. 1.4</t>
  </si>
  <si>
    <t>VHB; §4, Ziff. 1 a) aa)</t>
  </si>
  <si>
    <t>VHB; §4, Ziff. 1 a) ab)</t>
  </si>
  <si>
    <t>VHB; §4, Ziff. 1 a) ac)</t>
  </si>
  <si>
    <t>VHB; §4, Ziff. 1 b) ba)</t>
  </si>
  <si>
    <t>VHB; §4, Ziff. 1 b) bb)</t>
  </si>
  <si>
    <t>VHB; §4, Ziff. 2 c)</t>
  </si>
  <si>
    <t>VHB; §4, Ziff. 2 b)</t>
  </si>
  <si>
    <t>VHB; §4, Ziff. 2 b) / B1; Ziff. 3.2</t>
  </si>
  <si>
    <t>VHB; §4, Ziff. 3 a) aa)</t>
  </si>
  <si>
    <t>VHB; §5, Ziff. 2</t>
  </si>
  <si>
    <t>VHB; §6, Ziff. 2 a)</t>
  </si>
  <si>
    <t>VHB; §6, Ziff. 2 c) ca)</t>
  </si>
  <si>
    <t>VHB; §6, Ziff. 2 c) cb)</t>
  </si>
  <si>
    <t>VHB; §6, Ziff. 2 c) cc) / B2; Ziff. 5</t>
  </si>
  <si>
    <t>VHB; §6, Ziff. 2 c) cc)</t>
  </si>
  <si>
    <t>VHB; §6, Ziff. 2 c) ce)</t>
  </si>
  <si>
    <t>VHB; §6, Ziff. 2 c) cf)</t>
  </si>
  <si>
    <t>VHB; §6, Ziff. 2 c) cg)</t>
  </si>
  <si>
    <t>VHB; §6, Ziff. 2 c) ch)</t>
  </si>
  <si>
    <t>VHB; §6, Ziff. 2 c) ci)</t>
  </si>
  <si>
    <t>VHB; §6, Ziff. 3 a)</t>
  </si>
  <si>
    <t>VHB; §6, Ziff. 3 b)</t>
  </si>
  <si>
    <t>VHB; §6, Ziff. 3 b) / c) / B1; Ziff. 7.2</t>
  </si>
  <si>
    <t>VHB; §7, Ziff. 2</t>
  </si>
  <si>
    <t>VHB; §8, Ziff. 1 / Ziff. 2</t>
  </si>
  <si>
    <t>VHB; §8, Ziff. 5</t>
  </si>
  <si>
    <t>VHB; §8, Ziff. 5 / B2; Ziff. 8.7</t>
  </si>
  <si>
    <t>VHB; §8, Ziff. 7 / Ziff. 8</t>
  </si>
  <si>
    <t xml:space="preserve">B2; Ziff. 8.8 </t>
  </si>
  <si>
    <t>pauschal 50 € ab einer 
Schadenhöhe &gt; 1.000 €</t>
  </si>
  <si>
    <t>-keine Zürseinschränkung innerhalb der Elementarschadendeckung
-Einbruch auch über nicht versicherte Räume
-Servicepaket (Schutzbrief) inklusive (bis 250 € je Schadenfall)</t>
  </si>
  <si>
    <t>Klausel; HR 0241 / Leistungsübersicht</t>
  </si>
  <si>
    <t xml:space="preserve">Klausel; HR 0231 / HR 0235 / HR 0250/ HR 0227/ Leistungsübersicht
</t>
  </si>
  <si>
    <t>VHB; §11, Ziff. 4</t>
  </si>
  <si>
    <t>B1; Ziff. 8.12</t>
  </si>
  <si>
    <t>VHB; §3, Ziff. 4</t>
  </si>
  <si>
    <t>VHB, §1, Ziff. 2 c)</t>
  </si>
  <si>
    <t>VHB; §9, Ziff. 2 b)</t>
  </si>
  <si>
    <t>VHB; §12, Ziff. 4</t>
  </si>
  <si>
    <t>VHB; §12, Ziff. 1 a)</t>
  </si>
  <si>
    <t>Klauseln; A.8</t>
  </si>
  <si>
    <t>Klauseln; B.2 / Leistungsübersicht</t>
  </si>
  <si>
    <t>Klauseln; C.1</t>
  </si>
  <si>
    <t>Klauseln; C.2</t>
  </si>
  <si>
    <t>Klauseln; D.1.1 / Leistungsübersicht</t>
  </si>
  <si>
    <t>Klauseln; D.1.2 / Leistungsübersicht</t>
  </si>
  <si>
    <t>Klauseln; D.1.3 / Leistungsübersicht</t>
  </si>
  <si>
    <t>Klauseln; D.1.3.1 / Leistungsübersicht</t>
  </si>
  <si>
    <t>bis 500 €
(kein Bargeld/ Wertsachen)
-nicht aus Anhängern-</t>
  </si>
  <si>
    <t>HRB; Ziff. 5.2.1</t>
  </si>
  <si>
    <t>HRB; Ziff. 21.2</t>
  </si>
  <si>
    <t>Klauseln; E / Rechner</t>
  </si>
  <si>
    <t>bis 2% der VS,
nachts, bis 600 € Zeitwert
(nicht aus Anhängern)</t>
  </si>
  <si>
    <t>Klauseln; F / Rechner</t>
  </si>
  <si>
    <t>Klauseln; G / Rechner</t>
  </si>
  <si>
    <t>Klauseln; G.2.1.</t>
  </si>
  <si>
    <t>Klauseln; G.13 / Tarif HR.3.1</t>
  </si>
  <si>
    <t>bis 25.000 € (20% SB)
bei Schäden &gt; 25.000 €</t>
  </si>
  <si>
    <t>Klauseln; I.1 / Leistungsübersicht</t>
  </si>
  <si>
    <t>VHB 2010 
(Stand 01-2012)</t>
  </si>
  <si>
    <t>BB Prima
(Stand 02-2011)</t>
  </si>
  <si>
    <t>BB Prima Plus
(Stand 02-2011)</t>
  </si>
  <si>
    <t>VHB 2011
(Stand 07-2011)</t>
  </si>
  <si>
    <t>VHB 2010
(Stand 01-2010)</t>
  </si>
  <si>
    <t>VHB 2011
(Stand 11-2011)</t>
  </si>
  <si>
    <t>HRB; Ziff. 1.1</t>
  </si>
  <si>
    <t>HRB; Ziff. 1.2.1</t>
  </si>
  <si>
    <t>HRB; Ziff. 1.2.2</t>
  </si>
  <si>
    <t>HRB; Ziff. 1.2.3</t>
  </si>
  <si>
    <t>HRB; Ziff. 1.2.4</t>
  </si>
  <si>
    <t>HRB; Ziff. 1.2.5</t>
  </si>
  <si>
    <t>HRB; Ziff. 1.4.1</t>
  </si>
  <si>
    <t>HRB; Ziff. 1.4.2</t>
  </si>
  <si>
    <t>HRB; Ziff. 2.1.1 / Ziff. 2.1.2</t>
  </si>
  <si>
    <t>HRB; Ziff. 2.1.3</t>
  </si>
  <si>
    <t>HRB; Ziff. 2.1.4</t>
  </si>
  <si>
    <t>HRB; Ziff. 2.1.5</t>
  </si>
  <si>
    <t>HRB; Ziff. 2.1.6</t>
  </si>
  <si>
    <t>HRB; Ziff. 2.1.7</t>
  </si>
  <si>
    <t>HRB; Ziff. 2.1.8 / Ziff. 2.1.9</t>
  </si>
  <si>
    <t>HRB; Ziff. 3.1</t>
  </si>
  <si>
    <t>HRB; Ziff. 4</t>
  </si>
  <si>
    <t>HRB; Ziff. 4.9</t>
  </si>
  <si>
    <t>HRB; Ziff. 3.1.1 / Leistungsübersicht</t>
  </si>
  <si>
    <t>HRB; Ziff. 4.5</t>
  </si>
  <si>
    <t>HRB; Ziff. 4.8</t>
  </si>
  <si>
    <t>HRB; Ziff. 3.3.2 / Ziff. 3.3.3</t>
  </si>
  <si>
    <t>HRB; Ziff. 3.3.4</t>
  </si>
  <si>
    <t>HRB; Ziff. 3.1.1 / Ziff. 4.7</t>
  </si>
  <si>
    <t>HRB; Ziff. 6</t>
  </si>
  <si>
    <t>HRB; Ziff. 5.2</t>
  </si>
  <si>
    <t>HRB; Ziff. 5.4</t>
  </si>
  <si>
    <t>HRB; Ziff. 3.2</t>
  </si>
  <si>
    <t>HRB; Ziff. 8.1</t>
  </si>
  <si>
    <t>HRB; Ziff. 7.1</t>
  </si>
  <si>
    <t>HRB; Ziff. 7.1.1</t>
  </si>
  <si>
    <t>HRB; Ziff. 7.1.2</t>
  </si>
  <si>
    <t>HRB; Ziff. 7.1.3</t>
  </si>
  <si>
    <t>HRB; Ziff. 7.1.4</t>
  </si>
  <si>
    <t>HRB; Ziff. 7.1.6</t>
  </si>
  <si>
    <t>HRB; Ziff. 7.1.7</t>
  </si>
  <si>
    <t>HRB; Ziff. 7.3.1</t>
  </si>
  <si>
    <t>HRB; Ziff. 7.2</t>
  </si>
  <si>
    <t>HRB 01/11
(Stand 01-2011)</t>
  </si>
  <si>
    <t>HRB; Ziff. 22.1.3</t>
  </si>
  <si>
    <t>HRB; Ziff. 10.2</t>
  </si>
  <si>
    <t>HRB; Ziff. 9.2</t>
  </si>
  <si>
    <t>ja,
auch Garagen in der Nähe des
Versicherungsorts</t>
  </si>
  <si>
    <t>ja 
(max. 1 Raum in der versicherten Wohnung)</t>
  </si>
  <si>
    <t>HRB; Ziff. 10.1 / Ziff. 10.6 / Leistungsübersicht</t>
  </si>
  <si>
    <t>HRB; Ziff. 12.2 / Leistungsübersicht</t>
  </si>
  <si>
    <t>HRB; Ziff. 11.1</t>
  </si>
  <si>
    <t>HRB; Ziff. 11.1.3</t>
  </si>
  <si>
    <t>Tarif HR.1</t>
  </si>
  <si>
    <t>HRB; Ziff. 15.6</t>
  </si>
  <si>
    <t>VH 1</t>
  </si>
  <si>
    <t>VH 2</t>
  </si>
  <si>
    <t>Bargeld - 1.000 €
Urkunden - 5.000 € 
Schmuck - 20.000 €</t>
  </si>
  <si>
    <t>VH 7 / Leistungsübersicht</t>
  </si>
  <si>
    <t>120 Tage</t>
  </si>
  <si>
    <t>ja, Garagen auch in 500 Metern Umkreis um den Versicherungsort</t>
  </si>
  <si>
    <t>max. 10.000 € (20% SB)
bei Schäden &gt; 25.000 €</t>
  </si>
  <si>
    <t>nur Mehrkosten durch
Preissteigerungen</t>
  </si>
  <si>
    <t>VH 5 / Leistungsübersicht</t>
  </si>
  <si>
    <t>VH 6.3 / Leistungsübersicht</t>
  </si>
  <si>
    <t>VH 8 / Leistungsübersicht</t>
  </si>
  <si>
    <t>VH 10.3 / Leistungsübersicht</t>
  </si>
  <si>
    <t xml:space="preserve">VH 10.1 / VH 10.2 </t>
  </si>
  <si>
    <t>mit Nachtzeitklausel
innerhalb Europa im geographischen Sinne</t>
  </si>
  <si>
    <t>VH 11.3 / Leistungsübersicht</t>
  </si>
  <si>
    <t>VH 12.1 / Leistungsübersicht</t>
  </si>
  <si>
    <t>VH 13 / Leistungsübersicht</t>
  </si>
  <si>
    <t>VH 14.3 / Leistungsübersicht</t>
  </si>
  <si>
    <t>VH 16.3 / Leistungsübersicht</t>
  </si>
  <si>
    <t>VH 17</t>
  </si>
  <si>
    <t>versichert bis zum 
vereinbarten Betrag</t>
  </si>
  <si>
    <t>VH 35</t>
  </si>
  <si>
    <t>im Rahmen 
der Außenversicherung</t>
  </si>
  <si>
    <t>VH 37 / Leistungsübersicht</t>
  </si>
  <si>
    <t>VH 38.2 / Leistungsübersicht</t>
  </si>
  <si>
    <t>VH 39 / Leistungsübersicht</t>
  </si>
  <si>
    <t>Sengschäden zum Zeitwert,
max. 500 €</t>
  </si>
  <si>
    <t>VH 40</t>
  </si>
  <si>
    <t>VH 41 / Leistungsübersicht</t>
  </si>
  <si>
    <t>VH 42 / Leistungsübersicht</t>
  </si>
  <si>
    <t>VH 43 / Leistungsübersicht</t>
  </si>
  <si>
    <t>VH 44.3 / Leistungsübersicht</t>
  </si>
  <si>
    <t>VH 45</t>
  </si>
  <si>
    <t>VH 47</t>
  </si>
  <si>
    <t>VH 49</t>
  </si>
  <si>
    <t>VH 50 / Leistungsübersicht</t>
  </si>
  <si>
    <t>Sicherungsanlagen
bis 3.000 €</t>
  </si>
  <si>
    <t>VH 51 / Leistungsübersicht</t>
  </si>
  <si>
    <t>VH 52 / Leistungsübersicht</t>
  </si>
  <si>
    <t>VH 15.3 / VH 53 / Leistungsübersicht</t>
  </si>
  <si>
    <t>bis 600 €
(ohne Nachtzeitklausel)</t>
  </si>
  <si>
    <t>VH 3.1 / 3.3 / VH 54 / Leistungsübersicht</t>
  </si>
  <si>
    <t>max. 3 Monate</t>
  </si>
  <si>
    <t>VH 34.1</t>
  </si>
  <si>
    <t>AHR; § 1, Ziff. 1 / VH 9.1</t>
  </si>
  <si>
    <t>AHR; § 1, Ziff. 1</t>
  </si>
  <si>
    <t>AHR; § 2, Ziff. 1 a)</t>
  </si>
  <si>
    <t>AHR; § 2, Ziff. 1 c) / Leistungsübersicht</t>
  </si>
  <si>
    <t>AHR; § 2, Ziff. 1 b)</t>
  </si>
  <si>
    <t>AHR; § 2, Ziff. 1 d)</t>
  </si>
  <si>
    <t>AHR; § 2, Ziff. 1 e)</t>
  </si>
  <si>
    <t>AHR; § 2, Ziff. 1 f)</t>
  </si>
  <si>
    <t>AHR; § 2, Ziff. 1 g)</t>
  </si>
  <si>
    <t>AHR; § 2, Ziff. 1</t>
  </si>
  <si>
    <t>AHR; § 3 , Ziff. 2 a) / b) / Leistungsübersicht</t>
  </si>
  <si>
    <t>AHR; § 3 , Ziff. 2 c)</t>
  </si>
  <si>
    <t>AHR; § 3 , Ziff. 3 a)</t>
  </si>
  <si>
    <t>AHR; § 5 , Ziff. 2</t>
  </si>
  <si>
    <t>AHR; § 6</t>
  </si>
  <si>
    <t>AHR; § 7 , Ziff. 3</t>
  </si>
  <si>
    <t>AHR; § 7 , Ziff. 1 a)</t>
  </si>
  <si>
    <t>AHR; § 7 , Ziff. 1 b)</t>
  </si>
  <si>
    <t>AHR; § 7 , Ziff. 1 c) / d)</t>
  </si>
  <si>
    <t>AHR; § 7 , Ziff. 1 e)</t>
  </si>
  <si>
    <t>AHR; § 7 , Ziff. 2</t>
  </si>
  <si>
    <t>AHR; § 8 , Ziff. 1</t>
  </si>
  <si>
    <t>VH 4 / Leistungsübersicht</t>
  </si>
  <si>
    <t>AHR; § 9, Ziff. 7 / Ziff. 8</t>
  </si>
  <si>
    <t>AHR; § 11, B. Ziff. 1 b)</t>
  </si>
  <si>
    <t>AHR; § 11, B. Ziff. 3 b)</t>
  </si>
  <si>
    <t>AHR; § 11, B. Ziff. 4 a)</t>
  </si>
  <si>
    <t>AHR; § 12, Ziff. 2 / VH 36 / Leistungsübersicht</t>
  </si>
  <si>
    <t>AHR; § 12, Ziff. 2</t>
  </si>
  <si>
    <t>AHR; § 13, Ziff. 2</t>
  </si>
  <si>
    <t>AHR; § 14, Ziff. 2</t>
  </si>
  <si>
    <t>AHR; § 14, Ziff. 1 / Ziff. 6 / Leistungsübersicht</t>
  </si>
  <si>
    <t>AHR; § 21, Ziff. 3</t>
  </si>
  <si>
    <t>AHR; § 20, Ziff. 1 a) / Leistungsübersicht</t>
  </si>
  <si>
    <t>AHR; § 20, Ziff. 5</t>
  </si>
  <si>
    <t>sofern Wohnfläche korrekt angegeben wurde</t>
  </si>
  <si>
    <t>AHR; § 5, Ziff. 2 a)</t>
  </si>
  <si>
    <t>-unbegrenzte Entschädigung</t>
  </si>
  <si>
    <t>AHR; § 12, Ziff. 3 / Leistungsübersicht</t>
  </si>
  <si>
    <t>(Ziff. 1.6.2)</t>
  </si>
  <si>
    <t xml:space="preserve">(Plus-Paket) 10% d. VS + Vorsoge + Anpassung bis zur Beendigung des Studiums (max. bis Vollend. 27. Lj.) </t>
  </si>
  <si>
    <t>Prokundo Komfort</t>
  </si>
  <si>
    <t>Prokundo ExklusivPaket</t>
  </si>
  <si>
    <t>VHB 2012
Stand 01-2012</t>
  </si>
  <si>
    <t>ZB; Ziff. 1.2 / Ziff. 1.3</t>
  </si>
  <si>
    <t>max. 30.000 €, bis 3 Monate nach Ablauf des Versicherungsjahres</t>
  </si>
  <si>
    <t>ZB; Ziff. 2.1 / Ziff. 2.2</t>
  </si>
  <si>
    <t>bis 20% der VS, max. 20.000 €,
max. 6 Monate</t>
  </si>
  <si>
    <t>ZB; Ziff. 3</t>
  </si>
  <si>
    <t>ZB; Ziff. 4.3</t>
  </si>
  <si>
    <t>ZB; Ziff. 5.1</t>
  </si>
  <si>
    <t>bis 1.000 € (nicht Wertsachen + elektronische Geräte)</t>
  </si>
  <si>
    <t>ZB; Ziff. 5.2 / Ziff. 5.3</t>
  </si>
  <si>
    <t>ZB; Ziff. 6.1</t>
  </si>
  <si>
    <t>bis 20% der VS, 
max. 10.000 €</t>
  </si>
  <si>
    <t>ZB; Ziff. 7.3</t>
  </si>
  <si>
    <t>ZB; Ziff. 8.3</t>
  </si>
  <si>
    <t>bis 1.000 € 
(erhöhbar)</t>
  </si>
  <si>
    <t>ZB; Ziff. 9.2</t>
  </si>
  <si>
    <t>ZB; Ziff. 10</t>
  </si>
  <si>
    <t>ZB; Ziff. 11.3</t>
  </si>
  <si>
    <t>ZB; Ziff. 12</t>
  </si>
  <si>
    <t>max. 200 Tage,
bis 3‰ der VS pro Tag</t>
  </si>
  <si>
    <t>ZB; Ziff. 13</t>
  </si>
  <si>
    <t>ZB; Ziff. 14.4</t>
  </si>
  <si>
    <t>ZB; Ziff. 15.2 / Ziff. 15.3</t>
  </si>
  <si>
    <t>ZB; Ziff. 16</t>
  </si>
  <si>
    <t>max. 5.000 € (20% SB)
bei Schäden &gt; 25.000 €</t>
  </si>
  <si>
    <t>ZB; Ziff. 17.6</t>
  </si>
  <si>
    <t>ZB; Ziff. 19.4 / Ziff. 19.5</t>
  </si>
  <si>
    <t>ZB; Ziff. 20.1 / Ziff. 20.5</t>
  </si>
  <si>
    <t>ZB; Ziff. 21</t>
  </si>
  <si>
    <t>ZB; Ziff. 22.2</t>
  </si>
  <si>
    <t>ZB; Ziff. 23.3</t>
  </si>
  <si>
    <t>ZB; Ziff. 24.1 / Ziff. 24.2</t>
  </si>
  <si>
    <t>bis 1.500 €
(mit Nachtzeitklausel)</t>
  </si>
  <si>
    <t>ZB; Ziff. 25.2</t>
  </si>
  <si>
    <t>ZB; Ziff. 26</t>
  </si>
  <si>
    <t>BB; Ziff. 2</t>
  </si>
  <si>
    <t>BB; Ziff. 4.2 / Ziff. 4.3</t>
  </si>
  <si>
    <t>bis 500 € (Wertsachen bis 100 €)
keine optischen/ elektr. Geräte</t>
  </si>
  <si>
    <t>BB; Ziff. 8.2</t>
  </si>
  <si>
    <t>BB; Ziff. 9</t>
  </si>
  <si>
    <t>BB; Ziff. 10.2</t>
  </si>
  <si>
    <t>BB; Ziff. 12.3</t>
  </si>
  <si>
    <t>BB; Ziff. 13</t>
  </si>
  <si>
    <t>ja (auch bei einfachem Diebstahl 
der Schlüssel)</t>
  </si>
  <si>
    <t>BB; Ziff. 15.4 / Ziff. 15.5</t>
  </si>
  <si>
    <t>bis 1.000 €
(250 € SB)</t>
  </si>
  <si>
    <t>BB; Ziff. 18</t>
  </si>
  <si>
    <t>BB; Ziff. 19</t>
  </si>
  <si>
    <t>BB; Ziff. 21.1 a)</t>
  </si>
  <si>
    <t>BB; Ziff. 21.1 b)</t>
  </si>
  <si>
    <t>BB; Ziff. 22.2</t>
  </si>
  <si>
    <t>BB; Ziff. 22.2 / ZB; Ziff. 26</t>
  </si>
  <si>
    <t>BB; Ziff. 23.1 / Ziff. 23.2</t>
  </si>
  <si>
    <t>bis 500 €
(mit Nachtzeitklausel)</t>
  </si>
  <si>
    <t>BB; Ziff. 24</t>
  </si>
  <si>
    <t>BB; Ziff. 25</t>
  </si>
  <si>
    <t>BB; Ziff. 26.2</t>
  </si>
  <si>
    <t xml:space="preserve">-Diebstahl aus Pflege-/ Seniorenheim bis 500 € 
(Wertsachen bis 100 €)
-Hausrat des VN auch in vom VN vermieteten Einliegerwohungen
-Terrassenüberdachung/ Balkonverkleidung bis 500 €
-Wiederbeschaffung privater Dokumente bis 250 €
-Schäden während eines durch eine Möbelspedition durchgeführten Umzugs sind versichert </t>
  </si>
  <si>
    <t>-Diebstahl aus Pflege-/ Seniorenheim bis 500 € 
(Wertsachen bis 100 €)
-Hausrat des VN auch in vom VN vermieteten Einliegerwohungen
-Terrassenüberdachung/ Balkonverkleidung bis 500 €
-Wiederbeschaffung privater Dokumente bis 250 €</t>
  </si>
  <si>
    <t>Rechner / Klauseln</t>
  </si>
  <si>
    <t>zusätzlich versicherbar
(mit Nachtzeitklausel)</t>
  </si>
  <si>
    <t>VHB; § 3, Ziff. 4 c)</t>
  </si>
  <si>
    <t>VHB; § 3, Ziff. 4 a) aa)</t>
  </si>
  <si>
    <t>VHB; § 8, Ziff. 1 e) / BB; Ziff. 14</t>
  </si>
  <si>
    <t>VHB; § 2, Ziff. 1 d) / BB; Ziff. 1</t>
  </si>
  <si>
    <t>VHB; § 6, Ziff. 2 c) cc) / BB; Ziff. 16</t>
  </si>
  <si>
    <t>VHB; § 13, Ziff. 2 a)</t>
  </si>
  <si>
    <t>VHB; § 13, Ziff. 2 b)</t>
  </si>
  <si>
    <t>VHB § 1, Ziff. 1</t>
  </si>
  <si>
    <t>VHB § 2, Ziff. 1</t>
  </si>
  <si>
    <t>VHB § 1, Ziff. 2 b)</t>
  </si>
  <si>
    <t>VHB; § 4 Ziff. 2</t>
  </si>
  <si>
    <t>VHB; § 4 Ziff. 3 a) aa)</t>
  </si>
  <si>
    <t>VHB; § 4 Ziff. 1 a) aa)</t>
  </si>
  <si>
    <t>VHB; § 4 Ziff. 1 a) bb)</t>
  </si>
  <si>
    <t>VHB; § 4 Ziff. 1 a) cc)</t>
  </si>
  <si>
    <t>VHB; § 4 Ziff. 1 b) aa)</t>
  </si>
  <si>
    <t>VHB; § 4 Ziff. 1 b) bb)</t>
  </si>
  <si>
    <t>BEH; § 3</t>
  </si>
  <si>
    <t>BWHE; § 3</t>
  </si>
  <si>
    <t>BEH; § 4 - 9</t>
  </si>
  <si>
    <t>BEH; § 12 c)</t>
  </si>
  <si>
    <t>10% der Schadenhöhe, mind. 300 €, max. 5.000 €(Erdbeben:max. 25.000 €)</t>
  </si>
  <si>
    <t>VHB; § 6, Ziff. 3</t>
  </si>
  <si>
    <t>Garagen auch in der Nähe des
Versicherungsorts</t>
  </si>
  <si>
    <t>VHB; § 6, Ziff. 3 a)</t>
  </si>
  <si>
    <t>VHB; § 7, Ziff. 1 / Ziff. 6</t>
  </si>
  <si>
    <t>bis 10% der VS, max. 10.000 €,
max. 3 Monate</t>
  </si>
  <si>
    <t>VHB; § 8, Ziff. 1 a) / Ziff. 1 b)</t>
  </si>
  <si>
    <t>VHB; § 8, Ziff. 1 c)</t>
  </si>
  <si>
    <t>max. 100 Tage,
bis 1‰ der VS pro Tag</t>
  </si>
  <si>
    <t>VHB; § 8, Ziff. 1 d)</t>
  </si>
  <si>
    <t>VHB; § 8, Ziff. 1 f)</t>
  </si>
  <si>
    <t>VHB; § 8, Ziff. 1 g) / h)</t>
  </si>
  <si>
    <t>VHB; § 8, Ziff. 1 i)</t>
  </si>
  <si>
    <t>VHB; § 15, Ziff. 6</t>
  </si>
  <si>
    <t>VHB; § 11, Ziff. 4 a)</t>
  </si>
  <si>
    <t>VHB; § 9, Ziff. 2 b)</t>
  </si>
  <si>
    <t>VHB; § 12, Ziff. 4</t>
  </si>
  <si>
    <t>VHB; § 9, Ziff. 1 a)</t>
  </si>
  <si>
    <t>-
(max. VS: 150.000 €)</t>
  </si>
  <si>
    <t>24 Stunden
innerhalb EU, Schweiz, Norwegen, Liechtenstein und Island</t>
  </si>
  <si>
    <t>Debeka Basis</t>
  </si>
  <si>
    <t>Debeka Standard</t>
  </si>
  <si>
    <t>Debeka Top</t>
  </si>
  <si>
    <t>-Reguläre SB i.H.v. 100 €</t>
  </si>
  <si>
    <t>Klausel 8710</t>
  </si>
  <si>
    <t>Klausel 8111</t>
  </si>
  <si>
    <t>bis 10 % der VS</t>
  </si>
  <si>
    <t>Bargeld - 2% d. VS, max. 1.000 €
Urkunden - 5% d. VS, max. 2.500 €
Schmuck - 20% d. VS, max. 10.000 €</t>
  </si>
  <si>
    <t>Bargeld - 2% d. VS, max. 1.000 €
Urkunden - 5% d. VS, max. 2.500 €
Schmuck - 20% d. VS, max. 20.000 €</t>
  </si>
  <si>
    <t>Klausel 8010</t>
  </si>
  <si>
    <t>Klausel 8011</t>
  </si>
  <si>
    <t>Klausel 8012</t>
  </si>
  <si>
    <t>Klausel 8013</t>
  </si>
  <si>
    <t>Klausel 8019</t>
  </si>
  <si>
    <t>VHB; B; § 9; Ziff. 2 c)</t>
  </si>
  <si>
    <t>Klausel 8018</t>
  </si>
  <si>
    <t>Klausel 8022</t>
  </si>
  <si>
    <t>Klausel 8024</t>
  </si>
  <si>
    <t>Klausel 8025</t>
  </si>
  <si>
    <t>Klausel 8026</t>
  </si>
  <si>
    <t>VHB; A; § 7</t>
  </si>
  <si>
    <t>max. 6 Monate
15% der VS, max. 10.000 €</t>
  </si>
  <si>
    <t>max. 3 Monate
5% der VS, max. 5.000 €</t>
  </si>
  <si>
    <t>max. 6 Monate
20% der VS, max. 15.000 €</t>
  </si>
  <si>
    <t>ja, Garagen auch im Gebiet mit gleicher PLZ bis 1% der VS</t>
  </si>
  <si>
    <t>ja, Garagen auch im Gebiet mit gleicher PLZ bis 2% der VS</t>
  </si>
  <si>
    <t>VHB; A; § 2; Ziff. 5</t>
  </si>
  <si>
    <t>Klausel 8114</t>
  </si>
  <si>
    <t>bis 50 Tage,
0,5‰ der VS pro Tag</t>
  </si>
  <si>
    <t>bis 150 Tage,
1‰ der VS pro Tag</t>
  </si>
  <si>
    <t>bis 200 Tage,
1‰ der VS pro Tag</t>
  </si>
  <si>
    <t>VHB; A; § 8; Ziff. 1 c)</t>
  </si>
  <si>
    <t>VHB; A; § 8; Ziff. 1 i)</t>
  </si>
  <si>
    <t>Klausel 8014</t>
  </si>
  <si>
    <t>Klausel 8015</t>
  </si>
  <si>
    <t>-Sturm-/ Hagelschäden an Hausrat auf Balkonen, Loggien, Terrassen bis 250 €
-Verpflegungskosten für private Helfer im Schadenfall bis 100 €
-Wegegeld zur Wiederbeschaffung von Dokumenten bis 25 €</t>
  </si>
  <si>
    <t>-Sturm-/ Hagelschäden an Hausrat auf Balkonen, Loggien, Terrassen bis 500 €
-Verpflegungskosten für private Helfer im Schadenfall bis 150 €
-Wegegeld zur Wiederbeschaffung von Dokumenten bis 50 €</t>
  </si>
  <si>
    <t>Klausel 8027 / 8016 / 8017</t>
  </si>
  <si>
    <t>Klausel 8020</t>
  </si>
  <si>
    <t>Klausel 8112</t>
  </si>
  <si>
    <t>VHB; A; § 8; Ziff. 1 d)</t>
  </si>
  <si>
    <t>VHB; A; § 8; Ziff. 1 f)</t>
  </si>
  <si>
    <t>bis 24 h</t>
  </si>
  <si>
    <t>Klausel 8110</t>
  </si>
  <si>
    <t>zusätzlich versicherbar
mit 100 € SB
(ohne Nachtzeitklausel)</t>
  </si>
  <si>
    <t>Klausel 8110; Ziff. 7</t>
  </si>
  <si>
    <t>Klausel 8112; Ziff. 3</t>
  </si>
  <si>
    <t>bis 1% der VS
(keine Wertsachen + elektr. Geräte)
-nicht aus Anhängern-</t>
  </si>
  <si>
    <t>bis 1% der VS
(aus gemeinschaftlich genutzen Räumen)</t>
  </si>
  <si>
    <t>bis 1% der VS (aus gemeinschaftlich genutzen Räumen)</t>
  </si>
  <si>
    <t>Klausel 8011; Ziff. 3</t>
  </si>
  <si>
    <t>Klausel 8014; Ziff. 4</t>
  </si>
  <si>
    <t>bis 15% der VS, soweit ausschließlich
über versicherte Wohnung 
zu betreten</t>
  </si>
  <si>
    <t>bis 10% der VS, soweit ausschließlich
über versicherte Wohnung 
zu betreten</t>
  </si>
  <si>
    <t>Klausel 8015; Ziff. 3</t>
  </si>
  <si>
    <t>Klausel 8019; Ziff. 3</t>
  </si>
  <si>
    <t>Klausel 8020; Ziff. 2 / Ziff. 5</t>
  </si>
  <si>
    <t>Klausel 8021; Ziff. 2</t>
  </si>
  <si>
    <t>Klausel 8022; Ziff. 2</t>
  </si>
  <si>
    <t>Klausel 8024; Ziff. 2</t>
  </si>
  <si>
    <t>VHB; A; § 17, Ziff. 1 c) / Klausel 8025</t>
  </si>
  <si>
    <t>VHB; A; § 5; Ziff. 2</t>
  </si>
  <si>
    <t>VHB; A; § 2, Ziff. 1</t>
  </si>
  <si>
    <t>VHB; A; § 2, Ziff. 4</t>
  </si>
  <si>
    <t>VHB; A; § 2, Ziff. 6 b)</t>
  </si>
  <si>
    <t>VHB; A; § 2; Ziff. 1 d)</t>
  </si>
  <si>
    <t>VHB; A; § 1, Ziff. 2</t>
  </si>
  <si>
    <t>VHB; A; § 3, Ziff. 3</t>
  </si>
  <si>
    <t>VHB; A; § 3, Ziff. 4</t>
  </si>
  <si>
    <t>VHB; A; § 3, Ziff. 4.3</t>
  </si>
  <si>
    <t>VHB; A; § 3, Ziff. 4.1 a)</t>
  </si>
  <si>
    <t>BWE; § 2 a)</t>
  </si>
  <si>
    <t>BWE; § 12 / Leistungsübersicht</t>
  </si>
  <si>
    <t>500 € (bei Überschwemmung, Rück-stau, Erdbeben 1% d.VS, max.2.500 €)</t>
  </si>
  <si>
    <t>VHB; A; § 4; Ziff. 1.1 a)</t>
  </si>
  <si>
    <t>VHB; A; § 4; Ziff. 1.1 b)</t>
  </si>
  <si>
    <t>VHB; A; § 4; Ziff. 1.1 c)</t>
  </si>
  <si>
    <t>VHB; A; § 4; Ziff. 1.2 b)</t>
  </si>
  <si>
    <t>VHB; A; § 4; Ziff. 2</t>
  </si>
  <si>
    <t>VHB; A; § 4; Ziff. 3.1 a) / Klausel 8114</t>
  </si>
  <si>
    <t>VHB; A; § 4; Ziff. 3.1 b)</t>
  </si>
  <si>
    <t>VHB; A; § 6; Ziff. 2.1</t>
  </si>
  <si>
    <t>VHB; A; § 6; Ziff. 2.3 a)</t>
  </si>
  <si>
    <t>VHB; A; § 6; Ziff. 2.3 b)</t>
  </si>
  <si>
    <t>VHB; A; § 6; Ziff. 2.3 c)</t>
  </si>
  <si>
    <t>VHB; A; § 6; Ziff. 2.3 e)</t>
  </si>
  <si>
    <t>VHB; A; § 6; Ziff. 2.3 f)</t>
  </si>
  <si>
    <t>VHB; A; § 6; Ziff. 2.3 g)</t>
  </si>
  <si>
    <t>VHB; A; § 6; Ziff. 2.3 h)</t>
  </si>
  <si>
    <t>VHB; A; § 6; Ziff. 2.3 i)</t>
  </si>
  <si>
    <t>VHB; A; § 13; Ziff. 1.1</t>
  </si>
  <si>
    <t>VHB; A; § 13; Ziff. 1.2 a) / b) / c)</t>
  </si>
  <si>
    <t>VHB; A; § 6; Ziff. 3 b)</t>
  </si>
  <si>
    <t xml:space="preserve">VHB; A; § 6; Ziff. 3 a) / c) / d) </t>
  </si>
  <si>
    <t>VHB; A; § 7, Ziff. 1 / Ziff. 6</t>
  </si>
  <si>
    <t>VHB; A; § 7; Ziff. 2</t>
  </si>
  <si>
    <t>VHB; A; § 8; Ziff. 1 a) / b)</t>
  </si>
  <si>
    <t>VHB; A; § 8; Ziff. 1 e)</t>
  </si>
  <si>
    <t>VHB; A; § 15; Ziff. 6</t>
  </si>
  <si>
    <t>VHB; A; § 12; Ziff. 1 a)</t>
  </si>
  <si>
    <t>VHB; A; § 12; Ziff. 5</t>
  </si>
  <si>
    <t>VHB; A; § 9; Ziff. 2 b)</t>
  </si>
  <si>
    <t>Homepage</t>
  </si>
  <si>
    <t>VHB; B; § 11; Ziff. 4 a)</t>
  </si>
  <si>
    <t>VHB 2008 
(04-2012)</t>
  </si>
  <si>
    <t>VHB 2011 
(07-2011)</t>
  </si>
  <si>
    <t>KT2012HR 
(01-2012)</t>
  </si>
  <si>
    <t>VHB 2008 
(07-2011)</t>
  </si>
  <si>
    <t>VHB 2008 
(01-2009)</t>
  </si>
  <si>
    <t>VHB 2011 
(01-2011)</t>
  </si>
  <si>
    <t>VHB 2010 
(01-2012)</t>
  </si>
  <si>
    <t>VHB 2000 
(10-2001)</t>
  </si>
  <si>
    <t>VHB 2010 
(06-2010)</t>
  </si>
  <si>
    <t>VHB 2008 
(01-2008)</t>
  </si>
  <si>
    <t>VHB 2008 
(07-2008)</t>
  </si>
  <si>
    <t>VHB; A; § 16; Ziff. 1</t>
  </si>
  <si>
    <t>Itzehoer Basis</t>
  </si>
  <si>
    <t>Itzehoer Plus</t>
  </si>
  <si>
    <t>Itzehoer Extra Plus</t>
  </si>
  <si>
    <t>zusätzlich versicherbar 
(ohne Nachtzeitklausel)
bis 500 €</t>
  </si>
  <si>
    <t>Klausel 7110; Ziff. 5</t>
  </si>
  <si>
    <t>Klausel 7111; Ziff. 2</t>
  </si>
  <si>
    <t>Klausel 7151</t>
  </si>
  <si>
    <t>bis 300 €
(Bargeld bis 50 €)
max. 100 Tage</t>
  </si>
  <si>
    <t>Klausel 7152</t>
  </si>
  <si>
    <t>Klausel 7152; Ziff. 2</t>
  </si>
  <si>
    <t>Klausel 7153</t>
  </si>
  <si>
    <t>bis 300 €
(mit Nachtzeitklausel)</t>
  </si>
  <si>
    <t>Rollatoren bis 300 €
(mit Nachtzeitklausel)</t>
  </si>
  <si>
    <t>Klausel 7154</t>
  </si>
  <si>
    <t>Klausel 7154; Ziff. 1</t>
  </si>
  <si>
    <t>Klausel 7154; Ziff. 2 / Ziff. 3</t>
  </si>
  <si>
    <t>bis 500 €
(keine Wertsachen)
-nicht aus Anhängern-</t>
  </si>
  <si>
    <t>Klausel 7155</t>
  </si>
  <si>
    <t>Klausel 7155; Ziff. 3</t>
  </si>
  <si>
    <t>Klausel 7155; Ziff. 1 a) / Ziff. 3</t>
  </si>
  <si>
    <t>Klausel 7156</t>
  </si>
  <si>
    <t>ja,
keine Wasserfahrzeuge</t>
  </si>
  <si>
    <t>VHB; B;  § 2 d) / Klausel 7156</t>
  </si>
  <si>
    <t>Klausel 7157</t>
  </si>
  <si>
    <t>Klausel 7157; Ziff. 3</t>
  </si>
  <si>
    <t>Klausel 7158</t>
  </si>
  <si>
    <t>Klausel 7158; Ziff. 2</t>
  </si>
  <si>
    <t>bis 500 €
(an Möbeln und Fußbodenbelägen)</t>
  </si>
  <si>
    <t>Klausel 7160</t>
  </si>
  <si>
    <t>Klausel 7610</t>
  </si>
  <si>
    <t>ab VS 110.000 €</t>
  </si>
  <si>
    <t>VHB; B;  § 1; Ziff. 2</t>
  </si>
  <si>
    <t>VHB; B;  § 1; Ziff. 2 c)</t>
  </si>
  <si>
    <t>VHB; B;  § 2</t>
  </si>
  <si>
    <t>VHB; B;  § 2, Ziff. 1</t>
  </si>
  <si>
    <t>VHB; B;  § 1, Ziff. 1</t>
  </si>
  <si>
    <t>AGIB</t>
  </si>
  <si>
    <t>BEH</t>
  </si>
  <si>
    <t>VHB; B;  § 3; Ziff. 3</t>
  </si>
  <si>
    <t>VHB; B;  § 3; Ziff. 4</t>
  </si>
  <si>
    <t>VHB; B;  § 3; Ziff. 4 c)</t>
  </si>
  <si>
    <t>VHB; B;  § 3; Ziff. 4 a) aa)</t>
  </si>
  <si>
    <t>BEH; § 12</t>
  </si>
  <si>
    <t>VHB; B;  § 4; Ziff. 1 a) aa)</t>
  </si>
  <si>
    <t>VHB; B;  § 4; Ziff. 1 a) bb)</t>
  </si>
  <si>
    <t>VHB; B;  § 4; Ziff. 1 a) cc)</t>
  </si>
  <si>
    <t>VHB; B;  § 4; Ziff. 1 b) aa)</t>
  </si>
  <si>
    <t>VHB; B;  § 4; Ziff. 1 b) bb)</t>
  </si>
  <si>
    <t>VHB; B;  § 5; Ziff. 2</t>
  </si>
  <si>
    <t>VHB; B;  § 4; Ziff. 3 a) aa)</t>
  </si>
  <si>
    <t>VHB; B;  § 4; Ziff. 2</t>
  </si>
  <si>
    <t>VHB; B;  § 6; Ziff. 2 a)</t>
  </si>
  <si>
    <t>VHB; B;  § 6; Ziff. 2 c) aa)</t>
  </si>
  <si>
    <t>VHB; B;  § 6; Ziff. 2 c) bb)</t>
  </si>
  <si>
    <t>VHB; B;  § 6; Ziff. 2 c) ii)</t>
  </si>
  <si>
    <t>VHB; B;  § 6; Ziff. 2 c) ee)</t>
  </si>
  <si>
    <t>VHB; B;  § 6; Ziff. 2 c) ff)</t>
  </si>
  <si>
    <t>VHB; B;  § 6; Ziff. 2 c) gg)</t>
  </si>
  <si>
    <t>VHB; B;  § 6; Ziff. 2 c) hh)</t>
  </si>
  <si>
    <t>VHB; B;  § 6; Ziff. 2 c) cc)</t>
  </si>
  <si>
    <t>VHB; B;  § 13; Ziff. 2 a)</t>
  </si>
  <si>
    <t>VHB; B;  § 13; Ziff. 2 b)</t>
  </si>
  <si>
    <t>Bargeld - 1.000 €
Urkunden - 2.500 €
Schmuck - 25.000 €</t>
  </si>
  <si>
    <t>VHB; B;  § 9; Ziff. 2 b)</t>
  </si>
  <si>
    <t>VHB; B;  § 9; Ziff. 1 a)</t>
  </si>
  <si>
    <t>VHB; B;  § 11; Ziff. 4 a)</t>
  </si>
  <si>
    <t>VHB; B;  § 12; Ziff. 4</t>
  </si>
  <si>
    <t>VHB; B;  § 17 Ziff. 1 c)</t>
  </si>
  <si>
    <t>VHB; B;  § 6 Ziff. 3</t>
  </si>
  <si>
    <t>VHB; B;  § 6 Ziff. 3 b)</t>
  </si>
  <si>
    <t>VHB; B;  § 6 Ziff. 3 a)</t>
  </si>
  <si>
    <t>VHB; B;  § 7 Ziff. 1 / Ziff. 6</t>
  </si>
  <si>
    <t>bis 10% der VS, max. 15.000 €,
max. 100 Tage</t>
  </si>
  <si>
    <t>VHB; B;  § 7 Ziff. 2</t>
  </si>
  <si>
    <t>VHB; B;  § 8; Ziff. 1 a) / b)</t>
  </si>
  <si>
    <t>VHB; B;  § 8; Ziff. 1 f)</t>
  </si>
  <si>
    <t>VHB; B;  § 8; Ziff. 1 c)</t>
  </si>
  <si>
    <t>VHB; B;  § 8; Ziff. 1 d)</t>
  </si>
  <si>
    <t>VHB; B;  § 8; Ziff. 1 e)</t>
  </si>
  <si>
    <t>VHB; B;  § 8; Ziff. 1 g) / h)</t>
  </si>
  <si>
    <t>VHB; B;  § 8; Ziff. 1 i)</t>
  </si>
  <si>
    <t>VHB; B;  § 15; Ziff. 6</t>
  </si>
  <si>
    <t>VHB; B;  § 6; Ziff. 4 g)</t>
  </si>
  <si>
    <t>VHB; B;  § 27; Ziff. 1 c)</t>
  </si>
  <si>
    <t>10 % der Schadenhöhe, 
mind. 250 €, max. 1.000 €</t>
  </si>
  <si>
    <t>10% der Schadenhöhe,
mind. 500 €</t>
  </si>
  <si>
    <t>10% der Schadenhöhe,
mind. 250 €, max. 5.000 €</t>
  </si>
  <si>
    <t>10%, mind. 250 €, max. 5.000 € 
Erdbeben: mind. 250 €, max. 25.000 €</t>
  </si>
  <si>
    <t>10% der Schadenhöhe,
mind. 250 €, max. 2.500 €</t>
  </si>
  <si>
    <t>10% der Schadenhöhe,
mind. 500 €, max. 4.500 €</t>
  </si>
  <si>
    <t>1% der Schadenhöhe,
mind. 500 €, max. 5.000 €</t>
  </si>
  <si>
    <t>10% der Schadenhöhe,
mind. 500 €, max. 5.000 €</t>
  </si>
  <si>
    <t>10% der Schadenhöhe,
mind. 500 €, max. 2.500 €</t>
  </si>
  <si>
    <t>korrekte Wohnfläche + bei VS= 705 € pro qm oder bei Schäden &lt; 1.000 €</t>
  </si>
  <si>
    <t>VHB; B;  § 9; Ziff. 4 / Homepage</t>
  </si>
  <si>
    <t>bis 300 € (Bargeld bis 50 €)
(bis 500 gemäß Leistungsübersicht)
max. 100 Tage</t>
  </si>
  <si>
    <t>Klausel 7151 / Homepage</t>
  </si>
  <si>
    <t>VHB; B;  § 13; Ziff. 2 a) / Homepage</t>
  </si>
  <si>
    <t>bis 20% der VS (bis 25% der VS gemäß Leistungsübersicht)</t>
  </si>
  <si>
    <t>bis 500 €
(erhöhbar bis 3.000 €)</t>
  </si>
  <si>
    <t>Klausel 7159 / Homepage</t>
  </si>
  <si>
    <t>-
(zusätzlich versicherbar bis 2.500 €)</t>
  </si>
  <si>
    <t>VHB; B;  § 8; Ziff. 1 c) / Homepage</t>
  </si>
  <si>
    <t>max. 100 Tage, bis 1‰ d. VS pro Tag
(gem. LÜ max. 200 Tage und 2‰)</t>
  </si>
  <si>
    <t>Archiv</t>
  </si>
  <si>
    <t>nat. suisse Ideal-Schutz
(Stand 01-2008)</t>
  </si>
  <si>
    <t>bis 100 Tage
75 € pro Tag</t>
  </si>
  <si>
    <t>bis 1.000 €
bei Schäden &gt; 10.000 €</t>
  </si>
  <si>
    <t>bis 5.000 €
bei Schäden &gt; 10.000 €</t>
  </si>
  <si>
    <t>bis 10.000 €,
max. 12 Monate</t>
  </si>
  <si>
    <t>bis 20.000 €,
max. 12 Monate</t>
  </si>
  <si>
    <t>BB Premium 2012</t>
  </si>
  <si>
    <t>VHB 2012 / BB Premium
(01-2012)</t>
  </si>
  <si>
    <t>VHB 2012 / BB Komfort
(01-2012)</t>
  </si>
  <si>
    <t>VHB; A; Ziff. 2.1 d) / BB Premium</t>
  </si>
  <si>
    <t>-nicht montierte Sommer-/ Winterreifen/ Dachboxen bis 500 €
-Beruflich bedingter Zweitwohnsitz bis 15.000 €
-Haus- und Wohnungs-Hotline
(Handwerker-Service)</t>
  </si>
  <si>
    <t>-nicht montierte Sommer-/ Winterreifen/ Dachboxen bis 500 €
-Haus- und Wohnungs-Hotline
(Handwerker-Service)</t>
  </si>
  <si>
    <t>VHB; A; Ziff. 6.2 c) cc) / BB Premium</t>
  </si>
  <si>
    <t>VHB; A; Ziff. 6.3 b)</t>
  </si>
  <si>
    <t>VHB; A; Ziff. 6.3 / BB Premium</t>
  </si>
  <si>
    <t>BB Komfort 2012</t>
  </si>
  <si>
    <t>VHB; A; Ziff. 2.1 d) / BB Komfort</t>
  </si>
  <si>
    <t>nur Kinderspiel- und Sportgeräte 
bis 3.000 €</t>
  </si>
  <si>
    <t>nur Kinderspiel- und Sportgeräte 
bis 1.000 €</t>
  </si>
  <si>
    <t>bis 3.000 €
(eingeschränkte Nachtzeitklausel)</t>
  </si>
  <si>
    <t>bis 500 €
(eingeschränkte Nachtzeitklausel)</t>
  </si>
  <si>
    <t>VHB; A; Ziff. 6.2 c) cc) / BB Komfort</t>
  </si>
  <si>
    <t>bis 5.000 €
(aufgrund Nässeschaden)</t>
  </si>
  <si>
    <t>bis 1.000 €
(aufgrund Nässeschaden)</t>
  </si>
  <si>
    <t>VHB; A; Ziff. 7.6 a) / BB Komfort</t>
  </si>
  <si>
    <t>VHB; A; Ziff. 6.3 / BB Komfort</t>
  </si>
  <si>
    <t>VHB; A; Ziff. 8.1 c)</t>
  </si>
  <si>
    <t>VHB; A; Ziff. 8.1 g) / h)</t>
  </si>
  <si>
    <t>VHB; A; Ziff. 8.1 e)</t>
  </si>
  <si>
    <t>VHB; A; Ziff. 8.1 i)</t>
  </si>
  <si>
    <t>VHB; A; Ziff. 8.1 f)</t>
  </si>
  <si>
    <t>VHB; A; Ziff. 8.1 a) / b)</t>
  </si>
  <si>
    <t>VHB; A; Ziff. 5.3</t>
  </si>
  <si>
    <t>VHB; A; Ziff. 5.5 / Tarif</t>
  </si>
  <si>
    <t>VHB; A; Ziff. 5.2 a)</t>
  </si>
  <si>
    <t>VHB; A; Ziff. 3.4 a) aa)</t>
  </si>
  <si>
    <t>VHB; A; Ziff. 3.3 / BB Premium</t>
  </si>
  <si>
    <t>VHB; A; Ziff. 3.3 / BB Komfort</t>
  </si>
  <si>
    <t>VHB; A; Ziff. 3.4</t>
  </si>
  <si>
    <t>VHB; A; Ziff. 3.4 c)</t>
  </si>
  <si>
    <t>technische, optische und akustische Sicherungsanlagen</t>
  </si>
  <si>
    <t>technische, optische u. akustische Sicherungsanlagen bis 1.000 €</t>
  </si>
  <si>
    <t>VHB; A; Ziff. 6.3 a)</t>
  </si>
  <si>
    <t>VHB; A; Ziff. 6.3 c) aa)</t>
  </si>
  <si>
    <t>VHB; A; Ziff. 6.3 c) bb)</t>
  </si>
  <si>
    <t>VHB; A; Ziff. 6.3 c) ii)</t>
  </si>
  <si>
    <t>VHB; A; Ziff. 6.3 c) ee)</t>
  </si>
  <si>
    <t>VHB; A; Ziff. 6.3 c) ff)</t>
  </si>
  <si>
    <t>VHB; A; Ziff. 6.3 c) gg)</t>
  </si>
  <si>
    <t>VHB; A; Ziff. 6.3 c) hh)</t>
  </si>
  <si>
    <t>VHB; A; Ziff. 6.4 c)</t>
  </si>
  <si>
    <t>VHB; A; Ziff. 13.2 b)</t>
  </si>
  <si>
    <t>bei &gt; 200.000 € Höchstentschädi-gung u. &gt; 50.000 € Wertsachenanteil</t>
  </si>
  <si>
    <t>VHB; A; Ziff. 13.2 a) / Tarif</t>
  </si>
  <si>
    <t>je nach gewählter  Höchstentschä-digung bis 50.000 € oder 100.000 €</t>
  </si>
  <si>
    <t>Höchstentschädigung je nach Wahl bis 200.000 € oder 400.000 €</t>
  </si>
  <si>
    <t>VHB; A; Ziff. 9.1 a) / Tarif</t>
  </si>
  <si>
    <t>VHB; A; Ziff. 12.4</t>
  </si>
  <si>
    <t>VHB; A; Ziff. 9.2 a) aa) / Ziff. 12.5.2</t>
  </si>
  <si>
    <t>max. 2 Monate</t>
  </si>
  <si>
    <t>VHB; A; Ziff. 9.2 b) / Ziff. 11.4 a)</t>
  </si>
  <si>
    <t>VHB; A; Ziff. 7.2</t>
  </si>
  <si>
    <t>VHB; A; Ziff. 1.1</t>
  </si>
  <si>
    <t>VHB; A; Ziff. 2.1</t>
  </si>
  <si>
    <t>VHB; A; Ziff. 1.2</t>
  </si>
  <si>
    <t>VHB; A; Ziff. 1.2 c)</t>
  </si>
  <si>
    <t>VHB; A; Ziff. 4.2</t>
  </si>
  <si>
    <t>VHB; A; Ziff. 4.3 a) aa)</t>
  </si>
  <si>
    <t>VHB; A; Ziff. 4.1 a) aa)</t>
  </si>
  <si>
    <t>VHB; A; Ziff. 4.1 b) aa)</t>
  </si>
  <si>
    <t>VHB; A; Ziff. 4.1 a) bb)</t>
  </si>
  <si>
    <t>VHB; A; Ziff. 4.1 a) cc)</t>
  </si>
  <si>
    <t>VHB; A; Ziff. 4.1 b) bb)</t>
  </si>
  <si>
    <t>Provinzial Top
(Stand 07-2008)</t>
  </si>
  <si>
    <t>Provinzial Kompakt</t>
  </si>
  <si>
    <t>Provinzial Rundumschutz</t>
  </si>
  <si>
    <t>Provinzial Rundum inkl. Plus</t>
  </si>
  <si>
    <t>10% der VS,
max. 3 Monate</t>
  </si>
  <si>
    <t>10% der VS,
max. 6 Monate</t>
  </si>
  <si>
    <t>bis 100 Tage
50 € pro Tag</t>
  </si>
  <si>
    <t>Bargeld - 1.500 €
Urkunden - 4.000 €
Schmuck - 21.000 €</t>
  </si>
  <si>
    <t>Bargeld - 3.000 €
Urkunden - 4.000 €
Schmuck - 21.000 €</t>
  </si>
  <si>
    <t>Luftfahrzeuge und deren Teile</t>
  </si>
  <si>
    <t>auch an Leitungswasser führenden 
Haushaltsgeräten</t>
  </si>
  <si>
    <t>ja
bei Schäden &gt;25.000 €</t>
  </si>
  <si>
    <t>bis 6.000 €</t>
  </si>
  <si>
    <t>bis 600 €
(nicht Überwachungseinrichtungen)</t>
  </si>
  <si>
    <t>bis 600 €
(Krankenfahrstühle mit Hilfsmotor über Baustein "Fahrraddiebstahl" versicherbar)</t>
  </si>
  <si>
    <t>Einschluss nicht möglich</t>
  </si>
  <si>
    <t>zusätzlich versicherbar
von 600 € bis 5.000 €
(ohne Nachtzeitklausel)</t>
  </si>
  <si>
    <t>VHB 2012 Plus-Paket
(Stand 04-2012)</t>
  </si>
  <si>
    <t>VHB Rundum; Ziff. 1</t>
  </si>
  <si>
    <t>VHB Rundum; Ziff. 2</t>
  </si>
  <si>
    <t>VHB; Ziff. 2.1.7</t>
  </si>
  <si>
    <t>VHB; Ziff. 2.1.7 / VHB Rundum; Ziff. 3</t>
  </si>
  <si>
    <t>VHB Rundum; Ziff. 4</t>
  </si>
  <si>
    <t>ja 
(in der versicherten Wohnung)</t>
  </si>
  <si>
    <t>VHB; Ziff. 9.2.2</t>
  </si>
  <si>
    <t>VHB; Ziff. 11.1 / Ziff. 11.4</t>
  </si>
  <si>
    <t>VHB; Ziff. 11.4 / VHB Rundum; Ziff. 5</t>
  </si>
  <si>
    <t>VHB Rundum; Ziff. 7</t>
  </si>
  <si>
    <t>VHB Rundum; Ziff. 8</t>
  </si>
  <si>
    <t>VHB Rundum; Ziff. 9</t>
  </si>
  <si>
    <t xml:space="preserve">bis 600 € (Sengschäden an Möbeln und Fußbodenbelägen) </t>
  </si>
  <si>
    <t>VHB; Ziff. 3.1.1 / VHB Rundum; Ziff. 10</t>
  </si>
  <si>
    <t>VHB; Ziff. 3.1.1</t>
  </si>
  <si>
    <t>VHB Rundum; Ziff. 11</t>
  </si>
  <si>
    <t>VHB Rundum; Ziff. 12</t>
  </si>
  <si>
    <t>VHB; Ziff. 7.2.1 / VHB Rundum; Ziff. 13</t>
  </si>
  <si>
    <t>VHB; Ziff. 7.2.1</t>
  </si>
  <si>
    <t>VHB Rundum; Ziff. 14</t>
  </si>
  <si>
    <t>VHB Rundum; Ziff. 15</t>
  </si>
  <si>
    <t>VHB Rundum; Ziff. 15 / HR 006</t>
  </si>
  <si>
    <t>VHB Rundum; Ziff. 16</t>
  </si>
  <si>
    <t>VHB Rundum; Ziff. 17</t>
  </si>
  <si>
    <t>VHB Rundum; Ziff. 18</t>
  </si>
  <si>
    <t>VHB Rundum; Ziff. 19</t>
  </si>
  <si>
    <t>bis 600 €
(keine Wertsachen/ elektr. Geräte)
-nicht aus Anhängern-</t>
  </si>
  <si>
    <t>VHB Rundum; Ziff. 20</t>
  </si>
  <si>
    <t>bis 600 €
(Bargeld bis 100 €)</t>
  </si>
  <si>
    <t>VHB Plus; Ziff. 1</t>
  </si>
  <si>
    <t>VHB; Ziff. 30.1</t>
  </si>
  <si>
    <t>VHB Plus; Ziff. 2</t>
  </si>
  <si>
    <t>VHB Plus; Ziff. 3</t>
  </si>
  <si>
    <t>VHB; Ziff. 2.1.6</t>
  </si>
  <si>
    <t>VHB; Ziff. 1.3.2 / VHB Plus; Ziff. 4</t>
  </si>
  <si>
    <t>VHB; Ziff. 1.3.2</t>
  </si>
  <si>
    <t>VHB Plus; Ziff. 5</t>
  </si>
  <si>
    <t>VHB; Ziff. 1.4.4</t>
  </si>
  <si>
    <t>VHB Plus; Ziff. 6</t>
  </si>
  <si>
    <t>VHB Plus; Ziff. 7</t>
  </si>
  <si>
    <t>während eines Studiums des Kindes
bis 10% der VS (max. bis 27. Lj)</t>
  </si>
  <si>
    <t>VHB Plus; Ziff. 8</t>
  </si>
  <si>
    <t>VHB; Ziff. 11.1</t>
  </si>
  <si>
    <t>VHB Plus; Ziff. 11</t>
  </si>
  <si>
    <t>VHB Plus; Ziff. 12</t>
  </si>
  <si>
    <t>Diebstahl aus Räumen in Gebäuden
bis 600 €
(Bargeld bis 100 €)</t>
  </si>
  <si>
    <t>VHB Plus; Ziff. 13</t>
  </si>
  <si>
    <t>VHB Plus; Ziff. 14</t>
  </si>
  <si>
    <t>VHB Plus; Ziff. 15</t>
  </si>
  <si>
    <t>VHB Plus; Ziff. 16</t>
  </si>
  <si>
    <t>HR 006</t>
  </si>
  <si>
    <t>BEH 2012; Ziff. 3 / HE 002 /
VHB Rundum; Ziff. 6 / 
VHB Plus; Ziff. 9</t>
  </si>
  <si>
    <t>BEH 2012; Ziff. 3 / HE 002 /
VHB Rundum; Ziff. 6</t>
  </si>
  <si>
    <t>BEH 2012; Ziff. 9.2</t>
  </si>
  <si>
    <t>BEH 2012; Ziff. 9</t>
  </si>
  <si>
    <t>BEH 2012; Ziff. 10 - 15</t>
  </si>
  <si>
    <t>VHB; Ziff. 1.4.1</t>
  </si>
  <si>
    <t>VHB; Ziff. 1.4.2</t>
  </si>
  <si>
    <t>VHB; Ziff. 1.4.3</t>
  </si>
  <si>
    <t>VHB; Ziff. 1.6.1</t>
  </si>
  <si>
    <t>VHB; Ziff. 1.6.2</t>
  </si>
  <si>
    <t>VHB; Ziff. 1.7.1</t>
  </si>
  <si>
    <t>VHB; Ziff. 1.7.2</t>
  </si>
  <si>
    <t>VHB; Ziff. 2.1.1 / Ziff. 2.1.2</t>
  </si>
  <si>
    <t>VHB; Ziff. 2.1.3</t>
  </si>
  <si>
    <t>VHB; Ziff. 2.1.5</t>
  </si>
  <si>
    <t>VHB; Ziff. 2.1.8</t>
  </si>
  <si>
    <t>VHB; Ziff. 2.1.9 / Ziff. 2.1.10</t>
  </si>
  <si>
    <t>VHB; Ziff. 2.2</t>
  </si>
  <si>
    <t>Präsentation</t>
  </si>
  <si>
    <t>-Elementarschäden im Keller max. bis 6.000 € (1.000 € SB) - Einschränkung gegen Mehrbeitrag abwählbar
-berufl. Zweitwohnsitz bis 10% der VS</t>
  </si>
  <si>
    <t>-Elementarschäden im Keller max. bis 6.000 € (1.000 € SB) - Einschränkung gegen Mehrbeitrag abwählbar
-berufl. Zweitwohnsitz bis 10% der VS
-Türöffnungsservice bis 600 €</t>
  </si>
  <si>
    <t>VHB; Ziff. 5.3.5</t>
  </si>
  <si>
    <t>VHB Rundum; Ziff. 10</t>
  </si>
  <si>
    <t>VHB; Ziff. 3.2</t>
  </si>
  <si>
    <t>VHB; Ziff. 5.3.1</t>
  </si>
  <si>
    <t>ja
(innerhalb der Wohnung)</t>
  </si>
  <si>
    <t>VHB; Ziff. 3.1.2</t>
  </si>
  <si>
    <t>VHB; Ziff. 33.6</t>
  </si>
  <si>
    <t>bis 600 €
(auch technisches Versagen)</t>
  </si>
  <si>
    <t>VHB; Ziff. 4.5</t>
  </si>
  <si>
    <t>BEH 2012</t>
  </si>
  <si>
    <t>AGIB 2012</t>
  </si>
  <si>
    <t>VHB; Ziff. 3</t>
  </si>
  <si>
    <t>VHB; Ziff. 1.3.1</t>
  </si>
  <si>
    <t>VHB; Ziff. 7.1</t>
  </si>
  <si>
    <t>VHB; Ziff. 7.1.2</t>
  </si>
  <si>
    <t>VHB; Ziff. 7.3</t>
  </si>
  <si>
    <t>VHB; Ziff. 10.2</t>
  </si>
  <si>
    <t>VHB; Ziff. 12.2</t>
  </si>
  <si>
    <t>VHB; Ziff. 12.1</t>
  </si>
  <si>
    <t>VHB; Ziff. 9.2.1</t>
  </si>
  <si>
    <t>VHB; Ziff. 9.2.1 / Ziff. 9.4</t>
  </si>
  <si>
    <t>allein genutzte Räume, Gemein-schaftsräume eingeschränkt/
Garagen auch bis 500 m Luftlinie vom Versicherungsort entfernt</t>
  </si>
  <si>
    <t>VHB; Ziff. 1.1 / Ziff. 9.4</t>
  </si>
  <si>
    <t>VHB; Ziff. 9.2.3</t>
  </si>
  <si>
    <t>VHB; Ziff. 23.1.2</t>
  </si>
  <si>
    <t>Herr Bunte</t>
  </si>
  <si>
    <t>ab Wertsachenanteil 50.000 €
Besichtigung</t>
  </si>
  <si>
    <t>VHB 2008-XXL 
(07-2011)</t>
  </si>
  <si>
    <t>Allianz Optimal
(Stand 03-2010)</t>
  </si>
  <si>
    <t>40 % der VS
max. 6 Monate</t>
  </si>
  <si>
    <t>bis 7 Tage</t>
  </si>
  <si>
    <t>bis 2% der VS (innerhalb der versicherten Wohnung)</t>
  </si>
  <si>
    <t>VHB; A; Ziff. 1.1.1 (1)</t>
  </si>
  <si>
    <t>VHB; A; Ziff. 1.1.1 (2) a)</t>
  </si>
  <si>
    <t>VHB; A; Ziff. 1.1.1 (2) c)</t>
  </si>
  <si>
    <t>VHB; A; Ziff. 1.1.1 (2) d)</t>
  </si>
  <si>
    <t>Fahrräder mit Trethilfe (max. 25 km/h und max. 0,25 kW)</t>
  </si>
  <si>
    <t>VHB; A; Ziff. 1.1.1 (2) e)</t>
  </si>
  <si>
    <t>Handelsware
bis 3.000 €</t>
  </si>
  <si>
    <t>VHB; A; Ziff. 1.1.1 (2) f)</t>
  </si>
  <si>
    <t>VHB; A; Ziff. 1.1.2 (1) / (2)</t>
  </si>
  <si>
    <t>Aufräumungs-, Bewegungs- und Schutzkosten</t>
  </si>
  <si>
    <t>VHB; A; Ziff. 1.1.2 (3)</t>
  </si>
  <si>
    <t>VHB; A; Ziff. 1.1.2 (5)</t>
  </si>
  <si>
    <t>VHB; A; Ziff. 1.1.2 (8)</t>
  </si>
  <si>
    <t>VHB; A; Ziff. 1.1.2 (9)</t>
  </si>
  <si>
    <t>VHB; A; Ziff. 1.1.2 (10)</t>
  </si>
  <si>
    <t>VHB; A; Ziff. 1.1.2 (11)</t>
  </si>
  <si>
    <t>VHB; A; Ziff. 1.1.2 (12)</t>
  </si>
  <si>
    <t>Kosten für ein angemessenes Reisemittel bei Schäden &gt; 5.000 €</t>
  </si>
  <si>
    <t>VHB; A; Ziff. 1.1.2 (13)</t>
  </si>
  <si>
    <t>VHB; A; Ziff. 1.1.2 (14)</t>
  </si>
  <si>
    <t>VHB; A; Ziff. 1.1.2 (16)</t>
  </si>
  <si>
    <t>VHB; A; Ziff. 1.2.1 (1)</t>
  </si>
  <si>
    <t>VHB; A; Ziff. 1.2.1 (1) / (3) b)</t>
  </si>
  <si>
    <t>VHB; A; Ziff. 1.2.1 (2) a)</t>
  </si>
  <si>
    <t>24 Stunden
innerhalb EU / Schweiz / Norwegen</t>
  </si>
  <si>
    <t>ja
(nicht aus Anhängern, keine elektr. Geräte (zusätzlich versicherbar))</t>
  </si>
  <si>
    <t>VHB; A; Ziff. 1.2.1 (2) b)</t>
  </si>
  <si>
    <t>VHB; A; Ziff. 1.2.1 (2) e)</t>
  </si>
  <si>
    <t>VHB; A; Ziff. 1.2.1 (2) d)</t>
  </si>
  <si>
    <t>ja
(Wertsachen bis 100 €;
elektr. Geräte bis 250 €)</t>
  </si>
  <si>
    <t>VHB; A; Ziff. 1.2.1 (2) f)</t>
  </si>
  <si>
    <t>VHB; A; Ziff. 1.2.1 (2) g)</t>
  </si>
  <si>
    <t>VHB; A; Ziff. 1.2.1 (2) h)</t>
  </si>
  <si>
    <t>VHB; A; Ziff. 1.2.1 (2) i)</t>
  </si>
  <si>
    <t>VHB; A; Ziff. 1.2.1 (2) k)</t>
  </si>
  <si>
    <t>VHB; A; Ziff. 1.2.1 (3) a)</t>
  </si>
  <si>
    <t>VHB; A; Ziff. 1.2.1 (3) c)</t>
  </si>
  <si>
    <t>ja
(auch durch technisches Versagen)</t>
  </si>
  <si>
    <t>Ziff. 1.2.1 (4) e)</t>
  </si>
  <si>
    <t>VHB; A; Ziff. 1.2.3 (2)</t>
  </si>
  <si>
    <t>VHB; A; Ziff. 1.2.4</t>
  </si>
  <si>
    <t>VHB; A; Ziff. 1.2.1 (1) / (3) d)</t>
  </si>
  <si>
    <t>VHB; A; Ziff. 1.2.5 (1)</t>
  </si>
  <si>
    <t>VHB; A; Ziff. 1.2.5 (2)</t>
  </si>
  <si>
    <t>VHB; A; Ziff. 1.2.6 (1)</t>
  </si>
  <si>
    <t>VHB; A; Ziff. 2.1 (3)</t>
  </si>
  <si>
    <t>VHB; A; Ziff. 2.1 (1)</t>
  </si>
  <si>
    <t>VHB; A; Ziff. 1.3.1 (2) a)</t>
  </si>
  <si>
    <t>VHB; A; Ziff. 1.3.1 (2) a) / c)</t>
  </si>
  <si>
    <t>ja (nur überdachte Terrassen)</t>
  </si>
  <si>
    <t>VHB; A; Ziff. 1.3.1 (2) b)</t>
  </si>
  <si>
    <t>VHB; A; Ziff. 1.3.1 (2) e)</t>
  </si>
  <si>
    <t>VHB; A; Ziff. 1.3.1 (3)</t>
  </si>
  <si>
    <t>VHB; A; Ziff. 1.3.2 (2)</t>
  </si>
  <si>
    <t>VHB; A; Ziff. 1.3.3 (2) / (7)</t>
  </si>
  <si>
    <t>40% der VS, bis zum Ende des lauf-enden Vers.-jahres mind. 6 Mon.</t>
  </si>
  <si>
    <t>VHB; A; Ziff. 1.3.4 (1) / Leistungsübersicht</t>
  </si>
  <si>
    <t>VHB; A; Ziff. 1.4.1 (8)</t>
  </si>
  <si>
    <t>VHB; A; Ziff. 1.4.1 (7)</t>
  </si>
  <si>
    <t>20 % der VS (sofern Unterversicherungsverzicht vereinbart wurde, ansonsten 10%)</t>
  </si>
  <si>
    <t>VHB; A; Ziff. 1.4.1 (2)</t>
  </si>
  <si>
    <t>VHB; A; Ziff. 1.4.4 (5)</t>
  </si>
  <si>
    <t>ja (10% SB für eigenen Sachver- ständigen) bei Schäden &gt; 25.000 €</t>
  </si>
  <si>
    <t>VHB; A; Ziff. 2.2 (2)</t>
  </si>
  <si>
    <t>VHB; A; Ziff. 2.2 (3)</t>
  </si>
  <si>
    <t>VHB; A; Ziff. 2.3 (2)</t>
  </si>
  <si>
    <t>VHB; A; Ziff. 1.3.3 (3)</t>
  </si>
  <si>
    <t>ElementarPlus</t>
  </si>
  <si>
    <t>Elementarzonen</t>
  </si>
  <si>
    <t>Sicherungsgruppe SH1 / SH2</t>
  </si>
  <si>
    <t>ab VS 150.000 € oder
ab 60.000 € Wertsachenanteil</t>
  </si>
  <si>
    <t>je nach Gebäudeart und Elementarzone 500 € - 3.000 €</t>
  </si>
  <si>
    <t>VHB; A; Ziff. 1.1.2 (14) / 
Ziff. 1.2.1 (3) e) / f) /
Rechner</t>
  </si>
  <si>
    <r>
      <t xml:space="preserve">-Haushaltshilfe nach Verletzung durch Versicherungsfall bis 2% der VS
-Schäden an Wäsche durch techn. defekt der Waschmaschine versichert
-Schäden durch Wildtiere versichert
</t>
    </r>
    <r>
      <rPr>
        <u/>
        <sz val="7"/>
        <rFont val="Arial"/>
        <family val="2"/>
      </rPr>
      <t>Zusätzlich versicherbar:</t>
    </r>
    <r>
      <rPr>
        <sz val="7"/>
        <rFont val="Arial"/>
        <family val="2"/>
      </rPr>
      <t xml:space="preserve">
-Hausrat in Wochenendhäusern
-Versicherung von Reisegepäck
-elektr. Geräte bei Diebstahl aus Kfz
-Modernisierung des Hausrates nach einem Schaden
-Haus- und Wohnungsschutzbrief</t>
    </r>
  </si>
  <si>
    <t>Im Rahmen der Außenversicherung,
solange kein eigener Haushalt gegründet wurde</t>
  </si>
  <si>
    <t>FahrradPlus</t>
  </si>
  <si>
    <t>R+V
(Stand 01-2011)</t>
  </si>
  <si>
    <t>HRB 07/12
(Stand 07-2012)</t>
  </si>
  <si>
    <t>R+V PrivatPolice</t>
  </si>
  <si>
    <t>bis 200 € je qm Wohnfläche</t>
  </si>
  <si>
    <t>bis 150 Tage
150 € pro Tag</t>
  </si>
  <si>
    <t>HRB; Ziff. 10.1.1</t>
  </si>
  <si>
    <t>bis zum Schluss der laufenden
Versicherungsperiode</t>
  </si>
  <si>
    <t>HRB; Ziff. 10.3</t>
  </si>
  <si>
    <t>HRB; Ziff. 5.1.2.2</t>
  </si>
  <si>
    <t>HRB; Ziff. 5.1.2</t>
  </si>
  <si>
    <t>HRB; Ziff. 5.1.2.1 / Ziff. 5.1.2.2</t>
  </si>
  <si>
    <t>HRB; Ziff. 5.1.2.3 - 5.1.2.8</t>
  </si>
  <si>
    <t>HRB; Ziff. 1.1.1</t>
  </si>
  <si>
    <t>HRB; Ziff. 1.1.1.1</t>
  </si>
  <si>
    <t>HRB; Ziff. 1.1.1.</t>
  </si>
  <si>
    <t>HRB; Ziff. 1.1.1. / Leistungsübersicht</t>
  </si>
  <si>
    <t>HRB; Ziff. 2.2.2</t>
  </si>
  <si>
    <t>HRB; Ziff. 2.4.1</t>
  </si>
  <si>
    <t>HRB; Ziff. 2.8</t>
  </si>
  <si>
    <t>HRB; Ziff. 1.2</t>
  </si>
  <si>
    <t>HRB; Ziff. 3.1.2</t>
  </si>
  <si>
    <t>HRB; Ziff. 3.3.1.1</t>
  </si>
  <si>
    <t>HRB; Ziff. 3.3.3</t>
  </si>
  <si>
    <t>HRB; Ziff. 3.4</t>
  </si>
  <si>
    <t>Gartengrills/ Gartenskulpturen
bis 500 €</t>
  </si>
  <si>
    <t>HRB; Ziff. 3.5.2 / Leistungsübersicht</t>
  </si>
  <si>
    <t>HRB; Ziff. 3.5.1 / Leistungsübersicht</t>
  </si>
  <si>
    <t>HRB; Ziff. 3.5.3 / Leistungsübersicht</t>
  </si>
  <si>
    <t>HRB; Ziff. 3.5.4 / Leistungsübersicht</t>
  </si>
  <si>
    <t>1% der VS, max. 500 € (nicht Wertsachen + elektr. Geräte)
-nicht aus Anhängern-</t>
  </si>
  <si>
    <t>24 Stunden
(nicht aus Anhängern)</t>
  </si>
  <si>
    <t>bis 500 €
(keine Wertsachen / elektr. Geräte)</t>
  </si>
  <si>
    <t>HRB; Ziff. 4.1.1.1</t>
  </si>
  <si>
    <t>HRB; Ziff. 4.1.1.2</t>
  </si>
  <si>
    <t>HRB; Ziff. 4.1.1.3</t>
  </si>
  <si>
    <t>HRB; Ziff. 4.1.1.4</t>
  </si>
  <si>
    <t>HRB; Ziff. 4.1.2.1</t>
  </si>
  <si>
    <t>HRB; Ziff. 4.1.2.2</t>
  </si>
  <si>
    <t>HRB; Ziff. 4.2.2</t>
  </si>
  <si>
    <t>HRB; Ziff. 4.2.1</t>
  </si>
  <si>
    <t>HRB; Ziff. 4.2.1.1 / 4.2.1.2</t>
  </si>
  <si>
    <t>HRB; Ziff. 4.2.1.3</t>
  </si>
  <si>
    <t>HRB; Ziff. 4.2.1.4</t>
  </si>
  <si>
    <t>HRB; Ziff. 4.2.1.6</t>
  </si>
  <si>
    <t>HRB; Ziff. 4.3.1.1</t>
  </si>
  <si>
    <t>HRB; Ziff. 9.1.12 / Leistungsübersicht</t>
  </si>
  <si>
    <t>HRB; Ziff. 7.2.1</t>
  </si>
  <si>
    <t>HRB; Ziff. 7.2.3.1</t>
  </si>
  <si>
    <t>HRB; Ziff. 7.2.3.2</t>
  </si>
  <si>
    <t>HRB; Ziff. 7.2.3.5</t>
  </si>
  <si>
    <t>HRB; Ziff. 7.2.3.6</t>
  </si>
  <si>
    <t>HRB; Ziff. 7.2.3.7</t>
  </si>
  <si>
    <t>-nicht eingebaute Teile und Zubehör von Kfz und Anhängern gehören zum Hausrat
-Beseitigung von Rohrverstopfungen sofern daraus ein ersatzpflichtiger LW-Schaden entstanden ist</t>
  </si>
  <si>
    <t>HRB; Ziff. 7.2.3.9</t>
  </si>
  <si>
    <t>HRB; Ziff. 7.2.3.9 / Leistungsübersicht</t>
  </si>
  <si>
    <t>HRB; Ziff. 7.2.3.10</t>
  </si>
  <si>
    <t>HRB; Ziff. 7.3.2</t>
  </si>
  <si>
    <t>HRB; Ziff. 7.3.2 / Ziff. 7.3.3 / Ziff. 7.3.4</t>
  </si>
  <si>
    <t>HRB; Ziff. 7.4.3</t>
  </si>
  <si>
    <t>HRB; Ziff. 8.1 / Ziff. 8.6.1 Leistungsübersicht</t>
  </si>
  <si>
    <t>HRB; Ziff. 8.2</t>
  </si>
  <si>
    <t>HRB; Ziff. 8.2.2 / Leistungsübersicht</t>
  </si>
  <si>
    <t>HRB; Ziff. 8.3</t>
  </si>
  <si>
    <t>HRB; Ziff. 9.1.1 / Ziff. 9.1.2</t>
  </si>
  <si>
    <t>HRB; Ziff. 9.1.3 / Leistungsübersicht</t>
  </si>
  <si>
    <t>HRB; Ziff. 9.1.4 / Leistungsübersicht</t>
  </si>
  <si>
    <t>HRB; Ziff. 9.1.5</t>
  </si>
  <si>
    <t>HRB; Ziff. 9.1.6</t>
  </si>
  <si>
    <t>HRB; Ziff. 9.1.7 / Ziff. 9.1.8</t>
  </si>
  <si>
    <t>HRB; Ziff. 9.1.9</t>
  </si>
  <si>
    <t>HRB; Ziff. 9.1.10 / Leistungsübersicht</t>
  </si>
  <si>
    <t>HRB; Ziff. 9.1.11 / Leistungsübersicht</t>
  </si>
  <si>
    <t>HRB; Ziff. 9.1.13</t>
  </si>
  <si>
    <t>HRB; Ziff. 7.2.3.8 /  Ziff. 9.1.14</t>
  </si>
  <si>
    <t>HRB; Ziff. 9.1.15 / Leistungsübersicht</t>
  </si>
  <si>
    <t>HRB; Ziff. 9.1.4</t>
  </si>
  <si>
    <t>HRB; Ziff. 11.8</t>
  </si>
  <si>
    <t>bis 3 Monate nach dem Schluss der laufenden Versicherungsperiode</t>
  </si>
  <si>
    <t>HRB; Ziff. 11.4.1</t>
  </si>
  <si>
    <t>HRB; Ziff. 12.6 / Leistungsübersicht</t>
  </si>
  <si>
    <t>HRB; Ziff. 12.7</t>
  </si>
  <si>
    <t>HRB; Ziff. 13.2.1 / Leistungsübersicht</t>
  </si>
  <si>
    <t>HRB; Ziff. 13.2.2 / Leistungsübersicht</t>
  </si>
  <si>
    <t>HRB; Ziff. 17.1.3</t>
  </si>
  <si>
    <t>HRB; Ziff. 26.1.2</t>
  </si>
  <si>
    <t>HRB; Ziff. 17.2</t>
  </si>
  <si>
    <t>zusätzlich versicherbar
bis 6 € pro qm (max. 24 € pro qm)
(ohne Nachtzeitklausel)</t>
  </si>
  <si>
    <t>Neuwert des Hausrats,
max. 300.000 € / 300 qm</t>
  </si>
  <si>
    <t>bis 360 Tage</t>
  </si>
  <si>
    <t>bis 60 Tage
1‰ der VS</t>
  </si>
  <si>
    <t>bis 180 Tage
1‰ der VS</t>
  </si>
  <si>
    <t>bis 360 Tage
2‰ der VS</t>
  </si>
  <si>
    <t>24 h</t>
  </si>
  <si>
    <t>bis 10% der VS
max. 10.000 €</t>
  </si>
  <si>
    <t>bis 30% der VS
max. 30.000 €</t>
  </si>
  <si>
    <t>bis 1.000 € für eine durch Schadenfall verursachte tierärztl. Behandlung</t>
  </si>
  <si>
    <t>bis 1% der VS - erhöhbar
(ohne Nachtzeitklausel)</t>
  </si>
  <si>
    <t>bis 1.500 €
(an der Haustür)</t>
  </si>
  <si>
    <t>nicht versicherbar</t>
  </si>
  <si>
    <t>zusätzlich versicherbar
bis 5.000 €</t>
  </si>
  <si>
    <t>BB; I.; Ziff. 1 a)</t>
  </si>
  <si>
    <t>BB; I.; Ziff. 1 c)</t>
  </si>
  <si>
    <t>BB; I.; Ziff. 1 b)</t>
  </si>
  <si>
    <t>BB; I.; Ziff. 2 b) / c)</t>
  </si>
  <si>
    <t>ja (bei Schäden &gt; 500 € ist Nachweis des Gewitters erforderlich)</t>
  </si>
  <si>
    <t>BB; I.; Ziff. 3 b)</t>
  </si>
  <si>
    <t>bis 2.500 € (wenn nicht zwischen 6 und 22 Uhr: Zeitwertentschädigung)</t>
  </si>
  <si>
    <t>BB; I.; Ziff. 4 a) / b)</t>
  </si>
  <si>
    <t>bis 1.000 € (elektr. Geräte zum Zeitwert/ keine Wertsachen)</t>
  </si>
  <si>
    <t>bis 1.000 € (elektr. Kleingeräte zum Zeitwert/ keine Wertsachen)</t>
  </si>
  <si>
    <t>bis 1.500 €
(keine Wertsachen)</t>
  </si>
  <si>
    <t>BB; I.; Ziff. 7 c)</t>
  </si>
  <si>
    <t>bis 500 € (elektr. Geräte zum Zeitwert/ keine Wertsachen)</t>
  </si>
  <si>
    <t>BB VHB 2012 Premium (04-2012)</t>
  </si>
  <si>
    <t>BB VHB 2012 Kompakt (03-2012)</t>
  </si>
  <si>
    <t>BB VHB 2012 Basis (04-2012)</t>
  </si>
  <si>
    <t>BB; I.; Ziff. 5 a)</t>
  </si>
  <si>
    <t>BB; I.; Ziff. 5 a) / d)</t>
  </si>
  <si>
    <t>BB; I.; Ziff. 6 a)</t>
  </si>
  <si>
    <t>BB; I.; Ziff. 6 a) / d)</t>
  </si>
  <si>
    <t>BB; I.; Ziff. 8 c)</t>
  </si>
  <si>
    <t>BB; I.; Ziff. 10 c)</t>
  </si>
  <si>
    <t>BB; I.; Ziff. 9 a)</t>
  </si>
  <si>
    <t>BB; I.; Ziff. 11</t>
  </si>
  <si>
    <t>BB; I.; Ziff. 12</t>
  </si>
  <si>
    <t>BB; I.; Ziff. 14</t>
  </si>
  <si>
    <t>BB; I.; Ziff. 16</t>
  </si>
  <si>
    <t>BB; I.; Ziff. 16 b) / c) / Ziff. 17 b) / c)</t>
  </si>
  <si>
    <t>3.500 € bei Schäden &gt; 5.000 € (Reise-rücktritt 5.000€ bei Schäden&gt;10.000 €)</t>
  </si>
  <si>
    <t>BB; I.; Ziff. 20</t>
  </si>
  <si>
    <t>BB; I.; Ziff. 21 a)</t>
  </si>
  <si>
    <t>BB; I.; Ziff. 21 b)</t>
  </si>
  <si>
    <t>BB; I.; Ziff. 22</t>
  </si>
  <si>
    <t>BB; I.; Ziff. 23</t>
  </si>
  <si>
    <t>BB; I.; Ziff. 24</t>
  </si>
  <si>
    <t>Bargeld - bis 3% d.VS, max. 2.000 €
Urkunden - bis 10% d.VS, max. 5.000 €
Schmuck - 25% d.VS, max. 30.000 €</t>
  </si>
  <si>
    <t>Bargeld - bis 2% d.VS, max. 1.000 €
Urkunden - bis 5% d.VS, max. 2.500 €
Schmuck - 20% d.VS, max. 20.000 €</t>
  </si>
  <si>
    <t>Bargeld - bis 1% d.VS, max. 500 €
Urkunden - bis 3% d.VS, max. 1.500 €
Schmuck - 10% d.VS, max. 10.000 €</t>
  </si>
  <si>
    <t>BB; I.; Ziff. 26 a)</t>
  </si>
  <si>
    <t>bis 20% der VS, max. 20.000 €
max. 6 Monate</t>
  </si>
  <si>
    <t>BB; I.; Ziff. 26 b)</t>
  </si>
  <si>
    <t>BB; I.; Ziff. 27</t>
  </si>
  <si>
    <t>BB; I.; Ziff. 28</t>
  </si>
  <si>
    <t>BB; I.; Ziff. 30 c)</t>
  </si>
  <si>
    <t>BB; I.; Ziff. 31</t>
  </si>
  <si>
    <t>BB; I.; Ziff. 32</t>
  </si>
  <si>
    <t>ja (auch Verletzung v. Obliegenheit-en/ Sicherheitsvorschriften: 50%)</t>
  </si>
  <si>
    <t>BB; I.; Ziff. 34</t>
  </si>
  <si>
    <t>BB; I.; Ziff. 35</t>
  </si>
  <si>
    <t>BB; I.; Ziff. 4 c) / Ziff. 5 / Ziff. 15 / Ziff. 18 / Ziff. 19 / Ziff. 36 / Ziff. 37 / Ziff. 40</t>
  </si>
  <si>
    <t>BB; I.; Ziff. 39 d)</t>
  </si>
  <si>
    <t>BB; I.; Ziff. 41 b)</t>
  </si>
  <si>
    <t>BB; I.; Ziff. 41 a)</t>
  </si>
  <si>
    <t>BB; II.; Ziff. 2</t>
  </si>
  <si>
    <t>-Sturmschäden an Gartenmöbeln, Grills, Pflanzkübeln, Klettergerüsten bis 2.500 € (100 € SB)
-Einfacher Diebstahl bestimmter Sachen aus Gemeinschaftsräumen bis 2.500 € (100 € SB)
-Schäden durch Regen-/ Schmelzwasser bis 3.000 €
-Schäden durch den Verlust von aufgegebenem Gepäck bis 1.500 € (keine Wertsachen / elektr. Geräte)
-Beratung/ Unterstützung bei Großsschäden
-Einbruchdiebstahl durch nicht versicherte Räume
-Transportmittelunfall bis 2.000 €
-loses Kfz-Zubehör (Dachboxen, Reifen, Felgen) bis 500 €
-Haus-und Wohnungsschutzbrief versicherbar</t>
  </si>
  <si>
    <t>BB; III.; Ziff. 2</t>
  </si>
  <si>
    <t>BWE 2008 / Rechner</t>
  </si>
  <si>
    <t>BWE 2008; § 3</t>
  </si>
  <si>
    <t>BWE 2008; § 2</t>
  </si>
  <si>
    <t>BWE 2008; § 12 c)</t>
  </si>
  <si>
    <t>BB; III.; Ziff. 1 / Rechner</t>
  </si>
  <si>
    <t>BB; III.; Ziff. 5 / Rechner</t>
  </si>
  <si>
    <t>bis 1.000 € (wenn nicht zwischen 6 und 22 Uhr: Zeitwertentschädigung)</t>
  </si>
  <si>
    <t>BB; I.; Ziff. 7</t>
  </si>
  <si>
    <t>BB; I.; Ziff. 8</t>
  </si>
  <si>
    <t>BB; I.; Ziff. 9 b) / c)</t>
  </si>
  <si>
    <t>VHB; A; §8; Ziff. 1 c) / BB; I.; Ziff. 12</t>
  </si>
  <si>
    <t>VHB; A; §8; Ziff. 1 c) / BB; I.; Ziff. 7</t>
  </si>
  <si>
    <t>BB; I.; Ziff. 13</t>
  </si>
  <si>
    <t>BB; I.; Ziff. 23 a) / c)</t>
  </si>
  <si>
    <t>BB; I.; Ziff. 23 b) / c)</t>
  </si>
  <si>
    <t>BB; I.; Ziff. 15 a) / c)</t>
  </si>
  <si>
    <t>BB; I.; Ziff. 15 b) / c)</t>
  </si>
  <si>
    <t>BB; I.; Ziff. 18 a)</t>
  </si>
  <si>
    <t>BB; I.; Ziff. 18 b)</t>
  </si>
  <si>
    <t>bis 10% der VS, max. 10.000 €
max. 3 Monate</t>
  </si>
  <si>
    <t>BB; I.; Ziff. 19</t>
  </si>
  <si>
    <t>BB; I.; Ziff. 21 c)</t>
  </si>
  <si>
    <t>BB; I.; Ziff. 25</t>
  </si>
  <si>
    <t>BB; I.; Ziff. 4 c) / Ziff. 10 / Ziff. 11 / Ziff. 26</t>
  </si>
  <si>
    <t>-Sturmschäden an Gartenmöbeln, Grills, Pflanzkübeln, Klettergerüsten bis 1.000 € (100 € SB)
-Schäden durch den Verlust von aufgegebenem Gepäck bis 500 € (keine Wertsachen / elektr. Geräte)
-Beratung/ Unterstützung bei Großsschäden
-Einbruchdiebstahl durch nicht versicherte Räume</t>
  </si>
  <si>
    <t>BB; I.; Ziff. 27 b)</t>
  </si>
  <si>
    <t>BB; I.; Ziff. 27 a)</t>
  </si>
  <si>
    <t>bis 50% der VS (bei Schäden &gt; 500 € Nachweis d. Gewitters erforderlich)</t>
  </si>
  <si>
    <t>BB; I.; Ziff. 4</t>
  </si>
  <si>
    <t>BB; I.; Ziff. 5</t>
  </si>
  <si>
    <t>BB; I.; Ziff. 6 b)</t>
  </si>
  <si>
    <t>BB; I.; Ziff. 9</t>
  </si>
  <si>
    <t>zusätzlich versicherbar
über "Notfall-Service"</t>
  </si>
  <si>
    <t>ZB PDNS 2008; Ziff. 5.9</t>
  </si>
  <si>
    <t>ZB PDNS 2008; Ziff. 5.9 / BB; I.; Ziff. 13 b)</t>
  </si>
  <si>
    <t>VHB; A; §2; Ziff. 5 b)</t>
  </si>
  <si>
    <t>VHB; A; §1; Ziff. 2 b)</t>
  </si>
  <si>
    <t>VHB; A; §1; Ziff. 2 c)</t>
  </si>
  <si>
    <t>VHB; A; §9; Ziff. 2 b)</t>
  </si>
  <si>
    <t>VHB; A; §15; Ziff. 6</t>
  </si>
  <si>
    <t>VHB; A; §5; Ziff. 2</t>
  </si>
  <si>
    <t>VHB; A; §2; Ziff. 1 d) / BB; I.; Ziff. 3 a)</t>
  </si>
  <si>
    <t>VHB; A; §2; Ziff. 1</t>
  </si>
  <si>
    <t>VHB; A; §1; Ziff. 1</t>
  </si>
  <si>
    <t>VHB; A; §3; Ziff. 4</t>
  </si>
  <si>
    <t>VHB; A; §3; Ziff. 4 c)</t>
  </si>
  <si>
    <t>VHB; A; §3; Ziff. 3</t>
  </si>
  <si>
    <t>VHB; A; §4; Ziff. 1 a) aa)</t>
  </si>
  <si>
    <t>VHB; A; §4; Ziff. 1 a) bb)</t>
  </si>
  <si>
    <t>VHB; A; §4; Ziff. 1 a) cc)</t>
  </si>
  <si>
    <t>VHB; A; §4; Ziff. 1 b) aa)</t>
  </si>
  <si>
    <t>VHB; A; §4; Ziff. 1 b) bb)</t>
  </si>
  <si>
    <t xml:space="preserve">VHB; A; §4; Ziff. 2 </t>
  </si>
  <si>
    <t>VHB; A; §4; Ziff. 3 a) aa)</t>
  </si>
  <si>
    <t>VHB; A; §6; Ziff. 2 a)</t>
  </si>
  <si>
    <t>VHB; A; §6; Ziff. 2 c) aa)</t>
  </si>
  <si>
    <t>VHB; A; §6; Ziff. 2 c) bb)</t>
  </si>
  <si>
    <t>VHB; A; §6; Ziff. 2 c) cc)</t>
  </si>
  <si>
    <t>VHB; A; §6; Ziff. 2 c) ee)</t>
  </si>
  <si>
    <t>VHB; A; §6; Ziff. 2 c) ff)</t>
  </si>
  <si>
    <t>VHB; A; §6; Ziff. 2 c) gg)</t>
  </si>
  <si>
    <t>VHB; A; §6; Ziff. 2 c) hh)</t>
  </si>
  <si>
    <t>VHB; A; §6; Ziff. 2 c) ii)</t>
  </si>
  <si>
    <t>VHB; A; §6; Ziff. 4 c)</t>
  </si>
  <si>
    <t>VHB; A; §13; Ziff. 2 a)</t>
  </si>
  <si>
    <t>VHB; A; §13; Ziff. 2 b)</t>
  </si>
  <si>
    <t>VHB; A; §6; Ziff. 3</t>
  </si>
  <si>
    <t>VHB; A; §6; Ziff. 3 a)</t>
  </si>
  <si>
    <t>ja, soweit ausschließlich über versicherte Wohnung zu betreten
(bis 15% der VS mit gesondertem Eingang)</t>
  </si>
  <si>
    <t>ja, soweit ausschließlich über versicherte Wohnung zu betreten
(bis 30% der VS mit gesondertem Eingang)</t>
  </si>
  <si>
    <t>VHB; A; §6; Ziff. 3 a) / BB; I.; Ziff. 17 b)</t>
  </si>
  <si>
    <t>VHB; A; §6; Ziff. 3 a) / BB; I.; Ziff. 25 b)</t>
  </si>
  <si>
    <t>VHB; A; §6; Ziff. 3 b)</t>
  </si>
  <si>
    <t>ja, Garagen auch in der Nähe des Versicherungsorts ( bis 2.000 € auch im Wohnort (politische Gemeinde))</t>
  </si>
  <si>
    <t>VHB; A; §6; Ziff. 3 / BB; I.; Ziff. 38</t>
  </si>
  <si>
    <t>VHB; A; §7; Ziff. 1 / Ziff. 6 a)</t>
  </si>
  <si>
    <t>bis 5% der VS, max. 5.000 €
max. 3 Monate</t>
  </si>
  <si>
    <t>VHB; A; §7; Ziff. 2</t>
  </si>
  <si>
    <t>VHB; A; §17; Ziff. 1 c)</t>
  </si>
  <si>
    <t>Tarifinformationen</t>
  </si>
  <si>
    <t>ab VS 200.000 € oder Erhöhung der Wertsachenentschädigung</t>
  </si>
  <si>
    <t>VHB; A; §11; Ziff. 4 a)</t>
  </si>
  <si>
    <t>VHB; A; §8; Ziff. 1 a) / b)</t>
  </si>
  <si>
    <t>VHB; A; §8; Ziff. 1 e)</t>
  </si>
  <si>
    <t>VHB; A; §8; Ziff. 1 i)</t>
  </si>
  <si>
    <t>VHB; A; §8; Ziff. 1 g) / h)</t>
  </si>
  <si>
    <t>VHB; A; §12; Ziff. 1</t>
  </si>
  <si>
    <t>VHB; A; §12; Ziff. 4</t>
  </si>
  <si>
    <t>BB; III.; Ziff. 3</t>
  </si>
  <si>
    <t>zusätzlich versicherbar
(Vergünstigung)</t>
  </si>
  <si>
    <t>Grundeigentümer  (Makler)
Pro Domo Kompakt</t>
  </si>
  <si>
    <t>Grundeigentümer (Makler)
Pro Domo Basis</t>
  </si>
  <si>
    <t>Grundeigentümer (Makler)
Pro Domo Premium</t>
  </si>
  <si>
    <t>Kostenpauschale i.H.v 150 € bei Schäden &gt; 5.000 €</t>
  </si>
  <si>
    <t>bis 1.000 €
(aus der Wohnung)</t>
  </si>
  <si>
    <t>-Sturm-/ Hagelschäden auf Reisen auch außerhalb von Gebäuden bis 500 €
-Beitragsfreistellung bei Umzug in ein Alten-/ Pflegeheim bis 10.000 €
-erweiterter Raub (Entreißen, 
Auf-/Abschneiden von Taschen)
bis 1% der VS
-Verpflegungskosten für private Helfer im Schadenfall bis 100 € 
-Haus- und Wohnungsschutzbrief (abwählbar)</t>
  </si>
  <si>
    <t>ja (auch Personen, die mit d. Betreu- ung der Sachen beauftragt wurden)</t>
  </si>
  <si>
    <t>ja, bei Schäden &gt; 5.000 € (keine Mindest-/Höchstdauer der Reise)</t>
  </si>
  <si>
    <t>ja  (auch Leistung bei 
Obliegenheitsverletzung)</t>
  </si>
  <si>
    <t>- Keine Kündigungsfrist
- Einschluss unbenannter Gefahren möglich
- Eindringen von Niederschlägen bis 3.000 € versichert
-Einbruch über nicht versicherte Räume
-Beseitigung von Rohrverstopfungen
-Mietübernahme bei Unbewohnbarkeit der Whg., sofern sie weitergezahlt werden muss
-Anmietungskosten bei Schäden an dringend benötigten Haushaltsgeräten
-Psychologische Betreuung z. B. nach Einbruch/ Raub bis 1.000 €</t>
  </si>
  <si>
    <t>bis 1.000 €
(bei VN über 50 Jahre)</t>
  </si>
  <si>
    <t>-Hausratbeschädigung durch Unfall mit einem Transportmittel bis 250 €
-Mitversicherung eines berufl. bedingtem Zweitwohnsitzes bis 15.000 €
-Reisegepäck versicherbar
-einige Kfz-Zubehörteile (nicht montierte Sommer-/ Winterreifen, Dachboxen) bis 500 €</t>
  </si>
  <si>
    <t>ja, Garagen auch in der gleichen oder angrenzenden Gemeinde</t>
  </si>
  <si>
    <t>ja 
(auch infolge Einschleichen)</t>
  </si>
  <si>
    <t>bis 1.000 €
(keine Wertsachen / elektr. Geräte)</t>
  </si>
  <si>
    <t>10% der VS;
bei VS = 700 € pro qm 30% der VS</t>
  </si>
  <si>
    <t>keine Höchstdauer, 
kein Tageshöchstsatz 
(Angemessenheit wird geprüft)</t>
  </si>
  <si>
    <t>Reiserückholkosten</t>
  </si>
  <si>
    <t>Hotelkosten</t>
  </si>
  <si>
    <t>VHV Klassik Garant
(Stand 07-2011)</t>
  </si>
  <si>
    <t>VHV Klassik Garant Exkl.
(Stand 07-2011)</t>
  </si>
  <si>
    <t>Kinderspiel und Sportgeräte
bis 5% der VS</t>
  </si>
  <si>
    <t>ZB; § 1</t>
  </si>
  <si>
    <t>ZB; § 2, Ziff. 2 b) / Ziff. 5</t>
  </si>
  <si>
    <t>ZB; § 4, Ziff. 2</t>
  </si>
  <si>
    <t>ZB; § 5, Ziff. 1 / § 6, Ziff. 1</t>
  </si>
  <si>
    <t>ZB; § 7, Ziff. 2</t>
  </si>
  <si>
    <t>ZB; § 9</t>
  </si>
  <si>
    <t>ZB; § 10</t>
  </si>
  <si>
    <t>10% der VS, max. 500 €
bei Schäden &gt; 500 €</t>
  </si>
  <si>
    <t>ZB; § 11, Ziff. 1</t>
  </si>
  <si>
    <t>ZB; § 12</t>
  </si>
  <si>
    <t>ZB; § 13</t>
  </si>
  <si>
    <t>bis 30.000 €, bis max. 3 Monate nach Ablauf des Versicherungsjahres</t>
  </si>
  <si>
    <t>BB; § 1, Ziff. 1</t>
  </si>
  <si>
    <t>BB; § 2</t>
  </si>
  <si>
    <t>BB; §3</t>
  </si>
  <si>
    <t>BB; § 5, Ziff. 2</t>
  </si>
  <si>
    <t>BB; § 6, Ziff. 1</t>
  </si>
  <si>
    <t>BB; § 6, Ziff. 2</t>
  </si>
  <si>
    <t>BB; § 7</t>
  </si>
  <si>
    <t>BB; § 8, Ziff. 1 a)</t>
  </si>
  <si>
    <t>BB; § 8, Ziff. 1 b)</t>
  </si>
  <si>
    <t>BB; § 9, Ziff. 1 / Ziff. 3 a)</t>
  </si>
  <si>
    <t>bis 2% der VS; nachts bis 600 € Zeitwert  -nicht aus Anhängern-
(keine Wertsachen/ elektr. Geräte)</t>
  </si>
  <si>
    <t>BB; § 9, Ziff. 3 / Ziff 4 / Ziff. 5</t>
  </si>
  <si>
    <t>BB; § 10, Ziff. 1 / Ziff. 4</t>
  </si>
  <si>
    <t>BB; § 11, Ziff. 1 / Ziff. 2</t>
  </si>
  <si>
    <t>BB; § 11, Ziff. 1 a) / c)</t>
  </si>
  <si>
    <t>BB; § 11, Ziff. 1 b) / c)</t>
  </si>
  <si>
    <t>fest verankerte Gartenskulpturen
bis 5% der VS</t>
  </si>
  <si>
    <t>BB; § 13, Ziff. 1 / Ziff. 2</t>
  </si>
  <si>
    <t>BB; § 14</t>
  </si>
  <si>
    <t>BB; § 16</t>
  </si>
  <si>
    <t>BB; § 17</t>
  </si>
  <si>
    <t>BB; § 18 / Leistungsübersicht</t>
  </si>
  <si>
    <t>Arbeitsgeräte am Arbeitsplatz im Rahmen der versicherten Gefahren
(kein einfacher Diebstahl) bis 2.000 €</t>
  </si>
  <si>
    <t>ja (auch Arbeitsgeräte am Arbeitsplatz bis 2.000 €)</t>
  </si>
  <si>
    <t>VHB; § 6, Ziff. 3 b) / c) / d) / BB; § 21 / § 23</t>
  </si>
  <si>
    <t>ja; Garagen auch in der Nähe des Versicherungsortes
(auch eigene Sachen in vermieteten Einliegerwohnungen)</t>
  </si>
  <si>
    <t>BB; § 22</t>
  </si>
  <si>
    <t>ja (bis 10.000 €, wenn Räume nicht ausschließlich über versicherte Wohnung betretbar sind)</t>
  </si>
  <si>
    <t>ja (bis 20.000 €, wenn Räume nicht ausschließlich über versicherte Wohnung betretbar sind)</t>
  </si>
  <si>
    <t>15% der VS (max. 15.000 €)
max. 3 Monate</t>
  </si>
  <si>
    <t>BB; § 25, Ziff. 2</t>
  </si>
  <si>
    <t>BB; § 26</t>
  </si>
  <si>
    <t>BB; § 27</t>
  </si>
  <si>
    <t>BB; § 28</t>
  </si>
  <si>
    <t>BB; § 29, Ziff. 2</t>
  </si>
  <si>
    <t>BB; § 30, Ziff. 1</t>
  </si>
  <si>
    <t>BB; § 31</t>
  </si>
  <si>
    <t>BB; § 32, Ziff. 3</t>
  </si>
  <si>
    <t>BB; § 33</t>
  </si>
  <si>
    <t>BB; § 34, Ziff. 1</t>
  </si>
  <si>
    <t>BB; § 35, Ziff. 1</t>
  </si>
  <si>
    <t>BB; § 37, Ziff. 1</t>
  </si>
  <si>
    <t>BB; § 38</t>
  </si>
  <si>
    <t>VHB; A.; § 6, Ziff. 2 c) cc) / BB; § 19</t>
  </si>
  <si>
    <t>VHB; A.; § 6, Ziff. 2 c) hh) / BB; § 18</t>
  </si>
  <si>
    <t>VHB; A.; § 6, Ziff. 3 a) / BB; § 20</t>
  </si>
  <si>
    <t>VHB; A.; § 6, Ziff. 3 a) / ZB; § 3</t>
  </si>
  <si>
    <t>VHB; A.; § 6, Ziff. 3 b)</t>
  </si>
  <si>
    <t>VHB; A.; § 7, Ziff. 1 / BB; § 24, Ziff. 1</t>
  </si>
  <si>
    <t>VHB; A.; § 2, Ziff. 1 d) / BB; § 4, Ziff. 1</t>
  </si>
  <si>
    <t>VHB; A.; § 3, Ziff. 3 / BB; § 14</t>
  </si>
  <si>
    <t>VHB; A.; § 12, Ziff. 1</t>
  </si>
  <si>
    <t>VHB; A.; § 12, Ziff. 4</t>
  </si>
  <si>
    <t>BB; Präambel</t>
  </si>
  <si>
    <t>VHB; A.; § 6, Ziff. 2 a)</t>
  </si>
  <si>
    <t>VHB; A.; § 6, Ziff. 2 c) aa)</t>
  </si>
  <si>
    <t>VHB; A.; § 6, Ziff. 2 c) bb)</t>
  </si>
  <si>
    <t>VHB; A.; § 6, Ziff. 2 c) ii)</t>
  </si>
  <si>
    <t>VHB; A.; § 6, Ziff. 2 c) ee)</t>
  </si>
  <si>
    <t>VHB; A.; § 6, Ziff. 2 c) ff)</t>
  </si>
  <si>
    <t>VHB; A.; § 6, Ziff. 2 c) gg)</t>
  </si>
  <si>
    <t>VHB; A.; § 13, Ziff. 2 b)</t>
  </si>
  <si>
    <t>VHB; A.; § 7, Ziff. 2</t>
  </si>
  <si>
    <t>ZB; § 6, Ziff. 2</t>
  </si>
  <si>
    <t>ja, für VN o. in häusl. Gemeinschaft lebende Person (max. 27 Jahre Alter) bis zum Ende der Ausbildung</t>
  </si>
  <si>
    <t>BWE; § 12 d) / Klauselbogen</t>
  </si>
  <si>
    <t>BWE; § 2</t>
  </si>
  <si>
    <t>ja (Überschwemmung auch durch Ausuferung oberirdischer Gewässer über Elementar II versicherbar)</t>
  </si>
  <si>
    <t>Rechner / Klauselbogen</t>
  </si>
  <si>
    <t>zusätzlich versicherbar
(eingeschränkte Nachtzeitklausel)</t>
  </si>
  <si>
    <t>VHB; A.; § 2, Ziff. 1</t>
  </si>
  <si>
    <t>VHB; A.; § 4, Ziff. 2</t>
  </si>
  <si>
    <t>VHB; A.; § 4, Ziff. 3 a) aa)</t>
  </si>
  <si>
    <t>VHB; A.; § 4, Ziff. 1 a) aa)</t>
  </si>
  <si>
    <t>VHB; A.; § 4, Ziff. 1 a) bb)</t>
  </si>
  <si>
    <t>VHB; A.; § 4, Ziff. 1 a) cc)</t>
  </si>
  <si>
    <t>VHB; A.; § 4, Ziff. 1 b) bb)</t>
  </si>
  <si>
    <t>VHB; A.; § 5, Ziff. 2</t>
  </si>
  <si>
    <t>VHB; A.; § 3, Ziff. 4</t>
  </si>
  <si>
    <t>VHB; A.; § 8, Ziff. 1 a) / b)</t>
  </si>
  <si>
    <t>VHB; A.; § 8, Ziff. 1 f)</t>
  </si>
  <si>
    <t>VHB; A.; § 8, Ziff. 1 i)</t>
  </si>
  <si>
    <t>VHB; A.; § 8, Ziff. 1 e)</t>
  </si>
  <si>
    <t>VHB; A.; § 11, Ziff. 4 a)</t>
  </si>
  <si>
    <t>ZB; §8, Ziff. 2 u. 3 / §14
BB; §3
AVB Reisegepäck</t>
  </si>
  <si>
    <t xml:space="preserve">-Mitversicherung eines berufl. bedingtem Zweitwohnsitzes bis 15.000 € (Wertsachen bis 2.500 €)
-einige Kfz-Zubehörteile (nicht montierte Sommer-/ Winterreifen, Dachboxen) bis 500 €
-Hausratbeschädigung durch Unfall mit einem Transportmittel bis 250 €
-Reisegepäck versicherbar
</t>
  </si>
  <si>
    <t>VHB 2002 
(01-2008 / 05-2009)</t>
  </si>
  <si>
    <t>VHB 2008 
(01-2011)</t>
  </si>
  <si>
    <t>VHB 2008 
(05-2009)</t>
  </si>
  <si>
    <t>Generali Basis
(Stand 07-2011)</t>
  </si>
  <si>
    <t>Generali KomfortPlus
(Stand 07-2011)</t>
  </si>
  <si>
    <t>Aktualität des Bedingungserks</t>
  </si>
  <si>
    <t>-Diebstahl aus Pflege-/ Seniorenheim bis 500 € 
(Wertsachen bis 100 €)
-Hausrat des VN auch in vom VN vermieteten Einliegerwohungen
-Terrassenüberdachung/ Balkonverkleidung bis 500 €
-Wiederbeschaffung privater Dokumente</t>
  </si>
  <si>
    <t xml:space="preserve">-Diebstahl aus Pflege-/ Seniorenheim bis 500 € 
(Wertsachen bis 100 €)
-Hausrat des VN auch in vom VN vermieteten Einliegerwohungen
-Terrassenüberdachung/ Balkonverkleidung bis 500 €
-Wiederbeschaffung privater Dokumente
-Schäden während eines durch eine Möbelspedition durchgeführten Umzugs sind versichert </t>
  </si>
  <si>
    <t>BB; Ziff. 7 / Leistungsübersicht</t>
  </si>
  <si>
    <t>BB; Ziff. 5.3 / Ziff. 6 / Ziff. 17 / Ziff. 27 / ZB; Ziff. 18 / Leistungsübersicht</t>
  </si>
  <si>
    <t>BB; Ziff. 5.3 / Ziff. 6 / Ziff. 17 / Ziff. 27 / Leistungsübersicht</t>
  </si>
  <si>
    <t>Prokundo ExklusivPaket
(Stand 01-2012)</t>
  </si>
  <si>
    <t>Prokundo Komfort
(Stand 01-2012)</t>
  </si>
  <si>
    <t>Z1: 10%,mind. 500 €,max. 5.000 €
Z2: 20%, mind. 1.000 € - Z3: 5.000 €</t>
  </si>
  <si>
    <t>Versicherungsschein</t>
  </si>
  <si>
    <t>Straßen- und Luftfahrzeuge
(300 € SB)</t>
  </si>
  <si>
    <t>bis 2% der VS
(Bargeld bis 100 €)</t>
  </si>
  <si>
    <t>bis 20% der VS
(max. 20.000 €)</t>
  </si>
  <si>
    <t>bis 2% der VS
(ohne Wertsachen/ elektr. Geräte)</t>
  </si>
  <si>
    <t>bis 150 Tage
1‰ der VS pro Tag, mind. 100 €</t>
  </si>
  <si>
    <t>ab VS 130.000 €
oder Wertsachenanteil &gt; 20%</t>
  </si>
  <si>
    <t>-Wohnungsschutzbrief
zusätzlich versicherbar
-Schäden an Wäsche in Waschmaschine</t>
  </si>
  <si>
    <t>Versicherungsschein / Klausel</t>
  </si>
  <si>
    <t>im Versicherungsschein
genannter Betrag</t>
  </si>
  <si>
    <t>bis 2% der VS
(keine Außenversicherung)</t>
  </si>
  <si>
    <t>VHB 2008
(Stand 01-2008)</t>
  </si>
  <si>
    <t>WÜBA Plus</t>
  </si>
  <si>
    <t>-Hausrat in Einliegerwohnung
-Hausrat am Arbeitsplatz bis 250 €</t>
  </si>
  <si>
    <t>bis 250 € 
(Bargeld 50 €)</t>
  </si>
  <si>
    <t>BB; Ziff. 1 (Klausel 7111)</t>
  </si>
  <si>
    <t>BB; Ziff. 1; 1)</t>
  </si>
  <si>
    <t>BB; Ziff. 1; 2)</t>
  </si>
  <si>
    <t>BB; Ziff. 1; 3)</t>
  </si>
  <si>
    <t>BB; Ziff. 1; 5)</t>
  </si>
  <si>
    <t>vereinbarte Versicherungssumme
max. 500.000 €</t>
  </si>
  <si>
    <t>BB; Ziff. 1</t>
  </si>
  <si>
    <t>bis 250 €
(keine Wertsachen/ elektr. Geräte)</t>
  </si>
  <si>
    <t>BB; Ziff. 3</t>
  </si>
  <si>
    <t>bis 5.000 € für angemessenes Reisemittel bei Schäden &gt; 10.000 €</t>
  </si>
  <si>
    <t>80%, max 2.500 €
bei Schäden &gt; 10.000 €</t>
  </si>
  <si>
    <t>BB; Ziff. 4</t>
  </si>
  <si>
    <t>bis 1% der VS vom Versicherungs-
grundstück (mit Nachtzeitklausel)</t>
  </si>
  <si>
    <t>bis 25% der VS
(wahlweise auch 20% oder 30%)</t>
  </si>
  <si>
    <t>BB; Ziff. 5 / Rechner</t>
  </si>
  <si>
    <t>BB; Ziff. 6</t>
  </si>
  <si>
    <t>10% der VS, max. 10.000 €
max. 12 Monate</t>
  </si>
  <si>
    <t>VHB; A.; §7 (6) a) / BB; Ziff. 5</t>
  </si>
  <si>
    <t>VHB; A.; §13 (2) b) / BB; Ziff. 5</t>
  </si>
  <si>
    <t>Bargeld - 5% d. VS, max. 1.000 €
Urkunden - 10% d. VS, max. 5.000 €
Schmuck - 20% d. VS, max. 20.000 €</t>
  </si>
  <si>
    <t>VHB; A.; §6 (2) c) cc) / BB; Ziff. 2</t>
  </si>
  <si>
    <t>VHB; A.; §6 (2) a)</t>
  </si>
  <si>
    <t>VHB; A.; §6 (2) c) aa)</t>
  </si>
  <si>
    <t>VHB; A.; §6 (2) c) bb)</t>
  </si>
  <si>
    <t>VHB; A.; §6 (2) c) ee)</t>
  </si>
  <si>
    <t>VHB; A.; §6 (2) c) ff)</t>
  </si>
  <si>
    <t>VHB; A.; §6 (2) c) gg)</t>
  </si>
  <si>
    <t>VHB; A.; §6 (2) c) hh)</t>
  </si>
  <si>
    <t>VHB; A.; §6 (2) c) ii)</t>
  </si>
  <si>
    <t>VHB; A.; §6 (3) b)</t>
  </si>
  <si>
    <t>ja; Garagen auch in der Nähe des Versicherungsortes</t>
  </si>
  <si>
    <t>VHB; A.; §6 (3) b) / c) / d)</t>
  </si>
  <si>
    <t>Arbeitszimmer in der Wohnung
(auch Hausrat in der Arbeitsstätte bis 250 €)</t>
  </si>
  <si>
    <t>VHB; A.; §6 (4) g)</t>
  </si>
  <si>
    <t>sofern vereinbart</t>
  </si>
  <si>
    <t>VHB; A.; §2 (1)</t>
  </si>
  <si>
    <t>VHB; A.; §2 (5) b)</t>
  </si>
  <si>
    <t>VHB; A.; §3 (3)</t>
  </si>
  <si>
    <t>VHB; A.; §3 (4)</t>
  </si>
  <si>
    <t>VHB; A.; §3 (4) c)</t>
  </si>
  <si>
    <t>Rechner / PIB</t>
  </si>
  <si>
    <t>VHB; A.; §3 (4) a) aa)</t>
  </si>
  <si>
    <t>BWE; § 12 a) / Rechner</t>
  </si>
  <si>
    <t>VHB; A.; §4 (2)</t>
  </si>
  <si>
    <t>VHB; A.; §4 (3)</t>
  </si>
  <si>
    <t>VHB; A.; §4 (1) a) aa)</t>
  </si>
  <si>
    <t>VHB; A.; §4 (1) a) bb)</t>
  </si>
  <si>
    <t>VHB; A.; §4 (1) a) cc)</t>
  </si>
  <si>
    <t>VHB; A.; §4 (1) b) aa)</t>
  </si>
  <si>
    <t>VHB; A.; §4 (1) b) bb)</t>
  </si>
  <si>
    <t>VHB; A.; §5 (2)</t>
  </si>
  <si>
    <t>VHB; A.; §8 (1) a) / b)</t>
  </si>
  <si>
    <t>VHB; A.; §8 (1) e)</t>
  </si>
  <si>
    <t>VHB; A.; §8 (1) f)</t>
  </si>
  <si>
    <t>VHB; A.; §8 (1) i)</t>
  </si>
  <si>
    <t>VHB; A.; §9 (2) b)</t>
  </si>
  <si>
    <t>VHB; A.; §12 (4)</t>
  </si>
  <si>
    <t>VHB; A.; §7 (2)</t>
  </si>
  <si>
    <t>VHB; A.; §17 (1) c)</t>
  </si>
  <si>
    <t>VHB; A.; §11 (4) a)</t>
  </si>
  <si>
    <t>ab VS 100.000 € oder
ab 50.000 € Wertsachenanteil</t>
  </si>
  <si>
    <t>bis 35.000 €</t>
  </si>
  <si>
    <t>ja
(auch Wiederbefüllungskosten)</t>
  </si>
  <si>
    <t>zusätzlich versicherbar 
(ohne Nachtzeitklausel)</t>
  </si>
  <si>
    <t>ZB; §1</t>
  </si>
  <si>
    <t>bis 500 €
(100 € SB)</t>
  </si>
  <si>
    <t>-Schäden durch unmittelbare Einwirkung von Regen- und Schmelzwasser bis 5.000 €
-Sturm-/ Hagelschäden an Gartenmöbeln/ -geräten bis 3.000 €
-Mehrkosten für notwendige Eil-, Express und Luftfracht</t>
  </si>
  <si>
    <t>ZB; §9</t>
  </si>
  <si>
    <t>ZB; §11</t>
  </si>
  <si>
    <t>wahlweise 5%, 3%, 1% oder 0%
(Erdbeben: immer 5%)</t>
  </si>
  <si>
    <t>bis 150 Tage, 250€ pro Tag(ohne Ho- telinanspruchnahme: 10 € / Tag / VP)</t>
  </si>
  <si>
    <t>ja, max. 100 km vom Risikoort entfernt (inkl. Maklerprovision)</t>
  </si>
  <si>
    <t>-Sturm-/ Hagelschäden an Gartenmöbeln/ -geräten bis 1.500 €
-Mehrkosten für notwendige Eil-, Express und Luftfracht</t>
  </si>
  <si>
    <t>BB; B.; §3; Ziff. 5 c)</t>
  </si>
  <si>
    <t>BB; B.; §3; Ziff. 3</t>
  </si>
  <si>
    <t>BB; E.</t>
  </si>
  <si>
    <t>ab 200 qm oder
Wertsachenanteil &gt; 20.000 €</t>
  </si>
  <si>
    <t>ja, Garagen auch in der Nähe des
Versicherungsorts</t>
  </si>
  <si>
    <t>BB; B.; Präambel</t>
  </si>
  <si>
    <t>BB; B.; §10; Ziff. 2 a)</t>
  </si>
  <si>
    <t>Erhöhgung der Wohnfläche 
um max. 10%</t>
  </si>
  <si>
    <t>korrekte Wohnfläche (10% 
versehentliche Abweichung)</t>
  </si>
  <si>
    <t>Versicherteninformation; Ziff. 3.1)</t>
  </si>
  <si>
    <t>summarisch bis 10% über die Höchstentschädigung hinaus</t>
  </si>
  <si>
    <t>summarisch bis 20.000 € über die Höchstentschädigung hinaus</t>
  </si>
  <si>
    <t>ARAG Komfort (Wohnfläche)</t>
  </si>
  <si>
    <t>ARAG Premium (Wohnfläche)</t>
  </si>
  <si>
    <t>wie 05-2012</t>
  </si>
  <si>
    <t>Alte Leipziger XL
(Stand 01-2011)</t>
  </si>
  <si>
    <t>Alte Leipziger XXL
(Stand 01-2011)</t>
  </si>
  <si>
    <t>Ammerländer Comfort
(Stand 01-2012)</t>
  </si>
  <si>
    <t>Ammerländer Excellent
(Stand 01-2012)</t>
  </si>
  <si>
    <t>Ammerländer Exclusiv
(Stand 01-2012)</t>
  </si>
  <si>
    <t>ERGO
(Stand 01-2012)</t>
  </si>
  <si>
    <t>wie 10-2012</t>
  </si>
  <si>
    <t>VHB 2008 
(01-2013)</t>
  </si>
  <si>
    <t>Interrisk XXL
(Stand 07-2011)</t>
  </si>
  <si>
    <t>wie 11-2011</t>
  </si>
  <si>
    <t>VHB 2008
(Stand 01-2013)</t>
  </si>
  <si>
    <t>Sengschäden bis 3 % der VS
(100 € SB)</t>
  </si>
  <si>
    <t>techn., opt., akustische Sicherungs- anlagen bis 5% der VS, max. 2.500 €</t>
  </si>
  <si>
    <t>II; Ziff. 3.4 a) aa)</t>
  </si>
  <si>
    <t>Tarif; Ziff. 2.5.1</t>
  </si>
  <si>
    <t>BB Comfort; Ziff. 1</t>
  </si>
  <si>
    <t>BB Comfort; Ziff. 2.2</t>
  </si>
  <si>
    <t>BB Comfort; Ziff. 5</t>
  </si>
  <si>
    <t>BB Comfort; Ziff. 3</t>
  </si>
  <si>
    <t>BB Comfort; Ziff. 4</t>
  </si>
  <si>
    <t>BB Comfort; Ziff. 6 / Ziff. 8</t>
  </si>
  <si>
    <t>BB Comfort; Ziff. 7</t>
  </si>
  <si>
    <t>BB Comfort; Ziff. 9</t>
  </si>
  <si>
    <t>BB Comfort; Ziff. 10 / Rechner</t>
  </si>
  <si>
    <t>zusätzlich versicherbar 1% bis 8% der VS, je nach Sicherung/gewählter Entschädigung max. 5.000 € -auch Pedelecs (ohne Nachtzeitklausel)</t>
  </si>
  <si>
    <t>BB Comfort; Ziff. 11.1  / 11.3</t>
  </si>
  <si>
    <t>BB Comfort; Ziff. 11.1  / 11.5</t>
  </si>
  <si>
    <t>BB Comfort; Ziff. 13</t>
  </si>
  <si>
    <t>BB Comfort; Ziff. 14</t>
  </si>
  <si>
    <t>BB Comfort; Ziff. 16.1</t>
  </si>
  <si>
    <t>BB Comfort; Ziff. 17.2</t>
  </si>
  <si>
    <t>BB Comfort; Ziff. 21</t>
  </si>
  <si>
    <t>BB Comfort; Ziff. 22</t>
  </si>
  <si>
    <t>VHB; § 6, Ziff. 3 / BB Comfort; Ziff. 23</t>
  </si>
  <si>
    <t>ja (+ Instandsetzung bei Beschädi-gung v. behindertenger. Einbauten)</t>
  </si>
  <si>
    <t>VHB; § 8, Ziff. 1. g) / h) / BB Comfort; Ziff. 26</t>
  </si>
  <si>
    <t>BB Comfort; Ziff. 30</t>
  </si>
  <si>
    <t>BB Comfort; Ziff. 33.2 - 33.4</t>
  </si>
  <si>
    <t>BB Comfort; Ziff. 34</t>
  </si>
  <si>
    <t>VHB; § 6, Ziff. 2 c) cc) / BB Comfort; Ziff. 37</t>
  </si>
  <si>
    <t>BB Comfort; Ziff. 39</t>
  </si>
  <si>
    <t>BB Comfort; Ziff. 38</t>
  </si>
  <si>
    <t>VHB 2012 Comfort-Schutz
(01-2013)</t>
  </si>
  <si>
    <t>VHB 2012 Excellent-Schutz
(01-2013)</t>
  </si>
  <si>
    <t>VHB 2012 Exclusiv-Schutz
(01-2013)</t>
  </si>
  <si>
    <t>BB Excellent; Ziff. 1</t>
  </si>
  <si>
    <t>BB Exclusiv; Ziff. 1</t>
  </si>
  <si>
    <t>BB Excellent; Ziff. 2.2</t>
  </si>
  <si>
    <t>BB Excellent; Ziff. 5</t>
  </si>
  <si>
    <t>BB Excellent; Ziff. 6 / Ziff. 8</t>
  </si>
  <si>
    <t>BB Excellent; Ziff. 9</t>
  </si>
  <si>
    <t>zusätzlich versicherbar 1% bis 8% der VS, je nach Sicherung/gewählter Entschädigung max. 5.000 € -auch Pedelecs (mit Nachtzeitklausel)</t>
  </si>
  <si>
    <t>zusätzlich versicherbar 
bis 4% der VS, max. 3.500 €
(mit Nachtzeitklausel)</t>
  </si>
  <si>
    <t>BB Excellent; Ziff. 10 / Ziff. 11</t>
  </si>
  <si>
    <t>BB Excellent; Ziff. 12.1 / Ziff. 12.4</t>
  </si>
  <si>
    <t>BB Excellent; Ziff. 12.1 / Ziff. 12.3</t>
  </si>
  <si>
    <t>bis 2 % der VS
(auch Dachboxen)</t>
  </si>
  <si>
    <t>BB Excellent; Ziff. 13.1</t>
  </si>
  <si>
    <t>BB Excellent; Ziff. 13.2</t>
  </si>
  <si>
    <t>BB Excellent; Ziff. 14</t>
  </si>
  <si>
    <t>-Diebstahl von Gepäck (100 € SB) 
-Fahrräder als Gepäck sind versichert
-Einbruchdiebstahl durch nicht versicherte Räume
-Schäden durch Regen-/ Schmelzwasser bis 2% der VS
-Sturmschäden auf auch auf Grundstück bis 2% der VS
-Eindringen von Niederschlägen bis 2% der VS
-Transportmittelunfall bis 1% d. VS</t>
  </si>
  <si>
    <t>BB Excellent; Ziff. 17</t>
  </si>
  <si>
    <t>BB Excellent; Ziff. 18</t>
  </si>
  <si>
    <t>BB Excellent; Ziff. 20.2</t>
  </si>
  <si>
    <t>VHB; § 3, Ziff. 3 / BB Excellent; Ziff. 22</t>
  </si>
  <si>
    <t>BB Excellent; Ziff. 24</t>
  </si>
  <si>
    <t>BB Excellent; Ziff. 26.8</t>
  </si>
  <si>
    <t>BB Excellent; Ziff. 29</t>
  </si>
  <si>
    <t>BB Excellent; Ziff. 30</t>
  </si>
  <si>
    <t>bis 5% der VS (250 € SB);
darüber hinaus gegen Mehrbeitrag über Baustein Elementar</t>
  </si>
  <si>
    <t>BB Excellent; Ziff. 34</t>
  </si>
  <si>
    <t>BB Excellent; Ziff. 35</t>
  </si>
  <si>
    <t>VHB; § 6, Ziff. 3 / BB Excellent; Ziff. 36</t>
  </si>
  <si>
    <t>BB Exclusiv; Ziff. 27</t>
  </si>
  <si>
    <t>ja, soweit keine Beschäftigung von Angestellten o. Publikumsverkehr in den Räumen stattfindet 
(sofern Inhalt max. 35% der VS)</t>
  </si>
  <si>
    <t>VHB; § 8, Ziff. 1. g) / h) / BB Excellent; Ziff. 39</t>
  </si>
  <si>
    <t>ja, bei Schäden &gt; 10.000 € (auch Reiserücktritt bis 3.500 €)</t>
  </si>
  <si>
    <t>BB Excellent; Ziff. 41 / Ziff. 42</t>
  </si>
  <si>
    <t>BB Excellent; Ziff. 46</t>
  </si>
  <si>
    <t>BB Excellent; Ziff. 47</t>
  </si>
  <si>
    <t>BB Excellent; Ziff. 48</t>
  </si>
  <si>
    <t>ja oder Tierarztkosten nach einem
Versicherungsfall (nicht für Exoten)</t>
  </si>
  <si>
    <t>bis 1% der VS o.Tierarztkosten nach Versicherungsfall (nicht für Exoten)</t>
  </si>
  <si>
    <t>BB Excellent; Ziff. 51 / Ziff. 52</t>
  </si>
  <si>
    <t>BB Excellent; Ziff. 53.1</t>
  </si>
  <si>
    <t>bis 100% der VS (20%: Pelze, hand-gekn. Teppiche, Kunst, Antiquitäten)</t>
  </si>
  <si>
    <t>BB Excellent; Ziff. 53.2 - 53.4</t>
  </si>
  <si>
    <t>Bargeld - 2% d. VS, max. 1.500 €
Urkunden - 5% d. VS, max. 5.000 €
Schmuck - 20% d. VS, max. 20.000 €
(Schmuck/Uhren mit &gt; 1.000 € Einezlwert nur mit Nachweis)</t>
  </si>
  <si>
    <t>Bargeld - 2% d. VS
Urkunden - 10% d. VS, max. 10.000 €
Schmuck - 35% d. VS, max. 30.000 €
(Schmuck/Uhren mit &gt; 1.000 € Einezlwert nur mit Nachweis)</t>
  </si>
  <si>
    <t>Bargeld - 2% d. VS
Urkunden - 5% d. VS, max. 5.000 €
Schmuck - 20% d. VS
(Schmuck/Uhren mit &gt; 1.000 € Einezlwert nur mit Nachweis)</t>
  </si>
  <si>
    <t>BB Excellent; Ziff. 54</t>
  </si>
  <si>
    <t>BB Excellent; Ziff. 55</t>
  </si>
  <si>
    <t>VHB; § 6, Ziff. 2 c) cc) / BB Excellent; Ziff. 60</t>
  </si>
  <si>
    <t>BB Excellent; Ziff. 61</t>
  </si>
  <si>
    <t>BB Excellent; Ziff. 16 / 58 / 19 / 28 /
31 / 32 / 40 / 57 / 59 / 62 / 63</t>
  </si>
  <si>
    <t>-Diebstahl von Gepäck (100 € SB) 
-Fahrräder als Gepäck sind versichert
-Einbruchdiebstahl durch nicht versicherte Räume
-durch Graffiti beschädigter Hausrat bis 1% der VS
-Sturmschäden auf auch auf Grundstück bis 2% der VS
-Eindringen von Niederschlägen bis 2% der VS (250 € SB)
-Kosten für Miet-/ Ersatz-haushaltsgeräte im Schadenfall
-Transportmittelunfall bis 1% d. VS
-Genereller Unterversicherungs-verzicht f. Schadenhöhe b. 1% d. VS
-Beitragsbefreiung bei Arbeitslosigkeit, max. 12 Monate
-Beitragssatzreduzierung um 25% bei Umzug in ein Seniorenheim, sofern Vertrag seit 3 Jahren bestand</t>
  </si>
  <si>
    <t>BB Excellent; Ziff. 65</t>
  </si>
  <si>
    <t>BB Excellent; Ziff. 64</t>
  </si>
  <si>
    <t>BB Exclusiv; Ziff. 2.2</t>
  </si>
  <si>
    <t>BB Exclusiv; Ziff. 3</t>
  </si>
  <si>
    <t>BB Exclusiv; Ziff. 4</t>
  </si>
  <si>
    <t>max. 1.500 € (250 € SB) - nicht durch Zigarren-/Zigarettenglut</t>
  </si>
  <si>
    <t>ja (250 € SB) - nicht durch Zigarren-/ Zigarettenglut</t>
  </si>
  <si>
    <t>ja (250 € SB)  - nicht durch Zigarren-/ Zigarettenglut</t>
  </si>
  <si>
    <t>BB Exclusiv; Ziff. 5</t>
  </si>
  <si>
    <t>BB Exclusiv; Ziff. 6 / Ziff. 8</t>
  </si>
  <si>
    <t>BB Exclusiv; Ziff. 9</t>
  </si>
  <si>
    <t>BB Excellent; Ziff. 7</t>
  </si>
  <si>
    <t>BB Exclusiv; Ziff. 7</t>
  </si>
  <si>
    <t>infolge Überspannung durch Blitzschlag bis 1.000 €</t>
  </si>
  <si>
    <t>BB Exclusiv; Ziff. 10 / Ziff. 11</t>
  </si>
  <si>
    <t>BB Exclusiv; Ziff. 12.1 / Ziff. 12.3</t>
  </si>
  <si>
    <t>BB Exclusiv; Ziff. 12.1 / Ziff. 12.5</t>
  </si>
  <si>
    <t>BB Exclusiv; Ziff. 13</t>
  </si>
  <si>
    <t>BB Exclusiv; Ziff. 16</t>
  </si>
  <si>
    <t>BB Exclusiv; Ziff. 18.1</t>
  </si>
  <si>
    <t>BB Exclusiv; Ziff. 19.2</t>
  </si>
  <si>
    <t>BB Exclusiv; Ziff. 22</t>
  </si>
  <si>
    <t>BB Exclusiv; Ziff. 26</t>
  </si>
  <si>
    <t>VHB; § 6, Ziff. 3 / BB Exclusiv; Ziff. 28</t>
  </si>
  <si>
    <t>BB Comfort; Ziff. 24.1</t>
  </si>
  <si>
    <t>BB Excellent; Ziff. 37.1</t>
  </si>
  <si>
    <t>BB Exclusiv; Ziff. 29.1</t>
  </si>
  <si>
    <t>VHB; § 8, Ziff. 1. g) / h) / BB Exclusiv; Ziff. 31</t>
  </si>
  <si>
    <t>BB Exclusiv; Ziff. 37</t>
  </si>
  <si>
    <t>BB Exclusiv; Ziff. 40</t>
  </si>
  <si>
    <t>BB Exclusiv; Ziff. 41.1</t>
  </si>
  <si>
    <t>BB Exclusiv; Ziff. 41.2 - 41.4</t>
  </si>
  <si>
    <t>Bargeld - 2% d. VS
Urkunden - 5% d. VS, max. 5.000 €
Schmuck - 20% d. VS, max. 25.000 €
(Schmuck/Uhren mit &gt; 1.000 € Einezlwert nur mit Nachweis)</t>
  </si>
  <si>
    <t>BB Exclusiv; Ziff. 42</t>
  </si>
  <si>
    <t>BB Exclusiv; Ziff. 43</t>
  </si>
  <si>
    <t>VHB; § 6, Ziff. 2 c) cc) / BB Exclusiv; Ziff. 48</t>
  </si>
  <si>
    <t>BB Exclusiv; Ziff. 49</t>
  </si>
  <si>
    <t>-Diebstahl von Gepäck bis 1% d. VS
(100 € SB) 
- Fahrräder als Gepäck bis 100 €
-Eindringen von Niederschlägen bis 1% der VS (250 € SB)
-Kosten für Miet-/ Ersatz-haushaltsgeräte im Schadenfall
-Transportmittelunfall bis 1% d. VS
-Genereller Unterversicherungs-verzicht f. Schadenhöhe bis 500 €
-Beitragsbefreiung bei Arbeitslosigkeit, max. 12 Monate
-Beitragssatzreduzierung um 25% bei Umzug in ein Seniorenheim, sofern Vertrag seit 3 Jahren bestand</t>
  </si>
  <si>
    <t>BB Exclusiv; Ziff. 15 / 46 / 24 / 32 / 45 / 47 / 50 / 51</t>
  </si>
  <si>
    <t>BB Exclusiv; Ziff. 53</t>
  </si>
  <si>
    <t>BB Exclusiv; Ziff. 52</t>
  </si>
  <si>
    <t>keine Versicherungssumme,
unbegrenzte Haftung</t>
  </si>
  <si>
    <t>Höchstentschädigung
bis 200.000 €</t>
  </si>
  <si>
    <t>BWE, § 2 a) / BB Excellent; Ziff. 30</t>
  </si>
  <si>
    <t>BWE, § 2 a) / BB Exclusiv; Ziff. 23</t>
  </si>
  <si>
    <t>10% der Schadenhöhe,
mind. 250 €, max. 1.500 €</t>
  </si>
  <si>
    <t>ERGO Hausrat Spezial</t>
  </si>
  <si>
    <t>KT2013HR, S. 12</t>
  </si>
  <si>
    <t>ja, bis zur Heirat oder erstmaligem Eintritt in ein Arbeitsverhältnis</t>
  </si>
  <si>
    <t>Bargeld - 1.500 €
Urkunden - 20.000 €
Schmuck - 20.000 €</t>
  </si>
  <si>
    <t>bis 25% der VS
(max. 100.000 €)</t>
  </si>
  <si>
    <t>ja (sofern nicht versicherungspflichtig)</t>
  </si>
  <si>
    <t>Balkone/Terrassen</t>
  </si>
  <si>
    <t>ja (Hausrat in mehr als 1.000 m entfernten Garagen bis 1.500 €)</t>
  </si>
  <si>
    <t>ja (sofern Arbeitszimmer auch von außen betretbar ist (z. B. von der Terrasse) bis 15.000 €</t>
  </si>
  <si>
    <t>bis 30% der VS,  max. 6 Monate
(berufsbedingt max. 5 Jahre)</t>
  </si>
  <si>
    <t>Luftfahrzeuge: ja (Schienen-, Was-ser-, Straßenfahrzeuge: bis 1.500 €)</t>
  </si>
  <si>
    <t>bis 1.500 €
(nicht Wertsachen und mobile elektr. Geräte)</t>
  </si>
  <si>
    <t>bis 1.500 €
(keine Wertsachen)
-nicht aus Anhängern-</t>
  </si>
  <si>
    <t>bis 1.500 €
(Wertsachen bis 300 €)</t>
  </si>
  <si>
    <t>bis 1.500 €
(keine Wertsachen / mobile elektronische Geräte)</t>
  </si>
  <si>
    <t>Antennenanlagen
bis 1.500 €</t>
  </si>
  <si>
    <t>bis 1.500 €
(aus der Wohnung)</t>
  </si>
  <si>
    <t>ja
(auch für Kfz bis 1.500 €)</t>
  </si>
  <si>
    <t>bis 1.500 € 
(auch nach ED/ Raub)</t>
  </si>
  <si>
    <t>bis 1.500 € (auch wiederrechtliche Verwendung von Kontodaten)</t>
  </si>
  <si>
    <t>KT2013HR; Ziff. 9.17</t>
  </si>
  <si>
    <t>bis 150 Tage; 35 € pauschal pro Tag (inkl. Frühstück) 
oder 2‰ der VS pro Tag</t>
  </si>
  <si>
    <t>-Kfz-Zubehör bis 1.500 €
-Sturmschäden auf dem Versicherungsgrundstück bis 1.500 €
-Vorsorgeversicherung bei Fahrraddiebstahl für neu hinzukommende Fahrräder bis 500 € bis zum Ablauf des Versicherungsjahrs
-Mehrkosten für umweltschonende Haushaltsgeräte (Öko-Geräte)
-Kinderbetreuung im Schadenfall bis 1.500 €
-Schküsseldienst bis 1.500 €
-Notfallkosten bis 1.500 € (Schädlingsbekämpfung, Entfernung von Wespen-/ Hornissennestern, Heizmaßnahmen bei Stromausfall von mind. 24 Stunden oder stattdessen Unterbringungskosten)
-Beitragsbefreiung bei Arbeitslosigkeit versicherbar</t>
  </si>
  <si>
    <t>HKD VARIO Status
(Stand 01-2012)</t>
  </si>
  <si>
    <t>HKD VARIO Plus
(Stand 01-2012)</t>
  </si>
  <si>
    <t>bis 1% der VS 
(auch E-Bikes)
(ohne Nachtzeitklausel)</t>
  </si>
  <si>
    <t>B1; Ziff. 2.8</t>
  </si>
  <si>
    <t>B1; Ziff. 2.7 /
C4. / Tarif</t>
  </si>
  <si>
    <t>-Einbruch auch über nicht versicherte Räume
-Servicepaket (Schutzbrief) inklusive (bis 250 € je Schadenfall)
-keine Zürseinschränkung innerhalb der Elementarschadendeckung</t>
  </si>
  <si>
    <t>InterRisk L</t>
  </si>
  <si>
    <t>InterRisk XL</t>
  </si>
  <si>
    <t>InterRisk XXL</t>
  </si>
  <si>
    <t>B28 XXL 
(10-2012)</t>
  </si>
  <si>
    <t>B26 L 
(10-2012)</t>
  </si>
  <si>
    <t>B27 XL 
(10-2012)</t>
  </si>
  <si>
    <t>B28; Verbindliche Erläuterungen zu §1, Ziff. 2 b)</t>
  </si>
  <si>
    <t>B28; Verbindliche Erläuterungen zu §2, Ziff. 2 a)</t>
  </si>
  <si>
    <t>B28; Verbindliche Erläuterungen zu §2, Ziff. 4 a)</t>
  </si>
  <si>
    <t>B28; §2, Ziff. 4 c) / Verbindliche Erläuterungen zu §2, Ziff. 4 c)</t>
  </si>
  <si>
    <t>B28; §2, Ziff. 4 a) / Verbindliche Erläuterungen zu §2, Ziff. 4 a)</t>
  </si>
  <si>
    <t>B28; §2, Ziff. 5 / Verbindliche Erläuterungen zu §2, Ziff. 5 a) / b)</t>
  </si>
  <si>
    <t>B28; §2, Ziff. 3 b) / Verbindliche Erläuterungen zu §2, Ziff. 3 b)</t>
  </si>
  <si>
    <t>B28; §2, Ziff. 7.1 / Verbindliche Erläuterungen zu §2, Ziff. 7.1 a) / b)</t>
  </si>
  <si>
    <t>B28; §3, Ziff. 2 / Ziff. 3 / Verbindliche Erläuterungen zu §3, Ziff. 2 und 3 / Ziff. 2.1</t>
  </si>
  <si>
    <t>B28; §3, Ziff. 3 / Verbindliche Erläuterungen zu §3, Ziff. 2 und 3</t>
  </si>
  <si>
    <t>B28; §3, Ziff. 6.3/ Ziff. 6.4 / Verbindliche Erläuterungen zu §3, Ziff. 6.3 und 6.4</t>
  </si>
  <si>
    <t>B28; §4, Ziff. 1.2 g) / Verbindliche Erläuterungen zu §4, Ziff. 2</t>
  </si>
  <si>
    <t>B28; §4, Ziff. 4 / Verbindliche Erläuterungen zu §4, Ziff. 4</t>
  </si>
  <si>
    <t>B28; §5, Ziff. 1 / Verbindliche Erläuterungen zu §5, Ziff. 1</t>
  </si>
  <si>
    <t>B28; §8, Ziff. 1 b) / Verbindliche Erläuterungen zu §8, Ziff. 1 b)</t>
  </si>
  <si>
    <t>sofern ausschließlich über die Wohnung zu betreten auch mit Angestellten / Publikumsverkehr</t>
  </si>
  <si>
    <t>B28; §10, Ziff. 2 b) / Verbindliche Erläuterungen zu §10, Ziff. 2 b)</t>
  </si>
  <si>
    <t>B28; §19, Ziff. 4 / Verbindliche Erläuterungen zu §19, Ziff. 4</t>
  </si>
  <si>
    <t>B28; §2, Ziff. 3 c)</t>
  </si>
  <si>
    <t>B28; §2, Ziff. 2 c)</t>
  </si>
  <si>
    <t>B28; §2, Ziff. 2 b)</t>
  </si>
  <si>
    <t>B28; §3, Ziff. 2.4</t>
  </si>
  <si>
    <t>B28; §3, Ziff. 2.5 / Ziff. 3.4</t>
  </si>
  <si>
    <t>bis 1.500 € (bis 5.000 €, sofern bei Raub die PIN erzwungen wurde)</t>
  </si>
  <si>
    <t xml:space="preserve">B28; §3, Ziff. 3.2 / Ziff. 3.4 </t>
  </si>
  <si>
    <t>B28; §3, Ziff. 3 / § 9, Ziff. 4.1</t>
  </si>
  <si>
    <t>B28; §3, Ziff. 5.1 a)</t>
  </si>
  <si>
    <t>B28; §3, Ziff. 5.1 b)</t>
  </si>
  <si>
    <t>B28; §3, Ziff. 5.1 c) / Ziff. 5.2</t>
  </si>
  <si>
    <t>B28; §3, Ziff. 5.1 e)</t>
  </si>
  <si>
    <t>B28; §3, Ziff. 5.1 f)</t>
  </si>
  <si>
    <t>B28; §3, Ziff. 6.1 b)</t>
  </si>
  <si>
    <t>B28; §3, Ziff. 7.1</t>
  </si>
  <si>
    <t>B28; §3, Ziff. 7.1 a) / b) / Ziff. 7.3</t>
  </si>
  <si>
    <t>B28; §3, Ziff. 7.1 d) / Ziff. 7.3 b)</t>
  </si>
  <si>
    <t>B28; §3, Ziff. 8</t>
  </si>
  <si>
    <t>ja 
(Bargeld/Wertsachen bis 750 €)</t>
  </si>
  <si>
    <t>B28; §4, Ziff. 1.2 a)</t>
  </si>
  <si>
    <t>B28; §4, Ziff. 1.2 d)</t>
  </si>
  <si>
    <t>B28; §4, Ziff. 1.2 e)</t>
  </si>
  <si>
    <t>B28; §4, Ziff. 1.2 f)</t>
  </si>
  <si>
    <t>B28; §4, Ziff. 1.3 a)</t>
  </si>
  <si>
    <t>B28; §4, Ziff. 1.3 b)</t>
  </si>
  <si>
    <t>B28; §4, Ziff. 2</t>
  </si>
  <si>
    <t>ja
(innenliegend)</t>
  </si>
  <si>
    <t>B28; §4, Ziff. 5.1 a)</t>
  </si>
  <si>
    <t>B28; §6, Ziff. 1.2 a)</t>
  </si>
  <si>
    <t>B28; §6, Ziff. 1.2 c)</t>
  </si>
  <si>
    <t>B28; §6, Ziff. 1.2 d)</t>
  </si>
  <si>
    <t>B28; §6, Ziff. 1.2 e) / f)</t>
  </si>
  <si>
    <t>B28; §6, Ziff. 1.2 g)</t>
  </si>
  <si>
    <t>B28; §6, Ziff. 1.2 i)</t>
  </si>
  <si>
    <t>B28; §6, Ziff. 1.2 j)</t>
  </si>
  <si>
    <t>B28; §6, Ziff. 1.2 k)</t>
  </si>
  <si>
    <t>B28; §6, Ziff. 1.2 l)</t>
  </si>
  <si>
    <t>B28; §7, Ziff. 2.2</t>
  </si>
  <si>
    <t>B28; §7, Ziff. 2.1 / Ziff. 2.3</t>
  </si>
  <si>
    <t>bis 40% der VS (Bargeld bis 5.000 €, sofern vor max.1 Woche abgehoben</t>
  </si>
  <si>
    <t>B28; §8, Ziff. 1 / Ziff. 2 / Ziff. 5 a)</t>
  </si>
  <si>
    <t>B28; §7, Ziff. 3.2 / Ziff. 2.1 / §8, Ziff. 5 b)</t>
  </si>
  <si>
    <t>B28; §9, Ziff. 1.2 / Ziff. 7</t>
  </si>
  <si>
    <t>B28; §9, Ziff. 2.1</t>
  </si>
  <si>
    <t>B28; §9, Ziff. 2.3</t>
  </si>
  <si>
    <t>ja (auch sofern ein eigener 
Hausstand gegründet wurde)</t>
  </si>
  <si>
    <t>B28; §3, Ziff. 4.3 / §9, Ziff. 5</t>
  </si>
  <si>
    <t>B28; §10, Ziff. 1.3</t>
  </si>
  <si>
    <t>B28; §10, Ziff. 2 a) / c)</t>
  </si>
  <si>
    <t>B28; §10, Ziff. 2 e)</t>
  </si>
  <si>
    <t>B28; §10, Ziff. 2 f)</t>
  </si>
  <si>
    <t>B28; §10, Ziff. 2 h) / i)</t>
  </si>
  <si>
    <t>B28; §10, Ziff. 2 j)</t>
  </si>
  <si>
    <t>B28; §10, Ziff. 2 k)</t>
  </si>
  <si>
    <t>B28; §10, Ziff. 2 l)</t>
  </si>
  <si>
    <t>B28; §10, Ziff. 3.3</t>
  </si>
  <si>
    <t>B28; §10, Ziff. 4 / Ziff. 5</t>
  </si>
  <si>
    <t>ja
(auch Preissteigerungen)</t>
  </si>
  <si>
    <t>B28; §11, Ziff. 1 a) / Ziff. 2.1</t>
  </si>
  <si>
    <t>B28; §11, Ziff. 2.2 / Ziff. 2.3</t>
  </si>
  <si>
    <t>10% der VS;
bei VS = 700 € pro qm: 30% der VS</t>
  </si>
  <si>
    <t>B28; §14, Ziff. 8</t>
  </si>
  <si>
    <t>B28; §14, Ziff. 4.1 / §19, Ziff. 5.2 c)</t>
  </si>
  <si>
    <t>12 Monate Unterversicherungsver-
zicht b. Umzug in größere Wohnung</t>
  </si>
  <si>
    <t>B28; §15, Ziff. 1.2 c)</t>
  </si>
  <si>
    <t>B28; §15, Ziff. 1.3</t>
  </si>
  <si>
    <t>B28; §17, Ziff. 1.3 / §18</t>
  </si>
  <si>
    <t>ja  (auch Leistung bei unbewusster
Obliegenheitsverletzung)</t>
  </si>
  <si>
    <t>B28; §19, Ziff. 5.2 b)</t>
  </si>
  <si>
    <t>B28; §23, Ziff. 5.2</t>
  </si>
  <si>
    <t>B01; §6, Ziff. 1.2
B28; §2, Ziff. 6 / §4, Ziff. 3 / 
§5, Ziff. 2.2 / §8, Ziff. 3 / Ziff. 4 / 
§9, Ziff. 2.2 / §10, Ziff. 2 d) / g) / 
Ziff. 6.6 / §19, Ziff. 5.2 a) / §24 /
Verbindliche Erläuterungen / 
Klausel 7280</t>
  </si>
  <si>
    <t>- Keine Kündigungsfrist
-Böswillige Beschädigungen (z. B. Graffiti) sind versichert
-Einbruch über nicht versicherte Räume
-Beseitigung von Rohrverstopfungen
- Eindringen von Niederschlägen bis 3.000 € versichert
-Mietern überlassener Hausrat in Einliegerwohnung ist versichert
-Bestimmte Sachen (z. B. Gartenmöbel) sind auch auf dem Grundstück versichert
-vorübergehender Berufs-, Studien- oder Urlaubsaufenthalt bis 1 Jahr
-Anmietungskosten bei Schäden an dringend benötigten Haushaltsgeräten
-Mietfortzahlung bei unbewohnbarkeit der Wohnung
-Psychologische Betreuung (z. B. nach Einbruch/ Raub) bis 1.000 €
-Unterversicherungsverzicht generell bei Kleinschäden bis 3.000 €
-Beitragsbefreiung bei Arbeitslosigkeit bei bestehen einer InterRisk Unfallversicherung XXL
- Einschluss unbenannter Gefahren möglich</t>
  </si>
  <si>
    <t>B28; §10, Ziff. 2 b)</t>
  </si>
  <si>
    <t>Klausel 7279, Ziff. 1</t>
  </si>
  <si>
    <t>Klausel 7279 / Leistungsübersicht</t>
  </si>
  <si>
    <t>Tarif; Ziff. 1.1</t>
  </si>
  <si>
    <t>B28; §1, Ziff. 1</t>
  </si>
  <si>
    <t>B28; §8, Ziff. 1 c)</t>
  </si>
  <si>
    <t>B01; §16</t>
  </si>
  <si>
    <t>B01; §14</t>
  </si>
  <si>
    <t>B27; §11, Ziff. 1 a) / Ziff. 2.1</t>
  </si>
  <si>
    <t>B27; §11, Ziff. 2.2</t>
  </si>
  <si>
    <t>B27; §2, Ziff. 4 a) / Verbindliche Erläuterungen zu §2, Ziff. 4 a)</t>
  </si>
  <si>
    <t>B27; Verbindliche Erläuterungen zu §2, Ziff. 4 a)</t>
  </si>
  <si>
    <t>B27; §2, Ziff. 4 c) / Verbindliche Erläuterungen zu §2, Ziff. 4 c)</t>
  </si>
  <si>
    <t>B27; §2, Ziff. 5 / Verbindliche Erläuterungen zu §2, Ziff. 5 a) / b)</t>
  </si>
  <si>
    <t>B27; §2, Ziff. 6.1 / Verbindliche Erläuterungen zu §2, Ziff. 6.1 a) / b)</t>
  </si>
  <si>
    <t>B27; §1, Ziff. 2 b)</t>
  </si>
  <si>
    <t>B27; §3, Ziff. 6.2 / Ziff. 6.4 / Verbindliche Erläuterungen zu §3, Ziff. 6.2</t>
  </si>
  <si>
    <t>B27; §4, Ziff. 3 / Verbindliche Erläuterungen zu §4, Ziff. 3</t>
  </si>
  <si>
    <t>B27; §5, Ziff. 2 / Verbindliche Erläuterungen zu §5, Ziff. 2</t>
  </si>
  <si>
    <t>B27; §10, Ziff. 2 b) / Verbindliche Erläuterungen zu §10, Ziff. 2 b)</t>
  </si>
  <si>
    <t>B27; §19, Ziff. 4.3</t>
  </si>
  <si>
    <t>B27; §19, Ziff. 5.2 b)</t>
  </si>
  <si>
    <t>B27; §6, Ziff. 1.2 a)</t>
  </si>
  <si>
    <t>B27; §6, Ziff. 1.2 c)</t>
  </si>
  <si>
    <t>B27; §6, Ziff. 1.2 d)</t>
  </si>
  <si>
    <t>B27; §6, Ziff. 1.2 e) / f)</t>
  </si>
  <si>
    <t>B27; §6, Ziff. 1.2 g)</t>
  </si>
  <si>
    <t>B27; §6, Ziff. 1.2 l)</t>
  </si>
  <si>
    <t>B27; §6, Ziff. 1.2 i)</t>
  </si>
  <si>
    <t>B27; §6, Ziff. 2 b)</t>
  </si>
  <si>
    <t>B27; §6, Ziff. 1.2 j)</t>
  </si>
  <si>
    <t>B27; §6, Ziff. 1.2 k)</t>
  </si>
  <si>
    <t>B27; §7, Ziff. 2.1</t>
  </si>
  <si>
    <t>B27; §7, Ziff. 2.2</t>
  </si>
  <si>
    <t>Bargeld - 1.200 €
Urkunden - 10.000 €
Schmuck - 30.000 €</t>
  </si>
  <si>
    <t>B27; §8, Ziff. 1 / Ziff. 2 / Ziff. 5 a)</t>
  </si>
  <si>
    <t>ja, Garagen auch innerhalb des Wohnortes</t>
  </si>
  <si>
    <t>B27; §8, Ziff. 1 b)</t>
  </si>
  <si>
    <t>B27; §8, Ziff. 1 c)</t>
  </si>
  <si>
    <t>B27; §9, Ziff. 1.2 / Ziff. 7</t>
  </si>
  <si>
    <t>20% der VS
max. 6 Monate</t>
  </si>
  <si>
    <t>B27; §9, Ziff. 2</t>
  </si>
  <si>
    <t>B27; §7, Ziff. 3.2 / Ziff. 2.1 / §8, Ziff. 5 b)</t>
  </si>
  <si>
    <t>bis 30% der VS (wie Wertsachenentschädigung)</t>
  </si>
  <si>
    <t>B27; §15, Ziff. 1.2 c)</t>
  </si>
  <si>
    <t>B27; §1, Ziff. 1</t>
  </si>
  <si>
    <t>B27; §2, Ziff. 2.2</t>
  </si>
  <si>
    <t>B27; §2, Ziff. 3 b)</t>
  </si>
  <si>
    <t>B27; §2, Ziff. 3 c)</t>
  </si>
  <si>
    <t>B27; §2, Ziff. 2.3</t>
  </si>
  <si>
    <t>B27; §2, Ziff. 2.4</t>
  </si>
  <si>
    <t>B27; §4, Ziff. 2.2</t>
  </si>
  <si>
    <t>B27; §4, Ziff. 4.1 a)</t>
  </si>
  <si>
    <t>B27; §4, Ziff. 1.2 a)</t>
  </si>
  <si>
    <t>B27; §4, Ziff. 1.3 a)</t>
  </si>
  <si>
    <t>B27; §4, Ziff. 1.3 b)</t>
  </si>
  <si>
    <t>B27; §4, Ziff. 1.2 d)</t>
  </si>
  <si>
    <t>B27; §4, Ziff. 1.2 e)</t>
  </si>
  <si>
    <t>B27; §4, Ziff. 1.2 f)</t>
  </si>
  <si>
    <t>B27; §3, Ziff. 3</t>
  </si>
  <si>
    <t xml:space="preserve">B27; §3, Ziff. 3.2 / Ziff. 3.4 </t>
  </si>
  <si>
    <t>ja (Androhung von Gewalt); bei 
Kreditkartenmissbrauch bis 600 €</t>
  </si>
  <si>
    <t>B27; §3, Ziff. 2.1 / Ziff. 4 / Verbindliche Erläuterungen zu §3, Ziff. 2.1</t>
  </si>
  <si>
    <t>B27; §3, Ziff. 4</t>
  </si>
  <si>
    <t>B27; §3, Ziff. 7.1 / Ziff. 7.2</t>
  </si>
  <si>
    <t>B27; §3, Ziff. 7.1 / Ziff. 7.3</t>
  </si>
  <si>
    <t>bis 600 € 
(keine Wertsachen / elektr. Geräte)
-nicht aus Anhängern-</t>
  </si>
  <si>
    <t>B27; §3, Ziff. 8</t>
  </si>
  <si>
    <t>bis 600 €
(Bargeld/Wertsachen bis 150 €)</t>
  </si>
  <si>
    <t>B27; §3, Ziff. 5.1 b) / Ziff. 5.2</t>
  </si>
  <si>
    <t>B27; §3, Ziff. 5.1 a) / Ziff. 5.2</t>
  </si>
  <si>
    <t>B27; §3, Ziff. 2.4</t>
  </si>
  <si>
    <t>B27; §3, Ziff. 2.5 / Ziff. 3.4</t>
  </si>
  <si>
    <t>B27; §10, Ziff. 2 a) / c)</t>
  </si>
  <si>
    <t>B27; §10, Ziff. 2 b)</t>
  </si>
  <si>
    <t>B27; §10, Ziff. 2 g)</t>
  </si>
  <si>
    <t>B27; §10, Ziff. 2 i)</t>
  </si>
  <si>
    <t>ja (bei mind. 100 Tagen Unbewohnbarkeit)</t>
  </si>
  <si>
    <t>B27; §10, Ziff. 2 h)</t>
  </si>
  <si>
    <t>B27; §10, Ziff. 2 d)</t>
  </si>
  <si>
    <t>bis 200 Tage, 
kein Tageshöchstsatz 
(Angemessenheit wird geprüft)</t>
  </si>
  <si>
    <t>B27; §10, Ziff. 2 e) / f)</t>
  </si>
  <si>
    <t>B27; §6, Ziff. 2 f)</t>
  </si>
  <si>
    <t>B27; §10, Ziff. 1.3</t>
  </si>
  <si>
    <t>B27; §23, Ziff. 5.2</t>
  </si>
  <si>
    <t>ja (20% SB)
bei Schäden &gt; 10.000 €</t>
  </si>
  <si>
    <t>B27; §15, Ziff. 1.3</t>
  </si>
  <si>
    <t>B27; §14, Ziff. 4.1 / §19, Ziff. 5.2 c)</t>
  </si>
  <si>
    <t>2 Monate Unterversicherungsver-
zicht b. Umzug in größere Wohnung</t>
  </si>
  <si>
    <t>bis 600 € 
(kein Außenversicherungsschutz)</t>
  </si>
  <si>
    <t>B27; §3, Ziff. 6.2 / §9, Ziff. 5 / Verbindliche Erläuterungen zu §3, Ziff. 6.2</t>
  </si>
  <si>
    <t>B01; §6, Ziff. 1.2 /
B27;  §8, Ziff. 3 / Ziff. 4 / 
§19, Ziff. 5.2 a)</t>
  </si>
  <si>
    <t>- Keine Kündigungsfrist
-Mietern überlassener Hausrat in Einliegerwohnung ist versichert
-Antennenanlagen, Markisen, Sicherungsanlagen sind auch auf dem Grundstück versichert
-Unterversicherungsverzicht generell bei Kleinschäden bis 3.000 €</t>
  </si>
  <si>
    <t>B26; §11, Ziff. 1 a) / Ziff. 2.1</t>
  </si>
  <si>
    <t>B26; §11, Ziff. 2.2</t>
  </si>
  <si>
    <t>B26; §19, Ziff. 4.3</t>
  </si>
  <si>
    <t>B26; §19, Ziff. 5.2 b)</t>
  </si>
  <si>
    <t>B26; §19, Ziff. 5.2 a)</t>
  </si>
  <si>
    <t>B26; §2, Ziff. 1 a) / b) / Ziff. 4 / Verbindliche Erläuterungen zu §2, Ziff. 4</t>
  </si>
  <si>
    <t>B27; §2, Ziff. 1 a) / b) / Ziff. 4 a) / b) / Verbindliche Erläuterungen zu §2, Ziff. 4 a) / b)</t>
  </si>
  <si>
    <t>B28; §2, Ziff. 1 a) / b) / Ziff. 4 a) / b) / Verbindliche Erläuterungen zu §2, Ziff. 4 a) / b)</t>
  </si>
  <si>
    <t>B26; §2, Ziff. 4 / Verbindliche Erläuterungen zu §2, Ziff. 4</t>
  </si>
  <si>
    <t>B26; §3, Ziff. 2.1 / Ziff. 4 / Verbindliche Erläuterungen zu §3, Ziff. 2.1</t>
  </si>
  <si>
    <t>B26; §3, Ziff. 3</t>
  </si>
  <si>
    <t>B26; §5, Ziff. 2 / Verbindliche Erläuterungen zu §5, Ziff. 1</t>
  </si>
  <si>
    <t>B26; §10, Ziff. 2 b) / Verbindliche Erläuterungen zu §10, Ziff. 2 b)</t>
  </si>
  <si>
    <t>B26; §10, Ziff. 2 b)</t>
  </si>
  <si>
    <t>B26; §10, Ziff. 2 a) / c)</t>
  </si>
  <si>
    <t>B26; §6, Ziff. 1.2 a)</t>
  </si>
  <si>
    <t>B26; §6, Ziff. 1.2 c)</t>
  </si>
  <si>
    <t>B26; §6, Ziff. 1.2 d)</t>
  </si>
  <si>
    <t>B26; §6, Ziff. 1.2 e)</t>
  </si>
  <si>
    <t>B26; §6, Ziff. 1.2 f)</t>
  </si>
  <si>
    <t>B26; §6, Ziff. 1.2 h)</t>
  </si>
  <si>
    <t>B26; §6, Ziff. 2 b)</t>
  </si>
  <si>
    <t>B26; §6, Ziff. 1.2 i)</t>
  </si>
  <si>
    <t>B26; §6, Ziff. 1.2 j)</t>
  </si>
  <si>
    <t>B26; §6, Ziff. 1.2 k)</t>
  </si>
  <si>
    <t>B26; §7, Ziff. 2.1</t>
  </si>
  <si>
    <t>B26; §7, Ziff. 2.2</t>
  </si>
  <si>
    <t>Bargeld - 1.200 €
Urkunden - 5.000 €
Schmuck - 20.000 €</t>
  </si>
  <si>
    <t>B26; §8, Ziff. 1 / Ziff. 2 / Ziff. 4</t>
  </si>
  <si>
    <t>B26; §8, Ziff. 1 b)</t>
  </si>
  <si>
    <t>B26; §8, Ziff. 1 c)</t>
  </si>
  <si>
    <t>B26; §9, Ziff. 1.2 / Ziff. 6</t>
  </si>
  <si>
    <t>10% der VS
max. 3 Monate</t>
  </si>
  <si>
    <t>B26; §9, Ziff. 2</t>
  </si>
  <si>
    <t>B26; §15, Ziff. 1.2 c)</t>
  </si>
  <si>
    <t>B26; §1, Ziff. 1</t>
  </si>
  <si>
    <t>B26; §2, Ziff. 2.2</t>
  </si>
  <si>
    <t>B26; §2, Ziff. 3 c)</t>
  </si>
  <si>
    <t>ja 
(auch ohne versicherten Brandherd)</t>
  </si>
  <si>
    <t>B26; §1, Ziff. 2 b)</t>
  </si>
  <si>
    <t>B26; §1, Ziff. 2 c)</t>
  </si>
  <si>
    <t>B26; §2, Ziff. 1 d)</t>
  </si>
  <si>
    <t>B26; §4, Ziff. 2.2</t>
  </si>
  <si>
    <t>Leitungswasser sowie
Sole, Öle, Kühl-/Kältemittel,
Wasserdampf</t>
  </si>
  <si>
    <t>B27; §4, Ziff. 2.1 a)</t>
  </si>
  <si>
    <t>B28; §4, Ziff. 2.1 a)</t>
  </si>
  <si>
    <t>B28; §4, Ziff. 2.1 b)</t>
  </si>
  <si>
    <t>B28; §4, Ziff. 2.1 c)</t>
  </si>
  <si>
    <t>B28; §4, Ziff. 2.1 d)</t>
  </si>
  <si>
    <t>B28; §4, Ziff. 2.1 e)</t>
  </si>
  <si>
    <t>B27; §4, Ziff. 2.1 d)</t>
  </si>
  <si>
    <t>B27; §4, Ziff. 2.1 c)</t>
  </si>
  <si>
    <t>B27; §4, Ziff. 2.1 b)</t>
  </si>
  <si>
    <t>B26; §4, Ziff. 2.1 a)</t>
  </si>
  <si>
    <t>B26; §4, Ziff. 2.1 b)</t>
  </si>
  <si>
    <t>B26; §4, Ziff. 2.1 c)</t>
  </si>
  <si>
    <t>B26; §4, Ziff. 2.1 d)</t>
  </si>
  <si>
    <t>B26; §4, Ziff. 3.1 a)</t>
  </si>
  <si>
    <t>B26; §4, Ziff. 1.2 a)</t>
  </si>
  <si>
    <t>B26; §4, Ziff. 1.3 a)</t>
  </si>
  <si>
    <t>B26; §4, Ziff. 1.3 b)</t>
  </si>
  <si>
    <t>B26; §4, Ziff. 1.2 b) / c)</t>
  </si>
  <si>
    <t>B27; §4, Ziff. 1.2 b) / c)</t>
  </si>
  <si>
    <t>B28; §4, Ziff. 1.2 b) / c)</t>
  </si>
  <si>
    <t>B26; §4, Ziff. 1.2 d)</t>
  </si>
  <si>
    <t>B26; §4, Ziff. 1.2 e)</t>
  </si>
  <si>
    <t>B26; §4, Ziff. 1.2 f)</t>
  </si>
  <si>
    <t>Lüftungsrohre
(innenliegend)</t>
  </si>
  <si>
    <t>B26; §3, Ziff. 3.1</t>
  </si>
  <si>
    <t>B27; §3, Ziff. 3.1</t>
  </si>
  <si>
    <t>B26; §3, Ziff. 3.2</t>
  </si>
  <si>
    <t>B26; §10, Ziff. 2 g)</t>
  </si>
  <si>
    <t>B26; §10, Ziff. 2 h)</t>
  </si>
  <si>
    <t>B26; §10, Ziff. 2 d)</t>
  </si>
  <si>
    <t>bis 100 Tage, 
1‰ der VS pro Tag</t>
  </si>
  <si>
    <t>B26; §10, Ziff. 2 e) / f)</t>
  </si>
  <si>
    <t>B26; §6, Ziff. 2 f)</t>
  </si>
  <si>
    <t>B26; §23, Ziff. 5</t>
  </si>
  <si>
    <t>B26; §15, Ziff. 1.3</t>
  </si>
  <si>
    <t>B26; §18, Ziff. 2</t>
  </si>
  <si>
    <t>B27; §18, Ziff. 2</t>
  </si>
  <si>
    <t>- Keine Kündigungsfrist
-Antennenanlagen und Markisen sind auch auf dem Grundstück versichert</t>
  </si>
  <si>
    <t>B01; §6, Ziff. 1.2 / 
B26; §8, Ziff. 3</t>
  </si>
  <si>
    <t>Allianz</t>
  </si>
  <si>
    <t>Allianz inkl. SicherheitPlus</t>
  </si>
  <si>
    <t>bis 25 % der VS</t>
  </si>
  <si>
    <t>24 Stunden
innerhalb Deutschlands</t>
  </si>
  <si>
    <t>bis 1% der VS
(nicht aus Anhängern, keine elektr. Geräte (zusätzlich versicherbar))</t>
  </si>
  <si>
    <t>bis 100 Tage
0,2% der VS pro Tag</t>
  </si>
  <si>
    <t>bis 2% der VS,
max. 7 Tage</t>
  </si>
  <si>
    <t>bis 5% der VS, 
bei Schäden &gt; 5.000 €</t>
  </si>
  <si>
    <r>
      <t>Zusätzlich versicherbar:</t>
    </r>
    <r>
      <rPr>
        <sz val="7"/>
        <rFont val="Arial"/>
        <family val="2"/>
      </rPr>
      <t xml:space="preserve">
-Hausrat in Wochenendhäusern
-Versicherung von Reisegepäck
-elektr. Geräte bei Diebstahl aus Kfz
-Modernisierung des Hausrates nach einem Schaden
-Haus- und Wohnungsschutzbrief</t>
    </r>
  </si>
  <si>
    <t>25 % der VS
max. 6 Monate</t>
  </si>
  <si>
    <t xml:space="preserve">Markisen und Antennenanlagen für die Wohnung des VN </t>
  </si>
  <si>
    <t>VHB; A; Ziff. 1.3.1 (2)</t>
  </si>
  <si>
    <t>VHB; A; Ziff. 2.1 (2)</t>
  </si>
  <si>
    <t>im Rahmen der Entschädigung für Gartenmöbel und -geräte</t>
  </si>
  <si>
    <t>VdVA Classic</t>
  </si>
  <si>
    <t>VdVA Exclusiv</t>
  </si>
  <si>
    <t>bis 1.000 €
(Bargeld/Wertsachen 50 €)</t>
  </si>
  <si>
    <t>bis 3.000 €
(Bargeld/Wertsachen 100 €)</t>
  </si>
  <si>
    <t>Tauchbecken</t>
  </si>
  <si>
    <t>bis 200 Tage
150 € pro Tag (inkl. Verpflegungs-kosten pauschal 50 € pro Tag)</t>
  </si>
  <si>
    <t>bis 100 Tage
100 € pro Tag (inkl. Verpflegungs-kosten pauschal 50 € pro Tag)</t>
  </si>
  <si>
    <t>15% der VS (max. 10.000 €)
max. 6 Monate</t>
  </si>
  <si>
    <t>30% der VS (max. 20.000 €)
max. 6 Monate</t>
  </si>
  <si>
    <t>10% der VS
(bei Neuanschaffungen 20% der VS)</t>
  </si>
  <si>
    <t>bei VS = 650 € pro qm sowie bei
Schäden &lt; 2.500 €</t>
  </si>
  <si>
    <t>HRVB; §1; Ziff. 1</t>
  </si>
  <si>
    <t>HRVB; §1; Ziff. 2 a) / f)</t>
  </si>
  <si>
    <t>HRVB; §1; Ziff. 2 c)</t>
  </si>
  <si>
    <t>HRVB; §1; Ziff. 2 d)</t>
  </si>
  <si>
    <t>ja (auch Segeljollen bis 7,5 qm Segelfläche)</t>
  </si>
  <si>
    <t>HRVB; §1; Ziff. 2 g)</t>
  </si>
  <si>
    <t>HRVB; §1; Ziff. 2 e) / §31; Ziff. 1</t>
  </si>
  <si>
    <t>HRVB; §2; Ziff. 1 c) / §31; Ziff. 2</t>
  </si>
  <si>
    <t>HRVB; §2; Ziff. 1 e) / §31; Ziff. 3</t>
  </si>
  <si>
    <t>HRVB; §2; Ziff. 1 m) / §31; Ziff. 4</t>
  </si>
  <si>
    <t>HRVB; §2; Ziff. 1 l) / §31; Ziff. 6</t>
  </si>
  <si>
    <t>HRVB; §4; Ziff. 7 / §31; Ziff. 7</t>
  </si>
  <si>
    <t>HRVB; §5, Ziff. 4 b) / §31; Ziff. 9</t>
  </si>
  <si>
    <t>bis 2.000 €  - auch aus Wohnwagen/
-mobilen, nicht aus Anhängern-
(keine Wertsachen/ elektr. Geräte)</t>
  </si>
  <si>
    <t>HRVB; §5, Ziff. 4 b)</t>
  </si>
  <si>
    <t>24 Stunden
innerhalb Europa</t>
  </si>
  <si>
    <t>HRVB; §5, Ziff. 4 c) / §31; Ziff. 10</t>
  </si>
  <si>
    <t>HRVB; §5, Ziff. 4 d) / §31; Ziff. 11</t>
  </si>
  <si>
    <t>HRVB; §5, Ziff. 5 / §31; Ziff. 12</t>
  </si>
  <si>
    <t>HRVB; §4, Ziff. 8 / §31; Ziff. 13</t>
  </si>
  <si>
    <t>HRVB; §3, Ziff. 1 / §31; Ziff. 14</t>
  </si>
  <si>
    <t>HRVB; §11, Ziff. 6 / §31; Ziff. 15</t>
  </si>
  <si>
    <t>HRVB; §13; Ziff. 1 / §31; Ziff. 16</t>
  </si>
  <si>
    <t>HRVB; §5; Ziff. 4 g) / §31; Ziff. 17</t>
  </si>
  <si>
    <t>HRVB; §9; Ziff. 2 / §31; Ziff. 18</t>
  </si>
  <si>
    <t>HRVB; §32; Ziff. 2</t>
  </si>
  <si>
    <t>HRVB; §32; Ziff. 3</t>
  </si>
  <si>
    <t>HRVB; §2; Ziff. 1 a) / b)</t>
  </si>
  <si>
    <t>HRVB; §2; Ziff. 1 h)</t>
  </si>
  <si>
    <t>HRVB; §2; Ziff. 1 i)</t>
  </si>
  <si>
    <t>HRVB; §2; Ziff. 1 j)</t>
  </si>
  <si>
    <t>HRVB; §3; Ziff. 1 a)</t>
  </si>
  <si>
    <t>HRVB; §4; Ziff. 1 b)</t>
  </si>
  <si>
    <t>HRVB; §3; Ziff. 2 a)</t>
  </si>
  <si>
    <t>HRVB; §4; Ziff. 4</t>
  </si>
  <si>
    <t>HRVB; §3; Ziff. 1 g)</t>
  </si>
  <si>
    <t>HRVB; §4; Ziff. 6</t>
  </si>
  <si>
    <t>HRVB; §5, Ziff. 3</t>
  </si>
  <si>
    <t>HRVB; §5, Ziff. 2</t>
  </si>
  <si>
    <t>HRVB; §8</t>
  </si>
  <si>
    <t>HRVB; §5, Ziff. 4 a) / Leistungsübersicht</t>
  </si>
  <si>
    <t>Prämientabellen</t>
  </si>
  <si>
    <t>HRVB; §5, Ziff. 4 e)</t>
  </si>
  <si>
    <t>HRVB; §7; Ziff. 1</t>
  </si>
  <si>
    <t>HRVB; §9; Ziff. 1 a)</t>
  </si>
  <si>
    <t>HRVB; §9; Ziff. 1 b)</t>
  </si>
  <si>
    <t>HRVB; §9; Ziff. 1 c) / d)</t>
  </si>
  <si>
    <t>HRVB; §9; Ziff. 1 f)</t>
  </si>
  <si>
    <t>HRVB; §9; Ziff. 1 g)</t>
  </si>
  <si>
    <t>HRVB; §9; Ziff. 3</t>
  </si>
  <si>
    <t>HRVB; §9; Ziff. 1 e)</t>
  </si>
  <si>
    <t>HRVB; §9; Ziff. 5 a)</t>
  </si>
  <si>
    <t>HRVB; §10; Ziff. 1</t>
  </si>
  <si>
    <t>HRVB; §9; Ziff. 2</t>
  </si>
  <si>
    <t>HRVB; §11; Ziff. 2</t>
  </si>
  <si>
    <t>ja; Garagen auch im Umkreis von 1 Kilometer zum Versicherungsort</t>
  </si>
  <si>
    <t>ja, sofern sie über einen gemeinsamen Zugang zur Hauptwohnung verfügen</t>
  </si>
  <si>
    <t>HRVB; §11; Ziff. 3</t>
  </si>
  <si>
    <t>HRVB; §5, Ziff. 4 f) / §31; Ziff. 8 /
§5; Ziff. 1 e) / §6, Ziff. 2 / §11; Ziff. 4</t>
  </si>
  <si>
    <t>HRVB; §27; Ziff. 1 c)</t>
  </si>
  <si>
    <t>HRVB; §14; Ziff. 2</t>
  </si>
  <si>
    <t>HRVB; §12; Ziff. 2</t>
  </si>
  <si>
    <t>bis 3 Monate nach Bezug 
der neuen Wohnung</t>
  </si>
  <si>
    <t>HRVB; §38; Ziff. 5</t>
  </si>
  <si>
    <t>HRVB; §2; Ziff. 1 d)</t>
  </si>
  <si>
    <t>Annahmerichtlinien; Ziff. 3.2.2</t>
  </si>
  <si>
    <t>ab VS 200.000 € oder
ab 50.000 € Wertsachenanteil</t>
  </si>
  <si>
    <t>1% der VS, 
max. 1.500 €</t>
  </si>
  <si>
    <t>BB Elementar; §11; Ziff. 1</t>
  </si>
  <si>
    <t>ja
(Rückstau bei funktionsfähigen Rückstauventilen inklusive)</t>
  </si>
  <si>
    <t>BB Elementar; §2 / HRVB; §9; Ziff. 4</t>
  </si>
  <si>
    <t>HRVB; §27, Ziff. 1 b) bc)</t>
  </si>
  <si>
    <t>HRVB; §13, Ziff. 2</t>
  </si>
  <si>
    <t>HRVB; §30; Ziff. 5.2</t>
  </si>
  <si>
    <t>HRVB; §30; Ziff. 5.2 / Ziff. 5.3</t>
  </si>
  <si>
    <t>Nürnberger KomplettSchutz</t>
  </si>
  <si>
    <t>bis 10% der VS, max. 20.000 €,
max. 6 Monate</t>
  </si>
  <si>
    <t>bis 1.000 €
(150 € SB)</t>
  </si>
  <si>
    <t>ja (20% SB)
bei Schäden &gt; 25.000 €</t>
  </si>
  <si>
    <t>für VN ab 50 Jahren
bis 1.000 €</t>
  </si>
  <si>
    <t>bis 1% der VS (Bargeld 100 €)
(für VN ab 50 Jahren auch Rehakliniken/ Pflegezimmer/ Pflegeeinrichtung)</t>
  </si>
  <si>
    <t>Klausel 1101/077/0 / Klausel 1101/086/0</t>
  </si>
  <si>
    <t>Klausel 1101/078/0</t>
  </si>
  <si>
    <t>Skulpturen
bis 1.000 €</t>
  </si>
  <si>
    <t>Tierarztkosten (für VN ab 50 Jahre auch Haustierversorgung bis 500 €)</t>
  </si>
  <si>
    <t>Klausel 1101/079/0 / Klausel 1101/090/0</t>
  </si>
  <si>
    <t>Klausel 1101/080/0</t>
  </si>
  <si>
    <t>Antennenanlagen/Parabolspiegel
bis 1.000 €</t>
  </si>
  <si>
    <t>Klausel 1101/081/0</t>
  </si>
  <si>
    <t>Klausel 1101/083/0</t>
  </si>
  <si>
    <t>Klausel 1101/087/0</t>
  </si>
  <si>
    <t>ja
(keine Wertsachen)</t>
  </si>
  <si>
    <t>Klausel 1101/101/0</t>
  </si>
  <si>
    <t>24 Stunden
in Europa</t>
  </si>
  <si>
    <t>bis 500 €
(keine Wertsachen / elektr. Geräte)
-nicht aus Anhängern-</t>
  </si>
  <si>
    <t>Klausel 1101/102/0</t>
  </si>
  <si>
    <t>Klausel 1101/103/0</t>
  </si>
  <si>
    <t>bis 500 € (auf dem Versicherungs-grundstück/ im Wohnhaus)</t>
  </si>
  <si>
    <t>Klausel 1101/104/0</t>
  </si>
  <si>
    <t>Klausel 1101/105/0</t>
  </si>
  <si>
    <t>Klausel 1101/106/0</t>
  </si>
  <si>
    <t>Klausel 1101/107/0</t>
  </si>
  <si>
    <t>Klausel 1101/108/0</t>
  </si>
  <si>
    <t>Klausel 1101/109/0</t>
  </si>
  <si>
    <t>bis 1.000 € (sofern Wohnung mind. 6 Monate unbewohnbar ist)</t>
  </si>
  <si>
    <t>Klausel 1101/111/0</t>
  </si>
  <si>
    <t>Klausel 1101/112/0</t>
  </si>
  <si>
    <t>bis 500 €
(auch techisches Versagen)</t>
  </si>
  <si>
    <t>Klausel 1101/113/0</t>
  </si>
  <si>
    <t>Klausel 1101/114/0</t>
  </si>
  <si>
    <t>Klausel 1101/115/0</t>
  </si>
  <si>
    <t>Klausel 1101/116/0</t>
  </si>
  <si>
    <t>bis 5.000 €
(keine Wertsachen)</t>
  </si>
  <si>
    <t>Klausel 999/120/0</t>
  </si>
  <si>
    <t>Klausel 1101/088/0</t>
  </si>
  <si>
    <t>für VN ab 50 Jahre
bis 500 €; auf dem Versicherungsgrundstück / im Wohnhaus
(mit Nachtzeitklausel)</t>
  </si>
  <si>
    <t>VN ab 50 Jahre: bis 500 €;auf  Grund- stück/Wohnhaus (Nachtzeitklausel)</t>
  </si>
  <si>
    <t>Klausel 1101/091/0</t>
  </si>
  <si>
    <t>Klausel 1101/070/1</t>
  </si>
  <si>
    <t>Klausel 1101/071/0</t>
  </si>
  <si>
    <t>zusätzlich versicherbar
bis 5% der VS</t>
  </si>
  <si>
    <t>Klausel 1101/099/0 / Klausel 1101/100/0 / Klausel 1101/089/0 / Klausel 1101/072/0</t>
  </si>
  <si>
    <t>VHB; §10; Ziff. 4 a)</t>
  </si>
  <si>
    <t>ab VS 150.000 €;
ab Wertsachenanteil 30.000 €</t>
  </si>
  <si>
    <t>Tarif; Ziff. 11.2.3</t>
  </si>
  <si>
    <t>inklusive
(abwählbar)</t>
  </si>
  <si>
    <t>Antrag / BWE; §2 / Tarif</t>
  </si>
  <si>
    <t>BWE; §13 b) / Tarif; Ziff. 4.3</t>
  </si>
  <si>
    <t>VHB; § 8, Ziff. 1 e)</t>
  </si>
  <si>
    <t>VHB; § 16 c)</t>
  </si>
  <si>
    <t>Golfausrüstung/ Reitutensilien
zusätzlich versicherbar</t>
  </si>
  <si>
    <t>VHB; § 6, Ziff. 2 c) cc)</t>
  </si>
  <si>
    <t>Markisen und Antennenanlagen 
für die Whg. des VN</t>
  </si>
  <si>
    <t>VHB § 2, Ziff. 5</t>
  </si>
  <si>
    <t>VHB; § 11, Ziff. 4</t>
  </si>
  <si>
    <t>-Mehrkosten durch umweltfreundliche Materialien bis 1.000 €
-Mehrkosten für wasser- bzw. energiesparende Haushaltsgroßgeräte bis 1.000 €
Für VN ab 50 Jahren:
-Weiterführung des Vertrages mit auf 5.000 € reduzierter VS bei Umzug des VN in Alten-, Senioren-, Pflegeheim
Zusätzlich versicherbar:
-Hausrat dauerhaft in Wochenend-/ Ferienhaus / in Zweitwohnungen (keine Wertsachen)
-ElektronikSchutz: bis 3.000 € (150 € SB) für PC/Notebook bei Fremdspannung, Überspannung, Kurzschluss, Stromausfall, Verschmoren, Versengen, Verglimmen, Verrußen, höherer Gewalt
-Assistance-Leistungen (SchutzEngel)
-Reisegepäck bis 3.000 € (150 € SB) (ReiseSchutz)</t>
  </si>
  <si>
    <t>HRVB; §1; Ziff. 2 b)</t>
  </si>
  <si>
    <t>HRVB; §15; Ziff. 1</t>
  </si>
  <si>
    <t>HRVB; §16; Ziff. 2</t>
  </si>
  <si>
    <t>summarisch bis 30% 
über Sachsubstanzwert</t>
  </si>
  <si>
    <t>HRVB; §30; Ziff. 4</t>
  </si>
  <si>
    <t>HRVB; §50</t>
  </si>
  <si>
    <t>HRVB; §48</t>
  </si>
  <si>
    <t>-unbenannte Gefahren sind zusätzlich versicherbar 
-Diebstahl von Waschmaschinen und Trocknern aus Gemeinschaftsräumen bis 1.000 €
-Einbruchdiebstahl ist auch versichert, sofern der richtige Schlüssel durch einfachen Diebstahl entwendet wurde
-Hausratbeschädigung bei Transportmittelunfall bis 2.500 €
-Hausrat in vermieteter Einliegerwohnung  oder einzeln vermieteten Räumen in der Wohnung des VN
-Reisegepäck zusätzlich versicherbar (150 € SB)</t>
  </si>
  <si>
    <t>HRVB; §13; Ziff. 1</t>
  </si>
  <si>
    <t>HRVB; §28; Ziff. 4</t>
  </si>
  <si>
    <t>HRVB; §28; Ziff. 5.2 / Ziff. 5.3</t>
  </si>
  <si>
    <t>HRVB; §47</t>
  </si>
  <si>
    <t>HRVB; §46</t>
  </si>
  <si>
    <t>HRVB; §30; Ziff. 3</t>
  </si>
  <si>
    <t>HRVB; §1; Ziff. 2 e) / §29; Ziff. 1</t>
  </si>
  <si>
    <t>HRVB; §28; Ziff. 5.2</t>
  </si>
  <si>
    <t>HRVB; §11; Ziff. 1 / §29; Ziff. 11</t>
  </si>
  <si>
    <t>HRVB; §11, Ziff. 2</t>
  </si>
  <si>
    <t>HRVB; §9, Ziff. 6 / §29; Ziff. 12</t>
  </si>
  <si>
    <t>HRVB; §25, Ziff. 1 b) bc)</t>
  </si>
  <si>
    <t>HRVB; §3, Ziff. 1 / §29; Ziff. 9</t>
  </si>
  <si>
    <t>HRVB; §4, Ziff. 8 / §29; Ziff. 13</t>
  </si>
  <si>
    <t>HRVB; §7; Ziff. 5 a)</t>
  </si>
  <si>
    <t>HRVB; §4, Ziff. 7 a)</t>
  </si>
  <si>
    <t>HRVB; §7; Ziff. 3</t>
  </si>
  <si>
    <t>HRVB; §7; Ziff. 1 a)</t>
  </si>
  <si>
    <t>HRVB; §7; Ziff. 1 b)</t>
  </si>
  <si>
    <t>HRVB; §7; Ziff. 1 c) / d)</t>
  </si>
  <si>
    <t>HRVB; §7; Ziff. 1 f)</t>
  </si>
  <si>
    <t>HRVB; §7; Ziff. 1 g)</t>
  </si>
  <si>
    <t>HRVB; §7; Ziff. 1 e)</t>
  </si>
  <si>
    <t>HRVB; §7; Ziff. 2</t>
  </si>
  <si>
    <t>HRVB; §8; Ziff. 1</t>
  </si>
  <si>
    <t>HRVB; §6</t>
  </si>
  <si>
    <t>HRVB; §5, Ziff. 4 c) / §29; Ziff. 7</t>
  </si>
  <si>
    <t>HRVB; §5, Ziff. 4 b) / §29; Ziff. 6</t>
  </si>
  <si>
    <t>BB Elementar; §2 / HRVB; §7; Ziff. 4</t>
  </si>
  <si>
    <t>HRVB; §2; Ziff. 1 e) / §29; Ziff. 3</t>
  </si>
  <si>
    <t>ja (bis 500 € sofern durch einfachen Diebstahl abhanden gekommen)</t>
  </si>
  <si>
    <t>HRVB; §2; Ziff. 1 c) / §29; Ziff. 2</t>
  </si>
  <si>
    <t>HRVB; §2; Ziff. 1 j) / §29; Ziff. 4</t>
  </si>
  <si>
    <t>HRVB; §10; Ziff. 2</t>
  </si>
  <si>
    <t>HRVB; §25; Ziff. 1 c)</t>
  </si>
  <si>
    <t>HRVB; §12</t>
  </si>
  <si>
    <t>-Diebstahl von Waschmaschinen und Trocknern aus Gemeinschaftsräumen bis 500 €
-Einbruchdiebstahl ist auch versichert, sofern der richtige Schlüssel durch einfachen Diebstahl entwendet wurde</t>
  </si>
  <si>
    <t>HRVB; §5, Ziff. 4 d) / §29; Ziff. 8 /
§5; Ziff. 1 f)</t>
  </si>
  <si>
    <t>HRVB; §5, Ziff. 4 a)</t>
  </si>
  <si>
    <t>VHB 97 Optimal 
(SV 2326/01)</t>
  </si>
  <si>
    <t>VHB; §1, Ziff. 2 b)</t>
  </si>
  <si>
    <t>VHB; §1, Ziff. 2 c)</t>
  </si>
  <si>
    <t>VHB; §1, Ziff. 2 d)</t>
  </si>
  <si>
    <t>VHB; §1, Ziff. 2 e)</t>
  </si>
  <si>
    <t>VHB; §1, Ziff. 3 b)</t>
  </si>
  <si>
    <t>VHB; §2, Ziff. 1 a) / b)</t>
  </si>
  <si>
    <t>VHB; §2, Ziff. 1 c)</t>
  </si>
  <si>
    <t>VHB; §2, Ziff. 1 e)</t>
  </si>
  <si>
    <t>Gebäudeschäden durch Einbruch/ Raub und Nässeschäden</t>
  </si>
  <si>
    <t>VHB; §2, Ziff. 1 f) / g)</t>
  </si>
  <si>
    <t>VHB; §2, Ziff. 1 h)</t>
  </si>
  <si>
    <t>VHB; §2, Ziff. 1 i)</t>
  </si>
  <si>
    <t>VHB; §2, Ziff. 1 k)</t>
  </si>
  <si>
    <t>VHB; §2, Ziff. 1 l)</t>
  </si>
  <si>
    <t>VHB; §3, Ziff. 2</t>
  </si>
  <si>
    <t>VHB; §3, Ziff. 2 / Klauseltext Kfz-2</t>
  </si>
  <si>
    <t>bis 20% der VS (keineAnhänger, Wertsachen/ elektr. Geräte)</t>
  </si>
  <si>
    <t>vereinbarte Entschädigung</t>
  </si>
  <si>
    <t>VHB; §3, Ziff. 3 / Kl 7111 (97)</t>
  </si>
  <si>
    <t>ja 
(Implosion an elektischen Geräten)</t>
  </si>
  <si>
    <t>VHB; §3, Ziff. 1 a) / Ziff. 4</t>
  </si>
  <si>
    <t>VHB; §3, Ziff. 5 / Klausel 7110 (06)</t>
  </si>
  <si>
    <t>bis zur Vereinbarten
Entschädigung</t>
  </si>
  <si>
    <t>VHB; §3, Ziff. 6</t>
  </si>
  <si>
    <t>VHB; §3, Ziff. 7</t>
  </si>
  <si>
    <t>VHB; §3, Ziff. 8</t>
  </si>
  <si>
    <t>ja (Wertsachen bis 100 € und elektr. Geräte bis 250 €)</t>
  </si>
  <si>
    <t>ja (auch technisches Versagen nach Ablauf der Garantiezeit)</t>
  </si>
  <si>
    <t>VHB; §3, Ziff. 10</t>
  </si>
  <si>
    <t>VHB; §3, Ziff. 9</t>
  </si>
  <si>
    <t>VHB; §9, Ziff. 3</t>
  </si>
  <si>
    <t>VHB; §2, Ziff. 1 f) / §6</t>
  </si>
  <si>
    <t>VHB; §7, Ziff. 3</t>
  </si>
  <si>
    <t>VHB; §7, Ziff. 1 a)</t>
  </si>
  <si>
    <t>VHB; §7, Ziff. 1 b)</t>
  </si>
  <si>
    <t>VHB; §7, Ziff. 1 d)</t>
  </si>
  <si>
    <t>VHB; §7, Ziff. 1 f)</t>
  </si>
  <si>
    <t>VHB; §7, Ziff. 1 e)</t>
  </si>
  <si>
    <t>VHB; §1, Ziff. 2 b) / §7, Ziff. 2</t>
  </si>
  <si>
    <t>VHB; §8, Ziff. 1</t>
  </si>
  <si>
    <t>VHB; §9, Ziff. 1</t>
  </si>
  <si>
    <t>VHB; §9, Ziff. 1 c)</t>
  </si>
  <si>
    <t>VHB; §9, Ziff. 2</t>
  </si>
  <si>
    <t>VHB; §3, Ziff. 1 a)</t>
  </si>
  <si>
    <t>VHB; §9, Ziff. 4 a)</t>
  </si>
  <si>
    <t>nur Bruchschäden an leitungs-wasserführenden Installationen</t>
  </si>
  <si>
    <t>nur an leitungswasserführenden
Installationen</t>
  </si>
  <si>
    <t>BEH; §4</t>
  </si>
  <si>
    <t>BEH; §3 / §4</t>
  </si>
  <si>
    <t>BEH; §5 - §10</t>
  </si>
  <si>
    <t>BEH; §12</t>
  </si>
  <si>
    <t>vereinbarte Höhe</t>
  </si>
  <si>
    <t>VHB; §3, Ziff. 6 b)</t>
  </si>
  <si>
    <t>unbekannt</t>
  </si>
  <si>
    <t>VHB; §11, Ziff. 2</t>
  </si>
  <si>
    <t>VHB; §23, Ziff. 5</t>
  </si>
  <si>
    <t>VHB; §3, Ziff. 1</t>
  </si>
  <si>
    <t>VHB; §13, Ziff. 3 b)</t>
  </si>
  <si>
    <t>VHB; §10, Ziff. 2</t>
  </si>
  <si>
    <t>VHB; §1, Ziff. 2 a) / §10, Ziff. 2</t>
  </si>
  <si>
    <t>VHB; §12, Ziff. 2</t>
  </si>
  <si>
    <t>20 % der VS
max. 3 Monate</t>
  </si>
  <si>
    <t>VHB; §12, Ziff. 1 / Ziff. 6</t>
  </si>
  <si>
    <t>Loggien, Balkone, Terassen (F, LW)</t>
  </si>
  <si>
    <t>VHB; §10, Ziff. 3</t>
  </si>
  <si>
    <t>VHB; §19, Ziff. 2</t>
  </si>
  <si>
    <t>VHB; §19, Ziff. 3</t>
  </si>
  <si>
    <t>VHB; §18, Ziff. 7</t>
  </si>
  <si>
    <t>VHB; §16, Ziff. 1 b)</t>
  </si>
  <si>
    <t>Allianz Optimal
(VHB 97 - SV 2326/01)</t>
  </si>
  <si>
    <t>VHB; §18, Ziff. 1 a) / Ziff. 2</t>
  </si>
  <si>
    <t>Provinzial Basis
(Stand 07-2008)</t>
  </si>
  <si>
    <t>Klauseln Basis-Modell</t>
  </si>
  <si>
    <t>VHB; §1, Ziff. 1 / §28</t>
  </si>
  <si>
    <t>VHB; §1, Ziff. 2 a)</t>
  </si>
  <si>
    <t>VHB; §1, Ziff. 4 a)</t>
  </si>
  <si>
    <t>VHB; §1, Ziff. 4 b) / Ziff. 5</t>
  </si>
  <si>
    <t>nicht,wenn ursprünglich v. Eigentüm-er eingebracht &amp; vom Mieter ersetzt</t>
  </si>
  <si>
    <t>VHB; §1, Ziff. 6 b)</t>
  </si>
  <si>
    <t>VHB; §2, Ziff. 1 d)</t>
  </si>
  <si>
    <t>VHB; §2, Ziff. 1 f)</t>
  </si>
  <si>
    <t>VHB; §2, Ziff. 1 g)</t>
  </si>
  <si>
    <t>VHB; §2, Ziff. 1 h) / i)</t>
  </si>
  <si>
    <t>VHB; §2, Ziff. 2 / §27, Ziff. 4</t>
  </si>
  <si>
    <t>VHB; §12, Ziff. 2 / §27, Ziff. 4</t>
  </si>
  <si>
    <t>VHB; §12, Ziff. 1 / §27, Ziff. 1 a)</t>
  </si>
  <si>
    <t>VHB; §4</t>
  </si>
  <si>
    <t>nur Sengschäden durch Brand, Blitzschlag, Explosion o. Implosion</t>
  </si>
  <si>
    <t>VHB; §4, Ziff. 5</t>
  </si>
  <si>
    <t>VHB; §6</t>
  </si>
  <si>
    <t>nur innerhalb des Versicherungsorts</t>
  </si>
  <si>
    <t>VHB; §5, Ziff. 3</t>
  </si>
  <si>
    <t>VHB; §5, Ziff. 5</t>
  </si>
  <si>
    <t>Klauseln</t>
  </si>
  <si>
    <t>VHB; §5, Ziff. 3 a)</t>
  </si>
  <si>
    <t>VHB; §34, Ziff. 6</t>
  </si>
  <si>
    <t>VHB; §7, Ziff. 1 c)</t>
  </si>
  <si>
    <t>VHB; §7, Ziff. 4 a)</t>
  </si>
  <si>
    <t>ja, Garagen auch in der Nähe des
Versicherungsortes</t>
  </si>
  <si>
    <t>bis 10% der VS,
max. 6 Monate</t>
  </si>
  <si>
    <t>VHB; §24, Ziff. 1 b)</t>
  </si>
  <si>
    <t>VHB; §11, Ziff. 1 / Ziff. 6</t>
  </si>
  <si>
    <t xml:space="preserve">bis 600 € an Möbeln/ Fußbodenbelegen (Sengschäden) </t>
  </si>
  <si>
    <t>bis 600 € (keine Anhänger, Wertsachen/ elektr. Geräte)</t>
  </si>
  <si>
    <t>bis 600 € (Bargeld 50 €)
-keine Mobiltelefone-</t>
  </si>
  <si>
    <t>VHB 74
Stand 04-1979</t>
  </si>
  <si>
    <t>nur bemannte Flugkörper</t>
  </si>
  <si>
    <t>VHB; §1 (1) a)</t>
  </si>
  <si>
    <t>VHB; §1 (2) b)</t>
  </si>
  <si>
    <t>Aufräumkosten bis 500 DM</t>
  </si>
  <si>
    <t>VHB; §1 (3)</t>
  </si>
  <si>
    <t>VHB; §2 (1)</t>
  </si>
  <si>
    <t>VHB; §2 (1) b)</t>
  </si>
  <si>
    <t>VHB; §2 (1) c)</t>
  </si>
  <si>
    <t>Kleinvieh 
(Futter-/ Streuvorräte bis 500 DM)</t>
  </si>
  <si>
    <t>VHB; §2 (3) a) / (4)</t>
  </si>
  <si>
    <t>VHB; §2 (3) b) / (4) / (5) / (6) / (8)</t>
  </si>
  <si>
    <t>Bargeld - 1.000 DM
Urkunden - 1.000 DM
Münzen - 1.000 DM (350 DM/Stück)
Schmuck - 1.500 DM</t>
  </si>
  <si>
    <t>Bargeld/Urkunden: 10.000 DM/ Spar-bücher: 5.000/ Schmuck: 20.000 DM</t>
  </si>
  <si>
    <t>VHB; §1 (1)</t>
  </si>
  <si>
    <t>VHB; §3; B (2)</t>
  </si>
  <si>
    <t>ja
(nicht Implosion)</t>
  </si>
  <si>
    <t>VHB; §1 (1) a) / §3; A</t>
  </si>
  <si>
    <t>VHB; §3; A (3) a)</t>
  </si>
  <si>
    <t>VHB; §3; A (3) c)</t>
  </si>
  <si>
    <t>VHB; §3; A (3) b)</t>
  </si>
  <si>
    <t>VHB; §3; B (3) a)</t>
  </si>
  <si>
    <t>ja 
(innerhalb der Versicherungsräume)</t>
  </si>
  <si>
    <t>VHB; §3; B (3) b)</t>
  </si>
  <si>
    <t>infolge Einbruchdiebstahl 
oder Raub</t>
  </si>
  <si>
    <t>VHB; §3; B (5)</t>
  </si>
  <si>
    <t>bis 2% der VS, max. 500 DM 
(keine Anhänger, Wertsachen)</t>
  </si>
  <si>
    <t>VHB; §3; B (6) a)</t>
  </si>
  <si>
    <t>bis 500 DM</t>
  </si>
  <si>
    <t>bis 500 DM
(mit Nachtzeitklausel)</t>
  </si>
  <si>
    <t>VHB; §3; B (6) b)</t>
  </si>
  <si>
    <t>VHB; §3; B (6) c)</t>
  </si>
  <si>
    <t>VHB; §3; C (1)</t>
  </si>
  <si>
    <t>Leitungswasser und 
Wasserdampf</t>
  </si>
  <si>
    <t>Warmwasser- und
Dampfheizung</t>
  </si>
  <si>
    <t>VHB; §3; C (2)</t>
  </si>
  <si>
    <t>bis 10% der VS,
max. 5.000 DM</t>
  </si>
  <si>
    <t>VHB; §3; C (3) a)</t>
  </si>
  <si>
    <t>Zu- und Ableitungsrohre</t>
  </si>
  <si>
    <t>VHB; §2 (1) a) / §3; C (3) b)</t>
  </si>
  <si>
    <t>Badeöfen
(auch nicht frostbedingt)</t>
  </si>
  <si>
    <t>VHB; §3; C (4) b)</t>
  </si>
  <si>
    <t>VHB; §3; D (1)</t>
  </si>
  <si>
    <t>VHB; §3; D (3)</t>
  </si>
  <si>
    <t>sofern vereinbart: Sturmschäden an
Markisen und Antennenanlagen für die Whg. des VN</t>
  </si>
  <si>
    <t>vereinbarte VS (bei Zeitwert &lt; 50% d. Neuwerts = Zeitwertentschädigung)</t>
  </si>
  <si>
    <t>VHB; §4 (1) / §5 (1) a)</t>
  </si>
  <si>
    <t>VHB; §1 (1) e) / §2 (10) / §3; E / §5 (1) a)</t>
  </si>
  <si>
    <t>-Campingausrüstungen und in der Wohnung befindliches Kfz-Zubehör ist versichert
-Bei Umzug ist der Diebstahl aus einem Möbelwagen versichert</t>
  </si>
  <si>
    <t>VHB; §2 (1) / §6 (1)</t>
  </si>
  <si>
    <t>VHB; §6 (1)</t>
  </si>
  <si>
    <t>2 Wochen</t>
  </si>
  <si>
    <t>VHB; §6 (2)</t>
  </si>
  <si>
    <t>innerhalb Europa bis 10% der VS, 
max. 10.000 DM</t>
  </si>
  <si>
    <t>VHB; §7 (2)</t>
  </si>
  <si>
    <t>VHB; §15 (2) e)</t>
  </si>
  <si>
    <t>VHB; §29</t>
  </si>
  <si>
    <t>sofern es sich um eine belanglose Gefahrerhöhung handelt</t>
  </si>
  <si>
    <t>auch nicht frostbedingte
Bruchschäden</t>
  </si>
  <si>
    <t>ohne Motor</t>
  </si>
  <si>
    <t>HUK Hausrat VHB 74 
(Stand 04-1979)</t>
  </si>
  <si>
    <t>Helvetia Komfort</t>
  </si>
  <si>
    <t>eingeschränkte Nachtzeitklausel
innerhalb Europas
-keine Wertsachen / elektr. Geräte-</t>
  </si>
  <si>
    <t>Klausel 7001; Ziff. 1 / Ziff. 3</t>
  </si>
  <si>
    <t>Klausel 7001; Ziff. 2.1 / Ziff. 2.2 / Ziff. 3</t>
  </si>
  <si>
    <t>BB Komfortschutz</t>
  </si>
  <si>
    <t>Zeitwertentschädigung
(Neuwertentschädigung zusätzlich versicherbar)</t>
  </si>
  <si>
    <t>BB Komfortschutz / Tarif</t>
  </si>
  <si>
    <t>Klausel 7111</t>
  </si>
  <si>
    <t>BB Komfortschutz / 
Klausel 7001; Ziff. 1</t>
  </si>
  <si>
    <t>bis 30% der VS, soweit innerhalb 
der versicherten Wohnung</t>
  </si>
  <si>
    <t>bis 30% der VS,
max. 5.000 €</t>
  </si>
  <si>
    <t>bis 1.000 €
(Wertsachen bis 250 €)</t>
  </si>
  <si>
    <t>bis 1.000 €
(innerhalb des Versicherungsorts)</t>
  </si>
  <si>
    <t>technische, optische u. akustische Sicherungsanlagen bis 1% der VS</t>
  </si>
  <si>
    <t>bis 5% der VS,
max. 5.000 €</t>
  </si>
  <si>
    <t>ja (20% SB)
bei Schäden &gt; 20.000 €</t>
  </si>
  <si>
    <t>bis 200 Tage,
mind. 25 € pro Tag, max. 1‰ der VS</t>
  </si>
  <si>
    <t>VHB; §18, Ziff. 2 / BB Komfortschutz</t>
  </si>
  <si>
    <t>VHB; §3, Ziff. 3 / BB Komfortschutz</t>
  </si>
  <si>
    <t>bis 20% der VS, max. 30.000 €,
max. 3 Monate</t>
  </si>
  <si>
    <t>max. 3 Monate 
(nicht sofern VS &gt; 250.000 €)</t>
  </si>
  <si>
    <t>zusätzlich versicherbar über
Baustein "Unterwegs" bis 3.000 €</t>
  </si>
  <si>
    <t>BB Baustein Unterwegs</t>
  </si>
  <si>
    <t>-unbenannte Gefahren versicherbar bis 1.500 € (250 € SB) über Baustein "Plus"
-Sachen in vermieteten Einliegerwohnungen sind versichert
-Diebstahl von Waschmaschinen und Wäschetrocknern aus Waschkeller
-Kfz-Zubehör bis 1.000 € (nicht am Fahrzeug montierte Reifen inkl. Felgen, Dachboxen)
-beruflich bedingter Zweitwohnsitz in Deutschland und beruflich bedingter Auslandsaufenthalt bis 15% der VS, max. 15.000 €, max. 1 Jahr
-Beitragsbefreiung bei Arbeitslosigkeit bis 12 Monate
-Transportmittelunfall im Rahmen der Außenversicherung
Versicherbar über Baustein "Unterwegs":
-Diebstahl aus Spind/Schließfach bis 1% der VS, max. 3.000 €
-Diebstahl aus Kfz-Dachbox bis 500 € (keine Wertsachen / elektr. Geräte)
-Ersatzkauf bei verzögert ausgeliefertem Gepäck auf einer Reise bis 500 €
-Beschädigung an aufgegebenem Gepäck bis 500 €
-Haus- und Wohnungsschutzbrief versicherbar über Baustein "Haus + Wohnen"</t>
  </si>
  <si>
    <t>ab VS 250.000 €;
ab Wertsachenanteil 62.500 €</t>
  </si>
  <si>
    <t>VHB; §6, Ziff. 2 c) aa)</t>
  </si>
  <si>
    <t>VHB; §6, Ziff. 2 c) bb)</t>
  </si>
  <si>
    <t>Markisen und Antennenanlagen für die Wohnung des VN +
Durch ED beschädigte technische, optische, akustische Überwachung-sanlagen</t>
  </si>
  <si>
    <t>VHB; §6, Ziff. 2 c) cc) / BB Komfortschutz</t>
  </si>
  <si>
    <t>VHB; §6, Ziff. 2 c) ee)</t>
  </si>
  <si>
    <t>VHB; §6, Ziff. 2 c) ff)</t>
  </si>
  <si>
    <t>VHB; §6, Ziff. 2 c) gg)</t>
  </si>
  <si>
    <t>VHB; §6, Ziff. 2 c) ii)</t>
  </si>
  <si>
    <t>VHB; §6, Ziff. 2 c) hh)</t>
  </si>
  <si>
    <t>VHB; §6, Ziff. 4 c)</t>
  </si>
  <si>
    <t>VHB; §6, Ziff. 3</t>
  </si>
  <si>
    <t>VHB; §1, Ziff. 1 d) bb) / Tarif</t>
  </si>
  <si>
    <t>AGIB / Tarif</t>
  </si>
  <si>
    <t>VHB; §4, Ziff. 1 a) bb)</t>
  </si>
  <si>
    <t>VHB; §4, Ziff. 1 a) cc)</t>
  </si>
  <si>
    <t>VHB; §4, Ziff. 1 b) aa)</t>
  </si>
  <si>
    <t>VHB; §4, Ziff. 2</t>
  </si>
  <si>
    <t>VHB; §5, Ziff. 3 b) / Tarif</t>
  </si>
  <si>
    <t>VHB; §5, Ziff. 2 a)</t>
  </si>
  <si>
    <t>VHB; §5, Ziff. 3 a) / b) / Tarif</t>
  </si>
  <si>
    <t>VHB; §5, Ziff. 3 c) - h) / Tarif</t>
  </si>
  <si>
    <t>VHB; §5, Ziff. 3 i) b) / Tarif</t>
  </si>
  <si>
    <t>VHB; §8 a) / b)</t>
  </si>
  <si>
    <t>VHB; §8 f)</t>
  </si>
  <si>
    <t>VHB; §8 i)</t>
  </si>
  <si>
    <t>VHB; §8 e)</t>
  </si>
  <si>
    <t>VHB; §8 g) / h)</t>
  </si>
  <si>
    <t>VHB 2012
(Stand 07-2012)</t>
  </si>
  <si>
    <t>VHB 2012 
(Stand 01-2012)</t>
  </si>
  <si>
    <t>wie 05-2012 / wie 10-2012</t>
  </si>
  <si>
    <t>VHB 2011
(05-2013)</t>
  </si>
  <si>
    <t>Generali Basis
(Stand 01-2013)</t>
  </si>
  <si>
    <t>Generali KomfortPlus
(Stand 01-2013)</t>
  </si>
  <si>
    <t>bis 5.000 € (auch Pedelecs mit Tretunterstützung bis 25 km/h, max. 250 Watt, max. 6 km/h Anfahrhilfe)
(ohne Nachtzeitklausel)</t>
  </si>
  <si>
    <t>ja
(keine Wertsachen / elekt. Geräte)
-nicht aus Anhängern-</t>
  </si>
  <si>
    <t>ja,
max. 1 Jahr</t>
  </si>
  <si>
    <t>ja,
max. 6 Monate</t>
  </si>
  <si>
    <t>Klausel; HR 0286 / Leistungsübersicht</t>
  </si>
  <si>
    <t>Klausel; HR 0244 / Leistungsübersicht</t>
  </si>
  <si>
    <t>Klausel; HR 0278 / Leistungsübersicht</t>
  </si>
  <si>
    <t>Klausel; HR 0283</t>
  </si>
  <si>
    <t>ja (nach einfachem Diebstahl 
bis 1.000 €)</t>
  </si>
  <si>
    <t>Klausel; HR 0287</t>
  </si>
  <si>
    <t>Klausel; HR 0200 / Leistungsübersicht</t>
  </si>
  <si>
    <t>Klausel; HR 0201 / Leistungsübersicht</t>
  </si>
  <si>
    <t>ja 
(auch Mobiltelefon)</t>
  </si>
  <si>
    <t>Klausel; HR 0207 / Leistungsübersicht</t>
  </si>
  <si>
    <t>ja, soweit nicht in einem Nebengebäude</t>
  </si>
  <si>
    <t>VHB; Ziff. 3.1.4 / Klausel; HR 0226 / Leistungsübersicht</t>
  </si>
  <si>
    <t>bis 1.000 €
(aus der versicherten Wohnung)</t>
  </si>
  <si>
    <t>ja, max. 3 Monate (auch bei Arztbesuchen - Erweiterung gilt nicht für Wertsachen)</t>
  </si>
  <si>
    <t>Klausel; HR 0279 / Leistungsübersicht</t>
  </si>
  <si>
    <t>ja,
bis 150 Tage</t>
  </si>
  <si>
    <t>ja,
bis 100 Tage</t>
  </si>
  <si>
    <t>Klausel; HR 0280 / Leistungsübersicht</t>
  </si>
  <si>
    <t>Klausel; HR 0216 / HR 0233 / HR 0235 / HR 0241 / HR 0250 / HR 0281 / Leistungsübersicht</t>
  </si>
  <si>
    <t>Klausel; HR 0282</t>
  </si>
  <si>
    <t>Handelsware 
(keine Wertsachen)</t>
  </si>
  <si>
    <t>Klausel; HR 0284 / Leistungsübersicht</t>
  </si>
  <si>
    <t>Klausel; HR 0285 / Leistungsübersicht</t>
  </si>
  <si>
    <t>20% der VS 
(50%, wenn VS = 850 € pro qm)</t>
  </si>
  <si>
    <t>VHB; Ziff. 11.4 / Tarif / Leistungsübersicht</t>
  </si>
  <si>
    <t>BEH; Ziff. 12 / Rechner</t>
  </si>
  <si>
    <t>VHB; Ziff. 1.1 / Ziff. 1.2.4</t>
  </si>
  <si>
    <t>ja (+Pedelecs mit Tretunterstützung bis 25 km/h;max.6 km/h Anfahrhilfe)</t>
  </si>
  <si>
    <t>VHB; Ziff. 10.3 / Ziff. 10.3.5 / Leistungsübersicht</t>
  </si>
  <si>
    <t>VHB; Ziff. 8.2 / Ziff. 8.3</t>
  </si>
  <si>
    <t>-Diebstahl von Waschmaschinen und Wäschetrocknern aus Gemeinschaftsräumen
-Sturm-/ Hagelschäden auf Reisen auch außerhalb von Gebäuden
-Beitragsfreistellung bei Umzug in ein Alten-/ Pflegeheim bis 10.000 €, sofern Vertrag mind. 2 Jahre bestand
-Einbruchdiebstahl/ Raub durch Hausangestellte
-erweiterter Raub (Entreißen, 
Auf-/Abschneiden von Taschen)
bis 1.000 €
-Verpflegungskosten für private Helfer im Schadenfall bis 150 €</t>
  </si>
  <si>
    <t>VHB 2011
(10-2012)</t>
  </si>
  <si>
    <t>ja, sofern Flächenanteil Arbeitszimmer &lt; 50% der Wohnfläche</t>
  </si>
  <si>
    <t>HDI Privatschutz
(Stand 01-2011)</t>
  </si>
  <si>
    <t>bis 150 € je qm * Anpassungsfaktor</t>
  </si>
  <si>
    <t>Neuwert des Hausrats,
max. 300.000 €</t>
  </si>
  <si>
    <t>bis 1 Monat nach Ablauf des VJ, 
in dem Änderung erfolgte</t>
  </si>
  <si>
    <t>ja,
über Paket Risiko Plus</t>
  </si>
  <si>
    <t>bis 3 Monate (über Paket Risiko Plus bis 7 Monate)</t>
  </si>
  <si>
    <t>über Paket Risiko Plus
bis 2.000 €</t>
  </si>
  <si>
    <t>über Paket Risiko Plus (150 € je qm 
* Anpassungsfaktor, max. 30.000 €)</t>
  </si>
  <si>
    <t>zusätzlich versicherbar
über Paket "Glas"</t>
  </si>
  <si>
    <t>zusätzlich versicherbar
über Paket "Elementar"</t>
  </si>
  <si>
    <t>ja (auch ohne Über-
schwemmung durch Ausuferung von Gewässern versicherbar)</t>
  </si>
  <si>
    <t>über Paket Rundum Sorglos
bis 1.000 €</t>
  </si>
  <si>
    <t>HR 3101</t>
  </si>
  <si>
    <t>HR 3100; §3, Ziff. 1 a) / HR 3101</t>
  </si>
  <si>
    <t>HR 3101 / HR 3103</t>
  </si>
  <si>
    <t>bis 300 € je qm*AF (über Risiko Plus bis 600 € je qm*AF, max. 50.000 €)</t>
  </si>
  <si>
    <t>bis 50 € je qm * AF (über Risiko Plus bis 150 € je qm * AF, max. 25.000 €)</t>
  </si>
  <si>
    <t>HR 3103</t>
  </si>
  <si>
    <t>HR 3105</t>
  </si>
  <si>
    <t>über Paket Draußen &amp; Unterwegs
bis 2.000 € (nicht aus Anhängern) (keine Wertsachen / elektr. Geräte)</t>
  </si>
  <si>
    <t>Gartenskulpturen über Paket Draußen &amp; Unterwegs bis 2.000 €</t>
  </si>
  <si>
    <t>über Paket Draußen &amp; Unterwegs
bis 2.000 € (keine Wertsachen)</t>
  </si>
  <si>
    <t>zusätzlich versicherbar
über Paket "Fahrrad"
(ohne Nachtzeitklausel)
(auch Pedelecs bis 25 km/h)</t>
  </si>
  <si>
    <t>HR 3112; Ziff. 2 b)</t>
  </si>
  <si>
    <t>HR 3112; Ziff. 3 i)</t>
  </si>
  <si>
    <t>-Mehrkosten für umweltschonende Haushaltsgeräte
-Schadenermittlungs- und Feststellungskosten bis 3.000 €
Über Paket "Risiko Plus":
-Böswillige Beschädigungen (z.B. Graffiti in der versicherten Wohnung) bis 10.000 €
-Hausrat in einer Nebenwohnung zur Hauptwohnung bis 150 € je qm * Anpassungsfaktor, max. 25.000 €
Über Paket "Rundum Sorglos": 
-Versicherung unbenannter Gefahren (Umstoßen, Fallenlassen, Abhandenkommen begrenzt auf 3.000 €) 
-Böswillige Beschädigungen (z.B. Graffiti in der versicherten Wohnung) 
-Wiederbeschaffungskosten für Reisegepäck bis 3.000 € (keine Wertsachen / elektronische Geräte)
-Beitragsbefreiung bei Arbeitslosigkeit oder Arbeitsunfähigkeit bis 12 Monate
Über Paket "Handwerkerservice Haus und Wohnung:
-diverse Dienstleistungen bis 300 € je Schadenfall, max. 2.100 € pro Jahr</t>
  </si>
  <si>
    <t>bis 100 € je qm * AF (max. 15.000 €, max. 3 Monate) (Risiko Plus: je 150 € je qm*AF;max. 30.000 €,max. 6 Mon.)</t>
  </si>
  <si>
    <t>summarisch bis 10% über die Höchstentschädigung hinaus
(Rundum Sorglos: 20%)</t>
  </si>
  <si>
    <t>HR 3112; Ziff. 4</t>
  </si>
  <si>
    <t>ja,
über Paket Rundum Sorglos</t>
  </si>
  <si>
    <t>über Paket "Risiko Plus" Hausrat in einer Studentenwohnung zur Hauptwohnung bis 150 € je qm * AF, max. 25.000 €</t>
  </si>
  <si>
    <t>innere Unruhen
(gemäß Leistungsübersicht)</t>
  </si>
  <si>
    <t>HR 3100; §7, Ziff. 2</t>
  </si>
  <si>
    <t>HR 3100; §7, Ziff. 1 a)</t>
  </si>
  <si>
    <t>HR 3100; §7, Ziff. 1 b)</t>
  </si>
  <si>
    <t>HR 3100; §7, Ziff. 1 c)</t>
  </si>
  <si>
    <t>HR 3100; §7, Ziff. 1 d)</t>
  </si>
  <si>
    <t>HR 3100; §7, Ziff. 1 f)</t>
  </si>
  <si>
    <t>HR 3100; §7, Ziff. 1 e)</t>
  </si>
  <si>
    <t>HR 3100; §7, Ziff. 4 a)</t>
  </si>
  <si>
    <t>HR 3100; §7, Ziff. 3 / HR 3101</t>
  </si>
  <si>
    <t>ja (Wasch-/ Spülmaschinenschläuche bis 500 €)</t>
  </si>
  <si>
    <t>HR 3100; §7, Ziff. 3</t>
  </si>
  <si>
    <t>HR 3100; §8, Ziff. 1</t>
  </si>
  <si>
    <t>HR 3100; §6</t>
  </si>
  <si>
    <t>HR 3100; §5, Ziff. 3</t>
  </si>
  <si>
    <t>HR 3100; §5, Ziff. 5</t>
  </si>
  <si>
    <t>HR 3100; §5, Ziff. 3 a)</t>
  </si>
  <si>
    <t>HR 3100; §2, Ziff. 1 a) / b)</t>
  </si>
  <si>
    <t>HR 3100; §2, Ziff. 1 c) / HR 3103</t>
  </si>
  <si>
    <t>bis 100 € je qm * AF (Paket Risiko Plus bis 150 € je qm * AF) (Telefonkosten bis 300 €)</t>
  </si>
  <si>
    <t>HR 3100; §2, Ziff. 1 d)</t>
  </si>
  <si>
    <t>HR 3100; §2, Ziff. 1 e)</t>
  </si>
  <si>
    <t>HR 3100; §2, Ziff. 1 f)</t>
  </si>
  <si>
    <t>HR 3100; §2, Ziff. 1 g)</t>
  </si>
  <si>
    <t>Telefonkosten bei ständiger Unbe-wohnbarkeit d. Wohnung, max. 300 €</t>
  </si>
  <si>
    <t>HR 3100; §34, Ziff. 6</t>
  </si>
  <si>
    <t>HUK Classic
(Stand 04-2011)</t>
  </si>
  <si>
    <t>HUK Plus
(Stand 04-2011)</t>
  </si>
  <si>
    <t>HR 3100; §12; Ziff. 1 / Ziff. 4</t>
  </si>
  <si>
    <t>HR 3100; §2; Ziff. 2 / §27, Ziff. 4 / HR 3112; Ziff. 2</t>
  </si>
  <si>
    <t>HR 3100; §12; Ziff. 4</t>
  </si>
  <si>
    <t>HR 3100; §27; Ziff. 8</t>
  </si>
  <si>
    <t>HR 3100; §1; Ziff. 1</t>
  </si>
  <si>
    <t>HR 3100; §1; Ziff. 4 b)</t>
  </si>
  <si>
    <t>HR 3100; §1; Ziff. 2 a)</t>
  </si>
  <si>
    <t>HR 3100; §28; Ziff. 2</t>
  </si>
  <si>
    <t>HR 3100; §28; Ziff. 3</t>
  </si>
  <si>
    <t>HR 3100; §1; Ziff. 4 a) / c)</t>
  </si>
  <si>
    <t>HR 3100; §1; Ziff. 2 d)</t>
  </si>
  <si>
    <t>HR 3100; §1; Ziff. 2 e)</t>
  </si>
  <si>
    <t>HR 3100; §1; Ziff. 2 b)</t>
  </si>
  <si>
    <t>HR 3100; §1; Ziff. 6 c)</t>
  </si>
  <si>
    <t>HR 3100; §1; Ziff. 2 c)</t>
  </si>
  <si>
    <t>HR 3100; §9, Ziff. 2 / Ziff. 4</t>
  </si>
  <si>
    <t>HR 3100; §9, Ziff. 2</t>
  </si>
  <si>
    <t>HR 3100; §24, Ziff. 1 c) / HR 3103</t>
  </si>
  <si>
    <t>HR 3100; §11, Ziff. 1 / Ziff. 6 / HR 3103</t>
  </si>
  <si>
    <t>HR 3100; §11, Ziff. 2</t>
  </si>
  <si>
    <t>HR 3108 / HR 3109</t>
  </si>
  <si>
    <t>HR 3107</t>
  </si>
  <si>
    <t>HR 3100; §3, Ziff. 1 a)</t>
  </si>
  <si>
    <t>HR 3100; §4, Ziff. 4</t>
  </si>
  <si>
    <t>HR 3106</t>
  </si>
  <si>
    <t>HR 3108; Ziff. 11 / HR 3109; Ziff. 12</t>
  </si>
  <si>
    <t>HR 3100; §13; Ziff. 4</t>
  </si>
  <si>
    <t>HR 3100; §2, Ziff. 1 j) / Ziff. 4 /
HR 3103 / 
HR 3112; Ziff. 1.4 / Ziff. 2 a) / Ziff. 2 c)/
PS 9300:11 /
HR 3110</t>
  </si>
  <si>
    <t>VHB; B. Ziff. 1.1.1 a)</t>
  </si>
  <si>
    <t>VHB; B. Ziff. 1.1.1</t>
  </si>
  <si>
    <t>VHB; A.; Ziff. 1.1.1</t>
  </si>
  <si>
    <t>VHB; A.; Ziff. 1.1.1 a)</t>
  </si>
  <si>
    <t>ja
(auch Pedelecs)</t>
  </si>
  <si>
    <t>VHB; A.; Ziff. 1.1.1 / Ziff. 1.1.1 a)</t>
  </si>
  <si>
    <t>VHB; A.; Ziff. 3.2.21</t>
  </si>
  <si>
    <t>VHB; A.; Ziff. 1.1.1 b) bb)</t>
  </si>
  <si>
    <t>VHB; A.; Ziff. 1.1.1 b) cc)</t>
  </si>
  <si>
    <t>VHB; A.; Ziff. 1.1.2 b)</t>
  </si>
  <si>
    <t>VHB; A.; Ziff. 1.2.1 a) / Ziff. 3.2.21</t>
  </si>
  <si>
    <t>VHB; A.; Ziff. 1.2.1 a)</t>
  </si>
  <si>
    <t>VHB; A.; Ziff. 1.2.2 a) / c)</t>
  </si>
  <si>
    <t>VHB; A.; Ziff. 1.2.2 b)</t>
  </si>
  <si>
    <t>VHB; A.; Ziff. 1.3.3</t>
  </si>
  <si>
    <t>VHB; A.; Ziff. 1.3.1 a)</t>
  </si>
  <si>
    <t>VHB; A.; Ziff. 2.1</t>
  </si>
  <si>
    <t>VHB; A.; Ziff. 2.1 a)</t>
  </si>
  <si>
    <t>VHB; A.; Ziff. 2.1 a) / Ziff. 2.2.6 b) / c)</t>
  </si>
  <si>
    <t>VHB; A.; Ziff. 3.2.8</t>
  </si>
  <si>
    <t>VHB; A.; Ziff. 3.2.19</t>
  </si>
  <si>
    <t>VHB; A.; Ziff. 3.2.18</t>
  </si>
  <si>
    <t>VHB; A.; Ziff. 2.3.2</t>
  </si>
  <si>
    <t>VHB; A.; Ziff. 2.3.3</t>
  </si>
  <si>
    <t>VHB; A.; Ziff. 2.3.3 d)</t>
  </si>
  <si>
    <t>VHB; A.; Ziff. 2.4.1 a)</t>
  </si>
  <si>
    <t>VHB; A.; Ziff. 2.4.1 b)</t>
  </si>
  <si>
    <t>VHB; A.; Ziff. 2.4.1 c) / d)</t>
  </si>
  <si>
    <t>VHB; A.; Ziff. 2.4.1 e)</t>
  </si>
  <si>
    <t>VHB; A.; Ziff. 2.4.1 f)</t>
  </si>
  <si>
    <t>VHB; A.; Ziff. 2.4.1</t>
  </si>
  <si>
    <t>VHB; A.; Ziff. 2.4.2 a) aa)</t>
  </si>
  <si>
    <t>VHB; A.; Ziff. 2.4.2 a) bb)</t>
  </si>
  <si>
    <t>VHB; A.; Ziff. 2.5.1</t>
  </si>
  <si>
    <t>VHB; A.; Ziff. 3.1.1 / Ziff. 3.1.2</t>
  </si>
  <si>
    <t>VHB; A.; Ziff. 3.1.3</t>
  </si>
  <si>
    <t>VHB; A.; Ziff. 3.1.4</t>
  </si>
  <si>
    <t>VHB; A.; Ziff. 3.1.6</t>
  </si>
  <si>
    <t>VHB; A.; Ziff. 3.1.7</t>
  </si>
  <si>
    <t>VHB; A.; Ziff. 3.1.8</t>
  </si>
  <si>
    <t>VHB; A.; Ziff. 3.2.1</t>
  </si>
  <si>
    <t>ja 
(kein Außenversicherungsschutz)</t>
  </si>
  <si>
    <t>VHB; A.; Ziff. 3.2.2</t>
  </si>
  <si>
    <t>VHB; A.; Ziff. 3.2.3</t>
  </si>
  <si>
    <t>ja
(keine Pelze)</t>
  </si>
  <si>
    <t>VHB; A.; Ziff. 3.2.5</t>
  </si>
  <si>
    <t>bis 2% der VS
(Bargeld bis 200 €,
keine weiteren Wertsachen)</t>
  </si>
  <si>
    <t>VHB; A.; Ziff. 3.2.6</t>
  </si>
  <si>
    <t>VHB; A.; Ziff. 2.1 e) / Ziff. 2.6 / Rechner</t>
  </si>
  <si>
    <t>VHB; A.; Ziff. 2.1 e) / Ziff. 2.6.12 / Rechner</t>
  </si>
  <si>
    <t>VHB; A.; Ziff. 3.2.11</t>
  </si>
  <si>
    <t>Fahrtmehrkosten f. angemessenes Reisemittel bei Schäden &gt; 5.000 €</t>
  </si>
  <si>
    <t>VHB; A.; Ziff. 3.2.12</t>
  </si>
  <si>
    <t>VHB; A.; Ziff. 3.2.13</t>
  </si>
  <si>
    <t>VHB; A.; Ziff. 3.2.14</t>
  </si>
  <si>
    <t>VHB; A.; Ziff. 3.2.15</t>
  </si>
  <si>
    <t>VHB; A.; Ziff. 3.2.16 g)</t>
  </si>
  <si>
    <t>VHB; A.; Ziff. 3.2.17 a) / d)</t>
  </si>
  <si>
    <t>VHB; A.; Ziff. 3.2.20</t>
  </si>
  <si>
    <t>ja (keine Anhänger, Wohnmobile 
und Campingfahrzeuge)
-keine Wertsachen / elektr. Geräte-</t>
  </si>
  <si>
    <t>ja
-keine Wertsachen / elektr. Geräte-</t>
  </si>
  <si>
    <t>VHB; A.; Ziff. 3.3.1 7 Rechner</t>
  </si>
  <si>
    <t>zusätzlich versicherbar 
bis 5% der VS (auch Pedelecs)
(ohne Nachtzeitklausel)</t>
  </si>
  <si>
    <t>VHB; A.; Ziff. 1.2.2 a) / c) / Ziff. 3.3.3</t>
  </si>
  <si>
    <t>VHB; D., Ziff. 3 / Ziff. 4.10</t>
  </si>
  <si>
    <t>zusätzlich versicherbar
über Schutzbrief bis 500 €</t>
  </si>
  <si>
    <t>versicherbar bis 40% der VS (max. 25.000 €) Bargeld: max. 12 Monate</t>
  </si>
  <si>
    <t>-Schadenabwendungs- und Schadenminderungskosten
-Schadenermittlungskosten
-Diebstahl von Waschmaschinen und Wäschetrocknern
-Einbruchdiebstahl aus außerhalb von Gebäuden aufgestellter Umkleidekabinen oder Spinde 
-Schäden an Wäsche durch technischen Defekt der Waschmaschine
-Schäden / Abhandenkommen durch Schalenwild nach dem BJagdG (Wisente, Elch-, Rot-, 
Dam-, Sika-, Reh-, Gams-, Stein-, Muffel- und Schwarzwild)
Zusätzlich versicherbar:
-Hausrat dauerhaft in Wochenend-, Ferien-, Land-, Jagd-, Garten-, Weinberghäusern und Datschen bis 5.000 € (100 € SB) (keine Wertsachen)
-Reisegepäck (max. 250 € für elektr. Geräte außer Foto-/Filmapparate, max. 250 € für Brillen) 100 € SB bei Abhandenkommen im Gewahrsam eines Beförderungsunternehmens/ Diebstahl
-Haus- und Wohnungsschutzbrief (diverse Dienstleistungen bis 500 €, max. 1.500 € pro Jahr)</t>
  </si>
  <si>
    <t>VHB; A.; Ziff. 3.1.9 / Ziff. 3.1.10 / 
Ziff. 3.2.4 / Ziff. 3.2.7 / Ziff. 3.2.9 / 
Ziff. 3.2.10 / Ziff. 3.3.2 / Ziff. 3.3.5 /
VHB; D., Ziff. 3</t>
  </si>
  <si>
    <t>VHB; A.; Ziff. 3.3.6</t>
  </si>
  <si>
    <t>VHB; B.; Ziff. 3.1.1</t>
  </si>
  <si>
    <t>VHB; B.; Ziff. 3.1.1 c)</t>
  </si>
  <si>
    <t>VHB; B.; Ziff. 1.1.1 b)</t>
  </si>
  <si>
    <t xml:space="preserve">sofern Unterversicherungsverzicht gilt: 20% der VS, ansonsten: 10% </t>
  </si>
  <si>
    <t>VHB; B.; Ziff. 1.1.2</t>
  </si>
  <si>
    <t>entspricht nicht der LW-Definition</t>
  </si>
  <si>
    <t>VHB; B.; Ziff. 1.3</t>
  </si>
  <si>
    <t>nein (aber: Unterversicherungsver-zicht gilt weiterhin bei gleicher VS)</t>
  </si>
  <si>
    <t>VHB; B.; Ziff. 4.1.1 / Ziff. 4.1.2 d)</t>
  </si>
  <si>
    <t>bis 40% der VS,
max. 25.000 €</t>
  </si>
  <si>
    <t>-Schadenabwendungs- und Schadenminderungskosten
-Schadenermittlungskosten
-Diebstahl von Waschmaschinen und Wäschetrocknern
-Einbruchdiebstahl aus außerhalb von Gebäuden aufgestellter Umkleidekabinen oder Spinde 
-Schäden an Wäsche durch technischen Defekt der Waschmaschine
-Schäden / Abhandenkommen durch Schalenwild nach dem BJagdG (Wisente, Elch-, Rot-, 
Dam-, Sika-, Reh-, Gams-, Stein-, Muffel- und Schwarzwild)
-Schäden an Gegenständen des persönlichen Reisebedarfs (Reisegepäck) bis 40% der VS, max. 25.000 €
-Hausrat dauerhaft in Wochenend-, Ferien-, Land-, Jagd-, Garten-, Weinberghäusern und Datschen bis 3.000 € (100 € SB) (keine Wertsachen)
Zusätzlich versicherbar:
-Haus- und Wohnungsschutzbrief (diverse Dienstleistungen bis 500 €, max. 1.500 € pro Jahr)</t>
  </si>
  <si>
    <t>VHB; A.; Ziff. 3.1.9 / Ziff. 3.1.10 / 
Ziff. 3.2.4 / Ziff. 3.2.7 / Ziff. 3.2.9 / 
Ziff. 3.2.10 / Ziff. 3.3.2 / Ziff. 3.3.5 /
VHB; D., Ziff. 3 / 
Rechner</t>
  </si>
  <si>
    <t>bis 20% der VS
(ab 01.07.2013: 30%)</t>
  </si>
  <si>
    <t>BB Comfort; Ziff. 33.1 / Newsletter</t>
  </si>
  <si>
    <t>bis 30% der VS  (25%: Pelze, hand-gekn. Teppiche, Kunst, Antiquitäten)</t>
  </si>
  <si>
    <t>bis 100% der VS (25%: Pelze, hand-gekn. Teppiche, Kunst, Antiquitäten)</t>
  </si>
  <si>
    <t>Bargeld - 1.000 €
Urkunden - 7.500 €
Schmuck - 20.000 €
(Schmuck/Uhren mit &gt; 1.000 € Einezlwert nur mit Nachweis)</t>
  </si>
  <si>
    <t>Bargeld - 1.500 €
Urkunden - 10.000 €
Schmuck - 20.000 €
(Schmuck/Uhren mit &gt; 1.000 € Einezlwert nur mit Nachweis)</t>
  </si>
  <si>
    <t>Bargeld - 2.000 €
Urkunden - 15.000 €
Schmuck - 30.000 €
(Schmuck/Uhren mit &gt; 1.000 € Einezlwert nur mit Nachweis)</t>
  </si>
  <si>
    <t>Ammerländer Comfort
(Stand 01-2013) vor Update</t>
  </si>
  <si>
    <t>Ammerländer Excellent
(Stand 01-2013) vor Update</t>
  </si>
  <si>
    <t>Ammerländer Exclusiv
(Stand 01-2013) vor Update</t>
  </si>
  <si>
    <t>VHB 2012 Comfort-Schutz
(07-2013)</t>
  </si>
  <si>
    <t>VHB 2012 Excellent-Schutz
(07-2013)</t>
  </si>
  <si>
    <t>VHB 2012 Exclusiv-Schutz
(07-2013)</t>
  </si>
  <si>
    <t>Baden Badener TOP</t>
  </si>
  <si>
    <t>3.500 €
(Reduzierung auf 1.500 € möglich)</t>
  </si>
  <si>
    <t>Sengschäden
bis 500 € (Zeitwert)</t>
  </si>
  <si>
    <t>Musterkollektionen
bis 5.000 €</t>
  </si>
  <si>
    <t>bis 1.000 €
(keine Wertsachen + elektr. Geräte)
-nicht aus Anhängern-</t>
  </si>
  <si>
    <t>Spielgerüste
bis 500 €</t>
  </si>
  <si>
    <t>bis 200 Tage
150 € pro Tag</t>
  </si>
  <si>
    <t>im Rahmen der Aufräumungs-, Bergungs- und Schutzkosten</t>
  </si>
  <si>
    <t>Kosten für Gerüste und Kräne
bis 2.500 €</t>
  </si>
  <si>
    <t>VGB; §2, Ziff. 1</t>
  </si>
  <si>
    <t>VGB; §2, Ziff. 1 b)</t>
  </si>
  <si>
    <t>VGB; §2, Ziff. 1 c)</t>
  </si>
  <si>
    <t>VGB; §2, Ziff. 1 d)</t>
  </si>
  <si>
    <t>VGB; §2, Ziff. 1 e)</t>
  </si>
  <si>
    <t>VGB; §2, Ziff. 1 f)</t>
  </si>
  <si>
    <t>VGB; §2, Ziff. 1 g)</t>
  </si>
  <si>
    <t>Go-Karts, Spielfahrzeuge (nicht versicherungspflichtig)</t>
  </si>
  <si>
    <t>VGB; §21, Ziff. 3</t>
  </si>
  <si>
    <t>bis 50.000 €;
Bargeld bis 5.000 €</t>
  </si>
  <si>
    <t>VGB; §21, Ziff. 2 / Leistungsübersicht</t>
  </si>
  <si>
    <t>VGB; §9</t>
  </si>
  <si>
    <t>VGB; §2, Ziff. 3</t>
  </si>
  <si>
    <t>VGB; §3, Ziff. 2 a) / b)</t>
  </si>
  <si>
    <t>VGB; §3, Ziff. 2 c)</t>
  </si>
  <si>
    <t>VGB; §3, Ziff. 3 a)</t>
  </si>
  <si>
    <t>VGB; §3, Ziff. 4 b)</t>
  </si>
  <si>
    <t>ja
(im Rahmen der Glasversicherung)</t>
  </si>
  <si>
    <t>VGB; §2, Ziff. 3 / §3, Ziff. 4 / §10 / AGIB</t>
  </si>
  <si>
    <t>VGB; §3, Ziff. 5</t>
  </si>
  <si>
    <t>-Kosten durch Preissteigerungen für nowendige Eil-, Express-/ Luftfracht für die Wiederherstellung/ Wiederbeschaffung versicherter Sachen
-Diebstahl von Waschmaschinen und Wäschetrocknern aus Gemeinschaftsräumen bis 1.000 €</t>
  </si>
  <si>
    <t>VGB; §4</t>
  </si>
  <si>
    <t>VGB; §4, Ziff. 1</t>
  </si>
  <si>
    <t>VGB; §4, Ziff. 2</t>
  </si>
  <si>
    <t>VHB; §5, Ziff. 1</t>
  </si>
  <si>
    <t>innerhalb Europas
(mit Nachtzeitklausel)</t>
  </si>
  <si>
    <t>VHB; §5, Ziff. 1 / Leistungsübersicht</t>
  </si>
  <si>
    <t>bis 1.000 € (mit eingeschränkter Nachtzeitklausel)</t>
  </si>
  <si>
    <t>VGB; §3, Ziff. 5 / §5, Ziff. 1</t>
  </si>
  <si>
    <t>ja
(aus Schiffskabinen)</t>
  </si>
  <si>
    <t>VHB; §7, Ziff. 1 c) / d)</t>
  </si>
  <si>
    <t>VHB; §7, Ziff. 1</t>
  </si>
  <si>
    <t>VHB; §11, A., Ziff. 1 c)</t>
  </si>
  <si>
    <t>VHB; §11, B., Ziff. 2</t>
  </si>
  <si>
    <t>VGB; §2, Ziff. 1 a) /  §11, A., Ziff. 1 a)</t>
  </si>
  <si>
    <t>VHB; §11, B., Ziff. 1 b)</t>
  </si>
  <si>
    <t>VHB; §11, B., Ziff. 3 b)</t>
  </si>
  <si>
    <t>VHB; §11, B., Ziff. 4 a)</t>
  </si>
  <si>
    <t>VGB; §9 /  §11, B., Ziff. 6</t>
  </si>
  <si>
    <t>VHB; §5, Ziff. 2 / Ziff. 5</t>
  </si>
  <si>
    <t xml:space="preserve">ja (Garagen bis 500 m Luftlinie entfernt) </t>
  </si>
  <si>
    <t>bis 15.000 €,
sofern Büroräume innerhalb des Versicherungsortes</t>
  </si>
  <si>
    <t>VHB; §13, Ziff. 2</t>
  </si>
  <si>
    <t>VHB; §14, Ziff. 1 / Ziff. 6</t>
  </si>
  <si>
    <t>VHB; §14, Ziff. 1</t>
  </si>
  <si>
    <t>VHB; §14, Ziff. 2</t>
  </si>
  <si>
    <t>VHB; §15, A, Ziff. 2 b)</t>
  </si>
  <si>
    <t>VHB; §15, A, Ziff. 2 d)</t>
  </si>
  <si>
    <t>Nur in Inhaltsverzeichnis genannt</t>
  </si>
  <si>
    <t>VGB; §25, Ziff. 7</t>
  </si>
  <si>
    <t>VGB; §24, Ziff. 1</t>
  </si>
  <si>
    <t>PIB; Ziff. 2 / Leistungsübersicht</t>
  </si>
  <si>
    <t>bis 600 €
(Erhöhung zusätzlich versicherbar)</t>
  </si>
  <si>
    <t>VGB; §20, Ziff. 1 a) / Leistungsübersicht</t>
  </si>
  <si>
    <t>VGB; §20, Ziff. 5</t>
  </si>
  <si>
    <t>VGB; §34</t>
  </si>
  <si>
    <t>Rechner / Leistungsübersicht</t>
  </si>
  <si>
    <t>ab 50.000 € Wertsachen; weitere Sicherungen ab 75.000 € Wertsachen</t>
  </si>
  <si>
    <t>Herr Fess 06894/915-872</t>
  </si>
  <si>
    <t>bis 1% der VS, max. 1.000 €
(keine Wertsachen/ elektr. Geräte)
-keine Anhänger-</t>
  </si>
  <si>
    <t>bis 2 % der VS
(keine Wertsachen/ elektr. Geräte)
(auch Dachboxen)</t>
  </si>
  <si>
    <t>bis 1% der VS, max. 1.000 €
(keine Wertsachen/ elektr. Geräte)
(keine Anhänger)</t>
  </si>
  <si>
    <t>über Baustein "OnTour" bis 750 €
(Kfz und Wohnanhänger)</t>
  </si>
  <si>
    <t>über Baustein "OnTour" bis 1.500 €
(Kfz und Wohnanhänger)</t>
  </si>
  <si>
    <t>bis 1% der VS
(kein Bargeld/Wertsachen)</t>
  </si>
  <si>
    <t>über Baustein "OnTour" bis 1.500 €
(Schiffskabinen)</t>
  </si>
  <si>
    <t>über Baustein "OnTour" bis 750 €
(Schiffskabinen)</t>
  </si>
  <si>
    <t>bis 1% der VS (zwischen 6.00 - 22.00 Uhr max. 500 €) (keine Anhänger) (keine Wertsachen / elektr. Geräte)</t>
  </si>
  <si>
    <t>B28; §3, Ziff. 7.1 c) / Ziff. 7.3 a)</t>
  </si>
  <si>
    <t>bis 3.000 € (Wertsachen/
elektr. Geräte bis 1.500 €) - kein Geld, Urkunden oder Wertpapiere-</t>
  </si>
  <si>
    <t>bis 3.000 € (Wertsachen/ elektr. Gerä-te bis 1.500 €) - kein Geld, Urk., Wertp.</t>
  </si>
  <si>
    <t xml:space="preserve">bis 2% d. VS, 5% b. Totalentwendung
elektr. Geräte bis 250 €
(kein Bargeld, usw.) </t>
  </si>
  <si>
    <t>bis 500 € - auch aus Wohnmobilen
(keine Wertsachen - elektr. Geräte aus Kofferraum/Ablagefach)</t>
  </si>
  <si>
    <t>bis 2% der VS, nachts bis 600 € Zeitwert (nicht aus Anhängern)
(keine Wertsachen/ elektr. Geräte)</t>
  </si>
  <si>
    <t>bis 5% der VS; Fahrtunterbrechung 
&lt; 2 Std. (nicht aus Anhängern) 
(keine Wertsachen/elektr. Geräte)</t>
  </si>
  <si>
    <t>bis 5% d. VS; Fahrtunterbrechung 
&lt; 2 Std. (+aus Anhängern/ Dachboxen) (keine Wertsachen/ elektr. Geräte)</t>
  </si>
  <si>
    <t>bis 2% der VS, nachts bis 600 € Zeitwert (+ aus Anhängern/ Dachboxen) (keine Wertsachen/ elektr. Geräte)</t>
  </si>
  <si>
    <t>bis 2% der VS; nachts bis 600 € Zeitwert (keine Wertsachen/ elektr. Geräte)</t>
  </si>
  <si>
    <t>bis 5% der VS; nachts bis 600 € Zeitwert (keine Wertsachen/ elektr. Geräte)</t>
  </si>
  <si>
    <t>InterRisk L
(Stand 10-2012)</t>
  </si>
  <si>
    <t>InterRisk XL
(Stand 10-2012)</t>
  </si>
  <si>
    <t>InterRisk XXL
(Stand 10-2012)</t>
  </si>
  <si>
    <t>unbegrenzt (außerhalb Versicherungsort bis 1.500 €)</t>
  </si>
  <si>
    <t>bis 10.000 €
(aus der Wohnung)</t>
  </si>
  <si>
    <t>bis 750 € 
(kein Außenversicherungsschutz)</t>
  </si>
  <si>
    <t>bis 1.500 € 
(keine Wertsachen / elektr. Geräte)
-nicht aus Anhängern-</t>
  </si>
  <si>
    <t>bis 1.500 € 
(keine Wertsachen / elektr. Geräte)</t>
  </si>
  <si>
    <t>bis 750 €
(Bargeld/Wertsachen bis 150 €)</t>
  </si>
  <si>
    <t>während der Geschäftszeiten 
bis 3.000 €
(keine Wertsachen)</t>
  </si>
  <si>
    <t>ja (sowie sonstige dem Beruf/ Gewerbe dienende Sachen)</t>
  </si>
  <si>
    <t>bis 40% der VS (Bargeld bis 7.500 €, wenn vor max. 1 Woche abgehoben)</t>
  </si>
  <si>
    <t>private Sicherungsanlagen, Markisen und Antennenanlagen für die Wohnung des VN sowie Anlagen der regenerativen Energieversorgung</t>
  </si>
  <si>
    <t>ja (auch für Gemeinschaftstüren 
und eigene Kfz)</t>
  </si>
  <si>
    <t>bei Kombi-Policen mit 
mind. 3 Verträgen / 3 Jahren Laufzeit</t>
  </si>
  <si>
    <t>ABC Privatschutz</t>
  </si>
  <si>
    <t>ja 
(auch sonstige Flugkörper)</t>
  </si>
  <si>
    <t>B28; §4, Ziff. 2 g)</t>
  </si>
  <si>
    <t>B28; §15, Ziff. 1.3 / Verbindliche Erläuterungen zu §15, Ziff. 1</t>
  </si>
  <si>
    <t>B28; §8, Ziff. 1.2</t>
  </si>
  <si>
    <r>
      <t xml:space="preserve">mit direktem Zugang zur Wohnung </t>
    </r>
    <r>
      <rPr>
        <b/>
        <u/>
        <sz val="7"/>
        <rFont val="Arial"/>
        <family val="2"/>
      </rPr>
      <t>oder</t>
    </r>
    <r>
      <rPr>
        <sz val="7"/>
        <rFont val="Arial"/>
        <family val="2"/>
      </rPr>
      <t xml:space="preserve"> ohne direktem Zugang jedoch keine Angestellte / kein Publikumsverkehr </t>
    </r>
  </si>
  <si>
    <t>ja (auch Schäden an behindertengerechte Einbauten)</t>
  </si>
  <si>
    <t>B28; §6, Ziff. 1.2 c) / §10, Ziff. 2 i)</t>
  </si>
  <si>
    <t>ja (auch Kinderspielzeug sowie Spielgeräten)</t>
  </si>
  <si>
    <t>Kinderspielgeräte bis 1.000 €
(50 € SB)</t>
  </si>
  <si>
    <t>B28; §8, Ziff. 1.1</t>
  </si>
  <si>
    <t>ja, Garagen auch in der gleichen oder angrenzenden Gemeinde 
(auch nicht verschließbare Gemeinschaftsräume am Versicherungsort)</t>
  </si>
  <si>
    <t>B28; §9, Ziff. 1.2 / Ziff. 2.2 / Ziff. 7</t>
  </si>
  <si>
    <t>40% der VS max. 6 Monate (wegen Beruf/Studium/Urlaub max. 1 Jahr)</t>
  </si>
  <si>
    <t>B28; §3, Ziff. 2.1</t>
  </si>
  <si>
    <t>B28; §4, Ziff. 2 a)</t>
  </si>
  <si>
    <t>B28; §4, Ziff. 2 b)</t>
  </si>
  <si>
    <t>B28; §4, Ziff. 2 e)</t>
  </si>
  <si>
    <t>B28; §4, Ziff. 2 c) / d)</t>
  </si>
  <si>
    <t>B28; §4, Ziff. 2 f)</t>
  </si>
  <si>
    <t>B28; §4, Ziff. 2 h)</t>
  </si>
  <si>
    <t>B28; §3, Ziff. 3.4</t>
  </si>
  <si>
    <t>B28; §3, Ziff. 3.2 / Ziff. 3.5</t>
  </si>
  <si>
    <t>ja (Androhung von Gewalt); bei 
Kreditkartenmissbrauch bis 10.000 €</t>
  </si>
  <si>
    <t>B28; §3, Ziff. 9</t>
  </si>
  <si>
    <t>B28; §3, Ziff. 3.5 / Ziff. 4.2</t>
  </si>
  <si>
    <t>B28; §3, Ziff. 2.5</t>
  </si>
  <si>
    <t>B28; §10, Ziff. 2 m)</t>
  </si>
  <si>
    <t>B28; §3, Ziff. 10.2</t>
  </si>
  <si>
    <t>bei VS = 600 € pro qm und Kleinschäden bis 3.000 €</t>
  </si>
  <si>
    <t>B28; §19, Ziff. 5.2 a) / b)</t>
  </si>
  <si>
    <t>B01; §6, Ziff. 1.2
B28; §2, Ziff. 2 / Ziff. 6 / 
§3, Ziff. 5.1 d) / Ziff. 7.1 d) / 
§4, Ziff. 3 / 
§5, Ziff. 2.2 /
 §6, Ziff. 2.1 b) / c) / 
§8, Ziff. 3 / Ziff. 4 / 
§9, Ziff. 2.2 / 
§10, Ziff. 2 d) / h) / Ziff. 6.6 / 
§24 /
Verbindliche Erläuterungen / 
Klausel 7280</t>
  </si>
  <si>
    <t>- Keine Kündigungsfrist
-Verzicht auf klassische Branddefinition
-Böswillige Beschädigungen (z. B. Graffiti) sind versichert, auch außerhalb des Versicherungsorts
-Einbruch über nicht versicherte Räume
-Diebstahl von Waschmaschinen und Trocknern
-Diebstahl aus Spinden/ Schließfächern außerhalb von Gebäuden
-Beseitigung von Rohrverstopfungen
- Eindringen von Niederschlägen bis 3.000 € versichert
-Teile/Zubehör von Kfz/Anhängern
-nicht eingebaute Teile v. Wasser-/ Luftfahrzeugen
-Mietern überlassener Hausrat in Einliegerwohnung ist versichert
-Bestimmte Sachen (z. B. Gartenmöbel, Antennenanlagen, Markisen) sind auch auf dem Grundstück versichert
-vorübergehender Berufs-, Studien- oder Urlaubsaufenthalt bis 1 Jahr
-Anmietungskosten bei Schäden an dringend benötigten Haushaltsgeräten
-Mietfortzahlung bei unbewohnbarkeit der Wohnung
-Psychologische Betreuung aufgrund eines Versicherungsfalls bis 1.000 €
-Beitragsbefreiung bei Arbeitslosigkeit bei bestehen einer InterRisk Unfallversicherung XXL
- Einschluss unbenannter Gefahren möglich</t>
  </si>
  <si>
    <t>B27; §19, Ziff. 5.2 a) / b)</t>
  </si>
  <si>
    <t>B27; §14, Ziff. 8</t>
  </si>
  <si>
    <t>B27; §3, Ziff. 2.1 / Ziff. 2.4 / Verbindliche Erläuterungen zu §3, Ziff. 2.1</t>
  </si>
  <si>
    <t>B27; §3, Ziff. 3 / Verbindliche Erläuterungen zu §3, Ziff. 2.1</t>
  </si>
  <si>
    <t>B27; §3, Ziff. 4.1 / Ziff. 4.3 b) / §9, Ziff. 5</t>
  </si>
  <si>
    <t>B27; §8, Ziff. 1.2</t>
  </si>
  <si>
    <t>B27; §8, Ziff. 1.1</t>
  </si>
  <si>
    <t>ja (auch Überstrom-/ Kurzschlussschäden durch Blitz)</t>
  </si>
  <si>
    <t>B27; §4, Ziff. 1.2 g) / Verbindliche Erläuterungen zu §4, Ziff. 2</t>
  </si>
  <si>
    <t>B27; §3, Ziff. 3.2 / Ziff. 3.5</t>
  </si>
  <si>
    <t>ja (Androhung von Gewalt); bei 
Kreditkartenmissbrauch bis 750 €</t>
  </si>
  <si>
    <t>B27; §3, Ziff. 3.4</t>
  </si>
  <si>
    <t>B27; §3, Ziff. 7.1 a) / Ziff. 7.3</t>
  </si>
  <si>
    <t>B27; §3, Ziff. 7.1 b) / Ziff. 7.3</t>
  </si>
  <si>
    <t>ja, auch aus Praxisräumen
(Bargeld/Wertsachen bis 750 €)</t>
  </si>
  <si>
    <t>B27; §3, Ziff. 2.6 / Ziff. 3.5</t>
  </si>
  <si>
    <t>B27; §3, Ziff. 2.5</t>
  </si>
  <si>
    <t>B27; §6, Ziff. 2.2 / §10, Ziff. 3.3</t>
  </si>
  <si>
    <t>B01; §6, Ziff. 1.2 /
B27; §3, Ziff. 5.1 c) / 
§8, Ziff. 3 / Ziff. 4</t>
  </si>
  <si>
    <t>- Keine Kündigungsfrist
-Diebstahl von Waschmaschinen und Trocknern aus Gemeinschaftsräume bis 1.500 €
-Mietern überlassener Hausrat in Einliegerwohnung ist versichert
-Antennenanlagen, Markisen, Sicherungsanlagen sind auch auf dem Grundstück versichert</t>
  </si>
  <si>
    <t>B26; §2, Ziff. 1 a) / b) / c) / Verbindliche Erläuterungen zu §2, Ziff. 4</t>
  </si>
  <si>
    <t>B26; §3, Ziff. 2.1 / Ziff. 2.4 / Verbindliche Erläuterungen zu §3, Ziff. 2.1</t>
  </si>
  <si>
    <t>B26; §3, Ziff. 3 / Verbindliche Erläuterungen zu §3, Ziff. 2.1</t>
  </si>
  <si>
    <t>B26; §3, Ziff. 3.4</t>
  </si>
  <si>
    <t>B26; §8, Ziff. 1.1</t>
  </si>
  <si>
    <t>B26; §8, Ziff. 1.1 / Ziff. 2 / Ziff. 4</t>
  </si>
  <si>
    <t>B26; §8, Ziff. 1.2</t>
  </si>
  <si>
    <t>B26; §2, Ziff. 3.1 c) / Ziff. 3.2</t>
  </si>
  <si>
    <t>B26; §2, Ziff. 1 d) / Ziff. 5</t>
  </si>
  <si>
    <t>B26; §2, Ziff. 6 b)</t>
  </si>
  <si>
    <t>VHB; B.; §2, Ziff. 2.2</t>
  </si>
  <si>
    <t>VHB; B.; §2, Ziff. 2.3</t>
  </si>
  <si>
    <t>VHB; B.; §2, Ziff. 1</t>
  </si>
  <si>
    <t>VHB; B.; §2, Ziff. 2.1</t>
  </si>
  <si>
    <t>VHB; B.; §2, Ziff. 1 c)</t>
  </si>
  <si>
    <t>VHB; B.; §2, Ziff. 3.2</t>
  </si>
  <si>
    <t>VHB; B.; §2, Ziff. 3.3</t>
  </si>
  <si>
    <t>VHB; B.; §2, Ziff. 4.4</t>
  </si>
  <si>
    <t>VHB; B.; §2, Ziff. 4.5</t>
  </si>
  <si>
    <t>VHB; B.; §2, Ziff. 7</t>
  </si>
  <si>
    <t>VHB; B.; §2, Ziff. 6</t>
  </si>
  <si>
    <t>VHB; B.; §2, Ziff. 5</t>
  </si>
  <si>
    <t>Handbuch</t>
  </si>
  <si>
    <t>VHB; B.; §1, Ziff. 1</t>
  </si>
  <si>
    <t>-Einbruch über nicht versicherte Räume</t>
  </si>
  <si>
    <t>VHB; B.; §3, Ziff. 2.2</t>
  </si>
  <si>
    <t>VHB; B.; §3, Ziff. 2.4</t>
  </si>
  <si>
    <t>afm Sonderbedingungen; Ziff. 1</t>
  </si>
  <si>
    <t>afm Sonderbedingungen; Ziff. 3</t>
  </si>
  <si>
    <t>afm Sonderbedingungen; Ziff. 2</t>
  </si>
  <si>
    <t>afm Sonderbedingungen; Ziff. 4</t>
  </si>
  <si>
    <t>afm Sonderbedingungen; Ziff. 5</t>
  </si>
  <si>
    <t>VHB; B.; §7, Ziff. 8 a) / afm Sonderbedingungen; Ziff. 6</t>
  </si>
  <si>
    <t>afm Sonderbedingungen; Ziff. 7</t>
  </si>
  <si>
    <t>bis 1% der VS
(kein Bargeld/Wertsachen/ elektr. Geräte)</t>
  </si>
  <si>
    <t>Janitos MLP Premium
(Stand 09-2004)</t>
  </si>
  <si>
    <t>ZB; §3</t>
  </si>
  <si>
    <t>ZB; §4</t>
  </si>
  <si>
    <t>ZB; §6</t>
  </si>
  <si>
    <t>gewerblich genutzte Räume, die ausschließlich über die Wohnung betretbar sind</t>
  </si>
  <si>
    <t>ZB; §7</t>
  </si>
  <si>
    <t>ZB; §8</t>
  </si>
  <si>
    <t>VS bis 75.000 €: bis 500 €
VS ab 75.000 €: bis 1.000 €</t>
  </si>
  <si>
    <t>ZB; §12</t>
  </si>
  <si>
    <t xml:space="preserve">bis 1.000 €, bis 5.000 € bei Total-entwendung (keine Wertsachen, elektr. Geräte) </t>
  </si>
  <si>
    <t>ZB; §13</t>
  </si>
  <si>
    <t>VS bis 75.000 €: bis 1.000 €
VS ab 75.000 €: bis 2.000 €</t>
  </si>
  <si>
    <t>ZB; §14</t>
  </si>
  <si>
    <t>ZB; §15</t>
  </si>
  <si>
    <t>VS bis 75.000 €: bis 1.000 € / VS ab 75.000 €: bis 2.000 € (keine Wertsachen/ elektr. Geräte)</t>
  </si>
  <si>
    <t>ZB; §16</t>
  </si>
  <si>
    <t>bis 10% der VS,
max. 10.000 €</t>
  </si>
  <si>
    <t>ZB; §17</t>
  </si>
  <si>
    <t>ZB; §18</t>
  </si>
  <si>
    <t>ZB; §19</t>
  </si>
  <si>
    <t>ZB; §20</t>
  </si>
  <si>
    <t>40% der VS, max. 25.000 €,
max. 12 Monate</t>
  </si>
  <si>
    <t>ZB; §21</t>
  </si>
  <si>
    <t>ZB; §22</t>
  </si>
  <si>
    <t>ZB; §23</t>
  </si>
  <si>
    <t>ZB; §24</t>
  </si>
  <si>
    <t>ZB; §25</t>
  </si>
  <si>
    <t>ZB; §26</t>
  </si>
  <si>
    <t>bis 4% der VS,
max. 2.500 €</t>
  </si>
  <si>
    <t>ZB; §27</t>
  </si>
  <si>
    <t>ZB; §28</t>
  </si>
  <si>
    <t>ZB; §2 / §5 / §29</t>
  </si>
  <si>
    <t>-Beschädigung/Verlust von in Gewahrsam eines Beförderungsunternehmens befindlichen Reisegepäcks bis 1.000 €
-Transportmittelunfall ist versichert
-Beitragsbefreiung bei Arbeitslosigkeit bis 6 Monate</t>
  </si>
  <si>
    <t>ZB; §10 / §30</t>
  </si>
  <si>
    <t>ZB; §31</t>
  </si>
  <si>
    <t>Sicherungsanforderungen</t>
  </si>
  <si>
    <t>VHB 2000
(09-2004)</t>
  </si>
  <si>
    <t>VHB; §1, Ziff. 4 b)</t>
  </si>
  <si>
    <t>VHB; §1, Ziff. 5 b)</t>
  </si>
  <si>
    <t>VHB; §34, Ziff. 5</t>
  </si>
  <si>
    <t>innerhalb der Wohnung</t>
  </si>
  <si>
    <t>VHB; §3</t>
  </si>
  <si>
    <t>ja, Garagen auch in der Nähe des Versicherungsorts</t>
  </si>
  <si>
    <t>VHB; §9, Ziff. 2 / Ziff. 4</t>
  </si>
  <si>
    <t>VHB; §24, Ziff. 1 c)</t>
  </si>
  <si>
    <t>VHB; §12, Ziff. 1</t>
  </si>
  <si>
    <t>VHB; §13, Ziff. 4</t>
  </si>
  <si>
    <t>VHB; §27, Ziff. 4</t>
  </si>
  <si>
    <t>VHB; §28, Ziff. 3</t>
  </si>
  <si>
    <t>VHB; §12 Ziff. 1 a)</t>
  </si>
  <si>
    <t>VHB; §12 Ziff. 4</t>
  </si>
  <si>
    <t>SB; Ziff. 3.2.</t>
  </si>
  <si>
    <t>SB; Ziff. 5.3.</t>
  </si>
  <si>
    <t>25% der VS,
max. 6 Monate</t>
  </si>
  <si>
    <t xml:space="preserve">SB; Ziff. 6.3. </t>
  </si>
  <si>
    <t>bie VS = 650 € pro qm</t>
  </si>
  <si>
    <t>SB; Ziff. 2.3. (7912) a)</t>
  </si>
  <si>
    <t>SB; Ziff. 4.5. (7712) b)</t>
  </si>
  <si>
    <t>SB; Ziff. 7) (7991)</t>
  </si>
  <si>
    <t>SB; Ziff. 9) (7991)</t>
  </si>
  <si>
    <t>SB; Ziff. 8) (7991)</t>
  </si>
  <si>
    <t>SB; Ziff. 6) (7990)</t>
  </si>
  <si>
    <t>SB; Ziff. 8) (7990)</t>
  </si>
  <si>
    <t>Klausel 7990</t>
  </si>
  <si>
    <t>VHB; §6 Ziff. 2 a)</t>
  </si>
  <si>
    <t>VHB; §6 Ziff. 2. c) aa)</t>
  </si>
  <si>
    <t>VHB; §6 Ziff. 2. c) bb)</t>
  </si>
  <si>
    <t>bis 20 % der VS, 
max. 25.000 €</t>
  </si>
  <si>
    <t>bis 35 % der VS, 
max. 30.000 €</t>
  </si>
  <si>
    <t>bis 40 % der VS, 
max. 50.000 €</t>
  </si>
  <si>
    <t>SB; Ziff. 2.1. (7925) a)</t>
  </si>
  <si>
    <t>SB; Ziff. 4.3. (7925) a)</t>
  </si>
  <si>
    <t>Bargeld - 2.000 €
Urkunden - 6.000 €
Schmuck - 30.000 €</t>
  </si>
  <si>
    <t>SB; Ziff. 2.1. (7925) b)</t>
  </si>
  <si>
    <t>SB; Ziff. 4.3. (7925) b)</t>
  </si>
  <si>
    <t>privat genutze Antennenanlagen und Markisen, die ausschließlich der versichterten Wohnung dienen und sich auf dem Grundstück befinden</t>
  </si>
  <si>
    <t>VHB; §6 Ziff. 2. c) cc)</t>
  </si>
  <si>
    <t>VHB; §6 Ziff. 2. c) hh)</t>
  </si>
  <si>
    <t>VHB; §6 Ziff. 2. c) ii)</t>
  </si>
  <si>
    <t>VHB; §6 Ziff. 2. c) ee)</t>
  </si>
  <si>
    <t>VHB; §6 Ziff. 4 c)</t>
  </si>
  <si>
    <t>VHB; §6 Ziff. 2. c) ff)</t>
  </si>
  <si>
    <t>VHB; §6 Ziff. 2. c) gg)</t>
  </si>
  <si>
    <t>ja, soweit diese sich am Wohnort (politische Gemeinde) des VN befinden</t>
  </si>
  <si>
    <t>VHB; §6, Ziff. 3 b) / c) / SB; Ziff. 4.1.</t>
  </si>
  <si>
    <t>VHB; §6, Ziff. 3 b) / c) / SB; Ziff. 6.1.</t>
  </si>
  <si>
    <t>soweit ausschließlich über versicherte Wohnung betretbar</t>
  </si>
  <si>
    <t>soweit ausschließlich über versicherte Wohnung betretbar
(bis 15 % der VS, max. 10.000 €)</t>
  </si>
  <si>
    <t>soweit ausschließlich über versicherte Wohnung betretbar
(bis 20 % der VS, max. 20.000 €)</t>
  </si>
  <si>
    <t xml:space="preserve">VHB; §6, Ziff. 3 a) </t>
  </si>
  <si>
    <t>VHB; §6, Ziff. 3 a) / SB; Ziff. 4.8. (7924)</t>
  </si>
  <si>
    <t>VHB; § 6 Ziff. 3 b)</t>
  </si>
  <si>
    <t>bis 20% der VS,
max. 6 Monate</t>
  </si>
  <si>
    <t>ja, 
max. 12 Monate</t>
  </si>
  <si>
    <t>SB; Ziff. 4.2. (7915) a) / b)</t>
  </si>
  <si>
    <t>SB; Ziff. 6.2. (7915) a) / b)</t>
  </si>
  <si>
    <t>SB; Ziff. 2.2</t>
  </si>
  <si>
    <t>VHB; §7 Ziff. 2</t>
  </si>
  <si>
    <t>bis 1.000 €, sofern diese in einem Behältnis verschlossen sind</t>
  </si>
  <si>
    <t>bis 3.000 €, sofern diese in einem Behältnis verschlossen sind</t>
  </si>
  <si>
    <t>SB; Ziff. 6.2. (7915) c)</t>
  </si>
  <si>
    <t>SB; Ziff. 6.5. (7931)</t>
  </si>
  <si>
    <t>bis 4 Monate</t>
  </si>
  <si>
    <t>bis 6 monate</t>
  </si>
  <si>
    <t>VHB; §17 c)</t>
  </si>
  <si>
    <t xml:space="preserve">SB; Ziff. 5.1. </t>
  </si>
  <si>
    <t>Ja</t>
  </si>
  <si>
    <t>SB Bausteine; Ziff. 3</t>
  </si>
  <si>
    <t>VHB; §2 Ziff. 1</t>
  </si>
  <si>
    <t>SB; Ziff 1.2.</t>
  </si>
  <si>
    <t>SB; Ziff 1.4.</t>
  </si>
  <si>
    <t>SB; Ziff. 1.2. (7911)</t>
  </si>
  <si>
    <t>bis 5% der VS (auch Überstrom-/ Kurzschlussschäden durch Blitz)</t>
  </si>
  <si>
    <t>SB; Ziff. 1.1. (7902)</t>
  </si>
  <si>
    <t>bis 1.000 € (auch durch technisches
Versagen der Geräte)</t>
  </si>
  <si>
    <t>SB; Ziff. 4.1. (7937)</t>
  </si>
  <si>
    <t>SB; Ziff. 1.3. (7921)</t>
  </si>
  <si>
    <t>bis 1.500 € (auch nicht durch Brand am Versicherungsort entstandene)</t>
  </si>
  <si>
    <t>ja (auch nicht durch Brand am Versicherungsort entstandene)</t>
  </si>
  <si>
    <t>VHB; §2 Ziff. 5 b)</t>
  </si>
  <si>
    <t>VHB; §1 Ziff. 2 a)</t>
  </si>
  <si>
    <t xml:space="preserve">VHB; §1 Ziff 2. </t>
  </si>
  <si>
    <t>SB; Ziff. 4.2. (7913) b) a) / c) b)</t>
  </si>
  <si>
    <t>SB; Ziff. 4.1. (7913) b) a) / c) b)</t>
  </si>
  <si>
    <t>VHB; §1 Ziff. 2 c)</t>
  </si>
  <si>
    <t>VHB; §2, Ziff. 1 d) / SB; Ziff. 1.3. (7912)</t>
  </si>
  <si>
    <t>VHB; §2, Ziff. 1 d) / SB; Ziff. 1.5. (7912)</t>
  </si>
  <si>
    <t>VHB; §4 Ziff. 2</t>
  </si>
  <si>
    <t>SB; Ziff. 3.2. (7914)</t>
  </si>
  <si>
    <t>ja
(auch Saunabecken)</t>
  </si>
  <si>
    <t>VHB; §4 Ziff. 3 a) aa)</t>
  </si>
  <si>
    <t>VHB; §4 Ziff. 1. a) aa)</t>
  </si>
  <si>
    <t>VHB; §4 Ziff. 1. b) aa)</t>
  </si>
  <si>
    <t>SB; Ziff. 3.3. (7026)</t>
  </si>
  <si>
    <t>VHB; §4 Ziff. 1. a) bb)</t>
  </si>
  <si>
    <t>VHB; §4 Ziff. 1. a) cc)</t>
  </si>
  <si>
    <t>VHB; §4 Ziff. 1. b) bb)</t>
  </si>
  <si>
    <t>SB Bausteine; Ziff. 3.2 a)</t>
  </si>
  <si>
    <t>VHB; § 5 Ziff. 2</t>
  </si>
  <si>
    <t>VHB; § 3 Ziff. 3</t>
  </si>
  <si>
    <t xml:space="preserve">SB; Ziff. 4.7. (7910) </t>
  </si>
  <si>
    <t>VHB; § 3 Ziff. 4</t>
  </si>
  <si>
    <t>nur innerhalb 
des Versicherungsorts</t>
  </si>
  <si>
    <t>VHB; §3 Ziff.4 c)</t>
  </si>
  <si>
    <t>SB; Ziff. 2.7. (7940)</t>
  </si>
  <si>
    <t>ja 
(innerhalb des Versicherungsorts)</t>
  </si>
  <si>
    <t>zusätzlich versicherbar
bis 500 €</t>
  </si>
  <si>
    <t>zusätzlich versicherbar
bis 2.000 € (auch Pedelecs/E-Bikes)</t>
  </si>
  <si>
    <t>SB Bausteine; Ziff. 1.1.1.</t>
  </si>
  <si>
    <t>SB Bausteine; Ziff. 1.1.2.</t>
  </si>
  <si>
    <t>SB Bausteine; Ziff. 1.1.3.</t>
  </si>
  <si>
    <t xml:space="preserve">- </t>
  </si>
  <si>
    <t>SB; Ziff. 2.6. a) / d)</t>
  </si>
  <si>
    <t>SB; Ziff. 2.6. a)</t>
  </si>
  <si>
    <t>24 Stunden
(innerhalb Europas)</t>
  </si>
  <si>
    <t>SB; Ziff. 2.4. a)</t>
  </si>
  <si>
    <t>bis 1.000 €  (keine Wertsachen und elektr. Geräte)</t>
  </si>
  <si>
    <t>bis 2.500 €  (keine Wertsachen und elektr. Geräte)</t>
  </si>
  <si>
    <t>SB; Ziff. 2.4. b) / c)</t>
  </si>
  <si>
    <t>SB; Ziff. 2.3. a ) bb) / b)</t>
  </si>
  <si>
    <t>fest verankerte Gartenskulpturen bis 1.500 €</t>
  </si>
  <si>
    <t>fest verankerte Gartenskulpturen bis 3.000 €</t>
  </si>
  <si>
    <t>SB; Ziff. 2.3. a ) dd) / b)</t>
  </si>
  <si>
    <t>SB; Ziff. 2.3. a ) aa) / b)</t>
  </si>
  <si>
    <t>SB; Ziff. 2.3. a ) bb)</t>
  </si>
  <si>
    <t>Überwachungseinrichtungen bis 1.000 €</t>
  </si>
  <si>
    <t>Überwachungseinrichtungen bis 2.000 €</t>
  </si>
  <si>
    <t>SB; Ziff. 2.8 (7926)</t>
  </si>
  <si>
    <t>bis 1.500 €
(Wertsachen und Bargelg bis 300 €)</t>
  </si>
  <si>
    <t>ja
(Wertsachen und Bargeld bis 500 €)</t>
  </si>
  <si>
    <t>SB; Ziff. 2.5. (7919)</t>
  </si>
  <si>
    <t>SB; Ziff. 2.9. (7939)</t>
  </si>
  <si>
    <t>SB Bausteine; Ziff. 3.2 b)-e)</t>
  </si>
  <si>
    <t>10% der Schadenhöhe,
mind. 1.000 €, max. 3.000 €</t>
  </si>
  <si>
    <t>10% der Schadenhöhe,
mind. 500 €, max. 3.000 €</t>
  </si>
  <si>
    <t>10% der Schadenhöhe,
mind. 250 €, max. 3.000 €</t>
  </si>
  <si>
    <t>SB Bausteine; Ziff. 6.1</t>
  </si>
  <si>
    <t>SB Bausteine; Ziff. 6.2</t>
  </si>
  <si>
    <t>SB Bausteine; Ziff. 6.3</t>
  </si>
  <si>
    <t>VHB; §8 Ziff. 1 a) / b)</t>
  </si>
  <si>
    <t>VHB; §8 Ziff. 1 f)</t>
  </si>
  <si>
    <t>SB; Ziff. 7.5. (7930)</t>
  </si>
  <si>
    <t>SB; Ziff. 7.10.</t>
  </si>
  <si>
    <t>VHB; §8 Ziff. 1. e)</t>
  </si>
  <si>
    <t>SB; Ziff. 5.2. (7928)</t>
  </si>
  <si>
    <t>SB; Ziff. 7.6. (7928)</t>
  </si>
  <si>
    <t>SB; Ziff. 7.1</t>
  </si>
  <si>
    <t>SB; Ziff. 5.3. (7929)</t>
  </si>
  <si>
    <t>SB; Ziff. 7.3. (7929)</t>
  </si>
  <si>
    <t>ja, bei Schäden &gt; 5.000 €
max. 3.000 €</t>
  </si>
  <si>
    <t>ja, bei Schäden &gt; 3.000 €
max. 5.000 €</t>
  </si>
  <si>
    <t>SB; Ziff. 7.4. (7916)</t>
  </si>
  <si>
    <t>bis 120 Tage,
1‰ der VS pro Tag</t>
  </si>
  <si>
    <t>bis 200 Tage,
1,5‰ der VS pro Tag</t>
  </si>
  <si>
    <t>bis 12 Monate,
2‰ der VS pro Tag</t>
  </si>
  <si>
    <t>SB; Ziff. 5.1. (7917)</t>
  </si>
  <si>
    <t>SB; Ziff. 7.2. (7917)</t>
  </si>
  <si>
    <t>VHB; §15 Ziff. 6</t>
  </si>
  <si>
    <t>SB; Ziff. 7.7. (7927)</t>
  </si>
  <si>
    <t>VHB; §6 Ziff. 4 g)</t>
  </si>
  <si>
    <t>SB; Ziff. 7.8.</t>
  </si>
  <si>
    <t>VHB; §8 Ziff. 1. g) / h)</t>
  </si>
  <si>
    <t>bis 5.000 €
(auch Gasverlust)</t>
  </si>
  <si>
    <t>bis 10.000 €
(auch Gasverlust)</t>
  </si>
  <si>
    <t>SB; Ziff. 3.1. (7932)</t>
  </si>
  <si>
    <t>SB; Ziff. 3.1.</t>
  </si>
  <si>
    <t xml:space="preserve">SB; Ziff. 5.2. </t>
  </si>
  <si>
    <t>VHB; §11 Ziff. 4 a)</t>
  </si>
  <si>
    <t>SB; Ziff. 4.4</t>
  </si>
  <si>
    <t xml:space="preserve">
-20% Rabatt nach 36 schadenfreien Monaten</t>
  </si>
  <si>
    <t>SB; Ziff. 9</t>
  </si>
  <si>
    <t>SB Smart
(07-2013)</t>
  </si>
  <si>
    <t>SB Komfort
(07-2013)</t>
  </si>
  <si>
    <t>SB Prestige
(07-2013)</t>
  </si>
  <si>
    <t>ab VS 250.000 € oder
Wertsachenanteil ab 35%</t>
  </si>
  <si>
    <t>ja 
(Überschwemmung abwählbar)</t>
  </si>
  <si>
    <t>SB Bausteine; Ziff. 3.2 a) / Handbuch; Ziff. 6.1.5</t>
  </si>
  <si>
    <t>Handbuch; Ziff. 6.2</t>
  </si>
  <si>
    <t>Handbuch; Ziff. 6.6</t>
  </si>
  <si>
    <t>zusätzlich versicherbar bis 5.000 € (auch Pedelecs/E-Bikes/Segways)</t>
  </si>
  <si>
    <t>SB Bausteine; Ziff. 2.3.1</t>
  </si>
  <si>
    <t>zusätzlich versicherbar bis 1.000 €
über Baustein Reise</t>
  </si>
  <si>
    <t>bis 1.500 € 
(Wertsachen / Bargeld bis 300 €)
(erhöhbar über Baustein Reise)</t>
  </si>
  <si>
    <t>SB; Ziff. 2.2 / SB Bausteine; Ziff. 2.3.2</t>
  </si>
  <si>
    <t>SB; Ziff. 2.2 / SB Bausteine; Ziff. 2.3.3</t>
  </si>
  <si>
    <t>bis 3.000 € 
(Wertsachen / Bargeld bis 1.500 €)
(erhöhbar über Baustein Reise)</t>
  </si>
  <si>
    <t>SB Bausteine; Ziff. 2.4.1</t>
  </si>
  <si>
    <t>zusätzlich versicherbar bis 500 €
im Urlaub über Baustein Reise</t>
  </si>
  <si>
    <t>bis 1.000 € (aus der Wohnung)
im Urlaub: über Baustein Reise</t>
  </si>
  <si>
    <t>SB; Ziff. 2.1. / SB Bausteine; Ziff. 2.4.2</t>
  </si>
  <si>
    <t>SB; Ziff. 2.1. / SB Bausteine; Ziff. 2.4.3</t>
  </si>
  <si>
    <t>bis 2.000 € (aus der Wohnung)
im Urlaub: über Baustein Reise</t>
  </si>
  <si>
    <t>SB Bausteine; Ziff. 2.5.1</t>
  </si>
  <si>
    <t>SB; Ziff. 2.10. (7939) / SB Bausteine; Ziff. 2.5.2</t>
  </si>
  <si>
    <t>SB; Ziff. 2.10. (7939) / SB Bausteine; Ziff. 2.5.3</t>
  </si>
  <si>
    <t>bis 1.000 € (erhöhbar im Urlaub über Bausein Reise)</t>
  </si>
  <si>
    <t>bis 2.500 € (erhöhbar im Urlaub über Bausein Reise)</t>
  </si>
  <si>
    <t>-Allgefahrenversicherung bei Schäden &gt; 3.000 € (1.500 € SB)
-Diebstahl von Waschmaschinen und Trocknern aus Gemeinschaftskellern bis 3.000 €
-Hausrat des VN in vermieteten möbelierten Einliegerwohnungen ist versichert (Einbruch)
-Feuerlöschkosten
-20% Rabatt nach 36 schadenfreien Monaten</t>
  </si>
  <si>
    <t>SB; Ziff. 4.6. (7006) /
SB; Ziff. 2.3. a) cc) / b) /
SB; Ziff. 6.4 (7934) /  
SB; Ziff. 7.9. /
SB; Ziff. 10)</t>
  </si>
  <si>
    <t>SB; Ziff. 4.6. (7006) /
SB; Ziff. 2.3. a) cc) / b) /
SB; Ziff. 6.4 (7934) /
SB; Ziff. 7.9. /
SB; Ziff. 7.11. /
SB; Ziff. 10)</t>
  </si>
  <si>
    <t>-Allgefahrenversicherung bei Schäden &gt; 1.500 € (1.500 € SB)
-Diebstahl von Waschmaschinen und Trocknern aus Gemeinschaftskellern
-Hausrat des VN in vermieteten möbelierten Einliegerwohnungen ist versichert (Einbruch)
-Feuerlöschkosten
-Transportmittelunfall bis 500 €
-20% Rabatt nach 36 schadenfreien Monaten</t>
  </si>
  <si>
    <t>Provinzial Rundum inkl. Plus
(Stand 04-2012)</t>
  </si>
  <si>
    <t>bis 600 € (auch Wertsachen/ elektr. Geräte, sofern nicht einsehbar im Kofferraum/Ablagefächern)
-nicht aus Anhängern-</t>
  </si>
  <si>
    <t>bis 3 Monate</t>
  </si>
  <si>
    <t>zusäzlich versicherbar</t>
  </si>
  <si>
    <t xml:space="preserve">bis 2.500 € </t>
  </si>
  <si>
    <t>bis zu 100 Tage
(je Tag max. 1‰ der VS)</t>
  </si>
  <si>
    <t>ITL afm Eurosecure Plus</t>
  </si>
  <si>
    <t>ITL afm Protect Plus</t>
  </si>
  <si>
    <t>ITL Classic</t>
  </si>
  <si>
    <t>VHB 2014 (Summen-Modell)
(08-2013)</t>
  </si>
  <si>
    <t>VHB 2014 (qm-Modell)
(08-2013)</t>
  </si>
  <si>
    <t>BB; Ziff. 1.2</t>
  </si>
  <si>
    <t>BB; Ziff. 2.2</t>
  </si>
  <si>
    <t>BB; Ziff. 5</t>
  </si>
  <si>
    <t>BB; Ziff. 6.3</t>
  </si>
  <si>
    <t>BB; Ziff. 7</t>
  </si>
  <si>
    <t>BB; Ziff. 8.1</t>
  </si>
  <si>
    <t>BB; Ziff. 10 / afm Sonderbedingungen</t>
  </si>
  <si>
    <t>BB; Ziff. 11 / afm Sonderbedingungen</t>
  </si>
  <si>
    <t>BB; Ziff. 11</t>
  </si>
  <si>
    <t>BB; Ziff. 12.1 a) / afm Sonderbedingungen</t>
  </si>
  <si>
    <t>BB; Ziff. 12.1 b) / afm Sonderbedingungen</t>
  </si>
  <si>
    <t>bis 1.000 € (keine Pelze, Leder-/ Alcantarawaren)</t>
  </si>
  <si>
    <t>BB; Ziff. 12.1 c) / afm Sonderbedingungen</t>
  </si>
  <si>
    <t>BB; Ziff. 13.3</t>
  </si>
  <si>
    <t>bis 500 € (Bargeld 250 €)
(keine Wertsachen)</t>
  </si>
  <si>
    <t>BB; Ziff. 14.3</t>
  </si>
  <si>
    <t>BB; Ziff. 15</t>
  </si>
  <si>
    <t>BB; Ziff. 18 / afm Sonderbedingungen</t>
  </si>
  <si>
    <t>BB; Ziff. 20</t>
  </si>
  <si>
    <t>BB; Ziff. 21 / afm Sonderbedingungen</t>
  </si>
  <si>
    <t>BB; Ziff. 22 a)</t>
  </si>
  <si>
    <t>BB; Ziff. 22 b)</t>
  </si>
  <si>
    <t>BB; Ziff. 22 c) / Ziff. 24</t>
  </si>
  <si>
    <t>ja,
Austausch bis 500 €</t>
  </si>
  <si>
    <t>BB; Ziff. 23</t>
  </si>
  <si>
    <t>BB; Ziff. 26</t>
  </si>
  <si>
    <t>BB; Ziff. 28.1</t>
  </si>
  <si>
    <t>BB; Ziff. 28.2</t>
  </si>
  <si>
    <t>sofern dort keine Angestellte beschäftigt werden und 
kein Publikumsverkehr stattfindet</t>
  </si>
  <si>
    <t>VHB; A.; §7, Ziff. 6 / BB; Ziff. 30 / afm Sonderbedingungen</t>
  </si>
  <si>
    <t>BB; Ziff. 32</t>
  </si>
  <si>
    <t>BB; Ziff. 33.1</t>
  </si>
  <si>
    <t>BB; Ziff. 33.2</t>
  </si>
  <si>
    <t>BB; Ziff. 33.3</t>
  </si>
  <si>
    <t>BB; Ziff. 33.6</t>
  </si>
  <si>
    <t>BB; Ziff. 33.7</t>
  </si>
  <si>
    <t>BB; Ziff. 33.8</t>
  </si>
  <si>
    <t>BB; Ziff. 34.3 / afm Sonderbedingungen</t>
  </si>
  <si>
    <t>BB; Ziff. 35</t>
  </si>
  <si>
    <t>BB; Ziff. 35 / Ziff. 36</t>
  </si>
  <si>
    <t>BB; Ziff. 38.2</t>
  </si>
  <si>
    <t>BB; Ziff. 39.1</t>
  </si>
  <si>
    <t>BB; Ziff. 39.2</t>
  </si>
  <si>
    <t>BB; Ziff. 40</t>
  </si>
  <si>
    <t>BB; Ziff. 42</t>
  </si>
  <si>
    <t>BB; Ziff. 43</t>
  </si>
  <si>
    <t>BB; Ziff. 44</t>
  </si>
  <si>
    <t>BB; Ziff. 3 a)</t>
  </si>
  <si>
    <t>BB; Ziff. 3 b)</t>
  </si>
  <si>
    <t>BB; Ziff. 10</t>
  </si>
  <si>
    <t>25 € pro qm, 
max. 5.000 €</t>
  </si>
  <si>
    <t>BB; Ziff. 14</t>
  </si>
  <si>
    <t>BB; Ziff. 16</t>
  </si>
  <si>
    <t>BB; Ziff. 17</t>
  </si>
  <si>
    <t>BB; Ziff. 18 a)</t>
  </si>
  <si>
    <t>BB; Ziff. 18 b)</t>
  </si>
  <si>
    <t>BB; Ziff. 18 c) / Ziff. 20</t>
  </si>
  <si>
    <t>BB; Ziff. 21</t>
  </si>
  <si>
    <t>BB; Ziff. 22</t>
  </si>
  <si>
    <t>BB; Ziff. 24.2</t>
  </si>
  <si>
    <t>BB; Ziff. 24.1</t>
  </si>
  <si>
    <t>VHB; A.; §7, Ziff. 6 / BB; Ziff. 26</t>
  </si>
  <si>
    <t>BB; Ziff. 27</t>
  </si>
  <si>
    <t>BB; Ziff. 28</t>
  </si>
  <si>
    <t>VHB; A.; §8 c)</t>
  </si>
  <si>
    <t>VHB; A.; §8 c) / BB; Ziff. 29.1</t>
  </si>
  <si>
    <t>BB; Ziff. 29.2</t>
  </si>
  <si>
    <t>BB; Ziff. 29.3</t>
  </si>
  <si>
    <t>BB; Ziff. 29.4</t>
  </si>
  <si>
    <t>bis 200 Tage 
10 € pro Tag</t>
  </si>
  <si>
    <t>BB; Ziff. 29.7</t>
  </si>
  <si>
    <t>BB; Ziff. 29.8</t>
  </si>
  <si>
    <t>BB; Ziff. 29.9</t>
  </si>
  <si>
    <t>BB; Ziff. 29.10</t>
  </si>
  <si>
    <t>BB; Ziff. 29.11</t>
  </si>
  <si>
    <t>BB; Ziff. 30.3</t>
  </si>
  <si>
    <t>BB; Ziff. 31 / Ziff. 32</t>
  </si>
  <si>
    <t>BB; Ziff. 34.2</t>
  </si>
  <si>
    <t>BB; Ziff. 35.1</t>
  </si>
  <si>
    <t>inklusive</t>
  </si>
  <si>
    <t>BB; Ziff. 44.1</t>
  </si>
  <si>
    <t>BB; Ziff. 44.2</t>
  </si>
  <si>
    <t>BB; Ziff. 45</t>
  </si>
  <si>
    <t>BB; Ziff. 48</t>
  </si>
  <si>
    <t>BB; Ziff. 47</t>
  </si>
  <si>
    <t>inklusive bis 40.000 €
(erhöhbar)</t>
  </si>
  <si>
    <t>BB; Ziff. 41 / E. BWE; §2 a) / Handbuch</t>
  </si>
  <si>
    <t>Zürs 1 + Zürs 2: 1.000 €</t>
  </si>
  <si>
    <t>BB; Ziff. 11.2 b) / Ziff. 11.4</t>
  </si>
  <si>
    <t>25 € pro qm, max. 5.000 €
(Bargeld 250 €)</t>
  </si>
  <si>
    <t>BB; Ziff. 11.1</t>
  </si>
  <si>
    <t>BB; Ziff. 11.2 a)+b) / Ziff. 11.4</t>
  </si>
  <si>
    <t>25 € pro qm, max. 5.000 €
(elektr. Geräte zum Zeitwert oder Naturalersatz)</t>
  </si>
  <si>
    <t>25 € pro qm, max. 5.000 € (elektr. Geräte zum Zeitwert/Naturalersatz)</t>
  </si>
  <si>
    <t>VHB; A.; §6, Ziff. 2 c) cc) / BB; Ziff. 11.2 b) / Ziff. 11.4</t>
  </si>
  <si>
    <t>VHB; A.; §9, Ziff. 2 / Handbuch</t>
  </si>
  <si>
    <t>korrekte WF (15% versehentliche Abweichung)+Kleinschäden bis 500 €</t>
  </si>
  <si>
    <t>VHB; A.; §9, Ziff. 3 d) / BB; Ziff. 39</t>
  </si>
  <si>
    <t>VHB; A.; §9, Ziff. 3 d)</t>
  </si>
  <si>
    <t>VHB; A.; §9, Ziff. 3 e) / §11, Ziff. 4 a)</t>
  </si>
  <si>
    <t>14 Tage (Unter versicherungs-verzicht gilt 2 Monate)</t>
  </si>
  <si>
    <t>VHB; A.; §8 d)</t>
  </si>
  <si>
    <t>VHB; A.; §8 e)</t>
  </si>
  <si>
    <t>VHB; A.; §8 i)</t>
  </si>
  <si>
    <t>VHB; A.; §8 f)</t>
  </si>
  <si>
    <t>30 Tage</t>
  </si>
  <si>
    <t>VHB; A.; §8 a) + b)</t>
  </si>
  <si>
    <t>BWE; §2 a)</t>
  </si>
  <si>
    <t>BWE; §2</t>
  </si>
  <si>
    <t>-Unbenannte Gefahren versicherbar (bis 250.000 € (10% SB, mind. 1.000 €)
-Einfacher Diebstahl außerhalb des Versicherungsortes zum Zeitwert oder Naturalersatz bis 25 € pro qm, max. 5.000 € (Bargeld bis 250 €)
-Einbruch über nicht versicherte Räume
-Sturmschäden an Hausrat auf dem Grundstück (100 € SB)
-Mietfortzahlung bei unbewohnbarkeit der Wohnung
-energetische Modernisierung von Haushaltsgeräten nach einem Schaden
-Eindringen von Niederschlägen bis 2.500 €
-Schäden durch Transportmittelunfall (Bus, Bahn, Taxi, Mietwagen) bis 10.000 €
-Hausrat in beruflich bedingtem Zweitwohnsitz in Deutschland bis 15.000 € (Wertsachen bis 2.500 €)
-Reisegepäck bis 1.000 € (Achtung Ausschlüsse beachten)
-bis 250 € für Ersatzkäufe wenn Reisegepäck nicht fristgerecht ausgeliefert wird)
-Beitragserstattung bei Arbeitslosigkeit bis 24 Monate (Erstattung nach Ende der Arbeitslosigkeit)
-Haus-/Wohnungsschutzbrief inklusive (abwählbar)</t>
  </si>
  <si>
    <t>Handbuch / VHB; H., Ziff. 3 / 4 / 
 BB; Ziff. 11 / Ziff. 12 / Ziff. 23 / 
Ziff. 29.5 / Ziff. 33 / Ziff. 36 / Ziff. 37 / Ziff. 38 / Ziff. 42 / Ziff. 43 /
 VHB; G. / Handbuch</t>
  </si>
  <si>
    <t>BB; Ziff. 41 / E. BWE / Handbuch)</t>
  </si>
  <si>
    <t>10 € pro qm, max 1.000 €
(ohne Nachtzeitklausel)
(auch Fahrradanhänger, Pedelecs sowie E-Bikes)
(erhöhbar)</t>
  </si>
  <si>
    <t>BB; Ziff. 9 / Handbuch</t>
  </si>
  <si>
    <t>bis 1.000 €
(erhöhbar um 2.500 €)</t>
  </si>
  <si>
    <t>BB; Ziff. 31 / Handbuch</t>
  </si>
  <si>
    <t>E. AGlB / Handbuch</t>
  </si>
  <si>
    <t>VHB; A.; §2, Ziff. 1</t>
  </si>
  <si>
    <t>zusätzlich versicherbar
bis 10.000 €</t>
  </si>
  <si>
    <t>VHB; A.; §7, Ziff. 2</t>
  </si>
  <si>
    <t>25 € pro qm, max. 5.000 €
(Bargeld 250 € / elektr. Geräte zum Zeitwert oder Naturalersatz)</t>
  </si>
  <si>
    <t>BB; Ziff. 11.2 / Ziff. 11.4</t>
  </si>
  <si>
    <t>VHB; A.; §6, Ziff. 3 b)</t>
  </si>
  <si>
    <t>VHB; A.; §6, Ziff. 3 b) + c) + d)</t>
  </si>
  <si>
    <t>VHB; A.; §6, Ziff. 2 a)</t>
  </si>
  <si>
    <t>VHB; A.; §6, Ziff. 2 c) aa)</t>
  </si>
  <si>
    <t>VHB; A.; §6, Ziff. 2 c) bb)</t>
  </si>
  <si>
    <t>VHB; A.; §6, Ziff. 2 c) cc) / BB; Ziff. 29</t>
  </si>
  <si>
    <t>VHB; A.; §6, Ziff. 2 c) cc) / BB; Ziff. 25</t>
  </si>
  <si>
    <t>VHB; A.; §6, Ziff. 2 c) ee)</t>
  </si>
  <si>
    <t>VHB; A.; §6, Ziff. 2 c) ii)</t>
  </si>
  <si>
    <t>VHB; A.; §6, Ziff. 2 c) ff)</t>
  </si>
  <si>
    <t>VHB; A.; §6, Ziff. 2 c) gg)</t>
  </si>
  <si>
    <t>VHB; A.; §6, Ziff. 2 c) hh) / BB; Ziff. 28.1</t>
  </si>
  <si>
    <t>VHB; A.; §6, Ziff. 2 c) hh) / BB; Ziff. 24.1</t>
  </si>
  <si>
    <t>VHB; A.; §13, Ziff. 2 a)</t>
  </si>
  <si>
    <t>bis 50.000 € inkl. Bargeld im Rahmen der Wertsachen bis 10.000 €</t>
  </si>
  <si>
    <t>bis 75.000 € inkl. Bargeld im Rahmen der Wertsachen bis 10.000 €</t>
  </si>
  <si>
    <t>VHB; A.; §9, Ziff. 2</t>
  </si>
  <si>
    <t>VHB; A.; §6, Ziff. 2 c) ee) / Handbuch</t>
  </si>
  <si>
    <t>VHB; A.; §2, Ziff. 2 / Handbuch</t>
  </si>
  <si>
    <t>ab 175 qm</t>
  </si>
  <si>
    <t>ab 175 qm oder 
ab VS 115.000 €</t>
  </si>
  <si>
    <t>VHB; A.; §4, Ziff. 2</t>
  </si>
  <si>
    <t>VHB; A.; §4, Ziff. 1 a) aa)</t>
  </si>
  <si>
    <t>VHB; A.; §4, Ziff. 1 a) bb)</t>
  </si>
  <si>
    <t>VHB; A.; §4, Ziff. 1 a) cc)</t>
  </si>
  <si>
    <t>VHB; A.; §4, Ziff. 1 b) aa)</t>
  </si>
  <si>
    <t>VHB; A.; §4, Ziff. 1 b) bb)</t>
  </si>
  <si>
    <t>VHB; A.; §3, Ziff. 4</t>
  </si>
  <si>
    <t>VHB; A.; §3, Ziff. 3 / BB; Ziff. 17 / Ziff. 33.5</t>
  </si>
  <si>
    <t>VHB; A.; §3, Ziff. 3 / BB; Ziff. 13 / Ziff. 29.6</t>
  </si>
  <si>
    <t>VHB; A.; §13, Ziff. 2 b) / afm Sonderbedingungen</t>
  </si>
  <si>
    <t>afm Sonderbedingungen (E-Mail vom 30.05.)</t>
  </si>
  <si>
    <t>BB; Ziff. 8.4</t>
  </si>
  <si>
    <t>BB; Ziff. 9.1</t>
  </si>
  <si>
    <t>bis 1% der VS
(keine Wertsachen / elektr. Geräte)</t>
  </si>
  <si>
    <t>BB; Ziff. 10.1 a) / Ziff. 10.2</t>
  </si>
  <si>
    <t>bis 1% der VS (keine Pelze, Leder-/ Alcantarawaren)</t>
  </si>
  <si>
    <t>BB; Ziff. 10.1 b) / Ziff. 10.2</t>
  </si>
  <si>
    <t>BB; Ziff. 10.1 c) / Ziff. 10.2</t>
  </si>
  <si>
    <t>BB; Ziff. 10.1 a) / Ziff. 10.2 / Handbuch</t>
  </si>
  <si>
    <t>BB; Ziff. 10.3</t>
  </si>
  <si>
    <t>BB; Ziff. 12</t>
  </si>
  <si>
    <t xml:space="preserve">bis 10% der VS, max. 20.000 €
max. 6 Monate </t>
  </si>
  <si>
    <t>bis 1.000 €
(auch Gasverlust)</t>
  </si>
  <si>
    <t>bis 250 €
(100 € SB)</t>
  </si>
  <si>
    <t>BB; Ziff. 30</t>
  </si>
  <si>
    <t>BB; H.; Ziff. 1 / Handbuch</t>
  </si>
  <si>
    <t>zusätzlich versicherbar
(auch Fahrradanhänger, Pedelecs sowie E-Bikes)
(ohne Nachtzeitklausel)</t>
  </si>
  <si>
    <t>zusätzlich versicherbar
bis 40.000 €
(Elementar "light")</t>
  </si>
  <si>
    <t>bis 1% der VS
(ohne Nachtzeitklausel)
(auch Fahrradanhänger, Pedelecs sowie E-Bikes)
(erhöhbar)</t>
  </si>
  <si>
    <t>BWE; §2 a) / Handbuch</t>
  </si>
  <si>
    <t>BWE; §12 / Handbuch</t>
  </si>
  <si>
    <t>BB; Ziff. 41 / E. BWE; §12 / Handbuch</t>
  </si>
  <si>
    <t>BB; Ziff. 12.1 / afm Sonderbedingungen / Handbuch</t>
  </si>
  <si>
    <t>bis 500 € (Bargeld 100 €)
(keine Wertsachen)</t>
  </si>
  <si>
    <t>BB; Ziff. 34.3 / afm Sonderbedingungen (E-Mail vom 30.05)</t>
  </si>
  <si>
    <t>bis 2.000 €
(100 € SB)</t>
  </si>
  <si>
    <t>afm Sonderbedingungen; Ziff. 7 (E-Mail vom 30.05.)</t>
  </si>
  <si>
    <t>-Unbenannte Gefahren versicherbar
-Einbruch über nicht versicherte Räume
-Sturmschäden an Hausrat auf dem Grundstück (100 € SB)
-Mietfortzahlung bei unbewohnbarkeit der Wohnung
-energetische Modernisierung von Haushaltsgeräten nach einem Schaden</t>
  </si>
  <si>
    <t>Handbuch /
BB; Ziff. 16 / Ziff. 27 / Ziff. 33.4 /
Ziff. 37</t>
  </si>
  <si>
    <t>BB; Ziff. 39</t>
  </si>
  <si>
    <t>bis 30% der VS inkl. Bargeld im Rahmen der Wertsachen bis 10.000 €</t>
  </si>
  <si>
    <t>BB; Ziff. 41</t>
  </si>
  <si>
    <t>BB; Ziff. 40.1</t>
  </si>
  <si>
    <t>BB; Ziff. 40.2</t>
  </si>
  <si>
    <t>VHB; A.; §9, Ziff. 2 b)</t>
  </si>
  <si>
    <t>VHB; A.; §12, Ziff. 4 / §9, Ziff. 2 b)</t>
  </si>
  <si>
    <t>VHB; A.; §6, Ziff. 2 c) hh)</t>
  </si>
  <si>
    <t>VHB; A.; §13, Ziff. 2 b)</t>
  </si>
  <si>
    <t>VHB; A.; §6, Ziff. 3 a)</t>
  </si>
  <si>
    <t>sofern ausschließlich über die Wohnung zu betreten (Arbeitszimmer in der Wohnung)</t>
  </si>
  <si>
    <t>VHB; A.; §4, Ziff. 3 a) aa)</t>
  </si>
  <si>
    <t>VHB; A.; §3, Ziff. 3</t>
  </si>
  <si>
    <t>VHB; A.; §11, Ziff. 4 a)</t>
  </si>
  <si>
    <t>ITL afm Infinitus</t>
  </si>
  <si>
    <t>aktuell
(geprüft am 23.12.2013)</t>
  </si>
  <si>
    <t>Ammerländer Classic</t>
  </si>
  <si>
    <t>wie 04-2012 / 09-2013</t>
  </si>
  <si>
    <t>VHB 2012
(Stand 12-2013)</t>
  </si>
  <si>
    <t>wie 09-2013</t>
  </si>
  <si>
    <t>VHB 2012 Plus-Paket
(Stand 12-2013)</t>
  </si>
  <si>
    <t>wie 04-2012 / wie 09-2013</t>
  </si>
  <si>
    <t>VHB 2012 Rundumschutz
(Stand 12-2013)</t>
  </si>
  <si>
    <t>R+V PrivatPolice
(Stand 07-2012)</t>
  </si>
  <si>
    <t>Ideal Klassik
(Stand 02-2011)</t>
  </si>
  <si>
    <t>Ideal Exklusiv
(Stand 02-2011)</t>
  </si>
  <si>
    <t>Gothaer Top
(Stand 01-2009)</t>
  </si>
  <si>
    <t>Gothaer Top Plus
(Stand 01-2009)</t>
  </si>
  <si>
    <t>Württembergische Premium Schutz (Stand 11-2011)</t>
  </si>
  <si>
    <t>wie 10-2012 / 04-2013</t>
  </si>
  <si>
    <t>AHR 2004 Fassung 08/2010
(Stand 11-2013)</t>
  </si>
  <si>
    <t>bis 1.500 €  (auch Hör-/ Sehhilfen, Zähne und Gebisse)</t>
  </si>
  <si>
    <t>private Sicherungsanlagen, Markisen und Antennenanlagen für die Wohnung des VN sowie
Terrassenüberdachungen/ Balkonverkleidungen</t>
  </si>
  <si>
    <t>AB_IHR,§6, 2 c) cc)+EB_IHR, Ziff. 2.1 / Ziff. 13.1</t>
  </si>
  <si>
    <t>AB_IHR, § 8, Ziff. 1 e) / EB_IHR, Ziff. 15.4 e)</t>
  </si>
  <si>
    <t>ja (auch bei Abhandenkommen 
durch einfachen Diebstahl bis 150 €)</t>
  </si>
  <si>
    <t>AB_IHR; §6, Ziff. 3 / EB_IHR, Ziff. 2.4</t>
  </si>
  <si>
    <t>Garagen auch in der Nähe des Versicherungsorts (max. 2);
auch Gewächshaus oder Wintergarten</t>
  </si>
  <si>
    <t>AB_IHR; §6, Ziff. 3 + EB_IHR, Ziff. 2.3 / Ziff. 2.5</t>
  </si>
  <si>
    <t>ja
(auch Mobiltelefon)</t>
  </si>
  <si>
    <t>bis 150 € 
(auch Mobiltelefon)</t>
  </si>
  <si>
    <t>EB_IHR, Ziff. 5.1 b) / 16.2</t>
  </si>
  <si>
    <t>EB_IHR, Ziff. 5.1 d) / 16.2</t>
  </si>
  <si>
    <t>EB_IHR, Ziff. 5.1 c) / 16.2</t>
  </si>
  <si>
    <t>EB_IHR, Ziff. 8</t>
  </si>
  <si>
    <t>EB_IHR, Ziff. 12.7 / Ziff. 13.2 / 
Ziff. 15.2 / Ziff. 15.5 / 
Ziff. 1.5 / Ziff. 2.2 / Ziff. 2.6 / Ziff. 9</t>
  </si>
  <si>
    <t>-Schäden während eines Umzugs sind versichert
-Sturmschäden an Gartenmöbeln 
auf der Terrasse sind versichert
-Mietfortzahlungskosten der unbewohnbaren Wohnung
-Wiederbeschaffung privater Dokumente bis 150 €
-Allmählichkeitsschäden sind versichert
-Hausrat d. VN in vermieteter Einliegerwohnung ist versichert
-nicht eingebautes Kfz-Zubehör ist versichert (keine Schlüssel)
-Prämienreduzierung bei Umzug in ein Seniorenheim (30%)</t>
  </si>
  <si>
    <t>-Allmählichkeitsschäden sind versichert
-Hausrat des VN in vermieteter Einliegerwohnung ist versichert
-nicht eingebautes Kfz-Zubehör ist versichert (keine Schlüssel)
-Prämienreduzierung bei Umzug in ein Seniorenheim (30%)</t>
  </si>
  <si>
    <t>EB_IHR, Ziff. 1.5 / Ziff. 2.2 / Ziff. 2.6 / Ziff. 9</t>
  </si>
  <si>
    <t>aktuell
(geprüft am 27.12.2013)</t>
  </si>
  <si>
    <t>zusätzlich versicherbar
bis 3.000 € je Rad
(auch Elektrofahrräder)
(ohne Nachtzeitklausel)</t>
  </si>
  <si>
    <t>Tarifbuch + EB_IFS, Ziff. 2 / Antrag</t>
  </si>
  <si>
    <t>1 % der VS;
mind. 250 €, max. 1.000 €</t>
  </si>
  <si>
    <t>AB_IHR, §13, Ziff. 2 b) + EB_IHR, Ziff. 7.1</t>
  </si>
  <si>
    <t>Annahmerichtlinien</t>
  </si>
  <si>
    <t>Wertsachenanteil &gt; 1.000 € je qm /
ab 70.000 € Wertsachenanteil</t>
  </si>
  <si>
    <t>HRB 07/13
(Stand 07-2013)</t>
  </si>
  <si>
    <t>korrekte Wohnfläche
sowie Schäden bis 1.000 €</t>
  </si>
  <si>
    <t>Gartengrills/ Gartenskulpturen
bis 1.000 €</t>
  </si>
  <si>
    <t>HRB; Ziff. 12.6 / Annahmerichtlinien / Leistungsübersicht</t>
  </si>
  <si>
    <t>HRB; Ziff. 10.1.1 / Leistungsübersicht</t>
  </si>
  <si>
    <t>max. bis zur im Versicherungsschein genannten Entschädigungsgrenze</t>
  </si>
  <si>
    <t>HRB; Ziff. 7.2.3.3</t>
  </si>
  <si>
    <t>ja, Garagen auch am Wohnort des VN</t>
  </si>
  <si>
    <t>HRB; Ziff. 17.2.3</t>
  </si>
  <si>
    <t>abwählbar</t>
  </si>
  <si>
    <t>HRB; Ziff. 5.1.2 / Annahmerichtlinien</t>
  </si>
  <si>
    <t>HRB; Ziff. 6 / Annahmerichtlinien</t>
  </si>
  <si>
    <t>inklusive
(Baustein Elementar abwählbar)</t>
  </si>
  <si>
    <t>HRB; Ziff. 5.1.2.1 / Ziff. 5.1.2.2 / Annahmerichtlinien</t>
  </si>
  <si>
    <t>HRB; Ziff. 13.2.1 / Annahmerichtlinien</t>
  </si>
  <si>
    <t>HRB; Ziff. 1.1.1 / Annahmerichtlinien</t>
  </si>
  <si>
    <t>HRB; Ziff. 2.8 / Leistungsübersicht</t>
  </si>
  <si>
    <t>ja
(auch Raumfahrzeuge)</t>
  </si>
  <si>
    <t>HRB; Ziff. 3.5.1 / Annahmerichtlinien</t>
  </si>
  <si>
    <r>
      <t>abwählbar</t>
    </r>
    <r>
      <rPr>
        <sz val="7"/>
        <rFont val="Arial"/>
        <family val="2"/>
      </rPr>
      <t xml:space="preserve">
bis 6 € pro qm (max. 24 € pro qm)
(ohne Nachtzeitklausel)</t>
    </r>
  </si>
  <si>
    <t>HRB; Ziff. 3.5.2 / Ziff. 7.2.3.3 / Leistungsübersicht</t>
  </si>
  <si>
    <t>HRB; Ziff. 3.5.2 / Ziff. 7.2.3.5 / Leistungsübersicht</t>
  </si>
  <si>
    <t>bis 500 € (keine Wertsachen; elektr. Geräte nur aus abgeschlossenem Ablagefach)</t>
  </si>
  <si>
    <t>bis 500 € - auch aus Wohnmobilen (nicht aus Anhängern)
(keine Wertsachen; elektr. Geräte nur aus Kofferraum/Ablagefach)</t>
  </si>
  <si>
    <t>HRB; Ziff. 17.3</t>
  </si>
  <si>
    <t>HRB; Ziff. 24.1.2</t>
  </si>
  <si>
    <t>VHB 2013
(Stand 09-2013)</t>
  </si>
  <si>
    <r>
      <t xml:space="preserve">bis 500 € ???, --&gt; </t>
    </r>
    <r>
      <rPr>
        <sz val="7"/>
        <color indexed="10"/>
        <rFont val="Arial"/>
        <family val="2"/>
      </rPr>
      <t>vereinbarter Betrag</t>
    </r>
    <r>
      <rPr>
        <sz val="7"/>
        <rFont val="Arial"/>
        <family val="2"/>
      </rPr>
      <t xml:space="preserve">
keine Schmorschäden</t>
    </r>
  </si>
  <si>
    <r>
      <t>bis 1.000 € --&gt;</t>
    </r>
    <r>
      <rPr>
        <sz val="7"/>
        <color indexed="10"/>
        <rFont val="Arial"/>
        <family val="2"/>
      </rPr>
      <t xml:space="preserve"> vereinbarter Betrag</t>
    </r>
  </si>
  <si>
    <t>24 Stunden
innerhalb Europa im geographischen Sinne sowie EU</t>
  </si>
  <si>
    <t>bis 2.500 €, auch aus Wohnmobilen/Dachboxen
(keine Wertsachen; elektr. Geräte bis 500 €) -nicht aus Anhängern-</t>
  </si>
  <si>
    <t>Klauselbogen / Leistungsübersicht</t>
  </si>
  <si>
    <r>
      <t>bis 1.000 €</t>
    </r>
    <r>
      <rPr>
        <sz val="7"/>
        <rFont val="Arial"/>
        <family val="2"/>
      </rPr>
      <t xml:space="preserve">
(erhöhbar bis 10.000 €)
(auch Elektrofahrräder)</t>
    </r>
  </si>
  <si>
    <t>Rechner / Klauselbogen / Leistungsübersicht</t>
  </si>
  <si>
    <t>bis 2.500 €
(erhöhbar bis 10.000 €)</t>
  </si>
  <si>
    <t>VHB §13, Ziff. 2 a) / Leistungsübersicht</t>
  </si>
  <si>
    <r>
      <t>bis 2.500 € --&gt;</t>
    </r>
    <r>
      <rPr>
        <sz val="7"/>
        <color indexed="10"/>
        <rFont val="Arial"/>
        <family val="2"/>
      </rPr>
      <t xml:space="preserve"> vereinbarter Betrag</t>
    </r>
  </si>
  <si>
    <r>
      <t xml:space="preserve">mobile Grillgeräte
bis 2.500 € --&gt; </t>
    </r>
    <r>
      <rPr>
        <sz val="7"/>
        <color indexed="10"/>
        <rFont val="Arial"/>
        <family val="2"/>
      </rPr>
      <t>vereinbarter Betrag</t>
    </r>
  </si>
  <si>
    <r>
      <t xml:space="preserve">bis 500 € --&gt; </t>
    </r>
    <r>
      <rPr>
        <sz val="7"/>
        <color indexed="10"/>
        <rFont val="Arial"/>
        <family val="2"/>
      </rPr>
      <t>vereinbarter Betrag</t>
    </r>
    <r>
      <rPr>
        <sz val="7"/>
        <rFont val="Arial"/>
        <family val="2"/>
      </rPr>
      <t xml:space="preserve">
(Bargeld/Schmuck bis 250 €)</t>
    </r>
  </si>
  <si>
    <t>ja
(auch Privatkabinen in Flugzeugen)</t>
  </si>
  <si>
    <t>Bargeld - 2.500 €
Urkunden - 25.000 €
Schmuck - 25.000 €</t>
  </si>
  <si>
    <t>AHB §6, Ziff. 2 c) cc) / Klauselbogen</t>
  </si>
  <si>
    <r>
      <t xml:space="preserve">bis 500 € --&gt; </t>
    </r>
    <r>
      <rPr>
        <sz val="7"/>
        <color indexed="10"/>
        <rFont val="Arial"/>
        <family val="2"/>
      </rPr>
      <t>vereinbarter Betrag</t>
    </r>
  </si>
  <si>
    <r>
      <t xml:space="preserve">bis 500 € --&gt; </t>
    </r>
    <r>
      <rPr>
        <sz val="7"/>
        <color indexed="10"/>
        <rFont val="Arial"/>
        <family val="2"/>
      </rPr>
      <t>vereinbarter Betrag</t>
    </r>
    <r>
      <rPr>
        <sz val="7"/>
        <rFont val="Arial"/>
        <family val="2"/>
      </rPr>
      <t xml:space="preserve">
(auch Gasverlust)</t>
    </r>
  </si>
  <si>
    <t>bis 25.000 €,
max. 12 Monate</t>
  </si>
  <si>
    <t>bis 2.500 €
(Wertsachen bis 250 €); auch Hausrat, der dort dauerhaft ist</t>
  </si>
  <si>
    <r>
      <t xml:space="preserve">bis 1.000 € --&gt; </t>
    </r>
    <r>
      <rPr>
        <sz val="7"/>
        <color indexed="10"/>
        <rFont val="Arial"/>
        <family val="2"/>
      </rPr>
      <t>vereinbarter Betrag</t>
    </r>
  </si>
  <si>
    <t>VHB §1, Ziff. 1 / Klauselbogen</t>
  </si>
  <si>
    <t>bis 30.000 €, max. 6 Monate 
(auch Ehepartner nach Trennung)</t>
  </si>
  <si>
    <t>20% d. VS (zusätzlich 20% ab Heirat, Geburt, Umzug für 12 Monate)</t>
  </si>
  <si>
    <r>
      <t xml:space="preserve"> max. 12 Monate, bis 3‰ der VS pro Tag --&gt;</t>
    </r>
    <r>
      <rPr>
        <sz val="7"/>
        <color indexed="10"/>
        <rFont val="Arial"/>
        <family val="2"/>
      </rPr>
      <t>vereinbarter Betrag</t>
    </r>
  </si>
  <si>
    <r>
      <t>bis 2.500 € --&gt;</t>
    </r>
    <r>
      <rPr>
        <sz val="7"/>
        <color indexed="10"/>
        <rFont val="Arial"/>
        <family val="2"/>
      </rPr>
      <t xml:space="preserve"> vereinbarter Betrag</t>
    </r>
    <r>
      <rPr>
        <sz val="7"/>
        <rFont val="Arial"/>
        <family val="2"/>
      </rPr>
      <t xml:space="preserve">
bei Schäden &gt;5.000 €</t>
    </r>
  </si>
  <si>
    <r>
      <t xml:space="preserve">bis 2.500 € --&gt; </t>
    </r>
    <r>
      <rPr>
        <sz val="7"/>
        <color indexed="10"/>
        <rFont val="Arial"/>
        <family val="2"/>
      </rPr>
      <t>vereinbarter Betrag</t>
    </r>
    <r>
      <rPr>
        <sz val="7"/>
        <rFont val="Arial"/>
        <family val="2"/>
      </rPr>
      <t xml:space="preserve">
bei Schäden &gt; 25.000 €</t>
    </r>
  </si>
  <si>
    <t>Klauselbogen / Homepage</t>
  </si>
  <si>
    <t>ja (+ pauschal 100 € für anfallende Gebühren (Ummeldung, etc.))</t>
  </si>
  <si>
    <r>
      <t xml:space="preserve">bis 20% der VS, max. 10.000 €
--&gt; </t>
    </r>
    <r>
      <rPr>
        <sz val="7"/>
        <color indexed="10"/>
        <rFont val="Arial"/>
        <family val="2"/>
      </rPr>
      <t>vereinbarter Betrag</t>
    </r>
    <r>
      <rPr>
        <sz val="7"/>
        <rFont val="Arial"/>
        <family val="2"/>
      </rPr>
      <t xml:space="preserve">
ja (Fläche muss in Wohnflächenberechnung berücksichtigt werden)</t>
    </r>
  </si>
  <si>
    <r>
      <t>bis 1.000 € --&gt;</t>
    </r>
    <r>
      <rPr>
        <sz val="7"/>
        <color indexed="10"/>
        <rFont val="Arial"/>
        <family val="2"/>
      </rPr>
      <t xml:space="preserve"> vereinbarter Betrag</t>
    </r>
    <r>
      <rPr>
        <sz val="7"/>
        <rFont val="Arial"/>
        <family val="2"/>
      </rPr>
      <t xml:space="preserve">
(auch Arzneimittel)</t>
    </r>
  </si>
  <si>
    <r>
      <t xml:space="preserve">bis 10% der VS
--&gt; </t>
    </r>
    <r>
      <rPr>
        <sz val="7"/>
        <color indexed="10"/>
        <rFont val="Arial"/>
        <family val="2"/>
      </rPr>
      <t>vereinbarter Betrag</t>
    </r>
  </si>
  <si>
    <t>VHB § 1, Ziff. 2 / Klauselbogen</t>
  </si>
  <si>
    <r>
      <t xml:space="preserve">bis 20 % der VS
</t>
    </r>
    <r>
      <rPr>
        <sz val="7"/>
        <color indexed="10"/>
        <rFont val="Arial"/>
        <family val="2"/>
      </rPr>
      <t>(gemäß Leistungsübersicht 30%)</t>
    </r>
  </si>
  <si>
    <t>Modellfahrzeuge</t>
  </si>
  <si>
    <t>ja, 
Garagen auch bis 5 km Entfernung</t>
  </si>
  <si>
    <t>VHB § 4 Ziff. 1 a) dd)</t>
  </si>
  <si>
    <t>VHB § 5 Ziff. 2 a)</t>
  </si>
  <si>
    <t>versicherbar über "Betrug &amp; Cyber" oder "privat 60 plus"</t>
  </si>
  <si>
    <t>Klauselbogen / BBC</t>
  </si>
  <si>
    <t>vereinbarte VS (wahlweise 250.000 € Höchstentschädigung versicherbar)</t>
  </si>
  <si>
    <t>VHB §9, Ziff. 2 a) / Baustein Hausrat ohne Grenzen</t>
  </si>
  <si>
    <t>Rechner / Preisinformation</t>
  </si>
  <si>
    <t>250 € (bei Erdbeben oder wenn Über-schwemmungs-Zone &gt;1: 1% der VS)</t>
  </si>
  <si>
    <t>-Kosten, die durch Fehlalarm eines Rauchmelders entstanden sowie Kosten für dadurch entstandene Beschädigungen durch gewaltsamen Zungang zur Wohnung durch Polizei/Feuerwehr
-Schäden an Wäsche durch defekte Waschmaschine bis 2.500 €
Versicherbar über "privat 60 plus":  
-Mehrkosten für altersgerechte Umgestaltung bei Schäden &gt; 10.000 € 
-Schlüsseldienstkosten
-Betreuung von Kindern bei Schäden &gt; 5.000 €, 
-Erhöhung der Bargeldentschädigung an Festtagen um 1.000 €
-Diebstahl aus Praxisräumen
-Garderobendiebstahl
-Zuzahlungen bei schadenbedingtem Krankenhausaufenthalt</t>
  </si>
  <si>
    <t>VHB § 8 j) / Homepage</t>
  </si>
  <si>
    <t>VHB § 27 Ziff. 1 d)</t>
  </si>
  <si>
    <t>VHB §38; Ziff. 7 / Homepage</t>
  </si>
  <si>
    <t>Bedingungsanpassungsklausel (VR informiert VN / VN kann kündigen)</t>
  </si>
  <si>
    <t>ADCURI Basis-Schutz</t>
  </si>
  <si>
    <t>ADCURI Top-Schutz</t>
  </si>
  <si>
    <t>ZB; Ziff. 1</t>
  </si>
  <si>
    <t>12 Monate
bis 40% der VS, max. 20.000 €</t>
  </si>
  <si>
    <t>3 Monate 
bis 10% der VS, max. 15.000 €</t>
  </si>
  <si>
    <t>ZB; Ziff. 1 a) / b)</t>
  </si>
  <si>
    <t>ZB; Ziff. 1 c)</t>
  </si>
  <si>
    <t>ZB; Ziff. 2</t>
  </si>
  <si>
    <t>bis 40% der VS,
max. 6 Monate</t>
  </si>
  <si>
    <t>ZB; Ziff. 4</t>
  </si>
  <si>
    <t>ZB; Ziff. 5</t>
  </si>
  <si>
    <t>ja (auch bis 10% der VS, max. 5.000 € bei Obliegenheitsverletzung)</t>
  </si>
  <si>
    <t>ZB; Ziff. 5 / Ziff. 6</t>
  </si>
  <si>
    <t>ZB; Ziff. 7</t>
  </si>
  <si>
    <t>ZB; Ziff. 8</t>
  </si>
  <si>
    <t>ZB; Ziff. 9</t>
  </si>
  <si>
    <t>ja
(auch Medikamente)</t>
  </si>
  <si>
    <t>ZB; Ziff. 11</t>
  </si>
  <si>
    <t>VHB; §1, Ziff. 1 a) / ZB; Ziff. 14</t>
  </si>
  <si>
    <t>ZB; Ziff. 15</t>
  </si>
  <si>
    <t>ZB; Ziff. 17 a)</t>
  </si>
  <si>
    <t>VHB; §13, Ziff. 2 b) / ZB; Ziff. 17 b)</t>
  </si>
  <si>
    <t>VHB; §13, Ziff. 2 b)</t>
  </si>
  <si>
    <t>VHB; §13, Ziff. 2 a)</t>
  </si>
  <si>
    <t>VHB; §13, Ziff. 2 b) dd)</t>
  </si>
  <si>
    <t>ZB; Ziff. 17 c)</t>
  </si>
  <si>
    <t>bis 30% der VS
(max. 15.000 €)</t>
  </si>
  <si>
    <t>bis 1% der VS (max. 150 €, sofern VN keine Nachweise für das Fahrrad vorlegen kann) (ohne Nachtzeitklausel) (auch Pedelecs und Fahrradanhänger)</t>
  </si>
  <si>
    <t>ZB; Ziff. 18 / Leistungsübersicht</t>
  </si>
  <si>
    <t>ZB; Ziff. 19</t>
  </si>
  <si>
    <t>ZB; Ziff. 20</t>
  </si>
  <si>
    <t>bis 600 € 
(keine Wertsachen)
(auch aus Gepäckbox oder fest umschlossenen Anhänger)</t>
  </si>
  <si>
    <t>bis 600 € 
(keine Wertsachen)</t>
  </si>
  <si>
    <t>ZB; Ziff. 22 a) / d)</t>
  </si>
  <si>
    <t>ZB; Ziff. 22 b) / d)</t>
  </si>
  <si>
    <t>bis 1.500 € (für genanntes Garteninventar, z.B. Skulpturen)</t>
  </si>
  <si>
    <t>ZB; Ziff. 23 a) / c)</t>
  </si>
  <si>
    <t>bis 1.500 € (wenn zum Zeitpunkt des Diebstahls nachweislich im Gebrauch)</t>
  </si>
  <si>
    <t>bis 1.500 € (wenn zum Zeitpunkt des Diebstahls nachweisl. im Gebrauch)</t>
  </si>
  <si>
    <t>ZB; Ziff. 24</t>
  </si>
  <si>
    <t>ZB; Ziff. 25</t>
  </si>
  <si>
    <t>ZB; Ziff. 30</t>
  </si>
  <si>
    <t>bis 5% der VS,
bei Schäden &gt; 5.000 €</t>
  </si>
  <si>
    <t>ZB; Ziff. 31</t>
  </si>
  <si>
    <t>ZB; Ziff. 32</t>
  </si>
  <si>
    <t>bis zu 1 Jahr,
je Tag max. 2‰ der VS</t>
  </si>
  <si>
    <t>VHB; §8, Ziff. 3 / ZB; Ziff. 33</t>
  </si>
  <si>
    <t>ZB; Ziff. 34</t>
  </si>
  <si>
    <t>ZB; Ziff. 35</t>
  </si>
  <si>
    <t>ZB; Ziff. 36</t>
  </si>
  <si>
    <t>ZB; Ziff. 37</t>
  </si>
  <si>
    <t>ZB; Ziff. 41</t>
  </si>
  <si>
    <t>ZB; Ziff. 43</t>
  </si>
  <si>
    <t>ZB; Ziff. 44</t>
  </si>
  <si>
    <t>ZB / Leistungsübersicht</t>
  </si>
  <si>
    <t>zusätzlich versicherbar
(ohne Nachtzeitklausel)
(auch Pedelecs)</t>
  </si>
  <si>
    <t>ZB Glas</t>
  </si>
  <si>
    <t>BEH; §2 a)</t>
  </si>
  <si>
    <t>BEH; §12, Ziff. 2</t>
  </si>
  <si>
    <t>VHB
(11-2013)</t>
  </si>
  <si>
    <t>-Transportmittelunfall ist versichert
- Schäden durch unmittelbar in die Wohnung eindringende Witterungsniederschläge bis 5.000 € (500 € SB)
-Sturm-/Hagelschäden an ausschließlich für eine Nutzung im Freien bestimmte Sachen auf dem Versicherungsgrundstück bis 10% der VS, max. 5.000 €
-Mehrkosten für energieeffizientere Haushaltsgeräten bis 250 € je Gerät
zusätzlich versicherbar:
-Reisegepäckversicherung
-Haus-/Wohnungsschutzbrief</t>
  </si>
  <si>
    <t xml:space="preserve">
zusätzlich versicherbar:
-Reisegepäckversicherung
-Haus-/Wohnungsschutzbrief</t>
  </si>
  <si>
    <t>ZB; Ziff. 13 / Ziff. 27 / Ziff. 28 / 
Ziff. 29 /
AVB Reisegepäck / 
AB Haus-/Wohnungsschutzbrief</t>
  </si>
  <si>
    <t>AVB Reisegepäck / 
AB Haus-/Wohnungsschutzbrief</t>
  </si>
  <si>
    <t>VHB; § 6, Ziff. 4 c)</t>
  </si>
  <si>
    <t>VHB; § 6, Ziff. 2</t>
  </si>
  <si>
    <t>VHB; § 19, Ziff. 1 d) cc)</t>
  </si>
  <si>
    <t>VHB; § 2, Ziff. 1 f)</t>
  </si>
  <si>
    <t>VHB; § 2, Ziff. 1 e)</t>
  </si>
  <si>
    <t>VHB; § 1, Ziff. 2</t>
  </si>
  <si>
    <t>VHB; § 2, Ziff. 1 d)</t>
  </si>
  <si>
    <t>Leitungswasser, Sole, Öle, Kühl-/ Kältemittel sowie Wasserdampf</t>
  </si>
  <si>
    <t>Leitungswasser und anderen wärmetragenden Flüssigkeiten sowie Wasserdampf</t>
  </si>
  <si>
    <t>VHB; § 4, Ziff. 3 a) aa)</t>
  </si>
  <si>
    <t>VHB; § 4, Ziff. 1 a) dd)</t>
  </si>
  <si>
    <t>Telefonmissbrauch nach ED 
(Missbräuchliche Benutzung des Telefons)</t>
  </si>
  <si>
    <t>Telefonmissbrauch nach ED
(Missbräuchliche Benutzung des Telefons)</t>
  </si>
  <si>
    <t>VHB; § 8, Ziff. 1</t>
  </si>
  <si>
    <t>VHB; § 8, Ziff. 2</t>
  </si>
  <si>
    <t>VHB; § 8, Ziff. 3</t>
  </si>
  <si>
    <t>VHB; § 8, Ziff. 4</t>
  </si>
  <si>
    <t>VHB; § 8, Ziff. 5</t>
  </si>
  <si>
    <t>bis 144 h</t>
  </si>
  <si>
    <t>VHB; § 8, Ziff. 8</t>
  </si>
  <si>
    <t>VHB; § 8, Ziff. 9</t>
  </si>
  <si>
    <t>VHB; § 32, Ziff. 1 b)</t>
  </si>
  <si>
    <t>BB Classic; Ziff. 1</t>
  </si>
  <si>
    <t>BB Classic; Ziff. 3</t>
  </si>
  <si>
    <t>BB Classic; Ziff. 4</t>
  </si>
  <si>
    <t>BB Classic; Ziff. 5</t>
  </si>
  <si>
    <t>BB Classic; Ziff. 7</t>
  </si>
  <si>
    <t>VHB; §2, Ziff. 1 d) / BB Classic; Ziff. 6 / Ziff. 8</t>
  </si>
  <si>
    <t>VHB; §2, Ziff. 1 d) / BB Comfort; Ziff. 6 / Ziff. 8</t>
  </si>
  <si>
    <t>VHB; §2, Ziff. 1 d) / BB Excellent; Ziff. 6 / Ziff. 8</t>
  </si>
  <si>
    <t>zusätzlich versicherbar 1% bis 8% der VS, je nach Sicherung/gewählter Entschädigung max. 5.000 € -auch Pedelecs/Fahrradanhänger (mit Nachtzeitklausel)</t>
  </si>
  <si>
    <t>BB Comfort; Ziff. 10 / Rechner / Leistungsübersicht</t>
  </si>
  <si>
    <t>BB Excellent; Ziff. 10 / Ziff. 11 / Leistungsübersicht</t>
  </si>
  <si>
    <t>BB Exclusiv; Ziff. 10 / Ziff. 11 / Leistungsübersicht</t>
  </si>
  <si>
    <t>Ammerländer Comfort
(Stand 07-2013)</t>
  </si>
  <si>
    <t>Ammerländer Excellent
(Stand 07-2013)</t>
  </si>
  <si>
    <t>Ammerländer Exclusiv
(Stand 07-2013)</t>
  </si>
  <si>
    <t>Vertragsgrundlagen (Antrag)</t>
  </si>
  <si>
    <t>VHB 2012 Classic-Schutz
(01-2014)</t>
  </si>
  <si>
    <t>VHB 2012 Comfort-Schutz
(01-2014)</t>
  </si>
  <si>
    <t>VHB 2012 Excellent-Schutz
(01-2014)</t>
  </si>
  <si>
    <t>VHB 2012 Exclusiv-Schutz
(01-2014)</t>
  </si>
  <si>
    <t>ja
(auch unbemannte Flugkörper)</t>
  </si>
  <si>
    <t>keine Wasserfahrzeuge
(auch unbemannte Flugkörper)</t>
  </si>
  <si>
    <t>Grills / fest verankerte Skulpturen 
bis 3% der VS</t>
  </si>
  <si>
    <t>ja
(Bargeld bis 200 €)</t>
  </si>
  <si>
    <t>BB Excellent; Ziff. 28</t>
  </si>
  <si>
    <t>BWE, § 2 a) / BB Excellent; Ziff. 31</t>
  </si>
  <si>
    <t>BWE, § 2 b) - e) / BB Excellent; Ziff. 34</t>
  </si>
  <si>
    <t>BWE, § 12 b) / BB Excellent; Ziff. 34.6</t>
  </si>
  <si>
    <t>BB Excellent; Ziff. 40</t>
  </si>
  <si>
    <t>ja, bei Schäden &gt; 5.000 € (+ Reise-rücktritt bis 3.500 € bei Sch. &gt;10.000 €)</t>
  </si>
  <si>
    <t>bis 3% der VS,
bei Schäden &gt; 10.000 €</t>
  </si>
  <si>
    <t>bis 12 Monate
2‰ der VS pro Tag</t>
  </si>
  <si>
    <t>BB Excellent; Ziff. 51</t>
  </si>
  <si>
    <t>BB Excellent; Ziff. 52</t>
  </si>
  <si>
    <t>Rechner / BB Excellent; Ziff. 61</t>
  </si>
  <si>
    <t>VHB; § 6, Ziff. 2 c) cc) / BB Excellent; Ziff. 62</t>
  </si>
  <si>
    <t>bei VS = 650 € pro qm (generell bei Schadenhöhe bis 1% der VS)</t>
  </si>
  <si>
    <t>BB Excellent; Ziff. 63</t>
  </si>
  <si>
    <t>25 % der VS, 
max. 1 Jahr</t>
  </si>
  <si>
    <t>VHB; § 8, Ziff. 1. g) / h) / BB Excellent; Ziff. 41</t>
  </si>
  <si>
    <t>BB Excellent; Ziff. 67</t>
  </si>
  <si>
    <t>ja (100 € SB)-nicht Zigarren-/ Ziga-rettenglut/an techn. Geräten/Werts.</t>
  </si>
  <si>
    <t>Grills / fest verankerte Skulpturen 
bis 2% der VS</t>
  </si>
  <si>
    <t>BB Exclusiv; Ziff. 17</t>
  </si>
  <si>
    <t>bis 2% der VS
(Wertsachen/Bargeld/elektr. Geräte bis 1.000 €)</t>
  </si>
  <si>
    <t>BWE, § 2 a) / BB Exclusiv; Ziff. 24</t>
  </si>
  <si>
    <t>ja (Rückstau inklusive
bis 5% der VS, 500 € SB)</t>
  </si>
  <si>
    <t>VHB; § 8, Ziff. 1. g) / h) / BB Exclusiv; Ziff. 32</t>
  </si>
  <si>
    <t>BB Exclusiv; Ziff. 44</t>
  </si>
  <si>
    <t>Rechner / BB Exclusiv; Ziff. 48</t>
  </si>
  <si>
    <t>bei VS = 650 € pro qm  (generell bei Schadenhöhe bis 500 €)</t>
  </si>
  <si>
    <t>VHB; § 6, Ziff. 2 c) cc) / BB Exclusiv; Ziff. 49</t>
  </si>
  <si>
    <t>BB Exclusiv; Ziff. 50</t>
  </si>
  <si>
    <t>BB Exclusiv; Ziff. 54</t>
  </si>
  <si>
    <t>ja (Überschwemmung durch Stark-regen inklusive)</t>
  </si>
  <si>
    <t>2% d. VS (100 € SB)-nicht Zigarren-/ Zigarettenglut/techn.Geräten/Werts.</t>
  </si>
  <si>
    <t>VHB; § 6, Ziff. 2 c) hh) / BB Comfort; Ziff. 24.1</t>
  </si>
  <si>
    <t>VHB; § 6, Ziff. 2 c) hh) / BB Excellent; Ziff. 39.1</t>
  </si>
  <si>
    <t>VHB; § 6, Ziff. 2 c) hh) / BB Exclusiv; Ziff. 30.1</t>
  </si>
  <si>
    <t>BB Classic; Ziff. 16</t>
  </si>
  <si>
    <t>BB Classic; Ziff. 10.1 / Ziff. 10.3</t>
  </si>
  <si>
    <t>BB Classic; Ziff. 10.1 / Ziff. 10.5</t>
  </si>
  <si>
    <t>bis 1% der VS, max. 500 €
(keine Wertsachen/elektr. Geräte)
-keine Anhänger-</t>
  </si>
  <si>
    <t>BB Classic; Ziff. 11</t>
  </si>
  <si>
    <t>BB Classic; Ziff. 12</t>
  </si>
  <si>
    <t>BB Classic; Ziff. 14</t>
  </si>
  <si>
    <t>BB Classic; Ziff. 15</t>
  </si>
  <si>
    <t>BB Classic; Ziff. 17</t>
  </si>
  <si>
    <t>BB Classic; Ziff. 18</t>
  </si>
  <si>
    <t>BB Classic; Ziff. 19</t>
  </si>
  <si>
    <t>BB Classic; Ziff. 21</t>
  </si>
  <si>
    <t>BB Classic; Ziff. 21.1</t>
  </si>
  <si>
    <t>VHB; § 6, Ziff. 2 c) hh) / BB Classic; Ziff. 21.1</t>
  </si>
  <si>
    <t>BB Classic; Ziff. 22</t>
  </si>
  <si>
    <t>bis 5% der VS, max. 2.000 €
bei Schäden &gt; 10.000 €</t>
  </si>
  <si>
    <t>BB Classic; Ziff. 24</t>
  </si>
  <si>
    <t>BB Classic; Ziff. 25</t>
  </si>
  <si>
    <t>bis 1% der VS (max. 1.500 €)
bei Schäden &gt; 50.000 €</t>
  </si>
  <si>
    <t>VHB; §8, Ziff. 1 c) / BB Classic; Ziff. 26</t>
  </si>
  <si>
    <t>BB Classic; Ziff. 27</t>
  </si>
  <si>
    <t>BB Classic; Ziff. 28</t>
  </si>
  <si>
    <t>BB Classic; Ziff. 31</t>
  </si>
  <si>
    <t>BB Classic; Ziff. 30</t>
  </si>
  <si>
    <t>BB Classic; Ziff. 35</t>
  </si>
  <si>
    <t>BB Classic; Ziff. 34</t>
  </si>
  <si>
    <t>VHB; § 6, Ziff. 2 c) cc) / BB Classic; Ziff. 33</t>
  </si>
  <si>
    <t xml:space="preserve">technische, optische o.
akustische Sicherungsanlagen bis 5% der VS, max. 2.000 €;
Markisen und Antennenanlagen für die Wohnung des VN </t>
  </si>
  <si>
    <t>Württembergische PremiumSchutz Platinum</t>
  </si>
  <si>
    <t>nationale suisse Premium</t>
  </si>
  <si>
    <t>nationale suisse Komfort</t>
  </si>
  <si>
    <t>die Bayerische (Komfort)</t>
  </si>
  <si>
    <t>die Bayerische (Prestige)</t>
  </si>
  <si>
    <t>die Bayerische (Smart)</t>
  </si>
  <si>
    <t>Höchstentschädigung
bis 300.000 €</t>
  </si>
  <si>
    <t>BB; Ziff. 3.1 / Ziff. 3.3 / afm Sonderbedingungen</t>
  </si>
  <si>
    <t>BB; Ziff. 2.2 / afm Sonderbedingungen</t>
  </si>
  <si>
    <t>Handbuch / VHB; H., Ziff. 3 / 4 / 
BB; Ziff. 15 / Ziff. 27 / Ziff. 33.4 / 
Ziff. 37 /
afm Sonderbedingungen /
 VHB; G.</t>
  </si>
  <si>
    <t>25 € pro qm, max 5.000 €
(ohne Nachtzeitklausel)
(auch Fahrradanhänger, Pedelecs sowie E-Bikes)</t>
  </si>
  <si>
    <t>-Unbenannte Gefahren versicherbar (bis 250.000 € (10% SB, mind. 1.000 €)
-Einbruch über nicht versicherte Räume
-Sturmschäden an Hausrat auf dem Grundstück (100 € SB)
-Mietfortzahlung bei unbewohnbarkeit der Wohnung
-energetische Modernisierung von Haushaltsgeräten nach einem Schaden
-Eindringen von Niederschlägen bis 2.500 €
-Haus-/Wohnungsschutzbrief versicherbar</t>
  </si>
  <si>
    <t>ja
(gemäß Handbuch)</t>
  </si>
  <si>
    <t>Gebäudeschäden</t>
  </si>
  <si>
    <t>VHB; C.; Ziff. 1.1.1</t>
  </si>
  <si>
    <t>VHB; C.; Ziff. 1.1.2</t>
  </si>
  <si>
    <t>VHB; C.; Ziff. 1.1.4</t>
  </si>
  <si>
    <t>ja
(auch technisches Versagen)</t>
  </si>
  <si>
    <t>VHB; C.; Ziff. 1.2.1</t>
  </si>
  <si>
    <t>bis 1% der VS (für Bargeld / Geldkarten 150 € SB)</t>
  </si>
  <si>
    <t xml:space="preserve">bis 2% der VS </t>
  </si>
  <si>
    <t>VHB; C.; Ziff. 1.2.4</t>
  </si>
  <si>
    <t>bis 2% der VS
(kein Bargeld/Wertsachen)</t>
  </si>
  <si>
    <t>VHB; C.; Ziff. 1.2.5</t>
  </si>
  <si>
    <t>bis 2% der VS
(Wertsachen bis 500 €)</t>
  </si>
  <si>
    <t>VHB; C.; Ziff. 1.2.6</t>
  </si>
  <si>
    <t>VHB; C.; Ziff. 1.2.7</t>
  </si>
  <si>
    <t>VHB; C.; Ziff. 1.3.3</t>
  </si>
  <si>
    <t>VHB; C.; Ziff. 1.4.1</t>
  </si>
  <si>
    <t>VHB; C.; Ziff. 1.6.1</t>
  </si>
  <si>
    <t>bis 150 Tage
200 € pro Tag</t>
  </si>
  <si>
    <t>VHB; C.; Ziff. 1.6.2</t>
  </si>
  <si>
    <t>VHB; C.; Ziff. 1.6.5</t>
  </si>
  <si>
    <t>VHB; C.; Ziff. 1.6.6 / Ziff. 1.6.7</t>
  </si>
  <si>
    <t>2% der VS, inkl. Kosten für Wasser- beseitigung (auch Gasverlust)</t>
  </si>
  <si>
    <t>VHB; C.; Ziff. 1.6.9</t>
  </si>
  <si>
    <t>80%, max. 2.500 €
bei Schäden &gt; 25.000 €</t>
  </si>
  <si>
    <t>VHB; C.; Ziff. 1.7</t>
  </si>
  <si>
    <t>VHB; A.; §2, Ziff. 4</t>
  </si>
  <si>
    <t>VHB; A.; §2, Ziff. 6</t>
  </si>
  <si>
    <t>VHB; A.; §2, Ziff. 7</t>
  </si>
  <si>
    <t>VHB; A.; §9 d)</t>
  </si>
  <si>
    <t>VHB; A.; §9 l) / C.; Ziff. 1.6.8</t>
  </si>
  <si>
    <t>bis 2% der VS (auch Tierarztkosten aufgrund eines Versicherungsfalls)</t>
  </si>
  <si>
    <t>VHB; C.; Ziff. 1.7 / Ziff. 4.1</t>
  </si>
  <si>
    <t>ja (+grob fahrlässige Obliegenheits-verletzungen bis 5.000 €)</t>
  </si>
  <si>
    <t>VHB; C.; Ziff. 4.2</t>
  </si>
  <si>
    <t>VHB; C.; Ziff. 4.3</t>
  </si>
  <si>
    <t xml:space="preserve">bis 3% der VS </t>
  </si>
  <si>
    <t>bis 3% der VS
(kein Bargeld/Wertsachen)</t>
  </si>
  <si>
    <t>bis 3% der VS
(Wertsachen bis 500 €)</t>
  </si>
  <si>
    <t>3% der VS, inkl. Kosten für Wasser- beseitigung (auch Gasverlust)</t>
  </si>
  <si>
    <t>bis 3% der VS (auch Tierarztkosten aufgrund eines Versicherungsfalls)</t>
  </si>
  <si>
    <t>VHB; C.; Ziff. 4.6</t>
  </si>
  <si>
    <t>VHB; C.; Ziff. 4.10</t>
  </si>
  <si>
    <t>bis 200 Tage
200 € pro Tag</t>
  </si>
  <si>
    <t>VHB; C.; Ziff. 4.11</t>
  </si>
  <si>
    <t>bis 300 Tage</t>
  </si>
  <si>
    <t>VHB; C.; Ziff. 4.12</t>
  </si>
  <si>
    <t>ja (auch für Gemeinschaftstüren bis 3% der VS)</t>
  </si>
  <si>
    <t>VHB; C.; Ziff. 4.4 / Ziff. 4.7 / Ziff. 4.16</t>
  </si>
  <si>
    <t>Gothaer Garantie Paket</t>
  </si>
  <si>
    <t>10% der Schadenhöhe, mind. 500 €, max. 5.000 € (Erdbeben: 5.000 €)</t>
  </si>
  <si>
    <t>VHB; C.; Ziff. 1.1.3</t>
  </si>
  <si>
    <t>VHB; C.; Ziff. 1.2.2 c)</t>
  </si>
  <si>
    <t>Grills, Gartenbeleuchtung, veranker-te Gartenskulpturen bis 2% der VS</t>
  </si>
  <si>
    <t>VHB; C.; Ziff. 4.5 a)</t>
  </si>
  <si>
    <t>VHB; C.; Ziff. 1.2.2 c) / Ziff. 4.5 b)</t>
  </si>
  <si>
    <t>bis 2% der VS
(kein Bargeld/Wertsachen) auch aus Dachboxen / Anhängern</t>
  </si>
  <si>
    <t>bis 3% der VS
(kein Bargeld/Wertsachen) auch aus Dachboxen / Anhängern</t>
  </si>
  <si>
    <t>VHB; C.; Ziff. 1.2.4 / Ziff. 4.5 d)</t>
  </si>
  <si>
    <t>bis 2% der VS (auch aus Räumen auf dem Grundstück)</t>
  </si>
  <si>
    <t>bis 3% der VS (auch aus Räumen auf dem Grundstück)</t>
  </si>
  <si>
    <t>Grills, Gartenbeleuchtung, veranker-te Gartenskulpturen bis 3% der VS</t>
  </si>
  <si>
    <t>VHB; C.; Ziff. 1.2.2 a) / Ziff. 1.2.3</t>
  </si>
  <si>
    <t>VHB; C.; Ziff. 1.2.2 a) / Ziff. 1.2.3 / Ziff. 4.5 b) / c)</t>
  </si>
  <si>
    <t>VHB; C.; Ziff. 1.2.5 / Ziff. 4.5 e)</t>
  </si>
  <si>
    <t>VHB; C.; Ziff. 1.2.6 / Ziff. 4.5 f)</t>
  </si>
  <si>
    <t>VHB; C.; Ziff. 4.5 g)</t>
  </si>
  <si>
    <t>VHB; C.; Ziff. 1.4.2</t>
  </si>
  <si>
    <t>bis 2% der VS (ohne Nachweis lizenzpflichtiger Daten nur 150 €)</t>
  </si>
  <si>
    <t>bis 3% der VS (ohne Nachweis lizenzpflichtiger Daten nur 150 €)</t>
  </si>
  <si>
    <t>VHB; C.; Ziff. 1.4.2 / Ziff. 4.5 h)</t>
  </si>
  <si>
    <t>VHB; C.; Ziff. 1.6.2 / VHB; C.; Ziff. 4.5 i)</t>
  </si>
  <si>
    <t>bis 2% der VS (sofern Wohnung länger als 100 Tage unbewohnbar)</t>
  </si>
  <si>
    <t>bis 3% der VS  (sofern Wohnung länger als 100 Tage unbewohnbar)</t>
  </si>
  <si>
    <t>VHB; C.; Ziff. 4.5 j)</t>
  </si>
  <si>
    <t>bis 2% der VS (auch Mobiltelefon)</t>
  </si>
  <si>
    <t>bis 3% der VS (auch Mobiltelefon)</t>
  </si>
  <si>
    <t>VHB; C.; Ziff. 4.5 k) / l)</t>
  </si>
  <si>
    <t>VHB; A.; §9 l) / C.; Ziff. 1.6.8 / Ziff. 4.5 m)</t>
  </si>
  <si>
    <t>bis 3% der VS
(auch Taschendiebstahl)</t>
  </si>
  <si>
    <t>VHB; C.; Ziff. 4.8</t>
  </si>
  <si>
    <t>VHB; C.; Ziff. 4.9</t>
  </si>
  <si>
    <t>VHB; C.; Ziff. 1.3.1</t>
  </si>
  <si>
    <t>VHB; C.; Ziff. 1.5.3 / Ziff. 1.5.4</t>
  </si>
  <si>
    <t>VHB; C.; Ziff. 1.5.2 / Ziff. 1.5.4</t>
  </si>
  <si>
    <t>VHB; C.; Ziff. 1.5.1 / Ziff. 1.5.4</t>
  </si>
  <si>
    <t>VHB; C.; Ziff. 1.6.3</t>
  </si>
  <si>
    <t>VHB; C.; Ziff. 1.6.4</t>
  </si>
  <si>
    <t>VHB; C.; Ziff. 1.7 / Klausel 7005</t>
  </si>
  <si>
    <t>VHB; C.; Ziff. 2 / Klausel 7110</t>
  </si>
  <si>
    <t>ab VS 200.000 €; 
ab Wertsachenanteil 80.000 €</t>
  </si>
  <si>
    <t>zusätzlich versicherbar von 1% bis 10% der VS (inkl. Fahrradanhänger, auch Pedelecs / E-Bikes)
(ohne Nachtzeitklausel)</t>
  </si>
  <si>
    <t>VHB; A.; §18; Ziff. 1</t>
  </si>
  <si>
    <t>VHB; A.; §18; Ziff. 1 c)</t>
  </si>
  <si>
    <t>VHB; A.; §5, Ziff. 3</t>
  </si>
  <si>
    <t>VHB; A.; §5, Ziff. 2 a)</t>
  </si>
  <si>
    <t>VHB; A.; §9 f)</t>
  </si>
  <si>
    <t>VHB; A.; §9 f) / C.; Ziff. 4.15</t>
  </si>
  <si>
    <t>VHB; A.; §9 a) / b)</t>
  </si>
  <si>
    <t>VHB; A.; §9 j)</t>
  </si>
  <si>
    <t>VHB; A.; §9 n)</t>
  </si>
  <si>
    <t>VHB; A.; §9 n) / C.; Ziff. 4.14</t>
  </si>
  <si>
    <t>VHB; C.; Ziff. 1.6.4 / Ziff. 4.13</t>
  </si>
  <si>
    <t>nein (aber: Unterversicherungsver-zicht gilt 3 Monate nach Umzug)</t>
  </si>
  <si>
    <t>VHB; A.; §10; Ziff. 3 b) / §12; Ziff. 4 a)</t>
  </si>
  <si>
    <t>-Einliegerwohnung bis 3% der VS
-Diebstahl aus Behältnissen auch außerhalb von Gebäuden bis 3% der VS (Wertsachen, Bargeld, elektr. Geräte max. 500 €)
-Hausratbeschädigung durch Transportmittelunfall</t>
  </si>
  <si>
    <t>VHB; A.; §7; Ziff. 2 a)</t>
  </si>
  <si>
    <t>VHB; A.; §7; Ziff. 2 c) aa)</t>
  </si>
  <si>
    <t>VHB; A.; §7; Ziff. 2 c) bb)</t>
  </si>
  <si>
    <t>VHB; A.; §7; Ziff. 2 c) cc) / C.; Ziff. 1.4.3</t>
  </si>
  <si>
    <t>VHB; A.; §7; Ziff. 2 c) ee)</t>
  </si>
  <si>
    <t>VHB; A.; §7; Ziff. 2 c) ff)</t>
  </si>
  <si>
    <t>VHB; A.; §7; Ziff. 2 c) gg)</t>
  </si>
  <si>
    <t>VHB; A.; §7; Ziff. 2 c) hh)</t>
  </si>
  <si>
    <t>VHB; A.; §7; Ziff. 2 c) ii)</t>
  </si>
  <si>
    <t>VHB; A.; §7; Ziff. 3 a) / c) / d)</t>
  </si>
  <si>
    <t>VHB; A.; §7; Ziff. 3 a)</t>
  </si>
  <si>
    <t>VHB; A.; §7; Ziff. 3 b)</t>
  </si>
  <si>
    <t>VHB; A.; §8; Ziff. 2</t>
  </si>
  <si>
    <t>VHB; A.; §10; Ziff. 2 b)</t>
  </si>
  <si>
    <t>VHB; A.; §10; Ziff. 1 a) / §13; Ziff. 1 a)</t>
  </si>
  <si>
    <t>VHB; A.; §13; Ziff. 4</t>
  </si>
  <si>
    <t>VHB; A.; §2</t>
  </si>
  <si>
    <t>VHB; A.; §2, Ziff. 8</t>
  </si>
  <si>
    <t>VHB; A.; §2; Ziff. 3</t>
  </si>
  <si>
    <t>VHB; A.; §3, Ziff. 2</t>
  </si>
  <si>
    <t>Gartenroborter bis 2% der VS (auch aus Räumen auf dem Grundstück)</t>
  </si>
  <si>
    <t>Gartenroboter bis 3% der VS (auch aus Räumen auf dem Grundstück)</t>
  </si>
  <si>
    <t>VHB; A.; §4, Ziff. 2 e)</t>
  </si>
  <si>
    <t>VHB; A.; §4, Ziff. 2 d)</t>
  </si>
  <si>
    <t>VHB; A.; §4, Ziff. 2 b)</t>
  </si>
  <si>
    <t>VHB; A.; §4, Ziff. 2 a)</t>
  </si>
  <si>
    <t>VHB; A.; §4, Ziff. 2 f)</t>
  </si>
  <si>
    <t>VHB; A.; §4, Ziff. 3 a) bb)</t>
  </si>
  <si>
    <t>je nach Wahl bis VS oder
bis 40.000 € über Elementar "light"</t>
  </si>
  <si>
    <t>bis 200 Tage; 100 € pro Tag (ab 3. Person im Haushalt findet Erhöh-ung um 25 € je weiterer Person statt)</t>
  </si>
  <si>
    <t>bis 500 € 
(Bargeld 100 €)</t>
  </si>
  <si>
    <t>VHB; A.; §3, Ziff. 3 / BB; Ziff. 15</t>
  </si>
  <si>
    <t>VHB; A.; §6, Ziff. 2 c) cc) / BB; Ziff. 20</t>
  </si>
  <si>
    <t>VHB; A.; §7, Ziff. 6 / BB; Ziff. 21</t>
  </si>
  <si>
    <t>BB; Ziff. 23.1</t>
  </si>
  <si>
    <t>BB; Ziff. 23.2</t>
  </si>
  <si>
    <t>BB; Ziff. 23.3</t>
  </si>
  <si>
    <t>BB; Ziff. 23.4</t>
  </si>
  <si>
    <t>BB; Ziff. 23.5</t>
  </si>
  <si>
    <t>BB; Ziff. 25 / Ziff. 26</t>
  </si>
  <si>
    <t>BB; Ziff. 27.1</t>
  </si>
  <si>
    <t>BB; Ziff. 27.2</t>
  </si>
  <si>
    <t>BB; Ziff. 31</t>
  </si>
  <si>
    <t>BB; Ziff. 3.2 b) / Ziff. 3.3 / E-Mail</t>
  </si>
  <si>
    <t>BB; Ziff. 3 / E-Mail</t>
  </si>
  <si>
    <t>BB; Ziff. 3.2 a) / Ziff. 3.3 / E-Mail</t>
  </si>
  <si>
    <t>bis 1.000 €, nach Einschleichen</t>
  </si>
  <si>
    <t>10 € pro qm,
max. 1.000 €, nach Einschleichen</t>
  </si>
  <si>
    <t>bis 1% der VS,
max. 500 €, nach Einschleichen</t>
  </si>
  <si>
    <t>-diverse Serviceleistungen über den Baustein Wohnungs-schutzbrief bis 300 € je Notfallsituation (max. 1.200 € im Jahr)
-maximale Wohnfläche 300qm</t>
  </si>
  <si>
    <t>diverse Serviceleistungen über den Baustein Wohnungs-schutzbrief bis 300 € je Notfallsituation (max. 1.200 € im Jahr)
-maximale Wohnfläche 300qm</t>
  </si>
  <si>
    <t>Erweiterte Vorsorge gegenüber Wettbewerbsbedingungen | Best-Leistungs-Garantie</t>
  </si>
  <si>
    <t>Diebstahl aus verschlossenen Fahrzeugen</t>
  </si>
  <si>
    <t>Alte Leipziger classic</t>
  </si>
  <si>
    <t>Alte Leipziger comfort</t>
  </si>
  <si>
    <t>15% der VS, max. 3 Monate, bis 15.000 €</t>
  </si>
  <si>
    <t xml:space="preserve"> - </t>
  </si>
  <si>
    <t>Bargeld - 1.500 €
Urkunden - 10.000 €
Schmuck - 20.000 €</t>
  </si>
  <si>
    <t>Bargeld - 2.000 €
Urkunden - 20.000 €
Schmuck - 25.000 €</t>
  </si>
  <si>
    <t>20 % der VS (max. 20.000 €)
max. 3 Monate</t>
  </si>
  <si>
    <t>30 % der VS (max. 30.000 €)
max. 6 Monate</t>
  </si>
  <si>
    <t>30 % der VS</t>
  </si>
  <si>
    <t>Klauselblatt, Ziff. 9</t>
  </si>
  <si>
    <t>Klauselblatt Ziff. 9</t>
  </si>
  <si>
    <t xml:space="preserve">1%, Wertsachen und elektron. Geräte bis 500 €
</t>
  </si>
  <si>
    <t xml:space="preserve">10%, Wertsachen und elektron. Geräte bis 500 €
</t>
  </si>
  <si>
    <t>bis zur VS, SB 100 €</t>
  </si>
  <si>
    <t>1.000 €, SB 100 €</t>
  </si>
  <si>
    <t>IV; Ziff. 1 / Leistungsübersicht</t>
  </si>
  <si>
    <t>2.500</t>
  </si>
  <si>
    <t>IV, Ziff. 5</t>
  </si>
  <si>
    <t>IV; Ziff. 6</t>
  </si>
  <si>
    <t>2.500 €</t>
  </si>
  <si>
    <t xml:space="preserve">IV; Ziff. 5 </t>
  </si>
  <si>
    <t>250 €</t>
  </si>
  <si>
    <t>1.500 €</t>
  </si>
  <si>
    <t xml:space="preserve">1.000 € </t>
  </si>
  <si>
    <t>fahrbare Gehilfen
bis 2.000 €</t>
  </si>
  <si>
    <t>bis 2 % der VS  (keine Wertsachen/elektr. Geräte, wenn Kfz unbeaufsichtigt) -keine Anhänger-</t>
  </si>
  <si>
    <t>Skulpturen bis 1.000 €</t>
  </si>
  <si>
    <t>Skulpturen bis 2.000 €</t>
  </si>
  <si>
    <t>II; Ziff. 6.2. c) ee)</t>
  </si>
  <si>
    <t>bis 1.000 €, 
(Bargeld 300 €)</t>
  </si>
  <si>
    <t>bis 500 €, 
(Bargeld 50 €)</t>
  </si>
  <si>
    <t>II; Ziff. 8.1 /8.2</t>
  </si>
  <si>
    <t>II; Ziff. 8.6 / Leistungsübersicht</t>
  </si>
  <si>
    <t>II; Ziff. 8.9</t>
  </si>
  <si>
    <t>bis 5%</t>
  </si>
  <si>
    <t xml:space="preserve">bis 5 % </t>
  </si>
  <si>
    <t>20 € pro Tag,
max. 1.000 €</t>
  </si>
  <si>
    <t>II; Ziff. 8.4</t>
  </si>
  <si>
    <t xml:space="preserve">2.500 € </t>
  </si>
  <si>
    <t>5.000 €</t>
  </si>
  <si>
    <t>2 ‰ pro Tag, max. 200 Tage</t>
  </si>
  <si>
    <t>3 ‰ pro Tag, max. 300 Tage</t>
  </si>
  <si>
    <t>bis80% der VS</t>
  </si>
  <si>
    <t>bis 80 % der VS,
max. 5.000 €</t>
  </si>
  <si>
    <t>II; Ziff. 8.7 /8.8</t>
  </si>
  <si>
    <t>VHB 2010 
(10-2014)</t>
  </si>
  <si>
    <t>aktuell
(geprüft am 17.12.2014)</t>
  </si>
  <si>
    <t>aktuell
(geprüft am 29.12.2014)</t>
  </si>
  <si>
    <t>ja (Innovationsgarantie)</t>
  </si>
  <si>
    <t>Teil B 12.2</t>
  </si>
  <si>
    <t>gem. Teil B 10.4</t>
  </si>
  <si>
    <t>Teil B 10.2.3 a)</t>
  </si>
  <si>
    <t>Teil B 10.2.3 b)</t>
  </si>
  <si>
    <t>Teil B 18.2</t>
  </si>
  <si>
    <t>Bargeld - 1.500 €
Urkunden - 10.000 €
Schmuck - 35.000 €</t>
  </si>
  <si>
    <t>Bargeld - 2.000 €
Urkunden - 20.000 €
Schmuck - 40.000 €</t>
  </si>
  <si>
    <t>Teil B 18.2 b)</t>
  </si>
  <si>
    <t>Teil B 10.2.3 h)</t>
  </si>
  <si>
    <t>Teil B 10.2.4</t>
  </si>
  <si>
    <t>Teil B 10.2.3 i)</t>
  </si>
  <si>
    <t>Teil B 3.4.1</t>
  </si>
  <si>
    <t>Überwachungsanlagen, Markisen und Antennenanlagen für die Wohnung des VN</t>
  </si>
  <si>
    <t>Teil B 10.2.3 e)</t>
  </si>
  <si>
    <t>Teil B 10.2.3 d)</t>
  </si>
  <si>
    <t xml:space="preserve"> Teil B 10.2.3 d)</t>
  </si>
  <si>
    <t>Teil B 10.2.3 c)</t>
  </si>
  <si>
    <t>3.000 €</t>
  </si>
  <si>
    <t>Teil B 3.4.4</t>
  </si>
  <si>
    <t>10.2.3 f)</t>
  </si>
  <si>
    <t xml:space="preserve"> Teil B 10.2.3 f)</t>
  </si>
  <si>
    <t>Teil B 10.2.3 f)</t>
  </si>
  <si>
    <t>Teil B 10.2.3 f), g)</t>
  </si>
  <si>
    <t xml:space="preserve"> Teil B 10.2.3 f), g)</t>
  </si>
  <si>
    <t>Teil B 10.2.3 g)</t>
  </si>
  <si>
    <t>Teil B 10.3 a) , c) u. d)</t>
  </si>
  <si>
    <t>ausschließlich direkter Zugang</t>
  </si>
  <si>
    <t>Teil B 10.3 a)</t>
  </si>
  <si>
    <t>Teil B 10.3 b)</t>
  </si>
  <si>
    <t>bis 25.000 €
max. 6 Monate</t>
  </si>
  <si>
    <t>bis 50.000 €
max. 12 Monate</t>
  </si>
  <si>
    <t>Teil B 11.1 u. 11.5</t>
  </si>
  <si>
    <t>Teil B 3.2.4</t>
  </si>
  <si>
    <t>Teil A 3.2.4</t>
  </si>
  <si>
    <t>Teil B 11.2.1</t>
  </si>
  <si>
    <t>25.000 €</t>
  </si>
  <si>
    <t>Teil B 11.2.2</t>
  </si>
  <si>
    <t>Teil B</t>
  </si>
  <si>
    <t>Teil B 23.1</t>
  </si>
  <si>
    <t>Anzeigepflicht ab 360 Tagen</t>
  </si>
  <si>
    <t>Teil B 1.1 d) bb)</t>
  </si>
  <si>
    <t>Teil C 7</t>
  </si>
  <si>
    <t>Teil B 1.1 a)</t>
  </si>
  <si>
    <t>Teil B 2.3</t>
  </si>
  <si>
    <t>Teil B 8</t>
  </si>
  <si>
    <t>Teil B 2.6</t>
  </si>
  <si>
    <t>bis 1.500 €
(100 € SB)</t>
  </si>
  <si>
    <t>Teil B 2.10</t>
  </si>
  <si>
    <t>Teil B 2.5</t>
  </si>
  <si>
    <t>Teil B 2.4</t>
  </si>
  <si>
    <t>Teil B 6</t>
  </si>
  <si>
    <t>Teil B 2.7</t>
  </si>
  <si>
    <t>Teil B 4.2.1</t>
  </si>
  <si>
    <t>Teil B 4.2.3</t>
  </si>
  <si>
    <t>Teil B 4.1 a) aa)</t>
  </si>
  <si>
    <t>Teil B 4.1.2</t>
  </si>
  <si>
    <t>Teil B 4.1 b) bb)</t>
  </si>
  <si>
    <t>Teil B 4.1 a) cc)</t>
  </si>
  <si>
    <t>Teil B 4.1</t>
  </si>
  <si>
    <t>Teil B 4.1. b) bb)</t>
  </si>
  <si>
    <t>Teil B 5.1 a)</t>
  </si>
  <si>
    <t>Teil B 3.3</t>
  </si>
  <si>
    <t>Teil B 3.5</t>
  </si>
  <si>
    <t>Teil B 3.5.4</t>
  </si>
  <si>
    <t>24 Stunden
innerhalb Deutschland
bis 1.500 €</t>
  </si>
  <si>
    <t>Teil B 3.2.3</t>
  </si>
  <si>
    <t>bis 3.000</t>
  </si>
  <si>
    <t>Teil B 3.4.2</t>
  </si>
  <si>
    <t>Teil B 3.4.2 a) bb)</t>
  </si>
  <si>
    <t>Teil B 3.4.2 a) aa)</t>
  </si>
  <si>
    <t>Teil B 3.4.6 a)</t>
  </si>
  <si>
    <t>Teil B 3.4.6 b)</t>
  </si>
  <si>
    <t>Teil B 3.5.5</t>
  </si>
  <si>
    <t>bis 1.500 €
(nach Raub oder ED)</t>
  </si>
  <si>
    <t>bis 3.000 €
(nach Raub oder ED)</t>
  </si>
  <si>
    <t>Teil B 12.1.18</t>
  </si>
  <si>
    <t>Teil B 5.3.1 - 5.3.9</t>
  </si>
  <si>
    <t>Teil B 12.1.1 u. 12.1.2</t>
  </si>
  <si>
    <t>solange erforderlich</t>
  </si>
  <si>
    <t>Teil B 12.1.6</t>
  </si>
  <si>
    <t>Teil B 12.1.28</t>
  </si>
  <si>
    <t>Teil B 12.1.5</t>
  </si>
  <si>
    <t>Teil B 12.1.9</t>
  </si>
  <si>
    <t>Teil B 12.1.16</t>
  </si>
  <si>
    <t>ja, bis zu 25 €/Tag</t>
  </si>
  <si>
    <t>Teil B 13.1</t>
  </si>
  <si>
    <t>Teil B 12.1.4</t>
  </si>
  <si>
    <t>Teil B 12.1.10</t>
  </si>
  <si>
    <t>solange erforderlich, 250€ pro Tag(ohne Hotelinanspruchnahme: 10 € / Tag / VP)</t>
  </si>
  <si>
    <t>Teil B 12.1.3</t>
  </si>
  <si>
    <t>Teil B 12.1.13</t>
  </si>
  <si>
    <t>bis 500 €
bei Schäden &gt; 5.000 €</t>
  </si>
  <si>
    <t>Teil B 12.1.19</t>
  </si>
  <si>
    <t>Teil B 12.1.20</t>
  </si>
  <si>
    <t>Teil B 12.1.12</t>
  </si>
  <si>
    <t>Teil B 3.5.8.1</t>
  </si>
  <si>
    <t>unverzügliche Anzeige</t>
  </si>
  <si>
    <t>Teil A 9.2</t>
  </si>
  <si>
    <t>Teil A 16.4</t>
  </si>
  <si>
    <t>Teil B 22</t>
  </si>
  <si>
    <t>Teil B 5.2.1</t>
  </si>
  <si>
    <t>Bargeld - 2.000 €
Urkunden - 50.000 €
Schmuck - 50.000 €</t>
  </si>
  <si>
    <t>Entschädigung Sachsubstanz | Versicherungssumme</t>
  </si>
  <si>
    <t>bis 30.000 €
ohne zeitliche Begrenzung</t>
  </si>
  <si>
    <t>bis 20.000 €
ohne zeitliche Begrenzung</t>
  </si>
  <si>
    <t>DEVK Komfort 2013</t>
  </si>
  <si>
    <t>15%</t>
  </si>
  <si>
    <t>Klausel 7515</t>
  </si>
  <si>
    <t>optional bis 30%</t>
  </si>
  <si>
    <t>Klausel 7517</t>
  </si>
  <si>
    <t>AHB; §9, Ziff. 3</t>
  </si>
  <si>
    <t>AHB; § 6, Ziff. 2 a)</t>
  </si>
  <si>
    <t>AHB; § 6, Ziff. 2 c) aa)</t>
  </si>
  <si>
    <t>AHB; § 6, Ziff. 2 bb)</t>
  </si>
  <si>
    <t>ja bis 30% der VS</t>
  </si>
  <si>
    <t>Klausel 7501</t>
  </si>
  <si>
    <t>Bargeld - 1.500 € 
Urkunden - 5.000€ 
Schmuck - 25.000€</t>
  </si>
  <si>
    <t>private Markisen und Antennenanlagen für die Wohnung des VN</t>
  </si>
  <si>
    <t>AHB § 6, Ziff. 2 c) cc)</t>
  </si>
  <si>
    <t>AHB § 6, Ziff. 2 c) hh)</t>
  </si>
  <si>
    <t>AHB; § 6, Ziff. 2 c) hh)</t>
  </si>
  <si>
    <t>ja, max 10% der VS</t>
  </si>
  <si>
    <t>VHB; § 6, Ziff. 2 ii)</t>
  </si>
  <si>
    <t>VHB; § 6, Ziff. 2 ee)</t>
  </si>
  <si>
    <t>VHB; § 6, Ziff. 2ee)</t>
  </si>
  <si>
    <t>VHB; § 6, Ziff. 2 ff)</t>
  </si>
  <si>
    <t>VHB; § 6, Ziff. gg)</t>
  </si>
  <si>
    <t>VHB; § 6, Ziff. 3 c) / d)</t>
  </si>
  <si>
    <t>ja (wenn Räume ausschließlich über die Wohnung zu betreten sind sog.Arbeitszimmer)</t>
  </si>
  <si>
    <t>20% der VS
max. 3 Monate</t>
  </si>
  <si>
    <t>VHB; § 7, Ziff. 1; Klausel 7413</t>
  </si>
  <si>
    <t>bis 15.000€</t>
  </si>
  <si>
    <t xml:space="preserve">Klausel 7411 </t>
  </si>
  <si>
    <t xml:space="preserve"> bis 60 Tage</t>
  </si>
  <si>
    <t>VHB; § 25, Ziff. 1 cc)</t>
  </si>
  <si>
    <t>VHB; § 1, Ziff. 1 a)</t>
  </si>
  <si>
    <t>VHB; § 2, Ziff. 2</t>
  </si>
  <si>
    <t>VHB; § 1, Ziff. 4-1</t>
  </si>
  <si>
    <t>VHB; § 1, Ziff. 3</t>
  </si>
  <si>
    <t>Klausel 7215; Ziff. 1</t>
  </si>
  <si>
    <t>VHB; § 1, Ziff. 5 b)</t>
  </si>
  <si>
    <t>LÜ</t>
  </si>
  <si>
    <t>VHB; § 1, Ziff. 2 b)</t>
  </si>
  <si>
    <t>Sole, Öle, Kühl- und Kältemittel aus Klima-, Wärmepumpen oder Solarheizungsanlagen, Wasserdampf</t>
  </si>
  <si>
    <t>VHB; § 4, Ziff. 3 aa)</t>
  </si>
  <si>
    <t>Klausel 7212, Ziff. 2</t>
  </si>
  <si>
    <t>VHB; § 5, Ziff. 2 a)</t>
  </si>
  <si>
    <t xml:space="preserve">ja </t>
  </si>
  <si>
    <t>VHB; § 4</t>
  </si>
  <si>
    <t>zusätzlich versicherbar bis 1% der VS
Endschädigungsgrenze wählbar</t>
  </si>
  <si>
    <t>Klausel 7110</t>
  </si>
  <si>
    <t>Klausel 7315</t>
  </si>
  <si>
    <t>VHB; § 5, Ziff. 3 a) - b)</t>
  </si>
  <si>
    <t>VHB; § 5, Ziff. 3 c) - h)</t>
  </si>
  <si>
    <t>k. A.</t>
  </si>
  <si>
    <t>VHB; § 8. a) b)</t>
  </si>
  <si>
    <t>bis 72h</t>
  </si>
  <si>
    <t>Klausel 7310</t>
  </si>
  <si>
    <t>VHB; §8. e)</t>
  </si>
  <si>
    <t>VHB; §8. d)</t>
  </si>
  <si>
    <t>Klausel 7313</t>
  </si>
  <si>
    <t>VHB; § 8. d)</t>
  </si>
  <si>
    <t>Klausel 7312</t>
  </si>
  <si>
    <t xml:space="preserve">bis 100 Tage
1‰ der VS pro Tag
</t>
  </si>
  <si>
    <t>Klausel 7503</t>
  </si>
  <si>
    <t>VHB; § 8. g) h)</t>
  </si>
  <si>
    <t>Klausel 7125</t>
  </si>
  <si>
    <t xml:space="preserve">k. A. </t>
  </si>
  <si>
    <t>VHB 2012
(Stand 05-2012)</t>
  </si>
  <si>
    <t>aktuell
(geprüft am 18.02.2015)</t>
  </si>
  <si>
    <t>AXA BoxFlex</t>
  </si>
  <si>
    <t>Höchstentschädigungssumme 1 Mio. €</t>
  </si>
  <si>
    <t>summarisch bis zum Sachsubstanzwert</t>
  </si>
  <si>
    <t>ja, für die Dauer der Ausbildung/des Studiums</t>
  </si>
  <si>
    <t>ja, bei richtiger Angabe der Wohnfläche</t>
  </si>
  <si>
    <t>bis 30.000 €
über Baustein Wertsachen bis 250.000 €</t>
  </si>
  <si>
    <t>Bargeld - 1.500 €; über Baustein bis 2.000 €
Urkunden - 30.000 €; über Baustein bis 50.000 €
Schmuck - 30.000 €; über Baustein bis 50.000 €</t>
  </si>
  <si>
    <t>ja, wenn Anteil der gewerblich genutzten Räume nicht 50% übersteigt</t>
  </si>
  <si>
    <t>ja, über Baustein Fahrrad max. 10.000 €</t>
  </si>
  <si>
    <t>bis 1.000 €; über Baustein Premium bis 10.000 €</t>
  </si>
  <si>
    <t>über Baustein Premium bis 1.000 €</t>
  </si>
  <si>
    <t>ja, Garagen auch in Nähe des Versicherungsortes</t>
  </si>
  <si>
    <t>bis 20.000 €; max. 6 Monate
über Baustein Unterwegs bis 30.000 € ohne zeitl. Begrenzung</t>
  </si>
  <si>
    <t>über Baustein Unterwegs bis 30.000 € ohne zeitl. Begrenzung</t>
  </si>
  <si>
    <t>bis zu 6 Monate</t>
  </si>
  <si>
    <t>über Baustein Elementar</t>
  </si>
  <si>
    <t>separat versicherbar</t>
  </si>
  <si>
    <t>auch Sole, Öle, Kühlmittel
(wärmetragende Flüssigkeiten)</t>
  </si>
  <si>
    <t>über den Baustein Elementar</t>
  </si>
  <si>
    <t>über Baustein Fahrrad bis 10.000 €</t>
  </si>
  <si>
    <t>bis 1.000 €, über Baustein Premium bis 10.000 €</t>
  </si>
  <si>
    <t>bis 500 €; über Baustein Unterwegs bis 1.500 €</t>
  </si>
  <si>
    <t>rund um die Uhr und weltweit</t>
  </si>
  <si>
    <t>bis 1.000 € über Baustein Premium</t>
  </si>
  <si>
    <t xml:space="preserve">bis 1.500 € </t>
  </si>
  <si>
    <t>bis 2.000 € über Baustein Premium</t>
  </si>
  <si>
    <t>über Baustein Internetschutz</t>
  </si>
  <si>
    <t>SB 10% des Schadens, min. 250 €, max. 2.500 €</t>
  </si>
  <si>
    <t>bis zur Dauer von 48 Stunden; über Baustein Premium bis zur Dauer von einem Monat</t>
  </si>
  <si>
    <t>bis 500 € über Baustein Premium</t>
  </si>
  <si>
    <t>150 € pro Tag, 
max. 150 Tage; 
über Baustein Premium max. 200 €, max. 200 Tage</t>
  </si>
  <si>
    <t>bei Schäden &gt; 10.000 €, max. 5.000 €</t>
  </si>
  <si>
    <t xml:space="preserve">bis 1.000 € über Baustein Premium </t>
  </si>
  <si>
    <t>Erweiterte Vorsorgeversicherung (z.B. Best-Leistungs-Garantie)</t>
  </si>
  <si>
    <t>AXA BOXflex</t>
  </si>
  <si>
    <t>(ALT) AXA BOXplus Standard</t>
  </si>
  <si>
    <t>bis 5.000 € Schadenhöhe
bei VS = 600 € pro qm</t>
  </si>
  <si>
    <t>bis 750 € auch Elektrofahrräder (Sicherung notwendig erst nach beendetem Gebrauch), bis 3.000 € wenn mit anderem Gegenstand verbunden oder im Gebäude (ohne Nachtzeitklausel)</t>
  </si>
  <si>
    <t>bis 750 € auch Elektrofahrräder
(ohne Nachtzeitklausel)</t>
  </si>
  <si>
    <t>Elektrofahrräder bis 25 km/h max. 250 Watt</t>
  </si>
  <si>
    <t xml:space="preserve">B26; §6, Ziff. 1.2 h) </t>
  </si>
  <si>
    <t>B26 L 
(06-2015)</t>
  </si>
  <si>
    <t>B27 XL 
(06-2015)</t>
  </si>
  <si>
    <t>B28 XXL 
(06-2015)</t>
  </si>
  <si>
    <t>Alte Leipziger classic
(Stand 10-2014)</t>
  </si>
  <si>
    <t>Alte Leipziger comfort
(Stand 10-2014)</t>
  </si>
  <si>
    <t>-Reisegepäckversicherung inkl. Schäden durch Transportmittelunfall über Paket "Tour" versicherbar
- Vorversicherungsgarantie</t>
  </si>
  <si>
    <t>IV; Ziff. 4. / Klausel</t>
  </si>
  <si>
    <t>VHB 2010
(07-2015)</t>
  </si>
  <si>
    <t>BB Classic; Ziff. 43</t>
  </si>
  <si>
    <t>BB Classic; Ziff. 42</t>
  </si>
  <si>
    <t>BB Classic; Ziff. 2</t>
  </si>
  <si>
    <t>2% d. VS (200 € SB)-nicht echn.Geräte / Werts.</t>
  </si>
  <si>
    <t>bis 2% der VS
(keine Wertsachen/Bargeld/ 
elektr. Geräte)</t>
  </si>
  <si>
    <t>BB Classic; Ziff. 20</t>
  </si>
  <si>
    <t>VHB; § 6, Ziff. 3 / BB Classic; Ziff. 26</t>
  </si>
  <si>
    <t>bis 1% der VS,
max. 1000 €</t>
  </si>
  <si>
    <t>BB Classic; Ziff. 32</t>
  </si>
  <si>
    <t>BB Classic; Ziff.36</t>
  </si>
  <si>
    <t>Bargeld - 1.000 €
Urkunden - 7.500 €
Schmuck - 30.000 €
(Schmuck/Uhren mit &gt; 1.000 € Einzelwert nur mit Nachweis)</t>
  </si>
  <si>
    <t>BB Classic; Ziff. 37</t>
  </si>
  <si>
    <t>BB Classic; Ziff. 38</t>
  </si>
  <si>
    <t>ja - nicht an technischen Geräten und Wertsachen</t>
  </si>
  <si>
    <t>VHB; §2, Ziff. 1 d) / BB Excellent; Ziff. 7 / Ziff. 9</t>
  </si>
  <si>
    <t>BB Excellent; Ziff. 8</t>
  </si>
  <si>
    <t>BB Excellent; Ziff. 10</t>
  </si>
  <si>
    <t>bis 2% der VS (erhöhbar) max. 5.000€ -auch Pedelecs/Fahrradanhänger 
(ohne Nachtzeitklausel)</t>
  </si>
  <si>
    <t>BB Excellent; Ziff. 11</t>
  </si>
  <si>
    <t>bis 4 % der VS
(keine Wertsachen)
(auch Dachboxen/fest umschlossene Anhänger)</t>
  </si>
  <si>
    <t>Kinderspiel- und Sportgeräte</t>
  </si>
  <si>
    <t>ja (keine Wertsachen; 
elektr. Kleingeräte zum Zeitwert)</t>
  </si>
  <si>
    <t>ja (Wertsachen/Bargeld/elektr. Geräte bis 1.000 €)</t>
  </si>
  <si>
    <t>VHB; § 3, Ziff. 3 / BB Excellent; Ziff. 27</t>
  </si>
  <si>
    <t>innerhalb des Versicherungsorts
bis 3% der VS</t>
  </si>
  <si>
    <t>BB Excellent; Ziff. 31.8</t>
  </si>
  <si>
    <t>-Schäden durch Stromschwankungen bis 2000 €
-Einfacher Diebstahl von Hör-/ Sehhilfen, Zähnen/Gebissen bis 1% der VS, max. 1.500 € (für Personen ab 60 Jahren)
-Diebstahl von Gepäck auf Reisen außerhalb Europas (keine Wertsachen/elektr. Geräte) (100 € SB)
-Einbruchdiebstahl durch nicht versicherte Räume 
-durch Graffiti beschädigter Hausrat bis 1% der VS
-Sturm-/Hagelschäden auch auf dem Grundstück
-Eindringen von Niederschlägen bis 2% der VS (250 € SB)
-Kosten für Miet-/ Ersatz-haushaltsgeräte im Schadenfall (Waschmaschine, Wäschetrockner, Kühlschrank, Gefrierschrank/ -truhe, Herd/Ofen, Geschirrspülmaschine)
-Transportmittelunfall mit Bus, Bahn, Taxi, Mietwagen (Pkw) 
bis 1% der VS
-Fahrräder als Gepäck sind versichert
-Beitragsbefreiung bei Arbeitslosigkeit, max. 12 Monate
-Beitragssatzreduzierung um 25% bei Umzug in ein Seniorenheim, sofern Vertrag seit 3 Jahren bestand</t>
  </si>
  <si>
    <t>VHB; § 6, Ziff. 3 / BB Excellent; Ziff. 43</t>
  </si>
  <si>
    <t>ja, Garagen auch in der Nähe des Versicherungsortes (Garagen innerhalb des Wohnortes bis 5.000 €)</t>
  </si>
  <si>
    <t>BB Excellent; Ziff. 44.1</t>
  </si>
  <si>
    <t>BB Excellent; Ziff. 49 / Ziff. 50</t>
  </si>
  <si>
    <t>BB Excellent; Ziff. 60</t>
  </si>
  <si>
    <t>BB Excellent; Ziff. 62 / Ziff. 63</t>
  </si>
  <si>
    <t>Bargeld - 3.500 €
Urkunden - 20.000 €
Schmuck - 50.000 €
(Schmuck/Uhren mit &gt; 1.000 € Einzelwert nur mit Nachweis)</t>
  </si>
  <si>
    <t>BB Excellent; Ziff. 64.2 - Ziff. 64.5</t>
  </si>
  <si>
    <t>BB Excellent; Ziff. 64.1</t>
  </si>
  <si>
    <t>BB Excellent; Ziff. 66</t>
  </si>
  <si>
    <t>BB Excellent; Ziff. 3 / Ziff. 20 / Ziff. 21 / 
Ziff. 20 / Ziff. 33 / Ziff. 37 / Ziff. 39 / Ziff. 48 / Ziff. 70 / Ziff. 71 / Ziff. 79 / Ziff. 80</t>
  </si>
  <si>
    <t>BB Excellent; Ziff. 81</t>
  </si>
  <si>
    <t>BB Excellent; Ziff. 82</t>
  </si>
  <si>
    <t>BB 01-2015</t>
  </si>
  <si>
    <t>BB Exclusiv; Ziff. 6</t>
  </si>
  <si>
    <t>BB Exclusiv; Ziff. 7 / Ziff. 9</t>
  </si>
  <si>
    <t>BB Exclusiv; Ziff. 8</t>
  </si>
  <si>
    <t>BB Exclusiv; Ziff. 10</t>
  </si>
  <si>
    <t>bis 1% der VS (erhöhbar) max. 5.000 € -auch Pedelecs/Fahrradanhänger 
(ohne Nachtzeitklausel)</t>
  </si>
  <si>
    <t>bis 3% der VS
(keine Wertsachen)
-keine Anhänger-</t>
  </si>
  <si>
    <t>BB Exclusiv; Ziff. 13 / Ziff. 15</t>
  </si>
  <si>
    <t>Kinderspiel- und Sportgeräte bis 3% der VS</t>
  </si>
  <si>
    <t>ja
(Bargeld bis 100 €)</t>
  </si>
  <si>
    <t>bis 3% der VS
(keine Wertsachen; 
elektr. Kleingeräte zum Zeitwert)</t>
  </si>
  <si>
    <t>bis 5% der VS
(Wertsachen/Bargeld/elektr. Geräte bis 1.000 €)</t>
  </si>
  <si>
    <t>BB Exclusiv; Ziff. 23.1</t>
  </si>
  <si>
    <t>BB Exclusiv; Ziff. 24.2</t>
  </si>
  <si>
    <t>innerhalb des Versicherungsortes
bis 2% der VS</t>
  </si>
  <si>
    <t>-Diebstahl von Gepäck auf Reisen außerhalb Europas bis 1% der VS (keine Wertsachen/elektr. Geräte) (100 € SB)
-Sturm-/Hagelschäden auch auf dem Grundstück
-Eindringen von Niederschlägen bis 1% der VS (250 € SB)
-Kosten für Miet-/ Ersatz-haushaltsgeräte im Schadenfall (Waschmaschine, Wäschetrockner, Kühlschrank, Gefrierschrank/ -truhe, Herd/Ofen, Geschirrspülmaschine)
-Transportmittelunfall mit Bus, Bahn, Taxi, Mietwagen (Pkw) 
bis 1% der VS
-Fahrräder als Gepäck sind versichert bis 100 €
-Beitragsbefreiung bei Arbeitslosigkeit, max. 12 Monate
-Beitragssatzreduzierung um 25% bei Umzug in ein Seniorenheim, sofern Vertrag seit 3 Jahren bestand</t>
  </si>
  <si>
    <t>VHB; § 6, Ziff. 3 / BB Exclusiv; Ziff. 37</t>
  </si>
  <si>
    <t>BB Exclusiv; Ziff. 38.1</t>
  </si>
  <si>
    <t>BB Exclusiv; Ziff. 48</t>
  </si>
  <si>
    <t>Bargeld - 3.000 €
Urkunden - 15.000 €
Schmuck - 40.000 €
(Schmuck/Uhren mit &gt; 1.000 € Einzelwert nur mit Nachweis)</t>
  </si>
  <si>
    <t>BB Exclusiv; Ziff. 52.2 - Ziff. 52.5</t>
  </si>
  <si>
    <t>BB Exclusiv; Ziff. 52.1</t>
  </si>
  <si>
    <t>BB Exclusiv; Ziff. 63</t>
  </si>
  <si>
    <t>BB Exclusiv; Ziff. 19 / Ziff. 32 / 
Ziff. 33 / Ziff. 41 / Ziff. 56 / Ziff. 57 / Ziff. 64 / Ziff. 65</t>
  </si>
  <si>
    <t>BB Exclusiv; Ziff. 66</t>
  </si>
  <si>
    <t>BB Exclusiv; Ziff. 67</t>
  </si>
  <si>
    <t>BB Comfort; Ziff. 63</t>
  </si>
  <si>
    <t>BB Comfort; Ziff. 64</t>
  </si>
  <si>
    <t>BB Comfort; Ziff. 6</t>
  </si>
  <si>
    <t>VHB; §2, Ziff. 1 d) / BB Comfort; Ziff. 7 / Ziff. 9</t>
  </si>
  <si>
    <t>BB Comfort; Ziff. 8</t>
  </si>
  <si>
    <t>je nach vereinbarung max. 5.000€ -auch Pedelecs/Fahrradanhänger 
(ohne Nachtzeitklausel)</t>
  </si>
  <si>
    <t>BB Comfort; Ziff. 12.1  / 12.5</t>
  </si>
  <si>
    <t>BB Comfort; Ziff. 12.1  / Ziff. 12.3</t>
  </si>
  <si>
    <t>Grills / fest verankerte Skulpturen 
bis 1% der VS</t>
  </si>
  <si>
    <t>BB Comfort; Ziff. 13 / Ziff. 15</t>
  </si>
  <si>
    <t>bis 3% der VS
(Bargeld bis 100 €)</t>
  </si>
  <si>
    <t>BB Comfort; Ziff. 23.1</t>
  </si>
  <si>
    <t>BB Comfort; Ziff. 24.2</t>
  </si>
  <si>
    <t>50% der VS,
max. 12 Monate</t>
  </si>
  <si>
    <t>VHB; § 6, Ziff. 3 / BB Comfort; Ziff. 37</t>
  </si>
  <si>
    <t>BB Comfort; Ziff. 38.1</t>
  </si>
  <si>
    <t>BB Comfort; Ziff. 42</t>
  </si>
  <si>
    <t>BB Comfort; Ziff. 43</t>
  </si>
  <si>
    <t>bis 1% der VS
bei Schäden &gt; 50.000 €</t>
  </si>
  <si>
    <t>BB Comfort; Ziff. 44</t>
  </si>
  <si>
    <t>BB Comfort; Ziff. 46</t>
  </si>
  <si>
    <t>BB Comfort; Ziff. 47</t>
  </si>
  <si>
    <t>BB Comfort; Ziff. 48</t>
  </si>
  <si>
    <t>BB Comfort; Ziff. 50</t>
  </si>
  <si>
    <t>BB Comfort; Ziff. 52.2 - Ziff. 52.5</t>
  </si>
  <si>
    <t>BB Comfort; Ziff. 52.1</t>
  </si>
  <si>
    <t>BB Comfort; Ziff. 53</t>
  </si>
  <si>
    <t>BB Comfort; Ziff. 54</t>
  </si>
  <si>
    <t>-Diebstahl von Gepäck auf Reisen außerhalb Europas bis 1% der VS (keine Wertsachen/elektr. Geräte) (100 € SB)
-Sturm-/Hagelschäden auch auf dem Grundstück
-Eindringen von Niederschlägen bis 2% der VS (250 € SB)
-Kosten für Miet-/ Ersatz-haushaltsgeräte im Schadenfall (Waschmaschine, Wäschetrockner, Kühlschrank, Gefrierschrank/ -truhe, Herd/Ofen, Geschirrspülmaschine)
-Transportmittelunfall mit Bus, Bahn, Taxi, Mietwagen (Pkw) 
bis 1% der VS
-Beitragsbefreiung bei Arbeitslosigkeit, max. 12 Monate</t>
  </si>
  <si>
    <t>BB Comfort; Ziff. 19 / Ziff. 32 / Ziff. 33 / Ziff. 41 / Ziff. 56 / Ziff. 62</t>
  </si>
  <si>
    <t>BB Excellent; Ziff. 14 / Ziff. 16</t>
  </si>
  <si>
    <t>Kinderspiel- und Sportgeräte bis 1% der VS</t>
  </si>
  <si>
    <t>BB Excellent; Ziff. 68</t>
  </si>
  <si>
    <t>BB Classic; Ziff. 29.1</t>
  </si>
  <si>
    <t>BB Comfort; Ziff. 33.1</t>
  </si>
  <si>
    <t>BB Excellent; Ziff. 55.1</t>
  </si>
  <si>
    <t>BB Exclusiv; Ziff. 42.1</t>
  </si>
  <si>
    <t>Bargeld - 1.000 €
Urkunden - 5.000 €
Schmuck - 20.000 €
(Schmuck/Uhren mit &gt; 1.000 € Einzelwert nur mit Nachweis)</t>
  </si>
  <si>
    <t>Bargeld - 1.000 €
Urkunden - 7.500 €
Schmuck - 20.000 €
(Schmuck/Uhren mit &gt; 1.000 € Einzelwert nur mit Nachweis)</t>
  </si>
  <si>
    <t>Bargeld - 3.500 €
Urkunden - 15.000 €
Schmuck - 40.000 €
(Schmuck/Uhren mit &gt; 1.000 € Einzelwert nur mit Nachweis)</t>
  </si>
  <si>
    <t>Bargeld - 3.000 €
Urkunden - 10.000 €
Schmuck - 30.000 €
(Schmuck/Uhren mit &gt; 1.000 € Einzelwert nur mit Nachweis)</t>
  </si>
  <si>
    <t>BB Classic; Ziff. 29.2 - Ziff. 29.5</t>
  </si>
  <si>
    <t>BB Comfort; Ziff. 33.2 - Ziff. 33.5</t>
  </si>
  <si>
    <t>BB Excellent; Ziff. 55.2 - Ziff. 55.5</t>
  </si>
  <si>
    <t>BB Exclusiv; Ziff. 42.2 - Ziff. 42.5</t>
  </si>
  <si>
    <t>BB Excellent; Ziff. 39.1</t>
  </si>
  <si>
    <t>BB Exclusiv; Ziff. 30.1</t>
  </si>
  <si>
    <t>VHB; § 6, Ziff. 3 / BB Classic; Ziff. 20</t>
  </si>
  <si>
    <t>VHB; § 6, Ziff. 3 / BB Excellent; Ziff. 38</t>
  </si>
  <si>
    <t>VHB; § 6, Ziff. 3 / BB Exclusiv; Ziff. 29</t>
  </si>
  <si>
    <t>20% der VS, max. 20.000 €,
max. 6 Monate</t>
  </si>
  <si>
    <t>bis 3% der VS
(Wertsachen/Bargeld/elektr. Geräte bis 1.000 €)</t>
  </si>
  <si>
    <t>BB Comfort; Ziff. 15</t>
  </si>
  <si>
    <t>BB Classic; Ziff. 2.2</t>
  </si>
  <si>
    <t>1% d. VS (250 € SB)-nicht Zigarren-/ Zigarettenglut/techn.Geräten/Werts.</t>
  </si>
  <si>
    <t>ja (100 € SB) - nicht an technischen Geräten und Wertsachen</t>
  </si>
  <si>
    <t>VHB; § 3, Ziff. 3 / BB Excellent; Ziff. 23</t>
  </si>
  <si>
    <t>zusätzlich versicherbar 1% bis 8% der VS, je nach Sicherung/gewählter Entschädigung max. 5.000 € -auch Pedelecs/Fahrradanhänger 
(mit Nachtzeitklausel)</t>
  </si>
  <si>
    <t>bis 2% der VS (max. 1.200 €) (erhöhbar), je nach Sicherung/ gewählter Entschädigung max. 5.000 € -auch Pedelecs/Fahrradanhänger 
(ohne Nachtzeitklausel)</t>
  </si>
  <si>
    <t>bis 1% der VS (max. 1.200 €) (erhöhbar) je nach Sicherung/ gewählter Entschädigung max. 5.000 € -auch Pedelecs/Fahrradanhänger 
(ohne Nachtzeitklausel)</t>
  </si>
  <si>
    <t>BB Classic; Ziff. 9 / Rechner</t>
  </si>
  <si>
    <t>BB Comfort; Ziff. 11.1  / Ziff. 11.3</t>
  </si>
  <si>
    <t>bis 1% der VS
(keine Wertsachen)
-keine Anhänger-</t>
  </si>
  <si>
    <t>bis 3 % der VS
(keine Wertsachen)
(auch Dachboxen/fest umschlossene Anhänger)</t>
  </si>
  <si>
    <t>bis 2% der VS
(keine Wertsachen)
-keine Anhänger-</t>
  </si>
  <si>
    <t>bis 1% der VS,
max. 1.000 €</t>
  </si>
  <si>
    <t>fest verankerte Skulpturen 
bis 1% der VS</t>
  </si>
  <si>
    <t>bis 1% der VS
(keine Wertsachen/Bargeld/ 
elektr. Geräte)</t>
  </si>
  <si>
    <t>BB Classic; Ziff. 13</t>
  </si>
  <si>
    <t>bis 1% der VS
(keine Wertsachen; 
elektr. Kleingeräte zum Zeitwert)</t>
  </si>
  <si>
    <t>BB Exclusiv; Ziff. 20.2</t>
  </si>
  <si>
    <t>BB Exclusiv; Ziff. 19.1</t>
  </si>
  <si>
    <t>BB Excellent; Ziff. 53 / Ziff. 54</t>
  </si>
  <si>
    <t>BB Classic; Ziff. 23</t>
  </si>
  <si>
    <t>BB Excellent; Ziff. 43 / Ziff. 44</t>
  </si>
  <si>
    <t>bis 6 Monate
2‰ der VS pro Tag</t>
  </si>
  <si>
    <t>BB Exclusiv; Ziff. 41</t>
  </si>
  <si>
    <t>BB Excellent; Ziff. 27.8</t>
  </si>
  <si>
    <t>-Einfacher Diebstahl von Hör-/ Sehhilfen, Zähnen/Gebissen bis 1% der VS, max. 1.500 € (für Personen ab 60 Jahren)
-Diebstahl von Gepäck auf Reisen außerhalb Europas (keine Wertsachen/elektr. Geräte) (100 € SB)
-Einbruchdiebstahl durch nicht versicherte Räume 
-durch Graffiti beschädigter Hausrat bis 1% der VS
-Sturm-/Hagelschäden auch auf dem Grundstück bis 2% der VS
-Eindringen von Niederschlägen bis 2% der VS (250 € SB)
-Kosten für Miet-/ Ersatz-haushaltsgeräte im Schadenfall (Waschmaschine, Wäschetrockner, Kühlschrank, Gefrierschrank/ -truhe, Herd/Ofen, Geschirrspülmaschine)
-Transportmittelunfall mit Bus, Bahn, Taxi, Mietwagen (Pkw) 
bis 1% der VS
-Fahrräder als Gepäck sind versichert
-Beitragsbefreiung bei Arbeitslosigkeit, max. 12 Monate
-Beitragssatzreduzierung um 25% bei Umzug in ein Seniorenheim, sofern Vertrag seit 3 Jahren bestand</t>
  </si>
  <si>
    <t>-Diebstahl von Gepäck auf Reisen außerhalb Europas bis 1% der VS (keine Wertsachen/elektr. Geräte) (100 € SB)
-Eindringen von Niederschlägen bis 1% der VS (250 € SB)
-Kosten für Miet-/ Ersatz-haushaltsgeräte im Schadenfall (Waschmaschine, Wäschetrockner, Kühlschrank, Gefrierschrank/ -truhe, Herd/Ofen, Geschirrspülmaschine)
-Transportmittelunfall mit Bus, Bahn, Taxi, Mietwagen (Pkw) 
bis 1% der VS
-Fahrräder als Gepäck sind versichert bis 100 €
-Beitragsbefreiung bei Arbeitslosigkeit, max. 12 Monate
-Beitragssatzreduzierung um 25% bei Umzug in ein Seniorenheim, sofern Vertrag seit 3 Jahren bestand</t>
  </si>
  <si>
    <t>BB Excellent; Ziff. 16 / Ziff. 17 / 
Ziff. 20 / Ziff. 29 / Ziff. 32 / Ziff. 33 / Ziff. 42 / Ziff. 59 / Ziff. 60 / Ziff. 65 / Ziff. 66</t>
  </si>
  <si>
    <t>BB Exclusiv; Ziff. 15 / Ziff. 25 / 
Ziff. 33 / Ziff. 46 / Ziff. 47 / Ziff. 51 / Ziff. 52</t>
  </si>
  <si>
    <t>Ammerländer Classic
(Stand 01-2014)</t>
  </si>
  <si>
    <t>Ammerländer Comfort
(Stand 01-2014)</t>
  </si>
  <si>
    <t>Ammerländer Excellent
(Stand 01-2014)</t>
  </si>
  <si>
    <t>Ammerländer Exclusiv
(Stand 01-2014)</t>
  </si>
  <si>
    <t>die Bayerische (Komfort)
(Stand 07-2013)</t>
  </si>
  <si>
    <t>die Bayerische (Prestige)
(Stand 07-2013)</t>
  </si>
  <si>
    <t>die Bayerische (Smart)
(Stand 07-2013)</t>
  </si>
  <si>
    <t>5% der VS</t>
  </si>
  <si>
    <t>SB; Ziff. 1.3.</t>
  </si>
  <si>
    <t>SB; Ziff. 2.6.</t>
  </si>
  <si>
    <t xml:space="preserve">SB; Ziff. 7.5. </t>
  </si>
  <si>
    <t>SB; Ziff. 7.4.</t>
  </si>
  <si>
    <t>SB; Ziff. 4.5. a)</t>
  </si>
  <si>
    <t>SB; Ziff. 8)</t>
  </si>
  <si>
    <t>SB; Ziff. 9)</t>
  </si>
  <si>
    <t>SB; Ziff. 4.3. a)</t>
  </si>
  <si>
    <t>SB; Ziff. 4.3. b)</t>
  </si>
  <si>
    <t>VHB; §6, Ziff. 3 a) / SB; Ziff. 4.8.</t>
  </si>
  <si>
    <t>SB; Ziff. 6.2.</t>
  </si>
  <si>
    <t>SB; Ziff. 6.2. b)</t>
  </si>
  <si>
    <t>SB; Ziff. 6.5.</t>
  </si>
  <si>
    <t>SB; Ziff. 4.1.</t>
  </si>
  <si>
    <t xml:space="preserve">SB; Ziff. 4.2. </t>
  </si>
  <si>
    <t>SB; Ziff. 1.2.</t>
  </si>
  <si>
    <t>SB; Ziff. 1.1.</t>
  </si>
  <si>
    <t>VHB; §2, Ziff. 1 d) / SB; Ziff. 1.5.</t>
  </si>
  <si>
    <t>SB; Ziff. 3.2</t>
  </si>
  <si>
    <t xml:space="preserve">SB; Ziff. 3.2. </t>
  </si>
  <si>
    <t>SB; Ziff. 3.3.</t>
  </si>
  <si>
    <t>SB; Ziff. 2.7.</t>
  </si>
  <si>
    <t>SB; Ziff. 4.7.</t>
  </si>
  <si>
    <t>SB; Ziff. 2.8</t>
  </si>
  <si>
    <t>SB; Ziff. 2.5.</t>
  </si>
  <si>
    <t>SB; Ziff. 2.9.</t>
  </si>
  <si>
    <t>SB; Ziff. 2.10. / SB Bausteine; Ziff. 2.5.3</t>
  </si>
  <si>
    <t>SB; Ziff. 7.5.</t>
  </si>
  <si>
    <t xml:space="preserve">SB; Ziff. 7.6. </t>
  </si>
  <si>
    <t>SB; Ziff. 7.3.</t>
  </si>
  <si>
    <t>SB; Ziff. 7.2.</t>
  </si>
  <si>
    <t>SB; Ziff. 7.7.</t>
  </si>
  <si>
    <t>SB; Ziff. 4.6. /
SB; Ziff. 2.3. a) cc) / b) /
SB; Ziff. 6.4 /
SB; Ziff. 7.9. /
SB; Ziff. 7.11. /
SB; Ziff. 10)</t>
  </si>
  <si>
    <t>SB; Ziff. 6.2. a) / b)</t>
  </si>
  <si>
    <t>SB; Ziff. 4.2.</t>
  </si>
  <si>
    <t xml:space="preserve">SB; Ziff. 4.7. </t>
  </si>
  <si>
    <t>SB; Ziff. 2.10. / SB Bausteine; Ziff. 2.5.2</t>
  </si>
  <si>
    <t>SB; Ziff. 2.3. a)</t>
  </si>
  <si>
    <t>SB; Ziff. 6)</t>
  </si>
  <si>
    <t>SB; Ziff. 7)</t>
  </si>
  <si>
    <t>SB; Ziff. 2.1. a)</t>
  </si>
  <si>
    <t>SB; Ziff. 2.1. b)</t>
  </si>
  <si>
    <t>SB; Ziff. 4.2. a) / b)</t>
  </si>
  <si>
    <t>VHB; §2, Ziff. 1 d) / SB; Ziff. 1.3.</t>
  </si>
  <si>
    <t>SB; Ziff. 5.2.</t>
  </si>
  <si>
    <t>SB; Ziff. 5.1.</t>
  </si>
  <si>
    <t>SB Komfort
(04-2015)</t>
  </si>
  <si>
    <t>SB Prestige
(04-2015)</t>
  </si>
  <si>
    <t>SB Smart
(04-2015)</t>
  </si>
  <si>
    <t>Domcura Magnum
(Stand 07-2011)</t>
  </si>
  <si>
    <t>Domcura Maximum
(Stand 07-2011)</t>
  </si>
  <si>
    <t>Domcura Top</t>
  </si>
  <si>
    <t>Domcura Komfort</t>
  </si>
  <si>
    <t>bis 1.000 €
(auch durch technisches Versagen)</t>
  </si>
  <si>
    <t>II B4 Ziff. 1</t>
  </si>
  <si>
    <t>II D zu B §3 Ziff. 1</t>
  </si>
  <si>
    <t>II D zu B 3; § 3, Ziff. 5 a) aa)</t>
  </si>
  <si>
    <t>II D zu B 3; § 3, Ziff. 5 b)</t>
  </si>
  <si>
    <t>II D zu B 3; § 3, Ziff. 5 c) a)</t>
  </si>
  <si>
    <t>aus Gemeinschaftsräumen
bis 5.000 €</t>
  </si>
  <si>
    <t>II D zu B 3; § 3, Ziff. 5 e)</t>
  </si>
  <si>
    <t>bis 1.000 €
(Wertsachen bis 100 €)</t>
  </si>
  <si>
    <t>II D zu B 3; § 3, Ziff. 5 g)</t>
  </si>
  <si>
    <t>II D zu B4 Ziff. 3 h)</t>
  </si>
  <si>
    <t>II D B4 Ziff. 1 a)</t>
  </si>
  <si>
    <t>max. 8 Monate
25% der VS, mind. 10.000 €</t>
  </si>
  <si>
    <t>II D zu B § 10 Ziff. 5</t>
  </si>
  <si>
    <r>
      <t>-nicht eingebautes Kfz-Zubehör ist versichert</t>
    </r>
    <r>
      <rPr>
        <sz val="7"/>
        <color indexed="10"/>
        <rFont val="Arial"/>
        <family val="2"/>
      </rPr>
      <t xml:space="preserve">
</t>
    </r>
    <r>
      <rPr>
        <sz val="7"/>
        <rFont val="Arial"/>
        <family val="2"/>
      </rPr>
      <t>-Transportmittelunfall bis 1.000 €
-Mietfortzahlung  bei unbewohnbarkeit der versicherten Wohnung bis 5.000 €
-Wiederbepflanzung gärtnerischer Anlagen bis 1.000 €</t>
    </r>
  </si>
  <si>
    <t>II D zu B §10 Ziff. 11</t>
  </si>
  <si>
    <t>bis 1.500 €
(auch Gasverlust)</t>
  </si>
  <si>
    <t>II D zu B §10 Ziff. 12</t>
  </si>
  <si>
    <t>II D zu B § 14 Ziff. 2 a)</t>
  </si>
  <si>
    <t>II D zu B § 14 Ziff. 2 b)</t>
  </si>
  <si>
    <t>Bargeld - 1.500 €
Urkunden - 10.000 €
Schmuck - 30.000 €</t>
  </si>
  <si>
    <t>II D zu B §17 Ziff. 3</t>
  </si>
  <si>
    <t>II D</t>
  </si>
  <si>
    <t xml:space="preserve"> bis 1% der VS</t>
  </si>
  <si>
    <t>II C zu B; § 3, Ziff. 5 a) aa)</t>
  </si>
  <si>
    <t>II C zu B; § 3, Ziff. 5 a) bb)</t>
  </si>
  <si>
    <t>II C zu B 3; § 3, Ziff. 5 b)</t>
  </si>
  <si>
    <t>II C zu B 3; § 3, Ziff. 5 c) a)</t>
  </si>
  <si>
    <t>II C zu B 3; § 3, Ziff. 5 e)</t>
  </si>
  <si>
    <t>II C zu B 3; § 9, Ziff. 1 a) 6.</t>
  </si>
  <si>
    <t>II C zu B § 14 Ziff. 2 a)</t>
  </si>
  <si>
    <t>II C zu B § 14 Ziff. 2 b)</t>
  </si>
  <si>
    <t>II C zu B §23 Ziff. 1</t>
  </si>
  <si>
    <t>II B § 2, Ziff. 2</t>
  </si>
  <si>
    <t>II B § 2, Ziff. 1</t>
  </si>
  <si>
    <t>II B § 2, Ziff. 4</t>
  </si>
  <si>
    <t>II B; § 3, Ziff. 3</t>
  </si>
  <si>
    <t>II B; § 3, Ziff. 4</t>
  </si>
  <si>
    <t>II B; § 3, Ziff. 4 c)</t>
  </si>
  <si>
    <t>II B; § 4, Ziff. 1 a) aa)</t>
  </si>
  <si>
    <t>II B; § 4, Ziff. 1 a) bb)</t>
  </si>
  <si>
    <t>II B; § 4, Ziff. 1 a) cc)</t>
  </si>
  <si>
    <t>II B; § 4, Ziff. 1 a) dd) / ii)</t>
  </si>
  <si>
    <t>II B; § 4, Ziff. 1 a) ff)</t>
  </si>
  <si>
    <t>II B; § 4, Ziff. 1 a) gg)</t>
  </si>
  <si>
    <t>II B; § 4, Ziff. 1 b) aa)</t>
  </si>
  <si>
    <t>II B; § 4, Ziff. 1 b) bb)</t>
  </si>
  <si>
    <t>II B; § 4, Ziff. 2 b) aa)</t>
  </si>
  <si>
    <t>II B; § 4, Ziff. 2 b) bb)</t>
  </si>
  <si>
    <t>II B; § 4, Ziff. 2 b) cc)</t>
  </si>
  <si>
    <t>II B; § 4, Ziff. 2 b) dd)</t>
  </si>
  <si>
    <t>II B; § 4, Ziff. 2 b) gg)</t>
  </si>
  <si>
    <t>II B; § 4, Ziff. 2 b) hh)</t>
  </si>
  <si>
    <t>II B; § 4, Ziff. 2 b) jj)</t>
  </si>
  <si>
    <t>II B; § 4, Ziff. 2 b) ee)</t>
  </si>
  <si>
    <t>II B; § 4, Ziff. 2 b) ff)</t>
  </si>
  <si>
    <t>II B; § 4, Ziff. 3 a) aa)</t>
  </si>
  <si>
    <t>II B; § 5, Ziff. 2</t>
  </si>
  <si>
    <t>II B 1; § 5 Ziff. 3</t>
  </si>
  <si>
    <t>II B; § 6</t>
  </si>
  <si>
    <t>ja (auch Fahrzeuganprall)</t>
  </si>
  <si>
    <t>II B; § 2, Ziff. 1 d) / § 7, Ziff. 1</t>
  </si>
  <si>
    <t>II B; § 7, Ziff. 2</t>
  </si>
  <si>
    <t>II B; § 7, Ziff. 3</t>
  </si>
  <si>
    <t>II B; § 8, Ziff. 2 c) aa)</t>
  </si>
  <si>
    <t>II B; § 8, Ziff. 2 c) bb)</t>
  </si>
  <si>
    <t>II B; § 8, Ziff. 2 a)</t>
  </si>
  <si>
    <t>II B; § 8, Ziff. 2 c) cc)</t>
  </si>
  <si>
    <t>Markisen, Antennenanlagen Sonnenschirme/ Sonnensegel, Überwachungseinrichtungen und Anlagen zur Erzeugung erneuerbarer Energien für die Wohnung des VN (Sicherungsanlagen bis 1.000 €)</t>
  </si>
  <si>
    <t>II B; § 8, Ziff. 2 c) hh)</t>
  </si>
  <si>
    <t>II B; § 8, Ziff. 2 c) ii)</t>
  </si>
  <si>
    <t>II B; § 8, Ziff. 2 c) ff)</t>
  </si>
  <si>
    <t>II B; § 8, Ziff. 2 c) ee)</t>
  </si>
  <si>
    <t>II B; § 8, Ziff. 2 c) gg)</t>
  </si>
  <si>
    <t>II B; § 8, Ziff. 3 b) aa)</t>
  </si>
  <si>
    <t>II B; § 8, Ziff. 3 b) bb) cc) / 3 c)</t>
  </si>
  <si>
    <t>II B; § 8, Ziff. 3 a)</t>
  </si>
  <si>
    <t>II B; § 10, Ziff. 4</t>
  </si>
  <si>
    <t>II B; § 10, Ziff. 5</t>
  </si>
  <si>
    <t>II B; § 10, Ziff. 6</t>
  </si>
  <si>
    <t>II B; § 10, Ziff. 6 / II D</t>
  </si>
  <si>
    <t>II B; § 10, Ziff. 7</t>
  </si>
  <si>
    <t>II B; § 10, Ziff. 10</t>
  </si>
  <si>
    <t>II B; § 10, Ziff. 12 / Ziff. 13 d)</t>
  </si>
  <si>
    <t>II B; § 10, Ziff. 14</t>
  </si>
  <si>
    <t>II B; § 10, Ziff. 15</t>
  </si>
  <si>
    <t>bis 1000 €</t>
  </si>
  <si>
    <t>II B; § 10, Ziff. 16</t>
  </si>
  <si>
    <t>II A § 19</t>
  </si>
  <si>
    <t>II A § 18</t>
  </si>
  <si>
    <t>II B § 13, Ziff. 6</t>
  </si>
  <si>
    <t>II B; § 11</t>
  </si>
  <si>
    <t>II C zu B; § 8, Ziff. 2 a)</t>
  </si>
  <si>
    <t>II D zu B; § 8, Ziff. 2 a)</t>
  </si>
  <si>
    <t>II B; § 3, Ziff. 2</t>
  </si>
  <si>
    <t>II B; § 9, Ziff. 2</t>
  </si>
  <si>
    <t>II D zu B; § 9, Ziff. 1 b)</t>
  </si>
  <si>
    <t>II D zu B; § 14, Ziff. 2 b) dd)</t>
  </si>
  <si>
    <t>II C zu B; § 14, Ziff. 2 b) dd)</t>
  </si>
  <si>
    <t>II B; § 18, Ziff. 1 b) cc)</t>
  </si>
  <si>
    <t>II B; § 2, Ziff. 3</t>
  </si>
  <si>
    <t>II B; § 2, Ziff. 2</t>
  </si>
  <si>
    <t>II B; § 4, Ziff. 2</t>
  </si>
  <si>
    <t>II C zu B; § 3, Ziff. 5 d) 3.</t>
  </si>
  <si>
    <t>II D zu B; § 3, Ziff. 5 d) 3.</t>
  </si>
  <si>
    <t>II C zu B; § 10, Ziff. 3 a) / b) / d)</t>
  </si>
  <si>
    <t>II D zu B; § 10, Ziff. 3 a) / b) / d)</t>
  </si>
  <si>
    <t>II B; § 18, Ziff. 1 c)</t>
  </si>
  <si>
    <t>II B; § 11, Ziff. 3 b)</t>
  </si>
  <si>
    <t>II B; § 8, Ziff. 2 c) jj)</t>
  </si>
  <si>
    <t>II B; § 8, Ziff. 2 c) jj) / II D 2 / II D zu B §10 Ziff. 9 /  II D zu B §10 Ziff. 6</t>
  </si>
  <si>
    <t xml:space="preserve"> II D zu  B; § 3, Ziff. 4 c)</t>
  </si>
  <si>
    <t>II D zu B; § 9, Ziff. 1 a) 6.</t>
  </si>
  <si>
    <t>II B; § 8, Ziff. 2 c) cc) / II D zu B; § 5, f)</t>
  </si>
  <si>
    <t>II D zu B; § 11, Ziff. 2 c)</t>
  </si>
  <si>
    <t>II C zu B; § 11, Ziff. 2 c)</t>
  </si>
  <si>
    <t>VHB 2014 
(10-2014)</t>
  </si>
  <si>
    <t>KT2015HR; Ziff. 5.1.3 / Ziff. 5.1.4</t>
  </si>
  <si>
    <t>KT2015HR; Ziff. 7.2</t>
  </si>
  <si>
    <t>KT2015HR; Ziff. 9</t>
  </si>
  <si>
    <t>KT2015HR; Ziff. 7.5</t>
  </si>
  <si>
    <t>KT2015HR; Ziff. 4.5</t>
  </si>
  <si>
    <t>KT2015HR; Ziff. 1.1</t>
  </si>
  <si>
    <t>KT2015HR; Ziff. 1.2</t>
  </si>
  <si>
    <t>KT2015HR; Ziff. 1.3</t>
  </si>
  <si>
    <t>KT2015HR; Ziff. 1.4</t>
  </si>
  <si>
    <t>KT2015HR; Ziff. 1.5</t>
  </si>
  <si>
    <t>KT2015HR; Ziff. 1.6</t>
  </si>
  <si>
    <t>KT2015HR; Ziff. 1.7 / 5.3 / 5.7 / 9.8 / 9.10 / 29 / 30 / Tarif</t>
  </si>
  <si>
    <t>KT2015HR; Ziff. 1.8</t>
  </si>
  <si>
    <t>KT2015HR; Ziff. 2.1 / 2.2</t>
  </si>
  <si>
    <t>KT2015HR; Ziff. 3.2</t>
  </si>
  <si>
    <t>KT2015HR; Ziff. 4.1</t>
  </si>
  <si>
    <t>KT2015HR; Ziff. 4.2</t>
  </si>
  <si>
    <t>KT2015HR; Ziff. 4.4</t>
  </si>
  <si>
    <t>KT2015HR; Ziff. 4.6</t>
  </si>
  <si>
    <t>KT2015HR; Ziff. 5.1.1</t>
  </si>
  <si>
    <t>KT2015HR; Ziff. 5.1</t>
  </si>
  <si>
    <t>KT2015HR; Ziff. 5.1.2</t>
  </si>
  <si>
    <t>KT2015HR; Ziff. 5.1.3</t>
  </si>
  <si>
    <t>KT2015HR; Ziff. 5.1.5</t>
  </si>
  <si>
    <t>KT2015HR; Ziff. 5.2</t>
  </si>
  <si>
    <t>KT2015HR; Ziff. 5.3</t>
  </si>
  <si>
    <t>KT2015HR; Ziff. 5.5</t>
  </si>
  <si>
    <t>KT2015HR; Ziff. 5.6</t>
  </si>
  <si>
    <t>KT2015HR; Ziff. 5.7</t>
  </si>
  <si>
    <t>nur Fahrräder die nach Versicherungsbeginn angeschafft</t>
  </si>
  <si>
    <t>KT2015HR; Ziff. 5.8</t>
  </si>
  <si>
    <t>KT2015HR; Ziff. 2.2</t>
  </si>
  <si>
    <t>Fahrräder (sofern nicht versicherungspflichtig)</t>
  </si>
  <si>
    <t>KT2015HR; Ziff. 3.1</t>
  </si>
  <si>
    <t>KT2015HR; Ziff. 17.1</t>
  </si>
  <si>
    <t>KT2015HR; Ziff. 9.15</t>
  </si>
  <si>
    <t>KT2015HR; Ziff. 9.13</t>
  </si>
  <si>
    <t>KT2015HR; Ziff. 9.2 / Ziff. 9.3</t>
  </si>
  <si>
    <t>KT2015HR; Ziff. 9.4</t>
  </si>
  <si>
    <t>KT2015HR; Ziff. 9.5 / Ziff. 9.16</t>
  </si>
  <si>
    <t>KT2015HR; Ziff. 9.12</t>
  </si>
  <si>
    <t>KT2015HR; Ziff. 9.19</t>
  </si>
  <si>
    <t>KT2015HR; Ziff. 9.11</t>
  </si>
  <si>
    <t>KT2015HR; Ziff. 9.18</t>
  </si>
  <si>
    <t>KT2015HR; Ziff. 8.7</t>
  </si>
  <si>
    <t>KT2015HR; Ziff. 9.14</t>
  </si>
  <si>
    <t>KT2015HR; Ziff. 9.9</t>
  </si>
  <si>
    <t>KT2015HR; Ziff. 13.4</t>
  </si>
  <si>
    <t>KT2015HR; Ziff. 11.3 / Ziff. 17.7 / Ziff. 19.2</t>
  </si>
  <si>
    <t>KT2015HR 
(03-2015)</t>
  </si>
  <si>
    <t>Bedingungswerk: 50068792
(wie 01-2013 - Klarstellungen)</t>
  </si>
  <si>
    <t xml:space="preserve">B2; Ziff. 9.2 a) b) c) </t>
  </si>
  <si>
    <t>VHB; §2, Ziff. 1 a</t>
  </si>
  <si>
    <t>EB_IHR, Ziff. 12.7</t>
  </si>
  <si>
    <t>40% der VS,
max. 6 Monate</t>
  </si>
  <si>
    <t>VHB 2010 
(04-2015)</t>
  </si>
  <si>
    <t>(Bargeld, Handy, usw., 
max. 250 €)</t>
  </si>
  <si>
    <t>max. 1000 €
(keine Wertsachen / Bargeld) (elektronische und optische Geräte) max. 250I</t>
  </si>
  <si>
    <t>innerhalb von Räumen und Taschen-diebst. bis 2% der VS, max. 1000 €</t>
  </si>
  <si>
    <t>bis 5% der VS, 
max. 2.000 €</t>
  </si>
  <si>
    <t>ZB; Ziff. 6.2</t>
  </si>
  <si>
    <t xml:space="preserve">           ja, Austritt aus innenliegenden Gasrohren</t>
  </si>
  <si>
    <t>bis 500 I</t>
  </si>
  <si>
    <t>aktuell
(geprüft am 15.09.2015)</t>
  </si>
  <si>
    <t>BB Prima
(Stand 01-2014)</t>
  </si>
  <si>
    <t xml:space="preserve"> ja                                                                   bis 5% der VS</t>
  </si>
  <si>
    <t>BB Prima Plus
(Stand 08-2014)</t>
  </si>
  <si>
    <t>ja (bis 1.000 € sofern durch einfachen Diebstahl abhanden gekommen)</t>
  </si>
  <si>
    <t>bis 5.000 €    je Versicherungsfall                                                                                max 10.000 I  pro Jahr</t>
  </si>
  <si>
    <t>HRVB 2015 Classic
(Stand 01-2015)</t>
  </si>
  <si>
    <t>HRVB 2015 Exclusiv
(Stand 01-2015)</t>
  </si>
  <si>
    <t>aktuell
(geprüft am 16.09.2015)</t>
  </si>
  <si>
    <t>Bargeld - 1.000 €
Urkunden - 5.000 €
Schmuck - 25.000 €</t>
  </si>
  <si>
    <t>s</t>
  </si>
  <si>
    <t xml:space="preserve">bis 1.000 €
</t>
  </si>
  <si>
    <t xml:space="preserve">bis 1.000 I
</t>
  </si>
  <si>
    <t>VHB 2015
(Stand 04-2015)</t>
  </si>
  <si>
    <t>zusätzlich versicherbar "Sicherheitspaket" / bis 20.000 € begrenzt auf 20 % der VS
max. 3 Monate nach Umzugsbeginn</t>
  </si>
  <si>
    <t>VHB; Nr.3 III § 18; Ziff. 2</t>
  </si>
  <si>
    <t>VHB; Nr. 4.3 Ziff. 25</t>
  </si>
  <si>
    <t>VHB; Nr. 3 I § 1; Ziff. 1</t>
  </si>
  <si>
    <t>VHB; Nr. 3 I § 1; Ziff. 4 b</t>
  </si>
  <si>
    <t>VHB; Nr. 3 I § 11; Ziff. 2</t>
  </si>
  <si>
    <t>Markisen und Antennenanlagen auf dem gesamten Grundstück</t>
  </si>
  <si>
    <t>VHB; Nr. 3 I § 1; Ziff. 2 c</t>
  </si>
  <si>
    <t>VHB; Nr. 3 I § 1; Ziff. 4 a / § 9; Ziff. 3</t>
  </si>
  <si>
    <t>VHB; Nr. 3 I § 11; Ziff. 3 a, b, c</t>
  </si>
  <si>
    <t>VHB; Nr. 3 I § 1; Ziff. 2 d</t>
  </si>
  <si>
    <t>zusätzlich versicherbar über "Ergänzungen zum Versicherungsschutz"</t>
  </si>
  <si>
    <t>VHB; Nr. 4.1 / 4.4 Ziff. 11</t>
  </si>
  <si>
    <t>VHB; Nr. 3 I § 1; Ziff. 2 a</t>
  </si>
  <si>
    <t>ja /zusätzlich versicherbar im "Sicherheitspaket"</t>
  </si>
  <si>
    <t>VHB; Nr. 3 I § 1; Ziff. 2 a / VHB; Nr. 4.3 Ziff.  12</t>
  </si>
  <si>
    <t>VHB; Nr. 3 I § 1; Ziff. 2 b</t>
  </si>
  <si>
    <t>VHB; Nr. 3 I § 9; Ziff. 2 / 3</t>
  </si>
  <si>
    <t>VHB; Nr. 3 I § 9; Ziff. 4</t>
  </si>
  <si>
    <t xml:space="preserve">VHB; Nr. 3 I § 9; Ziff. 2 </t>
  </si>
  <si>
    <t>VHB; Nr. 3 I § 10; Ziff. 1 / 6</t>
  </si>
  <si>
    <t>VHB; Nr. 3 I § 10; Ziff. 3</t>
  </si>
  <si>
    <t>VHB; Nr. 3 I § 10; Ziff. 2</t>
  </si>
  <si>
    <t>zusätzlich versicherbar im 
"Spezialpaket"</t>
  </si>
  <si>
    <t>VHB; Nr. 4.4; Ziff. 2</t>
  </si>
  <si>
    <t>VHB; Nr. 4.5; Ziff. 3</t>
  </si>
  <si>
    <t>VHB; Nr. 3 IV § 20; Ziff. 2 b</t>
  </si>
  <si>
    <t>zusätzlich versicherbar über 
"Elementarschäden"</t>
  </si>
  <si>
    <t>VHB; Nr. 4.2</t>
  </si>
  <si>
    <t>VHB; Nr. 2.2</t>
  </si>
  <si>
    <t>VHB; Nr. 3 I § 3; Ziff. 1 a</t>
  </si>
  <si>
    <t xml:space="preserve">VHB; Nr. 3 I § 4; Ziff. 4.1 </t>
  </si>
  <si>
    <t>zusätzlich versicherbar
"Sicherheitspaket"</t>
  </si>
  <si>
    <t>VHB; Nr. 4.2; Ziff. 4</t>
  </si>
  <si>
    <t>VHB; Nr. 4.2; Ziff. 7</t>
  </si>
  <si>
    <t>zusätzlich versicherbar
"Spezialpaket"
max. 500 €</t>
  </si>
  <si>
    <t>VHB; Nr. 4.4; Ziff. 1</t>
  </si>
  <si>
    <t>VHB; Nr. 4.3; Ziff. 10</t>
  </si>
  <si>
    <t>VHB; Nr. 4.3; Ziff. 6</t>
  </si>
  <si>
    <t>VHB; Nr. 4.3; Ziff. 8</t>
  </si>
  <si>
    <t>VHB; Nr. 3 I § 3; Ziff. 2</t>
  </si>
  <si>
    <t>ja + zusätzlich versicherbar über
"Sicherheitspaket"</t>
  </si>
  <si>
    <t>VHB; Nr. 3 I § 3; Ziff. 1 a / VHB; Nr. 4.3 Ziff. 9</t>
  </si>
  <si>
    <t>VHB; Nr. 3 I § 7; Ziff. 1 a</t>
  </si>
  <si>
    <t>VHB; Nr. 3 I § 7; Ziff. 1 b</t>
  </si>
  <si>
    <t>VHB; Nr. 3 I § 7; Ziff. 1 c</t>
  </si>
  <si>
    <t>VHB; Nr. 3 I § 7; Ziff. 1 d</t>
  </si>
  <si>
    <t>zusätzlich versicherbar über
"Sicherheitspaket"</t>
  </si>
  <si>
    <t>VHB; Nr. 4.3; Ziff. 17</t>
  </si>
  <si>
    <t>VHB; Nr. 4.3; Ziff. 16</t>
  </si>
  <si>
    <t>VHB; Nr. 3 I § 7; Ziff. 2</t>
  </si>
  <si>
    <t>VHB; Nr. 3 I § 7; Ziff. 4 b</t>
  </si>
  <si>
    <t>VHB; Nr. 3 I § 7; Ziff. 3 a i)</t>
  </si>
  <si>
    <t>VHB; Nr. 3 I § 7; Ziff. 3 a iv)</t>
  </si>
  <si>
    <t>VHB; Nr. 3 I § 7; Ziff. 3 a iii)</t>
  </si>
  <si>
    <t>zusätzlich versicherbar über
"Spezialpaket"</t>
  </si>
  <si>
    <t>VHB; Nr. 4.4 Ziff. 20</t>
  </si>
  <si>
    <t>VHB;  3 I § 8; Ziff. 1</t>
  </si>
  <si>
    <t>ja, jedoch nicht versuchter Einbruch</t>
  </si>
  <si>
    <t>VHB;  3 I § 3; Ziff. 1 c / VHB; 3 I § 6</t>
  </si>
  <si>
    <t>ja, jedoch nicht versuchter Raub</t>
  </si>
  <si>
    <t>VHB; Nr. 4.1</t>
  </si>
  <si>
    <t>zusätzlich versicherbar über 
"Spezialpaket"</t>
  </si>
  <si>
    <t>zusätzlich versicherbar über 
"Sicherheitspaket"</t>
  </si>
  <si>
    <t>VHB; Nr. 4.4 Ziff. 11</t>
  </si>
  <si>
    <t>VHB; Nr. 4.3 Ziff. 12</t>
  </si>
  <si>
    <t>zusätzlich versicherbar über
"Spezialpaket" 
innerhalb Europa 
max. 2000 €</t>
  </si>
  <si>
    <t>VHB; Nr. 4.4 Ziff. 6</t>
  </si>
  <si>
    <t>zusätzlich versicherbar über 
"Spezialpaket"
 bis5.000€</t>
  </si>
  <si>
    <t>VHB; Nr. 4.4 Ziff. 7</t>
  </si>
  <si>
    <t>VHB; Nr. 4.4 Ziff. 8</t>
  </si>
  <si>
    <t>zusätzlich versicherbar über "Sicherheitspaket"
 Antennen und Parabolspiegel</t>
  </si>
  <si>
    <t>VHB; Nr. 4.4 Ziff. 12</t>
  </si>
  <si>
    <t>VHB; Nr. 4.3 Ziff. 13</t>
  </si>
  <si>
    <t>zusätzlich versicherbar über "Spezialpaket"
max. 200 €</t>
  </si>
  <si>
    <t>VHB; Nr. 4.4 Ziff. 9</t>
  </si>
  <si>
    <t>zusätzlich versicherbar über 
"Paket 50 plus"</t>
  </si>
  <si>
    <t>VHB; Nr. 4.5 Ziff. 4 / 5</t>
  </si>
  <si>
    <t xml:space="preserve">zusätzlich versicherbar über
"Spezialpaket" </t>
  </si>
  <si>
    <t>VHB; Nr. 4.4 Ziff. 5</t>
  </si>
  <si>
    <t>zusätzlich versicherbar über
"Elementarschäden"</t>
  </si>
  <si>
    <t>VHB; Nr. 4.2 Ziff. 2 / 3</t>
  </si>
  <si>
    <t>Kürzung um vereinbarten SB</t>
  </si>
  <si>
    <t>VHB; Nr. 4.2 Ziff. 13</t>
  </si>
  <si>
    <t>VHB;  3 I § 2; Ziff. 1 b</t>
  </si>
  <si>
    <t>VHB; Nr. 4.3 Ziff. 19</t>
  </si>
  <si>
    <t>VHB; Nr. 4.3 Ziff. 20</t>
  </si>
  <si>
    <t>VHB;  3 I § 2; Ziff. 1 i</t>
  </si>
  <si>
    <t>VHB;  3 I § 2; Ziff. 1 f</t>
  </si>
  <si>
    <t>bis 100 € pro Tag</t>
  </si>
  <si>
    <t>VHB;  3 I § 2; Ziff. 1 j</t>
  </si>
  <si>
    <t>VHB; Nr. 4.3 Ziff. 22</t>
  </si>
  <si>
    <t>zusätzlich versicherbar über
"Sicherheitspaket"
max. 2.000 €</t>
  </si>
  <si>
    <t>VHB;  3 I § 2; Ziff. 1 c</t>
  </si>
  <si>
    <t>ja, erhöhbar über "Sicherheitspaket"</t>
  </si>
  <si>
    <t>VHB;  3 I § 2; Ziff. 1 j / VHB; Nr. 4.3 Ziff. 21</t>
  </si>
  <si>
    <t>VHB;  3 I § 12; Ziff. 4</t>
  </si>
  <si>
    <t>VHB; Nr. 4.3 Ziff. 23</t>
  </si>
  <si>
    <t>VHB; Nr. 4.4 Ziff. 19</t>
  </si>
  <si>
    <t>VHB; Nr. 4.4 Ziff. 24</t>
  </si>
  <si>
    <t>VHB; Nr. 4.4 Ziff. 23</t>
  </si>
  <si>
    <t>zusätzlich versicherbar über
"Spezialpaket"
&lt; 5.000 €</t>
  </si>
  <si>
    <t>VHB 
(Stand 07 -2015)</t>
  </si>
  <si>
    <t>aktuell
(geprüft am 9.10.2015)</t>
  </si>
  <si>
    <t>10 % der VS 
max. 6 Monate
erhöhbar über "Sicherheits- oder Spezialpaket"</t>
  </si>
  <si>
    <t>VHB; A.; § 13, Ziff. 1</t>
  </si>
  <si>
    <t>VGH Standard</t>
  </si>
  <si>
    <t>VHB; A; §7; Ziff 3 a) iv)</t>
  </si>
  <si>
    <t>NV Premium. 2.0</t>
  </si>
  <si>
    <t>VHB; § 9, Ziff. 3 a)</t>
  </si>
  <si>
    <t>VHB; § 3,5 Ziff. 2 b)</t>
  </si>
  <si>
    <t>Bargeld - 1.000 €
Urkunden - 5.000 €
Schmuck - 50.000 €</t>
  </si>
  <si>
    <t>bis 1.500 I</t>
  </si>
  <si>
    <t xml:space="preserve">VHB; § 24, Ziff. 2 </t>
  </si>
  <si>
    <t>ja, gegen Mehrbeitrag</t>
  </si>
  <si>
    <t>ja, (nicht Zigarren-/ Ziga-rettenglut/an techn. Geräten/Werts.</t>
  </si>
  <si>
    <t>bis 5.000 l</t>
  </si>
  <si>
    <t>bis 3.000 I</t>
  </si>
  <si>
    <t>ja (Rückstau inklusive
bis 5% der VS, 250 € SB)</t>
  </si>
  <si>
    <t>bis 1.000 I</t>
  </si>
  <si>
    <t>bis 2.500 I</t>
  </si>
  <si>
    <t>VHB 2014 Exclusiv-Schutz
(01-2016)</t>
  </si>
  <si>
    <t>VHB 2014 Excellent-Schutz
(01-2016)</t>
  </si>
  <si>
    <t xml:space="preserve">Fall- und Gleitschirme </t>
  </si>
  <si>
    <t>nichtmotorisierte Flugdrachen,</t>
  </si>
  <si>
    <t xml:space="preserve">ja, sowie Flugmodelle </t>
  </si>
  <si>
    <t>Risikofragebogen: 
Sicherungsanforderungen</t>
  </si>
  <si>
    <t>aktuell
(geprüft am 31.08.2016)</t>
  </si>
  <si>
    <t>aktuell
(geprüft am 02.09.2016)</t>
  </si>
  <si>
    <t>VHB 2014 Comfort-Schutz
(01-2016)</t>
  </si>
  <si>
    <t>aktuell
(geprüft am 05.,09.2016)</t>
  </si>
  <si>
    <t>Teil B 14.2</t>
  </si>
  <si>
    <t>ARAG Haushalt-Schutz 2014
(06-2016)</t>
  </si>
  <si>
    <t>aktuell
(geprüft am 07.09.2016)</t>
  </si>
  <si>
    <t>VHB 2013 
(06-2016)</t>
  </si>
  <si>
    <t>VHB 2008 
(07-2016)</t>
  </si>
  <si>
    <t>aktuell
(geprüft am 17.10.2016)</t>
  </si>
  <si>
    <t>VHB 2014 
(06-2016)</t>
  </si>
  <si>
    <t>HKD Einfach Gut</t>
  </si>
  <si>
    <t>HKD Einfach Besser</t>
  </si>
  <si>
    <t>HKD Einfach Komplett</t>
  </si>
  <si>
    <t>VHB; A.; Ziff. 3.2.25 d)</t>
  </si>
  <si>
    <t>VHB; A.; Ziff. 3.3.2</t>
  </si>
  <si>
    <t>VHB; A; Ziff. 3.2.23</t>
  </si>
  <si>
    <t>zusätzlich versicherbar
bis 2.000 €</t>
  </si>
  <si>
    <t>VHB; A.; Ziff. 3.2.17</t>
  </si>
  <si>
    <t>VHB; D., Ziff. 3 / Ziff. 4.11</t>
  </si>
  <si>
    <t>VHB 2016
Stand 10-2016</t>
  </si>
  <si>
    <t>aktuell
(geprüft am 18.10.2016)</t>
  </si>
  <si>
    <t>VHB 2014
(Stand 01-2015)</t>
  </si>
  <si>
    <t>bis 40 % ab VS von 100.000I</t>
  </si>
  <si>
    <t>Bargeld - 3.000 € (Verdoppelung für spezielle Anlässe/ bestimmte Tage)
Urkunden - 10.000 €
Schmuck - 40.000 €</t>
  </si>
  <si>
    <t>2% der VS</t>
  </si>
  <si>
    <t xml:space="preserve">ja, bis VS </t>
  </si>
  <si>
    <t>AB_IHR, § 1, Ziff. 3</t>
  </si>
  <si>
    <t xml:space="preserve">bis 4 % der VS </t>
  </si>
  <si>
    <t xml:space="preserve">4% der VS </t>
  </si>
  <si>
    <t>1% der VS</t>
  </si>
  <si>
    <t>bis  1%  VS
(keine Wertsachen)</t>
  </si>
  <si>
    <t>bis 4% der VS
(Wertsachen 150 €)</t>
  </si>
  <si>
    <t>80 % der Kosten, max 6.000I</t>
  </si>
  <si>
    <t>aktuell
(geprüft am 19.10.2016)</t>
  </si>
  <si>
    <t>AB/EB_IHR_0516
Stand 05-2016</t>
  </si>
  <si>
    <t>aktuell
(geprüft am 20.10.2016)</t>
  </si>
  <si>
    <t>Helvetia Basis</t>
  </si>
  <si>
    <t>VHB 2015 / BB Komfort
(10-2015)</t>
  </si>
  <si>
    <t>VHB 2015 / BB Basic
(10-2015)</t>
  </si>
  <si>
    <t>VHB; A; Ziff. 9.2 b)</t>
  </si>
  <si>
    <t>VHB; A; Ziff. 6.2 c) cc) / BB Basic</t>
  </si>
  <si>
    <t>VHB; A; Ziff. 6.3 / BB Basic</t>
  </si>
  <si>
    <t>bis 30% der VS, max. 30.000 €,
max. 12 Monate</t>
  </si>
  <si>
    <t>bis 1% VS</t>
  </si>
  <si>
    <t>BB Komfort 2015</t>
  </si>
  <si>
    <t>BB Basic 2015</t>
  </si>
  <si>
    <t xml:space="preserve">bis 3.000 € 
 (Baustein Unterwegs) </t>
  </si>
  <si>
    <t>bis 10 % 500I SB</t>
  </si>
  <si>
    <t>VHB; A; Ziff. 2</t>
  </si>
  <si>
    <t>VHB; A; Ziff. 9.3 b)</t>
  </si>
  <si>
    <t>VHB; A; Ziff. 8 g)</t>
  </si>
  <si>
    <t>bis 1%
(eingeschränkte Nachtzeitklausel)</t>
  </si>
  <si>
    <t>bis 5 % der VS max. 5.000I</t>
  </si>
  <si>
    <t>bis 1000 €
(kein Bargeld / Wertsachen)</t>
  </si>
  <si>
    <t>bis 5% der Vs
 max. 5.000 €</t>
  </si>
  <si>
    <t>über Baustein Unterwegs</t>
  </si>
  <si>
    <t>250I 
Wertsachen max. 50 I</t>
  </si>
  <si>
    <t>max. 200 Tage,
bis 1‰ der VS pro Tag</t>
  </si>
  <si>
    <t>bis 1.000 €
bei Schäden &gt; 20.000 €</t>
  </si>
  <si>
    <t>bis 500 €
(aufgrund Nässeschaden)</t>
  </si>
  <si>
    <t>VHB; A; Ziff. 11</t>
  </si>
  <si>
    <t>aktuell
(geprüft am 21.10.2016)</t>
  </si>
  <si>
    <t>BB; Ziff. 5.3 / Ziff. 6 / 
Ziff. 17 / Ziff. 27 / 
ZB; Ziff. 18 / Leistungsübersicht</t>
  </si>
  <si>
    <t>VHB 2008
Stand 01-2016</t>
  </si>
  <si>
    <t>bis VS</t>
  </si>
  <si>
    <t xml:space="preserve">VHB; § 18, Ziff. 2 </t>
  </si>
  <si>
    <t>BB; Ziff. 56</t>
  </si>
  <si>
    <t>BB; Ziff. 54</t>
  </si>
  <si>
    <t>VHB; § 11</t>
  </si>
  <si>
    <t>VHB; § 23</t>
  </si>
  <si>
    <t>ja,</t>
  </si>
  <si>
    <t>Bargeld - 3.500 €
Urkunden - 20.000 €
Schmuck - 50.000 €</t>
  </si>
  <si>
    <t>nein</t>
  </si>
  <si>
    <t xml:space="preserve">bis 20.000I </t>
  </si>
  <si>
    <t>bis 25 %
max. 6 Monate</t>
  </si>
  <si>
    <t xml:space="preserve">bis 2% der VS
</t>
  </si>
  <si>
    <t>bis 25%</t>
  </si>
  <si>
    <t>bis 2,5%</t>
  </si>
  <si>
    <t>bis 2% mit Nachtzeitklausel
weltweit</t>
  </si>
  <si>
    <t>B2; Ziff. 2.6</t>
  </si>
  <si>
    <t>bis 1%
(ab 60. Lebensjahr)</t>
  </si>
  <si>
    <t>bis 3%
(ohne Altersbegrenzung)</t>
  </si>
  <si>
    <t>ab 5.000 €
Schadenhöhe
bis 2.500 €</t>
  </si>
  <si>
    <t>ab 5.000 €
Schadenhöhe
bis VSU</t>
  </si>
  <si>
    <t xml:space="preserve">
2,5 ‰ der VS pro Tag</t>
  </si>
  <si>
    <t>ab 10.000 €
Schadenhöhe
80 % bis 10.000 €</t>
  </si>
  <si>
    <t>VHB 2016 
(Stand 11-2016)</t>
  </si>
  <si>
    <t>aktuell
(geprüft am 23.12.2016)</t>
  </si>
  <si>
    <t>VHB 2012
Stand 10-2016</t>
  </si>
  <si>
    <t>wie 08-2012 / 05-2015</t>
  </si>
  <si>
    <t>aktuell
(geprüft am 23.11.2016)</t>
  </si>
  <si>
    <t>aktuell
(geprüft am 25.11.2016)</t>
  </si>
  <si>
    <t>VHB; A 9.2</t>
  </si>
  <si>
    <t>summarisch bis VS
über VS hinaus</t>
  </si>
  <si>
    <t>BB Basis-Plus; Ziff. 32</t>
  </si>
  <si>
    <t>BB Sorglos; Ziff. 18</t>
  </si>
  <si>
    <t>im Rahmen der VS
bis 3 Monate nach HF die auf Auszug folgt</t>
  </si>
  <si>
    <t>BB Basis-Plus; Ziff. 31</t>
  </si>
  <si>
    <t>bei VS = mind. 650 € pro qm</t>
  </si>
  <si>
    <t>Tarif 2016/04 Ziff. 2.5</t>
  </si>
  <si>
    <t>BB Basis-Plus; Ziff. 35</t>
  </si>
  <si>
    <t>ja
wenn ohne Mehrbeitrag</t>
  </si>
  <si>
    <t>BB Sorglos; Ziff. 20</t>
  </si>
  <si>
    <t>AHB; Ziff. 6.2.</t>
  </si>
  <si>
    <t>VHB; Ziff. 6.2 c) aa</t>
  </si>
  <si>
    <t>VHB; Ziff. 6.2 c) bb</t>
  </si>
  <si>
    <t>BB Sorglos; Ziff. 19</t>
  </si>
  <si>
    <t>Bargeld - 1.200 €
Urkunden - 3.000 €
Schmuck - 22.000 €</t>
  </si>
  <si>
    <t>AHB; Ziff. A 13.2 b</t>
  </si>
  <si>
    <t>AHB; Ziff. A 6.2 c) ii)</t>
  </si>
  <si>
    <t xml:space="preserve">ja
auch Tierarztkosten und Betreuung
je 2% </t>
  </si>
  <si>
    <t>Fahrräder und Anhäger bis 1%
Kinderwagen bis 2 %</t>
  </si>
  <si>
    <t>bis 2%</t>
  </si>
  <si>
    <t>Ja auch andere Gartengeräte 
und Möbel bis 2%
einfacher Diebstahl einge</t>
  </si>
  <si>
    <t>AHB; Ziff. A 6.2 c) gg)</t>
  </si>
  <si>
    <t>AHB; Ziff. A 6.2 c) ff)</t>
  </si>
  <si>
    <t>AHB; Ziff. A 6.2 c) hh)</t>
  </si>
  <si>
    <t>ja
sowie Garagen in der Nähe</t>
  </si>
  <si>
    <t>AHB; Ziff. A 6.3</t>
  </si>
  <si>
    <t>ausschließlich direkter Zugang
über Wohnung
z.B. Arbeitszimmer</t>
  </si>
  <si>
    <t>AHB; Ziff. A 6.3 a</t>
  </si>
  <si>
    <t>AHB; Ziff. A 6.3 b</t>
  </si>
  <si>
    <t>weltweit
bis 6 Monate
bis 20% der VS</t>
  </si>
  <si>
    <t>weltweit
bis 20% der VS</t>
  </si>
  <si>
    <t>ja
weltweit</t>
  </si>
  <si>
    <t>bis 2%
dauerhaft innerhalb Deutschland</t>
  </si>
  <si>
    <t>bis 20%</t>
  </si>
  <si>
    <t>AHB; Ziff.A 7.2 + 7.1</t>
  </si>
  <si>
    <t>VHB; A Ziff. 2.1</t>
  </si>
  <si>
    <t>VHB; A Ziff. 2.4</t>
  </si>
  <si>
    <t>Ja
bis VS</t>
  </si>
  <si>
    <t>ja bis 2% VS
techn. Defekt sowie Stromausfall</t>
  </si>
  <si>
    <t>BB Basis-Plus; Ziff. 2
BB Sorglos; Ziff. 2</t>
  </si>
  <si>
    <t>VHB; A Ziff. 2.3 b 
BB Sorglos; Ziff. 3</t>
  </si>
  <si>
    <t>AHB; A Ziff. 17.1 c) 
BB Bass-Plus; Ziff. 34</t>
  </si>
  <si>
    <t>BB Basis-Plus; Ziff. 14</t>
  </si>
  <si>
    <t>AHB; Ziff. 7.1 
BB Basis-Plus; Ziff. 17</t>
  </si>
  <si>
    <t>AHB; Ziff.A 7 
BB Basis-Plus; Ziff. 18</t>
  </si>
  <si>
    <t>AHB; Ziff.A7  
BB Basis-Plus; Ziff. 16 + 19</t>
  </si>
  <si>
    <t>BB Basis-Plus; Ziff. 7</t>
  </si>
  <si>
    <t>BB Sorglos; Ziff. 12</t>
  </si>
  <si>
    <t>BB Sorglos; Ziff. 12
BB Basis-Plus; Ziff. 9</t>
  </si>
  <si>
    <t>AHB; Ziff. A 6.2 c) jj + A 8.2 k) 
BB Sorglos; Ziff. 17</t>
  </si>
  <si>
    <t>BB Sorglos; Ziff. 14</t>
  </si>
  <si>
    <t>Ja
aber keine Dauereinwirkung</t>
  </si>
  <si>
    <t>BB Basis-Plus; Ziff. 1 b
BB Sorglos; Ziff. 1</t>
  </si>
  <si>
    <t>Sengschäden bis VS
SB 100 €</t>
  </si>
  <si>
    <t>BB Basis-Sorglos; Ziff. 4</t>
  </si>
  <si>
    <t>BB Basis-Plus; Ziff. 1 c</t>
  </si>
  <si>
    <t>VHB; A Ziff. 2.5</t>
  </si>
  <si>
    <t>VHB; A Ziff. 1.1 a + 2.1 d
BB Basis-Plus; Ziff. 1 a</t>
  </si>
  <si>
    <t>VHB; A Ziff. 4.2</t>
  </si>
  <si>
    <t>ja
bis 2% der VS</t>
  </si>
  <si>
    <t>VHB; A Ziff. 4.2
BB Basis-Plus Ziff.10</t>
  </si>
  <si>
    <t>ja (Leitungswasser??)
bis 2% der VS</t>
  </si>
  <si>
    <t>?</t>
  </si>
  <si>
    <t>VHB; A Ziff. 4.1</t>
  </si>
  <si>
    <t>BB Basis-Plus; Ziff. 12</t>
  </si>
  <si>
    <t>VHB; A Ziff. 4.1 a) bb)</t>
  </si>
  <si>
    <t>VHB; A Ziff. 4.1 a) cc)</t>
  </si>
  <si>
    <t>BB Basis-Plus; Ziff. 10</t>
  </si>
  <si>
    <t>ja 
Gasrohren</t>
  </si>
  <si>
    <t>BB Basis-Plus; Ziff. 11</t>
  </si>
  <si>
    <t>VHB; A Ziff. 4.1 b) bb)</t>
  </si>
  <si>
    <t>VHB; A Ziff. 5.2</t>
  </si>
  <si>
    <t>VHB; A Ziff. 3.3</t>
  </si>
  <si>
    <t>VHB; A Ziff. 3.4</t>
  </si>
  <si>
    <t>BB Sorglos; Ziff. 5</t>
  </si>
  <si>
    <t>VHB; A Ziff. 1.1 + 3.2 e) + 3.3</t>
  </si>
  <si>
    <t>Kinderwagen bis 2 %</t>
  </si>
  <si>
    <t>innerhalb der EU, Schweiz und Norwegen</t>
  </si>
  <si>
    <t>BB; Basis-Plus Ziff. 6
BB; Sorglos Ziff.7</t>
  </si>
  <si>
    <t>bis 2% der VS
(keine Wertsachen + elektr. Geräte)</t>
  </si>
  <si>
    <t>bis 2% der VS
(keine Wertsachen + elektr. Geräte)
keine Wohnwagenanhänger</t>
  </si>
  <si>
    <t>BB Basis-Plus Ziff. 7
BB Sorglos Ziff.8</t>
  </si>
  <si>
    <t>bis 3% der VS
Kinderspiel- und Sportgeräte</t>
  </si>
  <si>
    <t>bis 500 €
Bargeld/ Karten bis 100 €
keine Wertsachen und z.B Telefone
(keine Wertsachen)</t>
  </si>
  <si>
    <t>BB Sorglos Ziff.10</t>
  </si>
  <si>
    <t>BB Sorglos Ziff.9</t>
  </si>
  <si>
    <t>bis 1.000 €
(Bargeld bis 100 €)
Wertsachen aus Nachttisch
bis 250 €</t>
  </si>
  <si>
    <t>BB Sorglos Ziff. 11</t>
  </si>
  <si>
    <t>bis 1.000 € innnerhalb VO
ausserhalb nur Ersatz von Dokumenten</t>
  </si>
  <si>
    <t>bis 200 €
am VO (Wohnung)</t>
  </si>
  <si>
    <t>VHB; A Ziff. 8.2 j) aa)</t>
  </si>
  <si>
    <t>BB Basis-Plus Ziff. 3</t>
  </si>
  <si>
    <t>BWE 2013 Ziff. A4</t>
  </si>
  <si>
    <t>Deckungsnote</t>
  </si>
  <si>
    <t>VHB; A Ziff. 8.2 a) + b)</t>
  </si>
  <si>
    <t>VHB; A Ziff. 8.2 f)</t>
  </si>
  <si>
    <t>ja
zum Schutz versicherter Sachen</t>
  </si>
  <si>
    <t>VHB; A Ziff. 8.2 i)</t>
  </si>
  <si>
    <t>ja bis 2%
bestimmte Haushaltsgeräte
z.B. Kühlschrank</t>
  </si>
  <si>
    <t>BB Basis-Plus Ziff. 28</t>
  </si>
  <si>
    <t>ja
durch versichertes Ereignis</t>
  </si>
  <si>
    <t>VHB; A Ziff. 8.2 e)</t>
  </si>
  <si>
    <t>bis 2% VS</t>
  </si>
  <si>
    <t>VHB; A Ziff. 8.2 l)
BB Basis-Plus Ziff. 23</t>
  </si>
  <si>
    <t>BB Sorglos Ziff. 17</t>
  </si>
  <si>
    <t>VHB; A Ziff. 8.2 d)</t>
  </si>
  <si>
    <t>ja
ab vorraussichtl Schadenshöde
&gt; 5.000 €</t>
  </si>
  <si>
    <t>BB Basis-Plus Ziff. 25</t>
  </si>
  <si>
    <t>bis 365 Tage,
2 ‰ der VS pro Tag</t>
  </si>
  <si>
    <t>VHB; A Ziff. 8.2 c)
BB Basis-Plus Ziff. 20
BB Sorglos Ziff. 16</t>
  </si>
  <si>
    <t>80% der Kosten max 2% der VS
bei Schäden F &gt;25.000 €
bei LW ST/H und El 10.000 €</t>
  </si>
  <si>
    <t>BB Basis-Plus Ziff. 30</t>
  </si>
  <si>
    <t>bis 500 €
nur Wiederherstellung</t>
  </si>
  <si>
    <t>BB Basis-Plus Ziff. 29</t>
  </si>
  <si>
    <t>BB Basis-Plus Ziff. 26</t>
  </si>
  <si>
    <t>BB Basis-Plus Ziff. 33</t>
  </si>
  <si>
    <t>VHB; A Ziff. 11.4</t>
  </si>
  <si>
    <t>BB Basis-Plus Ziff. 4</t>
  </si>
  <si>
    <t>ab 200.000 € VS
ab 45% Wertsachen</t>
  </si>
  <si>
    <t>Tarifbuch Ziff. 2.8.1</t>
  </si>
  <si>
    <t xml:space="preserve">aktuell
(geprüft am 05.05.2017) Kiss </t>
  </si>
  <si>
    <t xml:space="preserve">Gartenmöbel, Pavillions, Grills,
Wäschespinnen, Kinder- u. Sportgeräte
inl. Trampoline
im Freien bis 2% VS
St/H (Ele wenn vereinbart)
BB Basis-Plus Ziff. 13
BB Sorglos Ziff.13
Terrassenüberdachung und
Balkonverkleidung bis 2% VS
BB Basis-Plus Ziff.15
Vorsorge Auszug Kinder
im Rahmen der VS 
bis 3 Monate nach HF auf Auszug
BB Basis-Plus Ziff. 31
Zweitwohnung (beruflich)
bis 15.000€ Schaden
Wertsachen 2.500 €
BB Sorglos Ziff. 15
DauerUVV und erhöhte Vorsorge 30%
BB Sorglos Ziff. 15
Gleichstellungsgarantie VorVers.
BB Sorglos; Ziff. 21
Produktverbesserungs-Garantie
optional
BB Sorglos Ziff. 22
Optional 
Einlagerung Hausrat
Klausel 7214
</t>
  </si>
  <si>
    <t>VHB 2016
(Stand 01.04.2017)</t>
  </si>
  <si>
    <t>Concordia Sorglos</t>
  </si>
  <si>
    <t>1%, Wertsachen und elektron. Geräte bis 500 €</t>
  </si>
  <si>
    <t>AXA BOXplus Extra
(Stand 05-2009)</t>
  </si>
  <si>
    <t>AXA inkl. Bausteine
(Stand 01-2008 / 05-2009)</t>
  </si>
  <si>
    <t>ITL afm Classic 2000
(Stand 10-2001)</t>
  </si>
  <si>
    <t>ITL afm Protect 2010
(Stand 06-2010)</t>
  </si>
  <si>
    <t>ITL afm Eurosecure 2010
(Stand 06-2010)</t>
  </si>
  <si>
    <t>Helvetia Komfort
(Stand 07-2012)</t>
  </si>
  <si>
    <t>Höchstentschädigung versicherter Kosten
(sofern keine anderen Entschädigungsgrenzen bestehen)</t>
  </si>
  <si>
    <t>Vorsorge</t>
  </si>
  <si>
    <t>Garantierte Mindeststandards ( GDV / AKBP )</t>
  </si>
  <si>
    <t>Besitzstandsgarantie
(ununterbrochen zum direkten Vorvertrag)</t>
  </si>
  <si>
    <t>Versicherte Gefahren Feuer</t>
  </si>
  <si>
    <t>Die Grunddeckung beeinhaltet Brand, Blitzschlag, Explosion sowie</t>
  </si>
  <si>
    <t>Implosion</t>
  </si>
  <si>
    <t>Überspannung durch Blitz und Kurzschluss</t>
  </si>
  <si>
    <t>Anprall oder Absturrz von Fahrzeugen bzw. unbemannten Flugkörpern</t>
  </si>
  <si>
    <t>Versicherte Gefahren Leitungswasser</t>
  </si>
  <si>
    <t>zusätzlich versicherbar
über Elementarversicherung</t>
  </si>
  <si>
    <t>zusätzlich versicherbar
über Baustein Elementar</t>
  </si>
  <si>
    <t>zusätzlich versicherbar
über Paket Elementar</t>
  </si>
  <si>
    <t>sofern witterungsbedingt und ein Rückstauventil vorhanden ist</t>
  </si>
  <si>
    <t>ja (sofern funktionsfähiges Rückstauventil besteht)</t>
  </si>
  <si>
    <t>ja, innerhalb Kllimakasko 
(abwählbar)</t>
  </si>
  <si>
    <t>A.; Ziff. 1.2.5 (2)</t>
  </si>
  <si>
    <t>VGB; II.; A.; Ziff. 4.3</t>
  </si>
  <si>
    <t>BBEW; Ziff. 2</t>
  </si>
  <si>
    <t>BBE 2011</t>
  </si>
  <si>
    <t>BEW; §2 / Tarif; III.; Ziff. 6</t>
  </si>
  <si>
    <t>BWE / Leistungsübersicht</t>
  </si>
  <si>
    <t>BB; Ziff. 4.2 a) / Rechner</t>
  </si>
  <si>
    <t>B3</t>
  </si>
  <si>
    <t>WG 0157 / Antrag</t>
  </si>
  <si>
    <t>WEZ; A.; §4 / Tarif</t>
  </si>
  <si>
    <t>GB 3307; Ziff. 1 a)</t>
  </si>
  <si>
    <t>Antrag / ELW; § 4, Ziff. 2 a)</t>
  </si>
  <si>
    <t>Klausel 7279; Ziff. 1</t>
  </si>
  <si>
    <t>BWE; C.; §2</t>
  </si>
  <si>
    <t>Leistungsüberischt</t>
  </si>
  <si>
    <t>BEW</t>
  </si>
  <si>
    <t>BB; Ziff. 3.13</t>
  </si>
  <si>
    <t>BEH; Ziff. 6.1</t>
  </si>
  <si>
    <t>WGB F; Ziff. 4.1.2</t>
  </si>
  <si>
    <t>WGVB; §6, Ziff. 4 b)</t>
  </si>
  <si>
    <t>VGB; , Ziff. 4.3.3</t>
  </si>
  <si>
    <t>BWE</t>
  </si>
  <si>
    <t>Fußbodenheizung</t>
  </si>
  <si>
    <t>Aquarien und Wasserbetten ggf. Wassersäulen und Zimmerbrunnen</t>
  </si>
  <si>
    <t>Schläuche (nicht Verschleiß)</t>
  </si>
  <si>
    <t>Zu-/Ableitungssystemschläuche+ Wasch-/Spühlmaschinenschläuche</t>
  </si>
  <si>
    <t>mit Zu-/ Ableitungssystem
verbundene Schläuche</t>
  </si>
  <si>
    <t>ja, von Wasch- und Geschirrspülmaschinen</t>
  </si>
  <si>
    <t>Wasch-/Spülmaschinenschläuche</t>
  </si>
  <si>
    <t>ja (gemäß Leistungsübersicht 
bis 250 €)</t>
  </si>
  <si>
    <t>bis 1% der VS,
max. 3.000 €</t>
  </si>
  <si>
    <t>Waschmaschinen- und
Spülmaschinenschläuche</t>
  </si>
  <si>
    <t>mit Zu-/Ableitungssystem 
verbundene Schläuche</t>
  </si>
  <si>
    <t>mit Zu-/ Ableitungssystem
verbundene Schläuche
bis 1.000 €</t>
  </si>
  <si>
    <t>VGB; II.; A.; Ziff. 3.1 a) aa)
VGB; IV.; Klauseln; Ziff. 1</t>
  </si>
  <si>
    <t>VGB; B.; Ziff. 3.1.1</t>
  </si>
  <si>
    <t>VGB; A; §3, Ziff. 1 a) aa)</t>
  </si>
  <si>
    <t>Klausel 0956 / Tarif; III.; Ziff. 4</t>
  </si>
  <si>
    <t>VGB; A; § 3, Ziff. 1.1 a)</t>
  </si>
  <si>
    <t>BB; Ziff. 2.5</t>
  </si>
  <si>
    <t>BB; Ziff. 3.7</t>
  </si>
  <si>
    <t>VGB; A; §3; Ziff. 1 a) aa)</t>
  </si>
  <si>
    <t>VGB; B1; § 3, Ziff. 1 a) aa)</t>
  </si>
  <si>
    <t>VGB; Ziff. 7.3</t>
  </si>
  <si>
    <t>WEZ; A.; §3; Ziff. 1 a) aa)</t>
  </si>
  <si>
    <t>GB 3300; §7, Ziff. 1 a)</t>
  </si>
  <si>
    <t>B 10</t>
  </si>
  <si>
    <t>B37; §3, Ziff. 1.1 a) / Verbindliche Erläuterungen zu §3, Ziff. 1 / Ziff. 2</t>
  </si>
  <si>
    <t>B38; §3, Ziff. 1.1 a) / Verbindliche Erläuterungen zu §3, Ziff. 1 / Ziff. 2</t>
  </si>
  <si>
    <t>VGB; A; §3, Ziff. 1 a) gg)</t>
  </si>
  <si>
    <t>VGB; C; §B, Ziff. 13</t>
  </si>
  <si>
    <t>VGB; D; §B, Ziff.13</t>
  </si>
  <si>
    <t>VGB; D; §10, Ziff. f)</t>
  </si>
  <si>
    <t>VGB; B; § 3, Ziff. 1 b) aa)</t>
  </si>
  <si>
    <t>VGB; §3; Ziff. 1 a) aa)</t>
  </si>
  <si>
    <t>BB; Ziff. 3.8</t>
  </si>
  <si>
    <t>Klausel 1201/016/0 / Versicherungsschein</t>
  </si>
  <si>
    <t>WGB F; Ziff. 3.1.1.1</t>
  </si>
  <si>
    <t>WGVB; §7, Ziff. 1 a)</t>
  </si>
  <si>
    <t>VGB; A; §6, 3 a</t>
  </si>
  <si>
    <t>VGB § 3, Ziff. 1 a) aa)</t>
  </si>
  <si>
    <t>Zu- und Ableitungsrohren</t>
  </si>
  <si>
    <t>Sanitäreinrichtungen (nicht Verschleiß)</t>
  </si>
  <si>
    <t>nur frostbedingte
Bruchschäden</t>
  </si>
  <si>
    <t>nur frostbedingt (über Baustein "Haus + Wohnen" bis 300 €)</t>
  </si>
  <si>
    <t>A.; Ziff. 1.2.3 (2) b)</t>
  </si>
  <si>
    <t>VGB; II.; A.; Ziff. 3.1 b) aa)</t>
  </si>
  <si>
    <t>VGB; B.; Ziff. 3.1.2</t>
  </si>
  <si>
    <t>VGB; A; §3, Ziff. 1 b) aa)</t>
  </si>
  <si>
    <t>VGB; §7, Ziff. 2 a)</t>
  </si>
  <si>
    <t>VGB; A; § 3, Ziff. 1.2 a)</t>
  </si>
  <si>
    <t>VGB; A; §3; Ziff. 1 b) aa)</t>
  </si>
  <si>
    <t>VGB; B1; § 3, Ziff. 1 b) aa)</t>
  </si>
  <si>
    <t>VGB; Ziff. 7.4.1</t>
  </si>
  <si>
    <t>WEZ; A.; §3; Ziff. 1 b) aa)</t>
  </si>
  <si>
    <t>GB 3300; §7, Ziff. 2 a)</t>
  </si>
  <si>
    <t>VGB; §3, Ziff. 1 b) aa) / BHSB 2012; §9</t>
  </si>
  <si>
    <t>VHB; § 7; Ziff. 2 a)</t>
  </si>
  <si>
    <t>B37; §3, Ziff. 1.2 a) / Verbindliche Erläuterungen zu §3, Ziff. 1 / Ziff. 2</t>
  </si>
  <si>
    <t>B38; §3, Ziff. 1.2 a) / Verbindliche Erläuterungen zu §3, Ziff. 1 / Ziff. 2</t>
  </si>
  <si>
    <t>VGB; C; §B, Ziff. 10 f)</t>
  </si>
  <si>
    <t>VGB; D; §B, Ziff.10)f</t>
  </si>
  <si>
    <t>VGB; §3; Ziff. 1 b) aa)</t>
  </si>
  <si>
    <t>VGB; A; § 3, Ziff. 1 b) aa)</t>
  </si>
  <si>
    <t>VGB; Ziff. 6.2.2</t>
  </si>
  <si>
    <t>WGB F; Ziff. 3.1.2.1</t>
  </si>
  <si>
    <t>WGVB; §7, Ziff. 2 a)</t>
  </si>
  <si>
    <t xml:space="preserve">VGB; A; §6,  </t>
  </si>
  <si>
    <t>VGB § 3, Ziff. 1 a) bb)</t>
  </si>
  <si>
    <t>VGB; A.; §3 (1) b) aa)</t>
  </si>
  <si>
    <t>Armaturen (nicht Verschleiß)</t>
  </si>
  <si>
    <t>Heizkessel, Heizkörper (nicht Verschleiß)</t>
  </si>
  <si>
    <t>Versicherte Gefahren Sturm / Hagel</t>
  </si>
  <si>
    <t>Eindringen von Niederschlag durch nicht sturmbedingte Öffnungen
Regen-/ Schmelzwasser
z.B. Offenes Fenster</t>
  </si>
  <si>
    <t>Versicherte Gefahren erweitert</t>
  </si>
  <si>
    <t>Versicherte Gefahr ED / Diebstahl</t>
  </si>
  <si>
    <t>Einfacher Diebstahl</t>
  </si>
  <si>
    <t>bis 5.000 €; über Baustein Premium bis 10.000 €</t>
  </si>
  <si>
    <t>bis 3‰ der VS * Anpassungsfaktor</t>
  </si>
  <si>
    <t>bis 5% der VS,
max. 50.000 €</t>
  </si>
  <si>
    <t>bis 500.000 €</t>
  </si>
  <si>
    <t>über Paket Risiko Plus bis 10.000 €</t>
  </si>
  <si>
    <t>ja,
bei Zwei- oder Mehrfamilienhäusern</t>
  </si>
  <si>
    <t>bei Zwei-/ Mehrfamilienhäusern
bis 3% der VS (erhöhbar)</t>
  </si>
  <si>
    <t>bis 7.500 €</t>
  </si>
  <si>
    <t>bis 10.000 €
(500 € SB)</t>
  </si>
  <si>
    <t>A.; Ziff. 1.2.1 (4) a)</t>
  </si>
  <si>
    <t>VGB; IV.; Klauseln; Ziff. 2 / Leistungsübersicht</t>
  </si>
  <si>
    <t>BBVG; Ziff. 10</t>
  </si>
  <si>
    <t>BBVG; Ziff. 18</t>
  </si>
  <si>
    <t>VGB; A; §7, Ziff. 1</t>
  </si>
  <si>
    <t>Klausel 7361 / Tarif; III.; Ziff. 4</t>
  </si>
  <si>
    <t>Klausel 2813</t>
  </si>
  <si>
    <t>Klausel 2813; Ziff. 2 a)</t>
  </si>
  <si>
    <t>BB; Ziff. 5.2</t>
  </si>
  <si>
    <t>BB; Ziff. 6.2</t>
  </si>
  <si>
    <t>VGB; B1; § 9, Ziff. 10 d)</t>
  </si>
  <si>
    <t>B2 zu § 9, 4.</t>
  </si>
  <si>
    <t>WG 0121 / Leistungsübersicht</t>
  </si>
  <si>
    <t>WEZ; C.; E.; Ziff. 1</t>
  </si>
  <si>
    <t>GB 3304</t>
  </si>
  <si>
    <t>Klausel 7361</t>
  </si>
  <si>
    <t>A 3</t>
  </si>
  <si>
    <t>B37; §2, Ziff. 6</t>
  </si>
  <si>
    <t>B38; §2, Ziff. 7.1</t>
  </si>
  <si>
    <t>VGB; A; §8, Ziff. 1 e)</t>
  </si>
  <si>
    <t>Klausel 7361; Ziff. 2 / Homepage</t>
  </si>
  <si>
    <t>BB; Ziff. 5.4</t>
  </si>
  <si>
    <t>Klausel 1201/012/0 / Versicherungsschein</t>
  </si>
  <si>
    <t>VGB Plus; Ziff. 4.1</t>
  </si>
  <si>
    <t>WGB F; Ziff. 8.1.13</t>
  </si>
  <si>
    <t>WGVB; §4 a), Ziff. 3</t>
  </si>
  <si>
    <t>VGB; Ziff. 4.8.6</t>
  </si>
  <si>
    <t>Klausel 7361 / Leistungsübersicht</t>
  </si>
  <si>
    <t>unbenannte Gefahren</t>
  </si>
  <si>
    <t>Schutzbrief / Entfernung von Bienen- Hornissen- und Wespennestern</t>
  </si>
  <si>
    <t>Verzicht auf Kürzung bei grober Fahrlässigkeit
(Herbeiführung Versicherungsfall)</t>
  </si>
  <si>
    <t>ja (bei einigen Obliegenheits-verletzungen bis 2.500 €)</t>
  </si>
  <si>
    <t>bis 500.000 (+vorübergehende (max. 
4 Monate) Obliegenheitsverletz-ungen der Sicherheitsvorschriften)</t>
  </si>
  <si>
    <t>ja (+vorübergehende (max. 
4 Monate) Obliegenheitsverletz-ungen der Sicherheitsvorschriften)</t>
  </si>
  <si>
    <t>bis 10.000 € (+vorübergehende (max. 
4 Monate) Obliegenheitsverletz-ungen der Sicherheitsvorschriften)</t>
  </si>
  <si>
    <t>ja (bei Obliegenheitsverletzungen 
bis 10.000 €)</t>
  </si>
  <si>
    <t>ja, außer bei Vorsatz</t>
  </si>
  <si>
    <t>bis 500.000 € 
(auch bei Obliegenheitsverletzungen bis 5.000 €)</t>
  </si>
  <si>
    <t>bis 300 € je qm*AF (Risiko Plus:600 € je qm * AF ; Rundum Sorglos: ja)</t>
  </si>
  <si>
    <t xml:space="preserve">ja, bis 25.000 € </t>
  </si>
  <si>
    <t>zusätzlich versicherbar
(250 € SB)</t>
  </si>
  <si>
    <t>bis 10.000 I</t>
  </si>
  <si>
    <t>A.; Ziff. 2.3 (2)</t>
  </si>
  <si>
    <t>VGB; IV.; Klauseln; Ziff. 2</t>
  </si>
  <si>
    <t>BBVG; Ziff. 40 / Leistungsübersicht</t>
  </si>
  <si>
    <t>VGB; B; §15, Ziff. 1</t>
  </si>
  <si>
    <t>Klausel 0973 / Tarif; III.; Ziff. 4</t>
  </si>
  <si>
    <t>Klausel 2808</t>
  </si>
  <si>
    <t>BB; Ziff. 5.3.1 - 5.3.6</t>
  </si>
  <si>
    <t>BB; Ziff. 6.3.1 - 6.3.6</t>
  </si>
  <si>
    <t>VGB; A; §16</t>
  </si>
  <si>
    <t>VGB; B1; § 20, Ziff. 1</t>
  </si>
  <si>
    <t>B2 zu § 20 / § 16.3</t>
  </si>
  <si>
    <t>WG 0151 / Leistungsübersicht</t>
  </si>
  <si>
    <t>WEZ; C.; E.; Ziff. 3</t>
  </si>
  <si>
    <t>WEZ; C.; E.; Ziff. 3 / Klausel 7070; B.; Ziff. 5</t>
  </si>
  <si>
    <t>GB 3301 / GB 3304 / Leistungsübersicht</t>
  </si>
  <si>
    <t>A 2</t>
  </si>
  <si>
    <t>VHB; § 21</t>
  </si>
  <si>
    <t>B37; §16, Ziff. 2</t>
  </si>
  <si>
    <t>B38; §15, Ziff. 1.3 / §16</t>
  </si>
  <si>
    <t>VGB; E; §15, Ziff. 3</t>
  </si>
  <si>
    <t>BB; Ziff. 6 ZB1</t>
  </si>
  <si>
    <t>BB; Ziff. 6.9</t>
  </si>
  <si>
    <t>BB; Ziff. 6.8</t>
  </si>
  <si>
    <t>VGB; Ziff. 28.1</t>
  </si>
  <si>
    <t>VGB Plus; Ziff. 2</t>
  </si>
  <si>
    <t>WGB F; Ziff. 24.1.2 / Leistungsübersicht</t>
  </si>
  <si>
    <t>WGVB; §9, Ziff. 2</t>
  </si>
  <si>
    <t>VGB; Ziff. 4.7.4</t>
  </si>
  <si>
    <t>Klausel 0034</t>
  </si>
  <si>
    <t>Klausel 0035</t>
  </si>
  <si>
    <t>Verzicht auf Kürzung bei grober Fahrlässigkeit
(Sicherheitsvorschriften und Obligenheiten)</t>
  </si>
  <si>
    <t>Obliegenheiten / Meldefristen</t>
  </si>
  <si>
    <t>optionaler Baustein Elementarrisiko</t>
  </si>
  <si>
    <t>versichert</t>
  </si>
  <si>
    <t>nicht versichert</t>
  </si>
  <si>
    <t>Reisegepäck</t>
  </si>
  <si>
    <t xml:space="preserve">entschädigungsgrenze % fest + SB / Ausschluss Werstachen </t>
  </si>
  <si>
    <t>Diebstahl durch Hausangestellte</t>
  </si>
  <si>
    <t>Transportmittelunfall</t>
  </si>
  <si>
    <t>Taschendiebstahl</t>
  </si>
  <si>
    <t>Sturm hier oder einzeln</t>
  </si>
  <si>
    <t>Unterversicherungsverzicht gilt wenn bzw. generell</t>
  </si>
  <si>
    <t>Neu</t>
  </si>
  <si>
    <t>Schäden durch Wildtiere</t>
  </si>
  <si>
    <t>Zellerläuterungen</t>
  </si>
  <si>
    <t>Geprüft von</t>
  </si>
  <si>
    <t xml:space="preserve">Definitionen </t>
  </si>
  <si>
    <t>Wohnfläche</t>
  </si>
  <si>
    <t xml:space="preserve">Tarife im Vergleich zum </t>
  </si>
  <si>
    <t>Allianz SicherheitPlus</t>
  </si>
  <si>
    <t>Allianz SicherheitBest</t>
  </si>
  <si>
    <t>A; Ziff. 1.4.1 (7)</t>
  </si>
  <si>
    <t>A; Ziff. 1.4.1 (8)</t>
  </si>
  <si>
    <t>ABC Privatschutz +
PSV--2479Z0(000)</t>
  </si>
  <si>
    <t>A; Ziff. 1.1.1 (1)</t>
  </si>
  <si>
    <t>A; Ziff. 1.1.1 (2) b)</t>
  </si>
  <si>
    <t>A; Ziff. 2.2 (2)</t>
  </si>
  <si>
    <t>Wertbehältnisse</t>
  </si>
  <si>
    <t>Es gelten besondere Entschädigungsgrenzen für Wertsachen, die sich außerhalb eines der folgenden Behältnisse befinden:
• Außerhalb verschlossener mehrwandiger Stahlschränke mit einem Mindestgewicht von 300 kg.
• Außerhalb verschlossener eingemauerter Stahlwandschränke
mit mehrwandiger Tür.
• Außerhalb besonders vereinbarter, sonstiger verschlossener Behältnisse mit zusätzlichen Sicherheitsmerkmalen (beispielsweise ein Tresor).
A; Ziff. 2.2 (3)</t>
  </si>
  <si>
    <t xml:space="preserve">Allianz 300 kg
Urkunden, Sparbücher und sonstige Wertpapiere </t>
  </si>
  <si>
    <t>A; Ziff. 2.2 (3) a-c)</t>
  </si>
  <si>
    <t>beruflich oder gewerblich genutzt</t>
  </si>
  <si>
    <t>A; Ziff. 1.1.1 (2) e)</t>
  </si>
  <si>
    <t>A; Ziff. 1.1.1 (2) e) + 1.3.1 (3)</t>
  </si>
  <si>
    <t>A; Ziff. 1.1.1 (2) f)</t>
  </si>
  <si>
    <t>A; Ziff. 1.1.1 (2) c)</t>
  </si>
  <si>
    <t>auch mit Motor</t>
  </si>
  <si>
    <t>A; Ziff. 1.1.1 (2) d)</t>
  </si>
  <si>
    <t>Fremdes Eigentum</t>
  </si>
  <si>
    <t>A; Ziff. 1.1.1 (3)</t>
  </si>
  <si>
    <t>A; Ziff. 1.3.1 (3)</t>
  </si>
  <si>
    <t>ja
Garagen auch auf benachbarten oder gegenüberliegenden Grundstücken</t>
  </si>
  <si>
    <t>ja 
(nur überdachte Terrassen)</t>
  </si>
  <si>
    <t>Räume in Nebengebäuden auf dem Versicherungsgrundstück
Keller und Speicherabteile</t>
  </si>
  <si>
    <t>Wohnungsechsel</t>
  </si>
  <si>
    <t>3 Monate</t>
  </si>
  <si>
    <t>A; Ziff. 1.3.2 (2)</t>
  </si>
  <si>
    <t>A; Ziff. 1.3.1 (2) a+b)</t>
  </si>
  <si>
    <t xml:space="preserve">30 % der VS
max. 6 Monate
weltweit </t>
  </si>
  <si>
    <t>A; Ziff. 1.3.3 (1) / (6)</t>
  </si>
  <si>
    <t>A; Ziff. 1.3.3 (2) / (6)</t>
  </si>
  <si>
    <t>Summen / Zeitraum / Geltungsbereich
St/H nur in Gebäuden
Begrenzung im Rahmen der Wertsachen</t>
  </si>
  <si>
    <t>A; Ziff. 1.3.3 keine Nennung</t>
  </si>
  <si>
    <t>A; Ziff. 1.3.3 (2) / (6) + ABC</t>
  </si>
  <si>
    <t>A; Ziff. 1.2.1 (1)</t>
  </si>
  <si>
    <t>nur Luftfahrzeuge 
(keine Flugmodelle)</t>
  </si>
  <si>
    <t>LFz und seiner Teile und Ladung</t>
  </si>
  <si>
    <t>A; Ziff. 2.1 (1)</t>
  </si>
  <si>
    <t>nur aus dem 
1. oder 2. Weltkrieg</t>
  </si>
  <si>
    <t>A; Ziff. 1.2.1 (2) + 1.2.10</t>
  </si>
  <si>
    <t>nur an elektrischen Geräten</t>
  </si>
  <si>
    <t>A; Ziff. 1.2.2 (1)</t>
  </si>
  <si>
    <t>Feuer.Nutzwärme-Schaden</t>
  </si>
  <si>
    <t>A; Ziff. 1.2.9</t>
  </si>
  <si>
    <t>20% der VS
Überspannung durch Gewitter</t>
  </si>
  <si>
    <t>A; Ziff. 1.2.5 (1)</t>
  </si>
  <si>
    <t>Einrichtungen, die mit dem Rohrsystem der Wasserversorgung
verbunden sind oder aus deren Wasser führenden Teilen.</t>
  </si>
  <si>
    <t>Anlagen der Warmwasser- oder Dampfheizung</t>
  </si>
  <si>
    <t>Einrichtungen von Klima-, Wärmepumpen- oder Solarheizungsanlagen</t>
  </si>
  <si>
    <t>LW gleichgestellt Wasserdampf
und wärmetragende Flüssigkeiten
(z.B. Sole, Öle, kühl- und Kältemittel)</t>
  </si>
  <si>
    <t>Vorrausetzung:
• Sie haben diese Anlagen oder Rohre als Mieter oder Wohnungseigentümer auf Ihre Kosten angeschafft oder übernommen.
• Sie tragen für diese Anlagen und Rohre die Gefahr.</t>
  </si>
  <si>
    <t>Frostschäden an Anlagen und LW führenden Installationen.
Darüber hinaus sind auch Frost- und sonstige Bruchschäden an den jeweiligen Zu- und Ableitungsrohren versichert.</t>
  </si>
  <si>
    <t>A; Ziff. 1.2.5 (2)</t>
  </si>
  <si>
    <t>A; Ziff. 1.2.6 (1)</t>
  </si>
  <si>
    <t>Windstärke 8
und Anscheinsbeweis</t>
  </si>
  <si>
    <t>Im Rahmen von
Diebstahl von Garteninventar</t>
  </si>
  <si>
    <t>A; Ziff. 1.2.1 (2) + 1.2.7 a)</t>
  </si>
  <si>
    <t>A; Ziff. 1.2.3 (1) c)</t>
  </si>
  <si>
    <t>A; Ziff. 1.2.4 + 1.2.3 (1) a)</t>
  </si>
  <si>
    <t>A; Ziff. 1.2.4 + 1.2.3 (1) f)</t>
  </si>
  <si>
    <t>Einbruchdiebsathl</t>
  </si>
  <si>
    <t>Einschleichen, Verborgen halten</t>
  </si>
  <si>
    <t>Der Dieb entwendet Sachen aus der verschlossenen Wohnung,
nachdem er sich dort eingeschlichen oder verborgen gehalten hat.</t>
  </si>
  <si>
    <t>Versichert ist auch, wenn der Dieb zum Öffnen des Behältnisses einen falschen Schlüssel oder andere Werkzeuge benutzt. Der Gebrauch falscher Schlüssel ist nicht schon dann bewiesen, wenn feststeht, dass versicherte Sachen abhandengekommen sind.</t>
  </si>
  <si>
    <t>Versichert ist auch, wenn der Dieb mittels eines falschen Schlüssels oder anderer nicht zum ordnungsgemäßen Öffnen bestimmter Werkzeuge eindringt. Ein Schlüssel ist falsch, wenn seine Anfertigung nicht von einer dazu berechtigten Person veranlasst oder gebilligt wurde. Der Gebrauch falscher Schlüssel ist nicht schon dann bewiesen, wenn feststeht, dass versicherte Sachen abhandengekommen sind.</t>
  </si>
  <si>
    <t>Der Dieb öffnet ein Behältnis in einem Raum eines Gebäudes mit einem zuvor durch Raub oder Einbruchdiebstahl erlangten richtigen Schlüssel. Das Erlangen des Schlüssels kann auch außerhalb der versicherten Wohnung erfolgt sein.</t>
  </si>
  <si>
    <t>Der Dieb dringt mit einem zuvor durch Raub oder Diebstahl erlangten richtigen Schlüssel in einen Raum eines Gebäudes ein. Das Erlangen des Schlüssels kann auch außerhalb der versicherten Wohnung erfolgt sein. Voraussetzung beim Diebstahl ist, dass dem berechtigten Besitzer hierbei keine Fahrlässigkeit vorzuwerfen ist.</t>
  </si>
  <si>
    <t>Der Dieb wird in einem Raum eines Gebäudes angetroffen und wendet Gewalt an, um sich den Besitz gestohlener Sachen zu erhalten. Gewalt in diesem Sinne liegt vor, wenn der Dieb eines der Mittel gemäß Absatz 2 anwendet.</t>
  </si>
  <si>
    <t>A; Ziff. 1.2.3 (1) a)</t>
  </si>
  <si>
    <t>A; Ziff. 1.2.3 (1)  b)</t>
  </si>
  <si>
    <t>A; Ziff. 1.2.3 (1) d)</t>
  </si>
  <si>
    <t>A; Ziff. 1.2.3 (1) e)</t>
  </si>
  <si>
    <t>Öffnen eines Behältnisses 
mit durch Raub oder Einbruchdiebstahl erlangten Schlüssel</t>
  </si>
  <si>
    <t>Eindringen in Räume 
mit einem durch Raub oder Diebstahl erlangten Schlüssel</t>
  </si>
  <si>
    <t>A; Ziff. 1.2.3 (1) f)</t>
  </si>
  <si>
    <t>nicht aus Anhängern</t>
  </si>
  <si>
    <t>A; Ziff. 1.2.7 (2) b)</t>
  </si>
  <si>
    <t>weltweit</t>
  </si>
  <si>
    <t>• Wertsachen
• Foto-, Film- oder Videogeräte,
• Mobiltelefone,
• EDV-Geräte oder sonstige elektrische (auch batteriebetriebene) Geräte,
einschließlich des Zubehörs</t>
  </si>
  <si>
    <t>1% der VS
keine Anhänger</t>
  </si>
  <si>
    <t>500 € 
Diebstahl von Garteninventar
(keine Einfriedung Vorgeschrieben)
auch gegen F / St+H / LW</t>
  </si>
  <si>
    <t>A; Ziff. 1.2.1 (2) + 1.2.7 a) + 1.2.8</t>
  </si>
  <si>
    <t>Im Rahmen von
Diebstahl von Garteninventar
z.B.  mobile Wäschespinnen,
Grillgeräte, serienmäßige Plastiken und Skulpturen
KEINE WERTSACHEN
auch gegen F / St+H / LW</t>
  </si>
  <si>
    <t>Umfang Ersatzpflicht</t>
  </si>
  <si>
    <t>Definition des Versicherungswerts</t>
  </si>
  <si>
    <t>Der Versicherungswert bildet die Grundlage für die Berechnung der Entschädigung.
Versicherungswert ist der Wiederbeschaffungspreis von Sachen gleicher Art und Güte in neuwertigem Zustand (Neuwert).
Falls Sachen für ihren Zweck in Ihrem Haushalt nicht mehr zu verwenden
sind, ist Versicherungswert der für sie erzielbare Verkaufspreis 
(gemeiner Wert).
Für Antiquitäten und Kunstgegenstände ist der Versicherungswert
der Wiederbeschaffungspreis von Sachen gleicher Art und Güte.</t>
  </si>
  <si>
    <t>• Kosten für das Aufräumen versicherter Sachen.
• Kosten für den Abtransport von zerstörten und beschädigten
versicherten Sachen zum nächsten Ablagerungsplatz.
• Kosten für die fachgerechte Entsorgung von zerstörten und beschädigten
versicherten Sachen.</t>
  </si>
  <si>
    <t>für das Bewegen und Schützen von Sachen</t>
  </si>
  <si>
    <t>für das Aufräumen und Entsorgen von Sachen</t>
  </si>
  <si>
    <t>Kosten für das Bewegen oder Verändern von Sachen.
• Kosten für Maßnahmen zum Schutz von anderen Sachen.</t>
  </si>
  <si>
    <t>A; Ziff. 1.4.2 (1)</t>
  </si>
  <si>
    <t>A; Ziff. 1.4.2 (2)</t>
  </si>
  <si>
    <t>für Transport und Lagerung</t>
  </si>
  <si>
    <t>• Kosten für den Transport des versicherten Hausrats an einen
anderen Ort.
• Kosten für die Einlagerung des Hausrats bis maximal 100 Tage.</t>
  </si>
  <si>
    <t>A; Ziff. 1.4.2 (3)</t>
  </si>
  <si>
    <t>für die Änderung eines Schlosses</t>
  </si>
  <si>
    <t>• Schlüssel für Türen der versicherten Wohnung.
• Schlüssel für Tresore in der versicherten Wohnung.</t>
  </si>
  <si>
    <t>für die Reparatur von Schäden an Ihrem Gebäude
aufgrund eines Einbruchs/-Versuch</t>
  </si>
  <si>
    <t>A; Ziff. 1.4.2 (8)</t>
  </si>
  <si>
    <t>oder ähnliche Unterkunft
*keine Nebenkosten</t>
  </si>
  <si>
    <t>Wir erstatten die Kosten für provisorische Reparaturen, die notwendig
sind, um versicherte Sachen zu schützen.</t>
  </si>
  <si>
    <t>A; Ziff. 1.4.2 (9)</t>
  </si>
  <si>
    <t>A; Ziff. 1.4.2 (10)</t>
  </si>
  <si>
    <t>Als Urlaubsreise gilt jede private Reise mit einer Dauer von mindestens
4 Tagen und maximal 6 Wochen.</t>
  </si>
  <si>
    <t>A; Ziff. 1.4.2 (11)</t>
  </si>
  <si>
    <t>bei Schäden &gt; 25.000 € 
90 % der Kosten</t>
  </si>
  <si>
    <t>A; Ziff. 1.4.5 (5)</t>
  </si>
  <si>
    <t>A; Ziff. 2.1 (3)</t>
  </si>
  <si>
    <t>A; Ziff. 2.1 (4)</t>
  </si>
  <si>
    <t>Wertsachen</t>
  </si>
  <si>
    <r>
      <t>Wertsachen sind folgende Sachen:
• Bargeld und auf Geldkarten (bspw. Chipkarten) geladene Beträge.
• Urkunden einschließlich Sparbücher und sonstige Wertpapiere.
• Schmucksachen,</t>
    </r>
    <r>
      <rPr>
        <sz val="10"/>
        <color rgb="FFFF0000"/>
        <rFont val="Arial"/>
        <family val="2"/>
      </rPr>
      <t xml:space="preserve"> Armband- und Taschenuhren</t>
    </r>
    <r>
      <rPr>
        <sz val="10"/>
        <rFont val="Arial"/>
      </rPr>
      <t>, Edelsteine, Perlen.
• Briefmarken, Münzen und Medaillen.
• Alle Sachen aus Gold oder Platin.
• Pelze, handgeknüpfte Teppiche und Gobelins.
• Kunstgegenstände (bspw. Gemälde, Collagen, Zeichnungen, Graphiken und Plastiken).
• Alle Sachen aus Silber (außer Schmucksachen, Armband- und Taschenuhren, Münzen und Medaillen).
• Sonstige Sachen, die über 100 Jahre alt sind, mit Ausnahme von Möbeln (Antiquitäten).</t>
    </r>
  </si>
  <si>
    <t>A; Ziff. 2.3 (2)</t>
  </si>
  <si>
    <t>6 Monate</t>
  </si>
  <si>
    <t>A; Ziff. 4.2</t>
  </si>
  <si>
    <t>Im Rahmen von
Diebstahl von Garteninventar
Gartengärte z.B Heckenschere, Baumsägen, Leitern, Rechen u. Co.
auch gegen F / St+H / LW</t>
  </si>
  <si>
    <t>aktuell
(geprüft am 12.04.2019)</t>
  </si>
  <si>
    <t>A.Kiss</t>
  </si>
  <si>
    <t>10 % der VS 
(20% bei vereinbartem UVV)</t>
  </si>
  <si>
    <t>summarisch bis 10% 
über VS</t>
  </si>
  <si>
    <t>Entschädigung Sachsubstanz | Versicherungssumme
(max Leistung incl. Vorsorge und Kosten)</t>
  </si>
  <si>
    <t>vereinbarte Versicherungssumme
(max 120%)</t>
  </si>
  <si>
    <t>vereinbarte Versicherungssumme
(max 130%)</t>
  </si>
  <si>
    <t>A; Ziff. 1.4.1 (2) + (7)</t>
  </si>
  <si>
    <t>private Nutzung
nur zur versicherten Wohnung gehörend</t>
  </si>
  <si>
    <t>Gewerbliche Arbeitsgeräte und Einrichtungsgegenstände
ACHTUNG Versicherungsort</t>
  </si>
  <si>
    <t>Kinderwagen</t>
  </si>
  <si>
    <t>A; Ziff. 1.3.1 (2) a)</t>
  </si>
  <si>
    <t>A; Ziff. 1.3.1 (2) b)</t>
  </si>
  <si>
    <t>A; Ziff. 1.3.1 (2) a)+c)</t>
  </si>
  <si>
    <t>Die im Schließfach befindlichen Wertsachen sind nicht in der Versicherungssumme zu berücksichtigen (Erstrisikodeckung)</t>
  </si>
  <si>
    <t>A; Ziff. 1.3.1 (2) e)</t>
  </si>
  <si>
    <t>Bankschließfach (Erstrisikodeckung) innerhalb Deutschland</t>
  </si>
  <si>
    <t>A; Ziff. 1.3.3 (1) / (7)</t>
  </si>
  <si>
    <t xml:space="preserve">40 % der VS
max. 6 Monate
weltweit </t>
  </si>
  <si>
    <t>A; Ziff. 1.3.3 (2) / (7)</t>
  </si>
  <si>
    <t>A; Ziff. 1.3.3 (2) / (7) + ABC</t>
  </si>
  <si>
    <t>Vorsorge bei Haushaltsgründung der Kinder (Erstrisikodeckung)</t>
  </si>
  <si>
    <t>bis Ende des Versicherungjahres
mind. 6 Monate</t>
  </si>
  <si>
    <t>A; Ziff. 1.3.4</t>
  </si>
  <si>
    <t>ununterbrochen zuvor in häuslicher Gemeinschaft</t>
  </si>
  <si>
    <t>A; Ziff. 1.3.2 (1)</t>
  </si>
  <si>
    <t>Wohnungswechsel / Trennung Partner</t>
  </si>
  <si>
    <t>A; Ziff. 1.3.2 (6)</t>
  </si>
  <si>
    <t>A; Ziff. 1.2.1 (2) + 1.2.11</t>
  </si>
  <si>
    <t>A; Ziff. 1.2.1 (7) + 2.1 (5)</t>
  </si>
  <si>
    <t>A; Ziff. 1.2.10</t>
  </si>
  <si>
    <t>ja
Überspannung durch Gewitter</t>
  </si>
  <si>
    <t>bis 5.000 €
Bitte erweiterte Gefahren UG beachten</t>
  </si>
  <si>
    <t>nur Luftfahrzeuge 
(keine Flugmodelle)
sowie bis 5.000 €
Bitte erweiterte Gefahren UG beachten</t>
  </si>
  <si>
    <t>A; Ziff. 1.2.1 (1) + (7) + 2.1. (5)</t>
  </si>
  <si>
    <t>Aquarien und Wasserbetten
sowie bis 5.000 €
Bitte erweiterte Gefahren UG beachten</t>
  </si>
  <si>
    <t>A; Ziff. 1.2.1 (7) + 2.1 (3)+(5)</t>
  </si>
  <si>
    <t>A; Ziff. 1.2.5 (1)+(7) + 2.1 (5)</t>
  </si>
  <si>
    <t>A; Ziff. 1.2.6 (1) + 1.2.1 (7) + 2.1 (5)</t>
  </si>
  <si>
    <t>Windstärke 8
und Anscheinsbeweis
sowie unter 8 bis 5.000 €
Bitte erweiterte Gefahren UG beachten</t>
  </si>
  <si>
    <t>A; Ziff. 1.2.8 c)</t>
  </si>
  <si>
    <t>A; Ziff. 1.2.7 b)</t>
  </si>
  <si>
    <t>im Rahmen der VS
keine Anhänger</t>
  </si>
  <si>
    <t>PSV--2082Zo 2017-12</t>
  </si>
  <si>
    <t>gegen Zuschlag
"MobilPlus"
5.000 € 
1.000 €  für Foto, Smartphone &amp; Co
(keine Wertsachen/Beruf.Sachen)</t>
  </si>
  <si>
    <t>PSV--2082Zo 2017-12
Naturalersatz bei Foto und Co</t>
  </si>
  <si>
    <t xml:space="preserve">gegen Zuschlag
"MobilPlus"
5.000 € </t>
  </si>
  <si>
    <t>5.000 € 
Diebstahl von Garteninventar
(keine Einfriedung Vorgeschrieben)
auch gegen F / St+H / LW</t>
  </si>
  <si>
    <t>A; Ziff. 1.2.1 (2) + 1.2.8 a) + 1.2.9</t>
  </si>
  <si>
    <t>A; Ziff. 1.2.1 (2) + 1.2.8 b)</t>
  </si>
  <si>
    <t>gegen Zuschlag
"Internetschutz"
10.000 €</t>
  </si>
  <si>
    <t>PSV--2083Zo 2016-10
A; Ziff. 1.1.1.1 (1) + 1.1.1.2 (1)</t>
  </si>
  <si>
    <t>2.000 €</t>
  </si>
  <si>
    <t>A; Ziff. 1.4.2 (13)</t>
  </si>
  <si>
    <t>A; Ziff. 1.2.1 (7) + 1.2.7 (3) + 2.1 (5)</t>
  </si>
  <si>
    <t>in der Wohnung
5.000 €
All-Gefahren inkl.</t>
  </si>
  <si>
    <t>in der Wohnung 
5.000 €
All-Gefahren inkl.
Informations-u.Unterhaltungselektronik 
(Naturalersatz)</t>
  </si>
  <si>
    <t>gegen Zuschlag
"HWSB"
500 € je VF max. 1.500 € / VJ
• Schlüsseldienst
• Rohrreinigung
• Sanitär-Installations-Service Notfall 
• Elektro-Installations-Service Notfall
• Notheizung
• Schädlingsbekämpfung
• Entfernung von Nestern (Hornissen/Wespen)</t>
  </si>
  <si>
    <t>• Schlüsseldienst
• Rohrreinigung
• Sanitär-Installations-Service Notfall 
• Elektro-Installations-Service Notfall 
• Notheizung
• Schädlingsbekämpfung
• Entfernung von Nestern (Hornissen/Wespen)(Bienen)</t>
  </si>
  <si>
    <t>Glasbruch (Mobiliar)</t>
  </si>
  <si>
    <t>Glasbruch (inkl. Gebäude)</t>
  </si>
  <si>
    <t>Versichert sind fertig eingesetzte oder vollständig montierte
• Glasscheiben und Glasplatten von Bildern, Schränken, Spiegeln,
Tischen und Vitrinen,
• Glasscheiben von Aquarien und Terrarien,
• Glaskeramik- und Induktions-Kochflächen (ausgenommen alle
elektrischen und mechanischen Teile),
• Glasscheiben und Sichtfenster von Öfen, Elektro- und Gasgeräten,
• Glas- und Kunststoffscheiben von Duschkabinen,
• Glasscheiben von Türen und Fenstern innerhalb der Wohnung,
• Glasscheiben von Wand-, Säulen- und Treppenverkleidungen
innerhalb der Wohnung,</t>
  </si>
  <si>
    <t>Versichert sind 
Scheiben, Platten, Lichtkuppeln, Glassteine und Profilbaugläser aus Glas oder Kunststoff, die
 • fertig eingesetzt oder vollständig montiert und
• mit dem Gebäude (Ein- oder Mehrfamilienhaus), in dem sich die im Versicherungsschein bezeichnete Wohnung befindet, fest verbunden sind.
inkl. Glasbruch (Mobiliar)</t>
  </si>
  <si>
    <t>PSV--2062Z0 (001) 2016-10</t>
  </si>
  <si>
    <t>gegen Zuschlag 
"Glas&amp;FensterPlus" 
(beeinhaltet "GlasPlus")</t>
  </si>
  <si>
    <t>PSV--2066Z0 (001) 2016-10</t>
  </si>
  <si>
    <t>A; Ziff. 1.4.2 (5)</t>
  </si>
  <si>
    <t>A; Ziff. 1.4.2 (6)</t>
  </si>
  <si>
    <t>max. 1 Jahr</t>
  </si>
  <si>
    <t>max. 7 Tage</t>
  </si>
  <si>
    <t>bei Schäden &gt; 5.000 €</t>
  </si>
  <si>
    <t>A; Ziff. 1.4.2 (12)</t>
  </si>
  <si>
    <t>A; Ziff. 1.4.2 (15)</t>
  </si>
  <si>
    <t>spätestens mit Beginn des Umzug</t>
  </si>
  <si>
    <t>im Rahemn von All-Risk 
bis 5.000 € 
1.000 €  für Foto, Smartphone &amp; Co
(keine Wertsachen/Beruf.Sachen)</t>
  </si>
  <si>
    <t>aktuell
(geprüft am 06.05.2019)</t>
  </si>
  <si>
    <t>A; Ziff. 1.4.1 (2) +Tarif</t>
  </si>
  <si>
    <t>bei korrekter Angabe Wohnfläche</t>
  </si>
  <si>
    <t>A; Ziff. 1.4.1 (4)</t>
  </si>
  <si>
    <t xml:space="preserve">unbegrenzt
max. 12 Monate
weltweit </t>
  </si>
  <si>
    <t>100.000 €
(20.000 € Bargeld)</t>
  </si>
  <si>
    <t>A; Ziff. 1.2.1 (5)</t>
  </si>
  <si>
    <t>ja
(nicht extra benannt)</t>
  </si>
  <si>
    <t>A; Ziff. 1.2.8 d)</t>
  </si>
  <si>
    <t>5.000 € 
(keine Wertsachen)</t>
  </si>
  <si>
    <t>A; Ziff. 1.1.1 (2) a) + 1.3.1 (2) d)</t>
  </si>
  <si>
    <t>A; Ziff. 1.1.1 (2) a) + 1.3.1 (2) c)</t>
  </si>
  <si>
    <t>unbegrenzt
 Diebstahl von Garteninventar
(keine Einfriedung Vorgeschrieben)
auch gegen F / St+H / LW</t>
  </si>
  <si>
    <t>5.000 €
auch nach Raub</t>
  </si>
  <si>
    <t>A; Ziff. 1.42  (18)</t>
  </si>
  <si>
    <t>5.000 €
auch nach Raub und Diebstahl</t>
  </si>
  <si>
    <t>A; Ziff. 1.2.1 (2) + 1.2.7 (3) + 2.1 (5)</t>
  </si>
  <si>
    <t>max. 14 Tage</t>
  </si>
  <si>
    <t>keine zeitliche Begrenzung</t>
  </si>
  <si>
    <t>bis zum Ende des lfd. VJ / mind. 6 Monate bei Umzug, Ausbau o. Anbau</t>
  </si>
  <si>
    <t xml:space="preserve">A; Ziff. 1.3.5 </t>
  </si>
  <si>
    <t xml:space="preserve">für die Reparatur von Schäden an Ihrem Gebäude
aufgrund eines Fehlalarm </t>
  </si>
  <si>
    <t>durch Rauch- Hitze- Gasmelder oder Einbruchmeldeanlagen</t>
  </si>
  <si>
    <t>A; Ziff. 1.4.2 (16)</t>
  </si>
  <si>
    <t>5.000 €
auch an versicherten Sachen</t>
  </si>
  <si>
    <t>in der Wohnung 
(auch unmittelbar durch Personen)
5.000 €
All-Gefahren inkl.
Informations-u.Unterhaltungselektronik 
(Naturalersatz)</t>
  </si>
  <si>
    <t>gegen Zuschlag
"Internetschutz"
teilweise versichert</t>
  </si>
  <si>
    <t>PSV--2083Zo 2016-10
A; Ziff. 1.4</t>
  </si>
  <si>
    <t>Keine Nachtzeitklausel
auch Anhänger einzeln
Fahrräder bis 25km/h o 0,25kw</t>
  </si>
  <si>
    <t>Gegenstandsversicherung (AllRisk)</t>
  </si>
  <si>
    <t>Sachen, die einem Beruf oder Gewerbe dienen,
mit dem Sie oder andere Personen den überwiegenden Teil des
Einkommens erzielen (z. B. als Berufsmusiker oder Fotografen),
sind nicht versicherba</t>
  </si>
  <si>
    <t>gegen Zuschlag
"MeinPlus" 
siehe Gegenstandsversicherung</t>
  </si>
  <si>
    <t>gegen Zuschlag
"MeinPlus"
150 € SB 
30%  SB mind. 150 € für
Verlieren-, Stehen- oder Liegen- lassen 
• Kunst
• Schmuck, Armband- ,Taschenuhren und Pelze
• Fotoapparate und Videokameras
• Zubehör von Fotoapparaten und Videokameras
• Jagd- und Sportwaffen
• Zubehör von Jagd- und Sportwaffen
• Musikinstrumente - Kleine Streichinstrumente
• Musikinstrumente - Große Streichinstrumente
• Musikinstrumente - Sonstige Musikinstrumente
• Zubehör von Musikinstrumenten.</t>
  </si>
  <si>
    <t>PSV-- 2085Z0 (000)  2016-10</t>
  </si>
  <si>
    <t>• Wochenend-, Ferien-, Land-, Jagd-, Garten- und Weinberghaus
sowie sonstige, nicht ständig bewohnte Gebäude;
• Ferienwohnung;
• Garagen, über Ziffer 1.3.1 Absatz 2 hinausgehend, auch solche,
die sich nicht an der Wohnung, auf benachbarten oder gegenüberliegenden
Grundstücken befinden;
• Gewerbegebäude mit abschließbaren Mietflächen zur Einlagerung
von Möbeln (Storage);
• Zweitwohnung am Arbeitsort (Berufspendlerwohnung);
• Von Ihnen möbliert vermietete Wohnung;
• Übungs- und Proberäume.</t>
  </si>
  <si>
    <t>Außenversicherung 
erweiterte dauerhafte Risikoorte innerhalb Deutschlands</t>
  </si>
  <si>
    <t>ab VS 200.000 € oder
ab 100.000 € Wertsachenanteil</t>
  </si>
  <si>
    <t>ab 200 qm€oder
ab 100.000 € Wertsachenanteil</t>
  </si>
  <si>
    <t>Sicherungsgruppe SH1 / SH2
VM 2016-10-13 HV P</t>
  </si>
  <si>
    <t>Sicherungsrichtlinien</t>
  </si>
  <si>
    <t xml:space="preserve">ständig bewohnt im ständig bewohnten Gebäuden
VS&gt;= 200.000 €  SH1 / SH 2 
SicherheitBest &gt;= 200 qm  SH1 / SH 2
nicht ständig bewohnt im ständig bewohnten Gebäuden
VS &gt;= 50.000 € o 20.000 WS SH 3 
SicherheitBest &gt;= 60 qm o. 20.000 WS SH3 
nicht ständig bewohnt in nicht ständig bewohnten Gebäuden (Ferienhaus)
 SH 4 </t>
  </si>
  <si>
    <t>bei VS über 200.000 muss Summenermittlungsbogen aufgenommen werden
bei Umzug sofortiger Änderungsantrag
VM 2016-1013</t>
  </si>
  <si>
    <t>bei  über 200 qm muss Summenermittlungsbogen aufgenommen werden
bei Umzug sofortiger Änderungsantrag
VM 2016-1013</t>
  </si>
  <si>
    <t>Allgemines für Support</t>
  </si>
  <si>
    <t>40 % der VS
(erhöhbar auf 50%)</t>
  </si>
  <si>
    <t>350 € pro QM
(entspricht ca 53% bei VS-Modell)
(erhöhbar bis 100.000€ gesamt)</t>
  </si>
  <si>
    <t>Fahrraddiebstahl (gegen Zuschlag)</t>
  </si>
  <si>
    <t>1.000 / 5.000 / 15.000 €
"FahrradPlus"
auch Anhänger und Zubehör
(auch geliehene o. gemietete)</t>
  </si>
  <si>
    <t>1.000 / 5.000 / 15.000
"FahrradPlus" 
und "FahrradBest" inkl. "ALL-Risk"
auch Anhänger und Zubehör
(auch geliehene o. gemietete)</t>
  </si>
  <si>
    <t>A; Ziff. 2.2 (2) + VM 2016-10-13</t>
  </si>
  <si>
    <t>PSV--2065Z0 (001) 2016-10
VM 2016-10-13</t>
  </si>
  <si>
    <t>PSV--2085Zo 2016-10
VM 2016-10-13</t>
  </si>
  <si>
    <t xml:space="preserve">gegen Zuschlag
"WohnenPlus"
bis 20.000 € 
F / ED / L / St/H
(keine Wertsachen)
</t>
  </si>
  <si>
    <t>aktuell
(geprüft am 07.05.2019)</t>
  </si>
  <si>
    <r>
      <rPr>
        <u/>
        <sz val="7"/>
        <rFont val="Arial"/>
        <family val="2"/>
      </rPr>
      <t>Zusätzliche Bausteine</t>
    </r>
    <r>
      <rPr>
        <sz val="7"/>
        <rFont val="Arial"/>
        <family val="2"/>
      </rPr>
      <t xml:space="preserve">
* Cyberschutzbrief "Internetschutz"
</t>
    </r>
    <r>
      <rPr>
        <u/>
        <sz val="7"/>
        <rFont val="Arial"/>
        <family val="2"/>
      </rPr>
      <t>weitere Vorteile KombiVertrag</t>
    </r>
    <r>
      <rPr>
        <sz val="7"/>
        <rFont val="Arial"/>
        <family val="2"/>
      </rPr>
      <t xml:space="preserve">
* Beitragsfreistellung bei Arbeitslosigkeit
* Portemonnaie-Schutz</t>
    </r>
  </si>
  <si>
    <t>PSV--2083Z0 (000) 2016-10
PSV--2479Z0 (000) 2013-05</t>
  </si>
  <si>
    <t>Überschwemmung, Rückstau, Erdbeben,Erdfall, Erdsenkung, Erdrutsch, Schneedruck, Lawinen, Vulkanausbruch</t>
  </si>
  <si>
    <t>gegen Zuschlag</t>
  </si>
  <si>
    <t>BEH 
PSV--2061Z0 (000) 2012-05</t>
  </si>
  <si>
    <t>* Sturmflut, Grundwasser</t>
  </si>
  <si>
    <t>Domcura Komfort
(Stand 2014-10)</t>
  </si>
  <si>
    <t>Domcura Top
(Stand 2014-10)</t>
  </si>
  <si>
    <t>Domcura Standard</t>
  </si>
  <si>
    <t xml:space="preserve">Bedingungs-Update-Garantie / Innovationsklausel </t>
  </si>
  <si>
    <t>A §18 Nr. 1  + 2</t>
  </si>
  <si>
    <t>A §19 Nr. 1 + 2</t>
  </si>
  <si>
    <t>GDV - Stand 2013-01
AKBP - Stand 2010-02</t>
  </si>
  <si>
    <t>Versichert sind Haustiere, die üblicherweise artgerecht in Wohnungen
gehalten werden (beispielsweise Hunde, Katzen, Vögel, Fische).</t>
  </si>
  <si>
    <t>Fahrräder bzw. Pedelecs 
(auch mit Trethilfe oder Hilfsmotor (max. 25 km/h und max. 0,25 kW)</t>
  </si>
  <si>
    <t xml:space="preserve">auch mit Motor
Rollatoren und sonstige Gehhilfen </t>
  </si>
  <si>
    <t xml:space="preserve">Bargeld - 1.000 €
Urkunden - 5.000 €
Schmuck - 20.000 € </t>
  </si>
  <si>
    <t>ja
Garagen auch in der gleichen oder 
angrenzenden Gemeinde</t>
  </si>
  <si>
    <t xml:space="preserve">10 % der VS, mind. 10.000 €
max. 3 Monate
weltweit </t>
  </si>
  <si>
    <t>10 % der VS, mind. 10.000 €
max. 20.000 €</t>
  </si>
  <si>
    <t>10.000 €</t>
  </si>
  <si>
    <t>3 Monate
(Doppelwohnsitz: für neues Objekt)</t>
  </si>
  <si>
    <t>bis nächste Prämienfalligkeit
max 3 Monate</t>
  </si>
  <si>
    <t>B § 1 Nr. 1 a) + § 2 Nr  6</t>
  </si>
  <si>
    <t>B § 1 Nr. 1 a) + § 2 Nr  5</t>
  </si>
  <si>
    <t>B § 1 Nr. 1 f) + § 7 Nr. 2</t>
  </si>
  <si>
    <t>B § 1 Nr. 1 a) + § 2 Nr. 2</t>
  </si>
  <si>
    <t>B § 1 Nr. 1 a) + § 2 Nr. 3</t>
  </si>
  <si>
    <t>aus beendeten Kriegen</t>
  </si>
  <si>
    <t>B § 1 Nr. 2 a)</t>
  </si>
  <si>
    <t>auch Druckwellen durch Hubschrauber</t>
  </si>
  <si>
    <t>B § 1 Nr. 1 f) + § 7 Nr. 3</t>
  </si>
  <si>
    <t>B § 1 Nr. 1 a)+f) +§ 2 Nr 1 d) + § 7 Nr. 1</t>
  </si>
  <si>
    <t>Einrichtungen der Heizungs-, Klima-, Wärmepumpen- und Solaranlagen</t>
  </si>
  <si>
    <t>aus Zisternen</t>
  </si>
  <si>
    <t>auch Regenrohren</t>
  </si>
  <si>
    <t>nur Lüftungsanlagen
auch aus Anlagen erneuerbarer Energie (keine Windkraft)</t>
  </si>
  <si>
    <t>Markisen,
Antennen-/Satelitenanlagen,
Sonnenschirme/ Sonnensegel, 
Terrasenüberdachungen, Balkonverkleidungen,
Überwachungseinrichtungen, 
Anlagen zur Erzeugung erneuerbarer Energien (keine Windkraft)
(auf dem ganzen Versicherungsgrundstück St/H )</t>
  </si>
  <si>
    <t>Markisen
Antennenanlagen
technische, optische u.
akustische Sicherungsanlagen
(auf dem ganzen Versicherungsgrundstück St/H )</t>
  </si>
  <si>
    <t>Markisen
Antennenanlagen
(auf dem ganzen Versicherungsgrundstück St/H )</t>
  </si>
  <si>
    <t>Sturmflut, Grundwasser
Trockenheit oder Austrocknung</t>
  </si>
  <si>
    <t>Bargeld - 2.000 €
Urkunden - 5.000 €
Schmuck - 30.000 € 
(Armband- Taschenurhen)
Wertschutzschrank - 300 kg</t>
  </si>
  <si>
    <t>ja
(werden Räumen in Gebäuden gleichgestellt)</t>
  </si>
  <si>
    <t>Anwendung von Gewalt
Wegnahme nach Verlust ihrer Widerstandskraft</t>
  </si>
  <si>
    <t>A; Ziff. 1.2.3 (2) a) + c)</t>
  </si>
  <si>
    <t>A; Ziff. 1.2.3 (2) b) + Ziff. 2.1 (2)</t>
  </si>
  <si>
    <t>II B § 3 Nr. 4 a) aa)</t>
  </si>
  <si>
    <t>II B § 3 Nr. 2 a)</t>
  </si>
  <si>
    <t>II B § 3 Nr. 2 b)</t>
  </si>
  <si>
    <t>II B § 3 Nr. 2 c)</t>
  </si>
  <si>
    <t>II B § 3 Nr. 2 e)</t>
  </si>
  <si>
    <t>II B § 3 Nr. 2 f)</t>
  </si>
  <si>
    <t>II B § 3 Nr. 3</t>
  </si>
  <si>
    <t>II B § 5 Nr. 4 a) bb)</t>
  </si>
  <si>
    <t>II B § 1 Nr. 1 d) aa) + § 5 Nr. 1 a)+ 2 a)</t>
  </si>
  <si>
    <t>II B § 4 Nr. 3 aa)</t>
  </si>
  <si>
    <t>II B § 4 Nr. 2 a)+b) ff)</t>
  </si>
  <si>
    <t>II B § 4 Nr. 2 a)+b) ee)</t>
  </si>
  <si>
    <t>II B § 4 Nr. 2 a)+b) jj)</t>
  </si>
  <si>
    <t>II B § 4 Nr. 2 a)+b) hh)</t>
  </si>
  <si>
    <t>II B §  4 Nr. 2 a)+b) gg)</t>
  </si>
  <si>
    <t>II B § 4 Nr. 2 a)+b) dd)</t>
  </si>
  <si>
    <t>II B § 4 Nr. 2 a)+b) cc)</t>
  </si>
  <si>
    <t>II B § 4 Nr. 2 a)+b) bb)</t>
  </si>
  <si>
    <t>II B § 4 Nr. 2 a)+b) aa)</t>
  </si>
  <si>
    <t>II B §  4 Nr. 2</t>
  </si>
  <si>
    <t>II B §12 Nr. 6 a) + 7</t>
  </si>
  <si>
    <t>II B §12 Nr. 1 + 2</t>
  </si>
  <si>
    <t>II B §8 Nr. 3 d)  + §14 Nr. 2 b dd)</t>
  </si>
  <si>
    <t>II B §9 Nr. 2 + 6 a)</t>
  </si>
  <si>
    <t>II B § 3 Nr. 2</t>
  </si>
  <si>
    <t>II B §9 Nr. 1  + 6 a)</t>
  </si>
  <si>
    <t xml:space="preserve">II B §8 Nr. 3 b) aa) </t>
  </si>
  <si>
    <t xml:space="preserve">II B §8 Nr. 3 a) </t>
  </si>
  <si>
    <t>II B §8 Nr. 3 a) + b) cc) + c)</t>
  </si>
  <si>
    <t>II B §8 Nr. 2 c) dd) + 4. e)</t>
  </si>
  <si>
    <t>II B §8 Nr. 2 c) gg)</t>
  </si>
  <si>
    <t>II B §8 Nr. 2 c) ff)</t>
  </si>
  <si>
    <t>II B §8 Nr. 2 c) ee)</t>
  </si>
  <si>
    <t>II B §8 Nr. 2 a)</t>
  </si>
  <si>
    <t>II B §8 Nr. 2 c) ii)</t>
  </si>
  <si>
    <t>II B §8 Nr. 2</t>
  </si>
  <si>
    <t>II B §8 Nr. 2 c) hh)</t>
  </si>
  <si>
    <t>II B §8 Nr. 2 c) cc) + § 5 Nr. 4 c)</t>
  </si>
  <si>
    <t>II B §8 Nr. 2 b) + §14 Nr. 2b)</t>
  </si>
  <si>
    <t>II B §8 Nr. 2 b) + §14 Nr. 2a)</t>
  </si>
  <si>
    <t>II B §8 Nr. 2 c) bb)</t>
  </si>
  <si>
    <t>II B §8 Nr. 2 c) aa)</t>
  </si>
  <si>
    <t>II A §18 Nr. 1  + 2</t>
  </si>
  <si>
    <t>II A §19 Nr. 1 + 2</t>
  </si>
  <si>
    <t>Androhung von Gewalt mit Gefahr für Leib und Leben
(nicht das heranschaffen auf verlangen von anderen Orten)</t>
  </si>
  <si>
    <t>II B § 3 Nr. 4 a) bb) + § 9 Nr. 4</t>
  </si>
  <si>
    <t>ja
auch Böswillige Beschädigung</t>
  </si>
  <si>
    <t>II B § 6 a) Nr. 1  +  2 + 3</t>
  </si>
  <si>
    <t>II B § 8 Nr. 4 f)</t>
  </si>
  <si>
    <t>II B § 10  Nr. 3 b) + c) +d)</t>
  </si>
  <si>
    <t>II B § 10  Nr. 5</t>
  </si>
  <si>
    <t>II B § 10  Nr. 6</t>
  </si>
  <si>
    <t>II B § 10  Nr. 7</t>
  </si>
  <si>
    <t>II B § 10  Nr. 8</t>
  </si>
  <si>
    <t>für die Reparatur von Schäden an Ihrem Gebäude
aufgrund eines Nässeschen</t>
  </si>
  <si>
    <t>II B § 10  Nr. 9</t>
  </si>
  <si>
    <t>A; Ziff. 1.4.2 (7)</t>
  </si>
  <si>
    <t>II B § 10  Nr. 10</t>
  </si>
  <si>
    <t>II B § 10  Nr. 3 a) + d) + 11</t>
  </si>
  <si>
    <t>II B § 10  Nr. 12 + 13</t>
  </si>
  <si>
    <t>bis 20.000 €
(auch infolge Preissteigerungen ohne Begrenzung)</t>
  </si>
  <si>
    <t>bis 5.000 €
(auch Dienstreisen)
keine Reisedefinition</t>
  </si>
  <si>
    <t>bei Schäden &gt; 25.000 €</t>
  </si>
  <si>
    <t>II B § 10  Nr. 15</t>
  </si>
  <si>
    <t>II B § 10  Nr. 14</t>
  </si>
  <si>
    <t>II B § 10  Nr. 16</t>
  </si>
  <si>
    <t>II B § 10  Nr. 4</t>
  </si>
  <si>
    <t>Der Versicherer ersetzt Aufwendungen, auch erfolglose, die der Versicherungsnehmer bei Eintritt des Versicherungsfalles den Umständen nach zur Abwendung und Minderung des Schadens für geboten halten durfte.</t>
  </si>
  <si>
    <t>II B § 10  Nr. 1</t>
  </si>
  <si>
    <t>zur Abwendung und Minderung des Schadens
sollange nicht auf Weisung des VR 
oder der Feuerwehr im öffentlichen Interesse</t>
  </si>
  <si>
    <t>50.000 €
auch Feuerlöschkosten
und freiwillige Aufwendungen des VN</t>
  </si>
  <si>
    <t>II B §11</t>
  </si>
  <si>
    <t>II B §11 Nr. 2 c)</t>
  </si>
  <si>
    <t>II B §11 Nr. 3 a) + Tarif/Antrag</t>
  </si>
  <si>
    <t>II B §5 Nr. 4 a) aa) + cc) + ee)</t>
  </si>
  <si>
    <t>II B § 5 Nr. 1 b)</t>
  </si>
  <si>
    <t>II B § 12 Nr. 4 a) + 11 Nr.3 b)</t>
  </si>
  <si>
    <t>spätestens mit Beginn des Umzug
(UVV bis 3 Monate gültig)</t>
  </si>
  <si>
    <t>50.000€</t>
  </si>
  <si>
    <t>II B §13 Nr. 6</t>
  </si>
  <si>
    <t>Domcura</t>
  </si>
  <si>
    <t>Der Umfang der Ersatzpflicht richtet sich danach, ob die versicherte Sache zerstört, abhanden gekommen oder beschädigt ist:
• Bei zerstörten oder abhanden gekommenen Sachen ersetzen wir den Versicherungswert zum Zeitpunkt des Versicherungsfalls. Restwerte werden angerechnet.
• Bei beschädigten Sachen ersetzen wir die notwendigen Kosten der Reparatur zuzüglich einer etwa verbleibenden Wertminderung.
Wir ersetzen aber höchstens den Versicherungswert zum
Zeitpunkt des Versicherungsfalls. Restwerte werden angerechnet.
• Wird durch den Schaden die Gebrauchsfähigkeit einer Sache nicht beeinträchtigt und ist Ihnen die Nutzung ohne Reparatur zumutbar (Schönheitsschaden) gilt: 
Wir gleichen die Beeinträchtigung durch Zahlung des Betrages aus, der dem Minderwert entspricht</t>
  </si>
  <si>
    <t>§ 13 Nr. 1 + 2</t>
  </si>
  <si>
    <t>1. Ersetzt werden im Versicherungsfall bei
a) zerstörten oder abhanden gekommenen Sachen der Versicherungswert (B § 11 Nr. 1 VHB 2016 - Standard) bei Eintritt des Versicherungsfalles (B § 1 VHB 2016 - Standard).
b) beschädigten Sachen die notwendigen Reparaturkosten bei Eintritt des Versicherungsfalles zuzüglich einer durch die Reparatur nicht auszugleichenden Wertminderung, höchstens jedoch der Versicherungswert (B § 11 Nr. 1 VHB 2016 - Standard) bei Eintritt des Versicherungsfalles (B § 1 VHB 2016 - Standard).
Wird durch den Schaden die Gebrauchsfähigkeit einer Sache nicht beeinträchtigt und ist dem Versicherungsnehmer die Nutzung ohne Reparatur zumutbar (so genannter Schönheitsschaden), so ist die Beeinträchtigung durch Zahlung des Betrages auszugleichen, der dem Minderwert entspricht.
2. Restwerte
Restwerte werden in den Fällen von Nr. 1 angerechnet.</t>
  </si>
  <si>
    <t>II B § 18  Nr. 1 b) cc)</t>
  </si>
  <si>
    <t>II B § 18  Nr. 1 c)</t>
  </si>
  <si>
    <t>II B § 23 Nr. 1 b)</t>
  </si>
  <si>
    <t>1.200 €</t>
  </si>
  <si>
    <t>II C zu B § 3 Nr. 5 a) aa)</t>
  </si>
  <si>
    <t>II C zu B § 3 Nr. 5 a) bb)</t>
  </si>
  <si>
    <t>1.200 €
auch Skulpturen</t>
  </si>
  <si>
    <t>im Rahmen von
Diebstahl von Gartengärte</t>
  </si>
  <si>
    <t>II C zu B § 3 Nr. 5 b)</t>
  </si>
  <si>
    <t>II C zu B § 3 Nr. 5 c)</t>
  </si>
  <si>
    <t>II C zu B § 3 Nr. 5 c) aa) + bb)</t>
  </si>
  <si>
    <t>1.000 €
auch aus Dachboxen</t>
  </si>
  <si>
    <t>II C zu B § 3 Nr. 5 c) cc)</t>
  </si>
  <si>
    <t>II C zu B § 3 Nr. 5 d) aa) + cc)</t>
  </si>
  <si>
    <t>II C zu B § 3 Nr. 5 e)</t>
  </si>
  <si>
    <t>II C zu B § 8 Nr. 2 a)</t>
  </si>
  <si>
    <t xml:space="preserve">25 % der VS, mind. 10.000 €
max. 8 Monate
weltweit </t>
  </si>
  <si>
    <t>II C zu B § 9 Nr. 1 ~ 1 a) +  6 a)</t>
  </si>
  <si>
    <t>II C zu B § 9 Nr. 1 ~ 1 b)</t>
  </si>
  <si>
    <t>100.000€</t>
  </si>
  <si>
    <t>II C zu B § 10  Nr. 1</t>
  </si>
  <si>
    <t>100.000 €
auch Feuerlöschkosten
und freiwillige Aufwendungen des VN</t>
  </si>
  <si>
    <t>II C zu B § 10  Nr. 3 b)+c)+d) + 4</t>
  </si>
  <si>
    <t>II C zu B § 11 Nr. 2 c)</t>
  </si>
  <si>
    <t>(und korrekter Angabe Wohnfläche)</t>
  </si>
  <si>
    <t>II B §11 Nr. 3 a) + Tarif/Antrag
II C zu B § 13 Nr. 5</t>
  </si>
  <si>
    <t>bei VS = 650 € pro qm
sowie Schäden bis 2.500 €</t>
  </si>
  <si>
    <t>II C zu B § 14 Nr. 2 b)</t>
  </si>
  <si>
    <t xml:space="preserve">Bargeld - 1.500 €
Urkunden - 10.000 €
Schmuck - 30.000 € </t>
  </si>
  <si>
    <t>20.000 €</t>
  </si>
  <si>
    <t>II C zu B § 23  Nr. 1</t>
  </si>
  <si>
    <t>ab 200.000 € 
anfragepflichtig</t>
  </si>
  <si>
    <t>Zeichnungsrichtlinien</t>
  </si>
  <si>
    <t>Besondere Vorgaben</t>
  </si>
  <si>
    <t>Tarif 2019 HSR 2018-02-16 und Tarifrechner Stand 2019-05-10</t>
  </si>
  <si>
    <t>Tarif 2019 HSR 2018-02-16</t>
  </si>
  <si>
    <t>II D zu B § 3 Nr. 5 e)</t>
  </si>
  <si>
    <t>1.000 €
(keine durch Transportschäden)</t>
  </si>
  <si>
    <t>II D zu B SGE Nr. 2</t>
  </si>
  <si>
    <t>II D zu B SGE Nr. 3</t>
  </si>
  <si>
    <t>II D zu B § 3 Nr. 4 c) 1</t>
  </si>
  <si>
    <t>II D zu B § 3 Nr. 4 c) 2</t>
  </si>
  <si>
    <t>II D zu B § 3 Nr. 5 a) aa)</t>
  </si>
  <si>
    <t>II D zu B § 3 Nr. 5 a) bb)</t>
  </si>
  <si>
    <t>5.000 €
auch Skulpturen</t>
  </si>
  <si>
    <t>II D zu B § 3 Nr. 5 d) aa) + cc)</t>
  </si>
  <si>
    <t>II D zu B § 3 Nr. 5 c)</t>
  </si>
  <si>
    <t>5.000 €
auch aus Dachboxen</t>
  </si>
  <si>
    <t>II D zu B § 3 Nr. 5 c) aa) + bb)</t>
  </si>
  <si>
    <t>II D zu B § 3 Nr. 5 b)</t>
  </si>
  <si>
    <t>II D zu B § 3 Nr. 5 f)</t>
  </si>
  <si>
    <t>1.000 €
(Wertsachen 100€)</t>
  </si>
  <si>
    <t>II D zu B § 3 Nr. 5 g)</t>
  </si>
  <si>
    <t>II D zu B § 3 Nr. 5 h)</t>
  </si>
  <si>
    <t>gegen Zuschlag
"MobilPlus"
5.000 € ausserhalb des VO
1.000 €  für Foto, Smartphone &amp; Co
(keine Wertsachen/Beruf.Sachen)</t>
  </si>
  <si>
    <t>II D zu B § 9 Nr. 1 ~ 1 b)</t>
  </si>
  <si>
    <t>II D zu B § 8 Nr. 2 a)</t>
  </si>
  <si>
    <t>II D zu B § 9 Nr. 1 ~ 1 a) +  6 a)</t>
  </si>
  <si>
    <t>II C zu B § 9 Nr. 1 ~ 1 c)</t>
  </si>
  <si>
    <t>II D zu B § 10  Nr. 1</t>
  </si>
  <si>
    <t>II D zu B § 10  Nr. 3 b)+c)+d) + 4</t>
  </si>
  <si>
    <t xml:space="preserve">II D zu B § 10  Nr. 13 </t>
  </si>
  <si>
    <t>II D zu B § 10  Nr. 12</t>
  </si>
  <si>
    <t>1.500 €
(auch Gasverlust)</t>
  </si>
  <si>
    <t>II D zu B § 10  Nr. 11</t>
  </si>
  <si>
    <t>bis 20.000 €
nach einfachem Diebstahl bis 500 €</t>
  </si>
  <si>
    <t>II B § 10  Nr. 6 + II D zu B § 10  Nr. 10</t>
  </si>
  <si>
    <t>bis 200 Tage
100 € pro Tag
(auch Mietfortzahlung bis 5.000 €)</t>
  </si>
  <si>
    <t>II B § 10  Nr. 4 + II D zu B § 10  Nr. 9</t>
  </si>
  <si>
    <t>bis 20.000 €
(wegen Vandalismus 1.000 €)</t>
  </si>
  <si>
    <t>bis 25.000 €
(wegen sonstiger Versicherungsfälle
bis 10.000 €)</t>
  </si>
  <si>
    <t>II B § 10  Nr. 9 + II D zu B § 10  Nr. 7</t>
  </si>
  <si>
    <t>II B § 10  Nr. 8 + II D zu B § 10  Nr. 8</t>
  </si>
  <si>
    <t>teilweise bis 1.000 €</t>
  </si>
  <si>
    <t>II D zu B § 10  Nr. 5</t>
  </si>
  <si>
    <t>II D zu B § 11 Nr. 2 c)</t>
  </si>
  <si>
    <t>II B §11 Nr. 3 a) + Tarif/Antrag
II D zu B § 13 Nr. 5</t>
  </si>
  <si>
    <t>bei VS = 650 € pro qm
sowie Schäden bis 5.000 €</t>
  </si>
  <si>
    <t>II B §8 Nr. 2 b) + II C zu §14 Nr. 2a)</t>
  </si>
  <si>
    <t>II D zu B § 14 Nr. 2 b)</t>
  </si>
  <si>
    <t>II D + BB Fahrrad</t>
  </si>
  <si>
    <t>II D zu B § 23  Nr. 1</t>
  </si>
  <si>
    <t>* Außenversicherung beruflich bedingt für dauerahft außerhalb des VO aufbewahrten versicherten Sachen im Eigentum des  VN 
bis 5.000 €
* Gärtnerische Anlagen
bis 1.000 €
*  Verzicht auf Einrede grober Fahrlässigkeit für
AVB - Allgemeiner Übergang von Ersatzansprüchen bis 10.000 €
VVG §82 Minderung des Schadens
bis 10.000 €</t>
  </si>
  <si>
    <t>II D zu B § 9 Nr. 1 ~ 1 c)
II D zu B § 10 Nr. 6
II D zu A § 21 + II D zu VVG § 82</t>
  </si>
  <si>
    <t>gegen Zuschlag 
"GlasPlus"
• inkl. Glaskeramikkockflächen
• Möbel und Waschtische aus Glas, Plexiglas oder Acryl bis 2500 €</t>
  </si>
  <si>
    <t>II E + Antrag / Trif</t>
  </si>
  <si>
    <t>gegen Zuschlag
auch mit Kasko Möglich</t>
  </si>
  <si>
    <t>II F + II G  
BB Fahrrad - Kasko</t>
  </si>
  <si>
    <t xml:space="preserve"> bis 1% der VS
(gegen Zuschlag auch mit Kasko)</t>
  </si>
  <si>
    <t>30 % der VS
(erhöhbar)</t>
  </si>
  <si>
    <t xml:space="preserve">II B §8 Nr. 2 b) + II D zu §14 Nr. 2a)
II H </t>
  </si>
  <si>
    <t>nicht näher benannt</t>
  </si>
  <si>
    <t>II B; § 4, Ziff. 1 a) dd)+ii)</t>
  </si>
  <si>
    <t>ja
(Anlagen nur Frost)</t>
  </si>
  <si>
    <t>II B; § 4, Ziff. 1 a) cc) + b) cc)</t>
  </si>
  <si>
    <t>II B; § 4, Ziff. 1 a) bb) + b) bb)</t>
  </si>
  <si>
    <t>II B; § 4, Ziff. 1 b) aa) + 
II D zu B § 4 Nr. 1 a)</t>
  </si>
  <si>
    <t>nur frostbedingt
(sonstige Bruckschäden bis 500€)</t>
  </si>
  <si>
    <t>ja - Zisternen
(Anlagen nur Frost)</t>
  </si>
  <si>
    <t>II B; § 4, Ziff. 1 a) ff) + b) cc)</t>
  </si>
  <si>
    <t>hieber handelt es sichin der Regel um Gebäudeschäden</t>
  </si>
  <si>
    <t>aktuell
(geprüft am 14.05.2019)</t>
  </si>
  <si>
    <t>VHB 2016
(2016-10-01)</t>
  </si>
  <si>
    <t>ALT Stand bis 2019-01</t>
  </si>
  <si>
    <t xml:space="preserve">Neu </t>
  </si>
  <si>
    <t>Splitt</t>
  </si>
  <si>
    <t>alt 4</t>
  </si>
  <si>
    <t>B01 §14 + §15</t>
  </si>
  <si>
    <t>B01 §16</t>
  </si>
  <si>
    <t>B26; §6 Nr 1.2 a)</t>
  </si>
  <si>
    <t>B26; §6 Nr 1.2 c)</t>
  </si>
  <si>
    <t>B26; §6 Nr 1.2 d)</t>
  </si>
  <si>
    <t>B26; §7 Nr 2.1</t>
  </si>
  <si>
    <t>B26; §7 Nr 2.2</t>
  </si>
  <si>
    <t xml:space="preserve">Bargeld - 1.200 €
Urkunden - 5.000 €
Schmuck - 20.000 € </t>
  </si>
  <si>
    <t>InterRisk</t>
  </si>
  <si>
    <t>3.1 Wertschutzschränke im Sinne von Nr. 2.2 sind Sicherheitsbehältnisse, die
a) durch die VdS Schadenverhütung GmbH oder durch eine
gleichermaßen qualifizierte Prüfstelle anerkannt sind und
b) als freistehende Wertschutzschränke ein Mindestgewicht
von 200 kg aufweisen oder, bei geringerem Gewicht, nach
den Vorschriften des Herstellers fachmännisch verankert
oder in der Wand oder im Fußboden bündig eingelassen
sind (Einmauerschrank).</t>
  </si>
  <si>
    <t>B26; §6 Nr 1.2 f)</t>
  </si>
  <si>
    <t>B26; §6 Nr 1.2 g) + 2.1 d)</t>
  </si>
  <si>
    <t>B26; §6 Nr 1.2 l)</t>
  </si>
  <si>
    <t>B26; §6 Nr 1.2 h)</t>
  </si>
  <si>
    <t>B26; §6 Nr 1.2 i)</t>
  </si>
  <si>
    <t>auch Aufsitzrasenmäher</t>
  </si>
  <si>
    <t>B26; §6 Nr 1.2 j)</t>
  </si>
  <si>
    <t>B26; §6 Nr 1.2 k)</t>
  </si>
  <si>
    <t>B26; §6 Nr 2 f)</t>
  </si>
  <si>
    <t>B26; §8 Nr 1.1  +2 + 4</t>
  </si>
  <si>
    <t>B26; §8 Nr 1.2</t>
  </si>
  <si>
    <t>Loggien, Balkone,  unmittelbar anschliessende Terrassen (F, LW)</t>
  </si>
  <si>
    <t>B26; §9 Nr 1 + 6</t>
  </si>
  <si>
    <t xml:space="preserve">10 % der VS
max. 3 Monate
weltweit </t>
  </si>
  <si>
    <t xml:space="preserve">B26; §8 Nr 1.1  + §9 </t>
  </si>
  <si>
    <t>B26; §9 Nr 2 + 6</t>
  </si>
  <si>
    <t>B26; §3 Nr 3.4</t>
  </si>
  <si>
    <t>B26; §3 Nr 2.1 + 2.2</t>
  </si>
  <si>
    <t>B26; §3 Nr 2.3</t>
  </si>
  <si>
    <t>Raub außerhalb des Versicherungsortes</t>
  </si>
  <si>
    <t>B26; §9 Nr. 4</t>
  </si>
  <si>
    <t>Raub durch Erpressung außerhalb des Versicherungsortes</t>
  </si>
  <si>
    <t>B26;§9 Nr. 4.2</t>
  </si>
  <si>
    <t>B26; §1 Nr 2</t>
  </si>
  <si>
    <t>B26; §2 Nr 4</t>
  </si>
  <si>
    <t>B26; §2 Nr 6 b)</t>
  </si>
  <si>
    <t>B26; §2 Nr 2.2</t>
  </si>
  <si>
    <t>B26; §4 Nr 2.2</t>
  </si>
  <si>
    <t>B26; §4 Nr 2.1 a)</t>
  </si>
  <si>
    <t>B26; §4 Nr 2.1 b)</t>
  </si>
  <si>
    <t>B26; §4 Nr 2.1 c)</t>
  </si>
  <si>
    <t>B26; §4 Nr 2.1 d)</t>
  </si>
  <si>
    <t>B26; §4 Nr 3 a)</t>
  </si>
  <si>
    <t>B26; §4 Nr 1.2 a)</t>
  </si>
  <si>
    <t>B26; §4 Nr 1.3 a)</t>
  </si>
  <si>
    <t>B26; §4 Nr 1.3 b)</t>
  </si>
  <si>
    <t>B26; §4 Nr 1.2 b+c) + 1.3 b)</t>
  </si>
  <si>
    <t>B26; §4 Nr 1.2 d)</t>
  </si>
  <si>
    <t>B26; §4 Nr 1.2 e)</t>
  </si>
  <si>
    <t>B26; §4 Nr 1.2 f)</t>
  </si>
  <si>
    <t>B26; §5 Nr 4.1 b)</t>
  </si>
  <si>
    <t>B26; §3 Nr 2.4</t>
  </si>
  <si>
    <t>ja
(auch ED-Versuch)</t>
  </si>
  <si>
    <t>B26; §10 Nr 1</t>
  </si>
  <si>
    <t>B26; §10 Nr 2 a)</t>
  </si>
  <si>
    <t>B26; §10 Nr 2 c)</t>
  </si>
  <si>
    <t>B26; §10 Nr 2 h)</t>
  </si>
  <si>
    <t>B26; §10 Nr 2 g)</t>
  </si>
  <si>
    <t>B26; §10 Nr 2 f)</t>
  </si>
  <si>
    <t>ja
(auch Raub)</t>
  </si>
  <si>
    <t>B26; §10 Nr 2 b)</t>
  </si>
  <si>
    <t>B26; §10 Nr 2 d)</t>
  </si>
  <si>
    <t>Renovierungsarbeiten
(auch wegen sonstiger versicherter
Schadensfaällen)</t>
  </si>
  <si>
    <t>nicht benannt</t>
  </si>
  <si>
    <t>B26; §11 Nr 1 + 2.1</t>
  </si>
  <si>
    <t>B26; §11 Nr 2.2</t>
  </si>
  <si>
    <t>2 Monate
(Doppelwohnsitz: für neues Objekt)</t>
  </si>
  <si>
    <t>B26; §14 Nr 1 + 2</t>
  </si>
  <si>
    <t>max 3 Monate 
auf nächste Versicherungsperiode</t>
  </si>
  <si>
    <t>B26; §14 Nr 5 + 6</t>
  </si>
  <si>
    <t>B26; §15 Nr 1.2 c)</t>
  </si>
  <si>
    <t>B26; §17</t>
  </si>
  <si>
    <t>B26; §18 Nr. 2</t>
  </si>
  <si>
    <t>B26; §19 Nr 5.2 a)</t>
  </si>
  <si>
    <t>1. Versicherungswert
Der nach folgenden Maßgaben zu ermittelnde Versicherungswert
bildet die Grundlage der Entschädigungsberechnung:
a) Versicherungswert ist der Wiederbeschaffungswert von
Sachen gleicher Art und Güte in neuwertigem Zustand
(Neuwert),
b) für Kunstgegenstände gemäß § 7 Nr. 1 d) und Antiquitäten
gemäß § 7 Nr. 1 e) ist der Versicherungswert der Wiederbeschaffungspreis
von Sachen gleicher Art und Güte,
c) sind Sachen für ihren Zweck in dem versicherten Haushalt
nicht mehr zu verwenden, so ist der Versicherungswert der
für Sie erzielbare Verkaufspreis (gemeiner Wert),
d) soweit die Entschädigung für Wertsachen auf bestimmte
Beträge gemäß § 7 Nr. 2 begrenzt ist, werden bei der Ermittlung
des Versicherungswertes höchstens diese Beträge
berücksichtigt.</t>
  </si>
  <si>
    <t>§ 11 Nr. 1</t>
  </si>
  <si>
    <t>1. Entschädigung für vom Schaden betroffene Sachen
Ersetzt werden im Versicherungsfall bei
a) zerstörten oder abhandengekommenen Sachen der Versicherungswert
(siehe § 11 Nr. 1) bei Eintritt des Versicherungsfalles
(siehe § 1 Nr. 1),
b) beschädigten Sachen die notwendigen Reparaturkosten
bei Eintritt des Versicherungsfalles zuzüglich einer durch
die Reparatur nicht auszugleichenden Wertminderung,
höchstens jedoch der Versicherungswert bei Eintritt des
Versicherungsfalles.
Wird durch den Schaden die Gebrauchsfähigkeit einer Sache
nicht beeinträchtigt und ist Ihnen die Nutzung ohne Reparatur
zumutbar (sogenannter Schönheitsschaden), so ist die
Beeinträchtigung durch Zahlung des Betrages auszugleichen,
der dem Minderwert entspricht.
2. Restwerte
Restwerte werden in den Fällen von Nr. 1 angerechnet.</t>
  </si>
  <si>
    <t>§ 19 Nr. 1 + 2</t>
  </si>
  <si>
    <t>B26; §23 Nr 5</t>
  </si>
  <si>
    <t>B26; §1 Nr 2 + VBE zu §2 Nr 4</t>
  </si>
  <si>
    <t>B26; §3 Nr 2.1  + VBE zu §3 Nr. 2.1</t>
  </si>
  <si>
    <t>B26; §3 Nr 3.1 + VBE</t>
  </si>
  <si>
    <t>B26; §5 Nr 2 + VBE zu §5 Nr. 2</t>
  </si>
  <si>
    <t>B26; §10 Nr 2 b) + VBE zu §10 Nr.2b</t>
  </si>
  <si>
    <t>VBE zu B26</t>
  </si>
  <si>
    <t>Klausel 7279</t>
  </si>
  <si>
    <t>Klausel 7279 Nr. 3</t>
  </si>
  <si>
    <t>Klausel 7279 Nr. 1</t>
  </si>
  <si>
    <t>Klausel 7279 Nr. 10.1</t>
  </si>
  <si>
    <t xml:space="preserve">* Keine Kündigungsfristen für VN
*  Bonussystem bei SB-Tarifen
Reduzierung des SB wenn 5 Jahre Schadenfrei
* SFR-System 
25% wenn 5 Jahre Schadenfrei
</t>
  </si>
  <si>
    <t>B01; §6 Nr. 1.2
Klausel 7772-7775
Klausel 7771</t>
  </si>
  <si>
    <t>B27; §11 Nr 1 + 2.1</t>
  </si>
  <si>
    <t>B27; §11 Nr 2.2</t>
  </si>
  <si>
    <t>B27; §19 Nr 4.3</t>
  </si>
  <si>
    <t>B26; §19 Nr 4.3</t>
  </si>
  <si>
    <t>B27; §19 Nr 5.2 a)</t>
  </si>
  <si>
    <t>B27; §6 Nr 1.2 a)</t>
  </si>
  <si>
    <t>B27; §6 Nr 1.2 c)</t>
  </si>
  <si>
    <t>B27; §6 Nr 1.2 d)</t>
  </si>
  <si>
    <t>B27; §7 Nr 2.1</t>
  </si>
  <si>
    <t>B27; §7 Nr 2.2</t>
  </si>
  <si>
    <t>* Markisen (auch St/H)
* Antennenanlagen(auch St/H)
* technische, optische u.
akustische Sicherungsanlagen
(auf dem ganzen Versicherungsgrundstück)</t>
  </si>
  <si>
    <t>* Markisen (auch St/H)
* Antennenanlagen(auch St/H)
(auf dem ganzen Versicherungsgrundstück)</t>
  </si>
  <si>
    <t>B26; §6 Nr 1.2 e) 
+ §8 Nr.3 + §5 Nr 4.2 b)</t>
  </si>
  <si>
    <t>B27; §6 Nr 1.2 g)</t>
  </si>
  <si>
    <t>B27; §6 Nr 1.2 m)</t>
  </si>
  <si>
    <t>B27; §6 Nr 1.2 i)</t>
  </si>
  <si>
    <t>B27; §6 Nr 1.2 j)</t>
  </si>
  <si>
    <t>B27; §6 Nr 1.2 k)</t>
  </si>
  <si>
    <t>B27; §6 Nr 1.2 l)</t>
  </si>
  <si>
    <t>B27; §6 Nr 1.2 h) + 2.1 d)</t>
  </si>
  <si>
    <t>B27; §8 Nr 1.1  + 2 + 5a)</t>
  </si>
  <si>
    <t>B27; §8 Nr 1.2</t>
  </si>
  <si>
    <t>B27; §8 Nr 1.1  + §9  Nr.6</t>
  </si>
  <si>
    <t xml:space="preserve">10 % der VS
max. 6 Monate
weltweit </t>
  </si>
  <si>
    <t>B27; §9 Nr 1 + 7</t>
  </si>
  <si>
    <t>B27; §9 Nr 2 + 6</t>
  </si>
  <si>
    <t>B27; §7 Nr. 3.2 + §8 Nr.5b)</t>
  </si>
  <si>
    <t>B27; §14 Nr 1 + 2</t>
  </si>
  <si>
    <t>B27; §14 Nr 5 + 6</t>
  </si>
  <si>
    <t>B27; §2 Nr 4 b)</t>
  </si>
  <si>
    <t>B27; §2 Nr 4 a)</t>
  </si>
  <si>
    <t>B27; §2 Nr 2.3</t>
  </si>
  <si>
    <t>B27; §2 Nr 2.4</t>
  </si>
  <si>
    <t>B27; §2 Nr 2.2</t>
  </si>
  <si>
    <t>B27; §2 Nr 3 c)</t>
  </si>
  <si>
    <t>B27; §2 Nr 3 b)</t>
  </si>
  <si>
    <t>B27; §1 Nr 2 + VBE zu §2 Nr 4</t>
  </si>
  <si>
    <t>B27; §2 Nr 4c) +VBE zu §2 Nr.4c)</t>
  </si>
  <si>
    <t>B27; §2 Nr 5a)+b) 
+VBE zu §2 Nr.5a)+b)</t>
  </si>
  <si>
    <t>Luftfahrzeuge / Teile / Ladung</t>
  </si>
  <si>
    <t>B26; §2 Nr 5</t>
  </si>
  <si>
    <t>B27; §4 Nr 2.2</t>
  </si>
  <si>
    <t>B27; §4 Nr 2.1 a)</t>
  </si>
  <si>
    <t>B27; §4 Nr 2.1 b)</t>
  </si>
  <si>
    <t>B27; §4 Nr 2.1 c)</t>
  </si>
  <si>
    <t>B27; §4 Nr 2.1 d)</t>
  </si>
  <si>
    <t>B27; §4 Nr 3 a)</t>
  </si>
  <si>
    <t>B27; §4 Nr 3</t>
  </si>
  <si>
    <t>B27; §4 Nr 1.2 a)</t>
  </si>
  <si>
    <t>B27; §4 Nr 1.3 a)</t>
  </si>
  <si>
    <t>B27; §4 Nr 1.2 g)</t>
  </si>
  <si>
    <t>B27; §4 Nr 1.2 d)</t>
  </si>
  <si>
    <t>nur frostbedingt
(sonstige Bruckschäden bis 250€)</t>
  </si>
  <si>
    <t>B27; §4 Nr 1.2 b+c) + 1.3 b)</t>
  </si>
  <si>
    <t>B27; §4 Nr 1.2 e)</t>
  </si>
  <si>
    <t>B27; §4 Nr 1.2 f)</t>
  </si>
  <si>
    <t>B27; §4 Nr 1.3 b)</t>
  </si>
  <si>
    <t>B27; §5 Nr 4.1 b)</t>
  </si>
  <si>
    <t>B27; §5 Nr 2 + VBE zu §5 Nr. 2</t>
  </si>
  <si>
    <t>B27; §3 Nr 2.1 + 2.2</t>
  </si>
  <si>
    <t>B27; §3 Nr 2.3</t>
  </si>
  <si>
    <t>B27; §3 Nr 2.4</t>
  </si>
  <si>
    <t>B27; §3 Nr. 2.5</t>
  </si>
  <si>
    <t>B27; §3 Nr. 2.6 + 3.6</t>
  </si>
  <si>
    <t>B27; §3 Nr. 4.1</t>
  </si>
  <si>
    <t>B27; §3 Nr. 5.1 b) + 5.2</t>
  </si>
  <si>
    <t>B27; §3 Nr. 5.1 a) + 5.2</t>
  </si>
  <si>
    <t>1.500 €
(mit Nachtzeitklausel)</t>
  </si>
  <si>
    <t>750 €</t>
  </si>
  <si>
    <t>750 €
aus Gemeinschaftsräumen und Treppenhäusern</t>
  </si>
  <si>
    <t>B27; §3 Nr. 6 b) + 6.2</t>
  </si>
  <si>
    <t>inkl. 750 €
(eigenständiges Fahrradschloss verpflichtend)</t>
  </si>
  <si>
    <t>B27; §3 Nr. 6 a) + 6.2 +6.4</t>
  </si>
  <si>
    <t>B27; §3 Nr 7.2 a) + c)</t>
  </si>
  <si>
    <t>• Wertsachen
• Fotoapparate
 • elektronische Geräte
einschließlich des Zubehörs</t>
  </si>
  <si>
    <t>B27; §3 Nr 7.3</t>
  </si>
  <si>
    <t>1.500 €
keine Anhänger</t>
  </si>
  <si>
    <t>B27; §3 Nr 7.3 + 7.1a)</t>
  </si>
  <si>
    <t>B27; §3 Nr 7.3 + 7.1b)</t>
  </si>
  <si>
    <t>im Rahmen Diebstahl aus Wasser-Fahrzeugen</t>
  </si>
  <si>
    <t>B27; §3 Nr 7.1 b) + 7.2 a+c +7.3</t>
  </si>
  <si>
    <t>B27; §3 Nr 2.1  + VBE zu §3 Nr. 2.1</t>
  </si>
  <si>
    <t>B27; §9 Nr. 4</t>
  </si>
  <si>
    <t>B27; §3 Nr 3.4</t>
  </si>
  <si>
    <t>750 €
(Bargeld/Wertsachen bis 150 €)
(nur das Unterbringungszimmer)</t>
  </si>
  <si>
    <t>B27; §3 Nr. 8</t>
  </si>
  <si>
    <t>B27; §3 Nr 3 + VBE</t>
  </si>
  <si>
    <t>B27; §2 Nr. 6</t>
  </si>
  <si>
    <t>B27; §10 Nr 1.1</t>
  </si>
  <si>
    <t>B27; §10 Nr 2 a)</t>
  </si>
  <si>
    <t>B27; §10 Nr 2 c)</t>
  </si>
  <si>
    <t>B27; §10 Nr 2 h)</t>
  </si>
  <si>
    <t>B27; §10 Nr 2 g)</t>
  </si>
  <si>
    <t>B27; §10 Nr 2 b)</t>
  </si>
  <si>
    <t>B27; §10 Nr 2 f)</t>
  </si>
  <si>
    <t>B27; §10 Nr 2 b) + VBE zu §10 Nr.2b</t>
  </si>
  <si>
    <t>B27; §10 Nr 2 d)</t>
  </si>
  <si>
    <t>B27; §10 Nr. 2 i)</t>
  </si>
  <si>
    <t>ja, wenn mind. 100 Tagen Unbewohnbarkeit</t>
  </si>
  <si>
    <t>B27; §10 Nr. 1.3</t>
  </si>
  <si>
    <t>B27; §10 Nr 3</t>
  </si>
  <si>
    <t>B27; §23 Nr 5</t>
  </si>
  <si>
    <t>bei Schäden &gt; 10.000 € 
98 % der Kosten</t>
  </si>
  <si>
    <t>B27; §15 Nr 1.2 c)</t>
  </si>
  <si>
    <t>spätestens mit Beginn des Umzug
(UVV bis 2 Monate gültig)</t>
  </si>
  <si>
    <t>B27; §14 Nr. 4.1 + §19 Nr. 5.2 c)</t>
  </si>
  <si>
    <t>B26; §14 Nr. 4.1 + §19 Nr. 5.2 c)</t>
  </si>
  <si>
    <t>B27; §18 Nr. 2</t>
  </si>
  <si>
    <t>B27; §17</t>
  </si>
  <si>
    <t>vermietete Einliegerwohnung des selbstbewohnten EFH</t>
  </si>
  <si>
    <t>B27; §8 Nr 3</t>
  </si>
  <si>
    <t>B28; §11 Nr 1 + 2.1</t>
  </si>
  <si>
    <t>10% der VS
bei VS = 700 € pro qm: 30% der VS</t>
  </si>
  <si>
    <t>B28; §11 Nr 2.2 + 2.3</t>
  </si>
  <si>
    <t>B28; §19 Nr 4.2 + VBE zu §19 Nr.4.2</t>
  </si>
  <si>
    <t>B28; §19 Nr 5.2 a+b)</t>
  </si>
  <si>
    <t>B28; §6 Nr 1.2 a)</t>
  </si>
  <si>
    <t>B28; §6 Nr 1.2 c)</t>
  </si>
  <si>
    <t>B28; §6 Nr 1.2 d)</t>
  </si>
  <si>
    <t>40 % der VS</t>
  </si>
  <si>
    <t>B28; §7 Nr 2.1</t>
  </si>
  <si>
    <t>Bargeld - 1.500 €
Urkunden - 20.000 €
Schmuck - 40.000 €
(Bargeld - 7.500€ wenn Abhebung vom eigenene Konto innerhald der letzten Woche vor VF war)</t>
  </si>
  <si>
    <t>B28; §7 Nr 2.2 + 2.3</t>
  </si>
  <si>
    <t>B27; §6 Nr 1.2 e)+f)
 + §8 Nr.4 + §5 Nr 4.2 b)</t>
  </si>
  <si>
    <t>* Anlagen der regenerativen Energieversorgung
* Markisen
* Antennenanlagen
* technische, optische u.
akustische Sicherungsanlagen
(auf dem ganzen Versicherungsgrundstück auch St/H)</t>
  </si>
  <si>
    <t>B28; §6 Nr 1.2 e)+f)
 + §8 Nr.4 + §5 Nr 1</t>
  </si>
  <si>
    <t>B28; §6 Nr 1.2 g)</t>
  </si>
  <si>
    <t>B28+; §6 Nr 1.2 h) + 2.1 d)</t>
  </si>
  <si>
    <t>B28; §6 Nr 1.2 m)</t>
  </si>
  <si>
    <t>B28; §6 Nr 1.2 i)</t>
  </si>
  <si>
    <t>B28; §6 Nr 1.2 j)</t>
  </si>
  <si>
    <t>B28; §6 Nr 1.2 k)</t>
  </si>
  <si>
    <t>B28; §6 Nr 1.2 l)</t>
  </si>
  <si>
    <t>B28; §8 Nr 1.1  + 2 + 5a)</t>
  </si>
  <si>
    <t>B28; §8 Nr 1.2</t>
  </si>
  <si>
    <t>B28; §8 Nr 1.1  + §9  Nr.6</t>
  </si>
  <si>
    <t>B28; §9 Nr 1 + 7</t>
  </si>
  <si>
    <t>Beruflich oder gewerblich genutzte Räume 
ausschließlich über versicherte Wohnung  zu betreten</t>
  </si>
  <si>
    <t>ja
(häusliches Arbeitszimmer)</t>
  </si>
  <si>
    <t>B28; §8 Nr 3</t>
  </si>
  <si>
    <t>B28; §3 Nr 2.1</t>
  </si>
  <si>
    <t>B28; §9 Nr 2.3 + 7</t>
  </si>
  <si>
    <t>B28; §14 Nr 8</t>
  </si>
  <si>
    <t>B28; §9 Nr 2.1 + 7</t>
  </si>
  <si>
    <t>B28; §7 Nr. 3.2 + §8 Nr.5b)</t>
  </si>
  <si>
    <t>B28; §14 Nr 1 + 2</t>
  </si>
  <si>
    <t>B28; §14 Nr 5 + 6</t>
  </si>
  <si>
    <t>B28; §2 Nr 4 b)</t>
  </si>
  <si>
    <t>B28; §2 Nr 4 a)</t>
  </si>
  <si>
    <t>B28; §2 Nr 2 c)</t>
  </si>
  <si>
    <t>B28; §2 Nr 2 b)</t>
  </si>
  <si>
    <t>B28; §2 Nr 2.2</t>
  </si>
  <si>
    <t>Schäden an Kühl - und Gefriergut infolge unvorhersehbarer Unterbrechung der Energiezufuhr oder techn. GeräteVersagen</t>
  </si>
  <si>
    <t>keine techn. Geräteversagen</t>
  </si>
  <si>
    <t>Schäden infolge Überspannung …..  durch Blitz oder sonstige atmosphärisch bedingte Elektrizität</t>
  </si>
  <si>
    <t>sowie Überstrom und Kurzschluss</t>
  </si>
  <si>
    <t>B28; §2 Nr 3 b)</t>
  </si>
  <si>
    <t>B28; §2 Nr 3 c) + d)</t>
  </si>
  <si>
    <t>B28; §1 Nr 2 + VBE zu §2 Nr 4</t>
  </si>
  <si>
    <t>B28; §2 Nr 4c) +VBE zu §2 Nr.4c)</t>
  </si>
  <si>
    <t>B28; §2 Nr 5a)+b) 
+VBE zu §2 Nr.5a)+b)</t>
  </si>
  <si>
    <t>B28; §4 Nr 2</t>
  </si>
  <si>
    <t>B28; §4 Nr 2 b)</t>
  </si>
  <si>
    <t>B28; §4 Nr 2 a)</t>
  </si>
  <si>
    <t>B28; §4 Nr 2 c)</t>
  </si>
  <si>
    <t>und sonstigen Anlagen regenerativer Energie</t>
  </si>
  <si>
    <t>B28; §4 Nr 2 d)</t>
  </si>
  <si>
    <t>B28; §4 Nr 2 e)</t>
  </si>
  <si>
    <t>B28; §4 Nr 2 f)</t>
  </si>
  <si>
    <t>B28; §4 Nr 2 g)</t>
  </si>
  <si>
    <t>B28; §4 Nr 2 h)</t>
  </si>
  <si>
    <t>B28; §4 Nr 5.1 a)</t>
  </si>
  <si>
    <t>B28; §4 Nr 1.2 a)</t>
  </si>
  <si>
    <t>B28; §4 Nr 1.3 a)</t>
  </si>
  <si>
    <t>B28; §4 Nr 1.2 g)</t>
  </si>
  <si>
    <t>B28; §4 Nr 1.2 b+c) + 1.3 b)</t>
  </si>
  <si>
    <t>B28; §4 Nr 1.2 d)</t>
  </si>
  <si>
    <t>B28; §4 Nr 1.2 e)</t>
  </si>
  <si>
    <t>B28; §4 Nr 1.2 f)</t>
  </si>
  <si>
    <t>B28; §4 Nr 1.2 b)</t>
  </si>
  <si>
    <t>nein
ausgeschlossen bleibt Durchzug</t>
  </si>
  <si>
    <t>B28; §5 Nr 1 + VBE zu §5 Nr. 1</t>
  </si>
  <si>
    <t>B28; §5 Nr 2.2</t>
  </si>
  <si>
    <t>B28; §3 Nr 2.1 + 2.2</t>
  </si>
  <si>
    <t>B28; §3 Nr 2.1  + VBE zu §3 Nr. 2.1</t>
  </si>
  <si>
    <t>B28; §3 Nr 3 + VBE</t>
  </si>
  <si>
    <t>B28; §3 Nr 2.3</t>
  </si>
  <si>
    <t>B28; §3 Nr 2.4</t>
  </si>
  <si>
    <t>B28; §3 Nr. 2.5</t>
  </si>
  <si>
    <t>B28; §3 Nr. 2.6 + 3.5</t>
  </si>
  <si>
    <t>10.000 €
auch nach Raub</t>
  </si>
  <si>
    <t>750 €
auch nach Raub</t>
  </si>
  <si>
    <t>unbegrenzt (außerhalb Versicherungsort 1.500 €)</t>
  </si>
  <si>
    <t>1.500 €
(innerhalb des Versicherungsorts)</t>
  </si>
  <si>
    <t>1.000 €
(innerhalb des Versicherungsorts)</t>
  </si>
  <si>
    <t>B28; §9 Nr. 4</t>
  </si>
  <si>
    <t>B28;§9 Nr. 4.2</t>
  </si>
  <si>
    <t>B27;§9 Nr. 4.2</t>
  </si>
  <si>
    <t>B28; §3 Nr 3.4</t>
  </si>
  <si>
    <t>B28; §3 Nr 7</t>
  </si>
  <si>
    <t>B28; §3 Nr 7.2 b) + 7.3</t>
  </si>
  <si>
    <t>B28; §3 Nr 7.3 + 7.1a)</t>
  </si>
  <si>
    <t>B28; §3 Nr. 6.1 a) + 6.3 +6.4</t>
  </si>
  <si>
    <t>inkl. 750 €
(eigenständiges Fahrradschloss verpflichtend)
erhöht auf 3.000 € im Gebäude nach Gebrauch, der Fahrrahmen durch seperates Schloss gegen Wegnahme gesichert</t>
  </si>
  <si>
    <t>B28; §3 Nr. 6.1 b)</t>
  </si>
  <si>
    <t>B28; §3 Nr. 8</t>
  </si>
  <si>
    <t>auch aus Pflege- oder Altenheims
(Bargeld/Wertsachen bis 750 €)
(nur das Unterbringungszimmer)
sowie aus Praxisräumen(Arztbesuch)</t>
  </si>
  <si>
    <t>bis 1.000 €
(Bargeld 150 €)
sowie aus Praxisräumen(Arztbesuch)</t>
  </si>
  <si>
    <t>bis 1.000 €
(Bargeld 150 €)
sowieh aus Praxisräumen(Arztbesuch)</t>
  </si>
  <si>
    <t>B28; §3 Nr. 5.1 b)</t>
  </si>
  <si>
    <t>B28; §3 Nr. 5.1 c) + 5.2</t>
  </si>
  <si>
    <t>B28; §3 Nr. 5.1 a)</t>
  </si>
  <si>
    <t>B28; §3 Nr. 5.1 e)</t>
  </si>
  <si>
    <t>B28; §3 Nr. 5.1 f)</t>
  </si>
  <si>
    <t>B28; §3 Nr. 9</t>
  </si>
  <si>
    <t>10.000 €
(innerhalb des Versicherungsorts)</t>
  </si>
  <si>
    <t>B28; §3 Nr. 4.1</t>
  </si>
  <si>
    <t>B28; §3 Nr. 10</t>
  </si>
  <si>
    <t>B27; §2 Nr. 7 + 6</t>
  </si>
  <si>
    <t>B28; §10 Nr 1.1</t>
  </si>
  <si>
    <t>B28; §10 Nr 2 c)</t>
  </si>
  <si>
    <t>B28; §10 Nr 2 b)</t>
  </si>
  <si>
    <t>B28; §10 Nr 2 l)</t>
  </si>
  <si>
    <t>B28; §10 Nr 2 k)</t>
  </si>
  <si>
    <t>auch für Gemeinschaftstüren 
und eigene Kfz</t>
  </si>
  <si>
    <t>B28; §10 Nr 2 b) + VBE zu §10 Nr.2b</t>
  </si>
  <si>
    <t>B28; §10 Nr 2 i)</t>
  </si>
  <si>
    <t>B28; §10 Nr 2 j)</t>
  </si>
  <si>
    <t>B28; §10 Nr 2 e)</t>
  </si>
  <si>
    <t>B28; §10 Nr. 2 m)</t>
  </si>
  <si>
    <t>bei Schäden &gt; 5.000 €
(auch Dienstreisen)
keine Reisedefinition</t>
  </si>
  <si>
    <t>B28; §10 Nr. 1.3</t>
  </si>
  <si>
    <t>B28; §23 Nr 5</t>
  </si>
  <si>
    <t>B28; §10 Nr 4 + 5</t>
  </si>
  <si>
    <t>B28; §10 Nr 3</t>
  </si>
  <si>
    <t>B28; §4 Nr 4</t>
  </si>
  <si>
    <t>100.000 €
auch Absperrkosten / Verkehrssicherungsmaßnahmen
und Isokierungskosten radioaktiv verseuchte Sachen</t>
  </si>
  <si>
    <t>50.000 €
auch Absperrkosten / Verkehrssicherungsmaßnahmen
und Isokierungskosten radioaktiv verseuchte Sachen</t>
  </si>
  <si>
    <t>ja
auch Absperrkosten / Verkehrssicherungsmaßnahmen</t>
  </si>
  <si>
    <t>B28; §10 Nr 2 a) +g)</t>
  </si>
  <si>
    <t>ja
auch Mietfortzahlung</t>
  </si>
  <si>
    <t>B28; §10 Nr 2 f) + h)</t>
  </si>
  <si>
    <t>A; Ziff. 1.4.2 (5) + (19) + (17)</t>
  </si>
  <si>
    <t>inkl. 
* Telefon-Service für
- Reise
- Bank-/Kreditkarten und Dokumente
-Handwerker- u. Dienstleister</t>
  </si>
  <si>
    <t>B28; §10 Nr 6</t>
  </si>
  <si>
    <t>180 Tage</t>
  </si>
  <si>
    <t>B28; §15 Nr 1.2 c)</t>
  </si>
  <si>
    <t>spätestens mit Beginn des Umzug
(UVV bis 12 Monate gültig)</t>
  </si>
  <si>
    <t>bei Unkenntnis oder erfolgloser Versuch zur Erfüllung</t>
  </si>
  <si>
    <t>B28; §14 Nr. 4.1 + §19 Nr. 5.2 c)</t>
  </si>
  <si>
    <t>B28; §17 Nr 1.3</t>
  </si>
  <si>
    <t>B28; §18</t>
  </si>
  <si>
    <t>B28; §10 Nr 2 j) + VBE zu §10 Nr 2j)</t>
  </si>
  <si>
    <t>B28; §15 Nr 1 + VBE zu §15 Nr.1</t>
  </si>
  <si>
    <t xml:space="preserve">Klausel 7280 </t>
  </si>
  <si>
    <t>ab 200.000 € 
mit Zusatzerklärung</t>
  </si>
  <si>
    <t>Tarif HT2011 -Stand 2017-12</t>
  </si>
  <si>
    <t>gegen Zuschlag
"OnTour-Schutz"
3.000 € bis 10.000 € 
(Wertsachen bis 50% der VS des Baustein)</t>
  </si>
  <si>
    <t>Klausel 7282 + Tarif</t>
  </si>
  <si>
    <t>A §9  Nr. 2 / HB S.60</t>
  </si>
  <si>
    <t>Interlloyd</t>
  </si>
  <si>
    <t>Zeichnungsrichtlinien
Schaden</t>
  </si>
  <si>
    <t>Annahme, wenn:
• der Vorvertrag durch die Vorversicherung gekündigt wurde.
• innerhalb der letzten 5 Jahre:
• insgesamt 3 oder mehr Vorschäden oder
• 2 oder mehr Leitungswasserschäden eingetreten sind.</t>
  </si>
  <si>
    <t>Zeichnungsrichtlinien HSR
• Ständig bewohnte Wohnung in Deutschland im Gebäude mit harter Dachung, Wände massiv und ohne Gefahrerhöhung. 
(Tarifrechner Keine Gefahrenerhöhung im Umkreis von 10m (z.B. Diskothek, Bar, Erotikgeschäft, Eroscenter, Tankstelle, Chemiebetrieb etc.)?
• Versicherungssumme bis 200.000 €, darüber hinaus in Absprache mit dem Risikoträger (Sicherungsbeschreibungsfragebogen erforderlich).
• Alle Außen-/Wohnungstüren sind mit bündigen Sicherheitsschlössern und von innen verschraubten Türschildern versehen.
• Für die Mitversicherung von Elementarschäden muss eine Schadenfreiheit innerhalb der letzten 10 Jahre bestehen.
• Nicht versicherbar sind Ferien- und Wochenendhäuser.
• Kein Versicherungsschutz besteht in WGs oder Zimmer in einer WG.
• Vorschäden führen zu einer individuelle Annahmeprüfung, grundsätzlich erfolgt keine 
Zeichnungsrichtlinien Glas
Bei dem versicherten Objekt handelt es sich um ein Einfamilienhaus oder um eine Wohnung.
Vorschäden führen zu einer individuelle Annahmeprüfung, grundsätzlich erfolgt keine Annahme, wenn:
• der Vorvertrag durch die Vorversicherung gekündigt wurde oder
• innerhalb der letzten 5 Jahre insgesamt 3 oder mehr Vorschäden eingetreten sind.</t>
  </si>
  <si>
    <t>Risiken, zu denen Versicherungen von anderen Gesellschaften gekündigt, abgelehnt oder im gegenseitigen
Einvernehmen aufgehoben wurden
Risiken mit &gt; 1 Vorschaden oder ED-Schäden über 10.000 € in den letzten 5 Jahren
Risiken mit &gt;= 1 Elementarschaden innerhalb der letzten 10 Jahre</t>
  </si>
  <si>
    <t>Grundsätzlich ist nur eine Annahme von subjektiv und objektiv positiven Risiken möglich.
Diese Tarife gelten ausschließlich für 
selbst genutzte und ständig bewohnte Wohnungen in Deutschland.
Anfragepflichtige Risiken
Hausrat in Gebäuden der Bauartklasse IV bzw. Fertighausgruppe 3
Risiken mit einer Wohnfläche über 250 qm (Infinitus / Eurosecure Plus)
Höchstentschädigungen (Eurosecure Plus) über 300.000 €
Versicherungssummen (Protect Plus / Classic) über 250.000 €
Hausrat mit Wertsachen über 
75.000 € (Infinitus), 
50.000 € (Eurosecure Plus), 
30 % (Protect Plus) bzw.
20 % (Classic) der Versicherungssumme
Hausrat mit Sammlungen über 20.000 €
Wohnungen mit beantragter Elementardeckung, sofern ZÜRS Gk 3 oder 4
Wohnungen, die nicht ständig bewohnt sind (u. a. Wochenend- und Ferienhäuser)
Eingelagerter Hausrat
Diese Risiken sind unter Umständen nur zu eingeschränkten Bedingungen oder gegebenenfalls gegen Prämienzuschlag
versicherbar.
Nicht versicherbare Risiken
Hausrat in Gebäuden der Bauartklasse V
Hausrat in Gebäuden, die nicht allseitig umschlossen sind
Hausrat in Gebäuden, die zum Abbruch vorgesehen sind</t>
  </si>
  <si>
    <t>keine 
Höchstentschädigungsgrenze</t>
  </si>
  <si>
    <t>enfällt keine 
Höchstentschädigungsgrenze</t>
  </si>
  <si>
    <t>GDV - Stand 2010-02
AKBP - Stand 2010-02</t>
  </si>
  <si>
    <t>A §6 Nr. 2 a)</t>
  </si>
  <si>
    <t>A §6 Nr. 2 c) aa)</t>
  </si>
  <si>
    <t>A §6 Nr. 2 c) bb)</t>
  </si>
  <si>
    <t>A §6 Nr. 2 c) dd) + 4 e)</t>
  </si>
  <si>
    <t>A §6 Nr. 2 c) ee)</t>
  </si>
  <si>
    <t>A §6 Nr. 2 c) ff)</t>
  </si>
  <si>
    <t>A §6 Nr. 2 c) gg)</t>
  </si>
  <si>
    <t>A §6 Nr. 2 c) + 4 c) + Tarif</t>
  </si>
  <si>
    <t>Fahrräder</t>
  </si>
  <si>
    <t>A §6 Nr. 2 c) ii)</t>
  </si>
  <si>
    <t>A §6 Nr. 2 c) hh)</t>
  </si>
  <si>
    <t>A §6 Nr. 2 c) ee) + 4 c)</t>
  </si>
  <si>
    <t>A §6 Nr. 3</t>
  </si>
  <si>
    <t>ja
Garagen auch in der Nähe des
Versicherungsorts</t>
  </si>
  <si>
    <t>A §6 Nr. 3 b)</t>
  </si>
  <si>
    <t>auch mit Publikumsverkehr und Angestellten
(mit separaten Eingang nur ohne Angestellte oder Publikumsverkehr)</t>
  </si>
  <si>
    <t>20.000 €
max. 12 Monate</t>
  </si>
  <si>
    <t>A §3 Nr.2 + D B Nr. 12</t>
  </si>
  <si>
    <t>A §7 Nr.2</t>
  </si>
  <si>
    <t>gegen Zuschlag 
10.000 €</t>
  </si>
  <si>
    <t>10.000 €
bis nächste Hauptfälligkeit</t>
  </si>
  <si>
    <t>2.500 € Nur ED in Deutschland
aus verschlossenen Stahlschrank</t>
  </si>
  <si>
    <t>im Rahmen der Wertsachen
(nachrangig mit Anrechnung)</t>
  </si>
  <si>
    <t>D; A Nr.3 a)</t>
  </si>
  <si>
    <t>A; §2 Nr.1c) + 5</t>
  </si>
  <si>
    <t>D; A Nr.3</t>
  </si>
  <si>
    <t>D; A Nr.2</t>
  </si>
  <si>
    <t>D; A Nr.2.1</t>
  </si>
  <si>
    <t>D; A Nr.6</t>
  </si>
  <si>
    <t>D; A Nr.5</t>
  </si>
  <si>
    <t>D; A Nr.1</t>
  </si>
  <si>
    <t>D; A Nr.3 b)</t>
  </si>
  <si>
    <t>Luftfahrzeuge o.Teile / Ladung
sowie sonstiger Fahrzeuge oder deren Teile o. Ladung</t>
  </si>
  <si>
    <t>A; §2 Nr.1d) + D; A Nr.4</t>
  </si>
  <si>
    <t>D; A Nr. 8</t>
  </si>
  <si>
    <t>A; §4 Nr.2</t>
  </si>
  <si>
    <t>D; C Nr.20</t>
  </si>
  <si>
    <t>A; §4 Nr.2 + D; C Nr.20</t>
  </si>
  <si>
    <t>D; C Nr.22</t>
  </si>
  <si>
    <t>A; §4 Nr.1 a) aa)</t>
  </si>
  <si>
    <t>A; §4 Nr.1 a) cc)</t>
  </si>
  <si>
    <t>A; §4 Nr.1 b) bb)</t>
  </si>
  <si>
    <t>A; §4 Nr.1 b) aa)</t>
  </si>
  <si>
    <t>A; §4 Nr.1 a) bb) + 1 b) bb)</t>
  </si>
  <si>
    <t>A; §4 Nr.1  D; C Nr. 19 a)</t>
  </si>
  <si>
    <t>A; §4 Nr.1  D; C Nr. 19 b)</t>
  </si>
  <si>
    <t>A; §4 Nr.1 + D; C Nr. 19 b)</t>
  </si>
  <si>
    <t>auch falls erfordlich in Folge eines Nässeschadens</t>
  </si>
  <si>
    <t>D; D Nr. 23</t>
  </si>
  <si>
    <t>bis 500 € Schadenhöhe
korrekte WFl. max 15% Abweichung</t>
  </si>
  <si>
    <t>A; §3 Nr.2 a)</t>
  </si>
  <si>
    <t>A; §3 Nr.2 b)</t>
  </si>
  <si>
    <t>A; §3 Nr.2 c)</t>
  </si>
  <si>
    <t>A; §3 Nr.2 d)</t>
  </si>
  <si>
    <t>Räuberischer Diebstahl  
durch Anwendung oder Androhung von Gewalt</t>
  </si>
  <si>
    <t>A; §3 Nr.2 e)</t>
  </si>
  <si>
    <t>A; §7 Nr.4</t>
  </si>
  <si>
    <t>A; §3 Nr.3+ 2 e)+f)</t>
  </si>
  <si>
    <t>ja
auch Diebstahl</t>
  </si>
  <si>
    <t>A; §3 Nr.2 e)+f)</t>
  </si>
  <si>
    <t>A; §3 Nr.3+ 2 a) + D; B Nr.14</t>
  </si>
  <si>
    <t>im Rahmen von 
einfachem Diebstahl</t>
  </si>
  <si>
    <t>• Wertsachen (Geld 0 €)
• Fotoapparate
 • elektronische Geräte
einschließlich des Zubehörs
wenn sie sichtbar untergebracht waren begrenzt auf 1.500 €</t>
  </si>
  <si>
    <t>D; B  Nr. 11.1</t>
  </si>
  <si>
    <t>D; B  Nr. 11.2 a )aa) + 4</t>
  </si>
  <si>
    <t>1.000 €
diverse Besonderheiten
- mind. 3 ÜN + 50 km 
- berufl.Gep.nur gegen Vereinb.</t>
  </si>
  <si>
    <t>D; D Nr. 43</t>
  </si>
  <si>
    <t>D; B Nr. 10</t>
  </si>
  <si>
    <t>im Rahmen von
 einfachen Diebstahl</t>
  </si>
  <si>
    <t>25 € pro qm, max. 5.000 €
Bargeld max. 250 €
(elektron.. Geräte zum Zeitwert 
oder Naturalersatz)</t>
  </si>
  <si>
    <t>im Rahmen von
 einfachen Diebstahl
25 € pro qm, max. 5.000 €</t>
  </si>
  <si>
    <t>D; B  Nr. 18</t>
  </si>
  <si>
    <t>500 € pro VF max 1.000 € VJ</t>
  </si>
  <si>
    <t>D; B  Nr. 35</t>
  </si>
  <si>
    <t>D; B  Nr. 16</t>
  </si>
  <si>
    <t>1.000 €
in der Wohnung</t>
  </si>
  <si>
    <t>D; B  Nr. 15</t>
  </si>
  <si>
    <t>A §11 Nr.1 + 2</t>
  </si>
  <si>
    <t>2 Wochen nach Einzug
(UVV bis 2 Monate gültig)</t>
  </si>
  <si>
    <t>A; §11 Nr. 4 a) + §9 Nr.3 e)</t>
  </si>
  <si>
    <t>max 3 Monate 
auf nächste Prämienfälligkeit</t>
  </si>
  <si>
    <t>A §11 Nr.6 + 7</t>
  </si>
  <si>
    <t>10.000 €
durch Unfall mit Bus, Bahn, Taxi Mietwagen (PKW)</t>
  </si>
  <si>
    <t>D; D Nr.38</t>
  </si>
  <si>
    <t>75.000 €
10.000 € Bargeld</t>
  </si>
  <si>
    <t>A §13 Nr. 2 + D; D Nr. 36.1</t>
  </si>
  <si>
    <t>A §13 Nr. 2 + D; D Nr. 36.2-5</t>
  </si>
  <si>
    <t>Wertschutzschränke im Sinne von Nr. 2 b) sind 
Sicherheitsbehältnisse, die
aa) durch die VdS Schadenverhütung GmbH oder durch eine 
gleichermaßen qualzierte Prüfstelle anerkannt sind und
bb) als freistehende Wertschutzschränke ein Mindestgewicht 
von 200 kg aufweisen oder bei geringerem Gewicht nach 
den Vorschriften des Herstellers fachmännisch verankert 
oder in der Wand oder im Fußboden bündig eingelassen 
sind (Einmauerschrank).</t>
  </si>
  <si>
    <t>b) Wertschutzschränke im Sinne von Nr. 2b) sind 
Sicherheitsbehältnisse, die
aa) durch die VdS Schadenverhütung GmbH oder durch eine 
gleichermaßen qualifizierte Prüfstelle anerkannt sind und
bb) als freistehende Wertschutzschränke ein Mindestgewicht 
von 200 kg aufweisen, oder bei geringerem Gewicht nach 
den Vorschriften des Herstellers fachmännisch verankert 
oder in der Wand oder im Fußboden bündig eingelassen 
sind (Einmauerschrank).</t>
  </si>
  <si>
    <t>bei Schäden &gt; 10.000 €</t>
  </si>
  <si>
    <t>A § 15 + D; F Nr.30.3</t>
  </si>
  <si>
    <t>A § 8 a)</t>
  </si>
  <si>
    <t>A § 8 b)</t>
  </si>
  <si>
    <t>A § 8 d)</t>
  </si>
  <si>
    <t>A § 8 d) + D; E Nr. 30.7</t>
  </si>
  <si>
    <t>A § 8 c)  + D; E Nr. 30.1 + 30.5</t>
  </si>
  <si>
    <t>D; E Nr. 30.4</t>
  </si>
  <si>
    <t>A § 8 e)</t>
  </si>
  <si>
    <t>A § 8 f)</t>
  </si>
  <si>
    <t>A § 8 i)</t>
  </si>
  <si>
    <t>A § 8 h)</t>
  </si>
  <si>
    <t>ja
auch Raub und böswillig Beschäd.</t>
  </si>
  <si>
    <t>bis 200 Tage
100 € pro Tag  für 2 Pers.
jede weitere Pers. 25 € 
auch Mietfortzahlung</t>
  </si>
  <si>
    <t>D; E Nr. 30.9</t>
  </si>
  <si>
    <t>D; E Nr. 30.10</t>
  </si>
  <si>
    <t>D; E Nr. 30.11</t>
  </si>
  <si>
    <t>D; E Nr. 30.2</t>
  </si>
  <si>
    <t>D; E Nr. 31.3</t>
  </si>
  <si>
    <t>D; E Nr. 32 + 34 + 33</t>
  </si>
  <si>
    <t>auch infolge Preissteigerungen ohne Begrenzung</t>
  </si>
  <si>
    <t>auch infolge Preissteigerungen
und energetische Modernisierung von Haushaltsgeräten</t>
  </si>
  <si>
    <t>B § 13.1</t>
  </si>
  <si>
    <t>D; D Nr. 45.1</t>
  </si>
  <si>
    <t>D; D Nr. 45.2</t>
  </si>
  <si>
    <t>D; D Nr. 46</t>
  </si>
  <si>
    <t>B § 8</t>
  </si>
  <si>
    <t>aktuell
(geprüft am 28.05.2019)</t>
  </si>
  <si>
    <t>C; D Nr. 43</t>
  </si>
  <si>
    <t>C; D Nr. 44</t>
  </si>
  <si>
    <t>C; D Nr. 42</t>
  </si>
  <si>
    <t>C; D Nr. 40</t>
  </si>
  <si>
    <t>C; D Nr. 39.2</t>
  </si>
  <si>
    <t>C; D Nr. 39.1</t>
  </si>
  <si>
    <t>C; C  Nr. 38</t>
  </si>
  <si>
    <t>bis 200 Tage
100 € pro Tag
auch Mietfortzahlung</t>
  </si>
  <si>
    <t>A § 8 c)  + C; F Nr. 33.4</t>
  </si>
  <si>
    <t>C; F Nr. 33.3</t>
  </si>
  <si>
    <t>C; F Nr. 33.6</t>
  </si>
  <si>
    <t>C; F Nr. 36 + 35 + 37</t>
  </si>
  <si>
    <t>C; F Nr. 33.8</t>
  </si>
  <si>
    <t>C; F Nr. 33.7</t>
  </si>
  <si>
    <t>A § 15 + C; F Nr. 33.2</t>
  </si>
  <si>
    <t>C; F Nr. 33.1</t>
  </si>
  <si>
    <t>A § 8 g) + C; F Nr. 33.5</t>
  </si>
  <si>
    <t>ja (subsidär)
auch Raub und böswillig Beschäd.</t>
  </si>
  <si>
    <t>A § 8 g) + D; E Nr. 30.6</t>
  </si>
  <si>
    <t>C; D Nr. 31</t>
  </si>
  <si>
    <t>1.000 € Nur ED in Deutschland
aus verschlossenen Stahlschrank</t>
  </si>
  <si>
    <t>A §3 Nr.2 + C B Nr. 15</t>
  </si>
  <si>
    <t>C; B  Nr. 19</t>
  </si>
  <si>
    <t>A §6 Nr. 2 c) cc) + §5 Nr.4b bb)
+ C; E Nr. 29</t>
  </si>
  <si>
    <t xml:space="preserve">A §6 Nr. 2 c) cc) + §5 Nr.4b bb)
+ D; E Nr. 26 </t>
  </si>
  <si>
    <t>A §6 Nr. 2 c) hh) + C E Nr. 28.1</t>
  </si>
  <si>
    <t>A §6 Nr. 2 c) hh) + D; E Nr. 25.1</t>
  </si>
  <si>
    <t>A §6 Nr. 3 a) + C; E 28.2</t>
  </si>
  <si>
    <t>A §6 Nr. 3 a) + D; E 25.2</t>
  </si>
  <si>
    <t>C; D Nr. 26</t>
  </si>
  <si>
    <t>C; C Nr.25</t>
  </si>
  <si>
    <t>A; §4 Nr.1 b) aa)  + C; C Nr. 19 c) +24</t>
  </si>
  <si>
    <t>A; §4 Nr.1 b) aa)  + D; C Nr. 19 c) +21</t>
  </si>
  <si>
    <t>A; §4 Nr.1 + C; C Nr. 22 b)</t>
  </si>
  <si>
    <t>A; §4 Nr.1 + C; C Nr. 22 a)</t>
  </si>
  <si>
    <t>C; C Nr.23</t>
  </si>
  <si>
    <t>A; §4 Nr.2 + C; C Nr.23</t>
  </si>
  <si>
    <t>10 € pro qm, max. 1.000 €
(innerhalb des Versicherungsorts)</t>
  </si>
  <si>
    <t>ja, sowie innerhalb des VO 
auch das Herbeischaffen</t>
  </si>
  <si>
    <t>A; §7 Nr.4 + C; B Nr.20</t>
  </si>
  <si>
    <t>A; §7 Nr.4 + D; B Nr. 17</t>
  </si>
  <si>
    <t>A; §3 Nr.3+ 2 a) + C; B Nr.17</t>
  </si>
  <si>
    <t>C; B  Nr. 11.1</t>
  </si>
  <si>
    <t>• fremdes Eigentum
• Wertsachen
• für techn. Geräte u. Mobiltelefone, Laptops usw.
• Foto-, Film- u. Videogeräte
einschließlich des Zubehörs</t>
  </si>
  <si>
    <t>C; B  Nr. 11.3</t>
  </si>
  <si>
    <t>10 € pro qm, max 1.000 €</t>
  </si>
  <si>
    <t>C; B  Nr. 11.4 + 11.1 b)</t>
  </si>
  <si>
    <t>C; B  Nr. 11.4 + 11.1 a)</t>
  </si>
  <si>
    <t>ja
Innerhalb EU, Schweiz und Norwegen</t>
  </si>
  <si>
    <t>C; B Nr. 9 + Tarif</t>
  </si>
  <si>
    <t>D; B Nr. 9 + Tarif</t>
  </si>
  <si>
    <t>C; B Nr. 13</t>
  </si>
  <si>
    <t>C; B Nr. 14</t>
  </si>
  <si>
    <t>C; A Nr. 8</t>
  </si>
  <si>
    <t>* Schäden durch Radioaktive Isotope</t>
  </si>
  <si>
    <t>C; A Nr. 7</t>
  </si>
  <si>
    <t>C; A Nr.6</t>
  </si>
  <si>
    <t>C; A Nr.5</t>
  </si>
  <si>
    <t>A; §2 Nr.1d) + C; A Nr.4</t>
  </si>
  <si>
    <t>C; A Nr.3 b)</t>
  </si>
  <si>
    <t>C; A Nr.3 a)</t>
  </si>
  <si>
    <t>C; A Nr.3</t>
  </si>
  <si>
    <t>C; A Nr.2.1</t>
  </si>
  <si>
    <t>C; A Nr.1</t>
  </si>
  <si>
    <t>C; D Nr. 32</t>
  </si>
  <si>
    <t>D; D Nr. 28</t>
  </si>
  <si>
    <t>D; D Nr. 29</t>
  </si>
  <si>
    <t>D; D Nr. 41</t>
  </si>
  <si>
    <t>50.000 €
10.000 € Bargeld</t>
  </si>
  <si>
    <t>A §13 Nr. 2</t>
  </si>
  <si>
    <t>C; B  Nr. 18 + afm SB Nr. 1</t>
  </si>
  <si>
    <t>2.000 €
in der Wohnung</t>
  </si>
  <si>
    <t>C; B Nr. 10 + afm SB Nr. 2</t>
  </si>
  <si>
    <t>C; B Nr. 12 + afm SB Nr. 4</t>
  </si>
  <si>
    <t>C; B Nr. 12.3</t>
  </si>
  <si>
    <t>C; B  Nr. 21 + afm SB Nr. 5</t>
  </si>
  <si>
    <t>A §13 Nr. 2 + afm SB Nr. 8</t>
  </si>
  <si>
    <t>A §7 Nr.1 + 6 + C; D Nr. 30 
+ afm SB Nr. 6</t>
  </si>
  <si>
    <t>2.000 €
(100 € SB)</t>
  </si>
  <si>
    <t>C; F Nr. 34 + afm SB Nr. 7</t>
  </si>
  <si>
    <t>C; A Nr.2.1 + 2.2 + afm SB Nr. 9</t>
  </si>
  <si>
    <t xml:space="preserve"> afm SB Nr. 10 + C; D Nr. 27</t>
  </si>
  <si>
    <t>300.000 €</t>
  </si>
  <si>
    <t>im Rahmen der VS</t>
  </si>
  <si>
    <t>A §9  Nr. 2 / HB S.63</t>
  </si>
  <si>
    <t>korrekte WFl. max 15% Abweichung</t>
  </si>
  <si>
    <t>A §9  Nr. 3 d)</t>
  </si>
  <si>
    <t>A §9  Nr. 3 d) +  D; D Nr. 40</t>
  </si>
  <si>
    <t>D; D Nr. 42 / BWE E</t>
  </si>
  <si>
    <t>BWE E § 5 + 10 c)</t>
  </si>
  <si>
    <t>Wartezeit 4 Wochen
SB 1.000 €</t>
  </si>
  <si>
    <t>BWE E § 12 a) + c)</t>
  </si>
  <si>
    <t>INKLUSIVE
erweiterte Kosten bis 500 €</t>
  </si>
  <si>
    <t>F. AGIB 2008 / Tarif S 61</t>
  </si>
  <si>
    <t>gegen Zuschlag
"HWSB"
500 € je VF max. 1.500 € / VJ
• Schlüsseldienst
• Rohrreinigung
• Sanitär-Installations-Service Notfall 
• Elektro-Installations-Service Notfall
• Notheizung
• Schädlingsbekämpfung
• Entfernung von Nestern (Hornissen/Wespen/Bienen)</t>
  </si>
  <si>
    <t xml:space="preserve">H. </t>
  </si>
  <si>
    <t>Mindestsicherungen ab 175 qm bzw. 115.000 € Versicherungssumme
Zugangstüren zum Haus oder zur Wohnung – auch Keller und Garagentüren – 
Verschluss durch Profilzylinder bündig abschließend 
Balkon- und Terrassentüren – im EG, 1. OG oder über Anbauten erreichbar – bzw. Fenster im Erdgeschoss und Keller
Fensterschlösser (keine abschließbaren Fenstergriffe) oder Beschläge mit Mehrpunktverriegelung
Kellerfenster – über Lichtschächte erreichbar – Sicherung der Rostabdeckung oder Gitter.
Individuelle Sicherungsvereinbarungen sind nach eingehender Prüfung möglich. 
Bei höheren Wertsachenanteilen sind die Sicherungsanforderungen individuell abzustimmen.
Fahrradsicherung
Ab einem Fahrradeinzelwert von 3.000 Euro hat der Versicherungsnehmer das jeweilige Fahrrad bei der Polizei
registrieren zu lassen. Zudem ist das Fahrrad mit dem Rahmen an einem ortsfesten Gegenstand durch ein VDSanerkanntes
Zweiradschloss der Klasse A+ oder B+ zu sichern, wenn er es nicht zur Fortbewegung einsetzt.
Wertsachen*
Die Höchstentschädigung für Wertsachen beträgt 75.000 € (Infinitus), 50.000 € (Eurosecure Plus), bzw. 30 %
(Protect Plus) der Versicherungssumme (die besonderen Entschädigungsgrenzen bleiben hiervon unberührt).
Bei einem höheren Wertsachenbedarf müssen die vorhandenen Wertsachen in tatsächlicher Höhe angegeben werden.
Für eine entsprechende Risikobeurteilung ist die konkrete Ermittlung der Hausratwerte, eine Übersicht der
Wertsachen, ein Lageplan mit Sicherungsbeschreibung (ggf. auch Errichterprotokoll und Wartungsvertrag einer
eingebauten Einbruchmeldeanlage) sowie ein Nachweis vorhandener Wertschutzschränke notwendig.
* Bargeld; Urkunden einschließlich Sparbüchern und sonstiger Wertpapiere; Schmucksachen, Edelsteine, Perlen, Briefmarken, Telefonkarten, Münzen und Medaillen
sowie alle Sachen aus Gold oder Platin; Pelze, handgeknüpfte Teppiche und Gobelins, Kunstgegenstände (z. B. Gemälde, Collagen, Zeichnungen, Grafiken und Plastiken)
sowie Sachen aus Silber; sonstige Sachen, die über 100 Jahre alt sind (Antiquitäten), jedoch mit Ausnahme von Möbelstücken.</t>
  </si>
  <si>
    <t>HB S.58</t>
  </si>
  <si>
    <t>C; G Nr. 31</t>
  </si>
  <si>
    <t>D; D Nr. 49</t>
  </si>
  <si>
    <t>D; D Nr. 48</t>
  </si>
  <si>
    <t>C; G Nr. 30</t>
  </si>
  <si>
    <t xml:space="preserve">max. 20.000 €
max. 6 Monate </t>
  </si>
  <si>
    <t>A §7 Nr.1 + 6 + C; E Nr. 21</t>
  </si>
  <si>
    <t>A §7 Nr.1 + 6 + D; E Nr. 27</t>
  </si>
  <si>
    <t>A §6 Nr. 2 c) cc) + §5 Nr.4b bb)
+ C; E Nr. 20</t>
  </si>
  <si>
    <t>C; D Nr. 19</t>
  </si>
  <si>
    <t>Fremdes Eigentum (nicht von Mietern und Untermietern)</t>
  </si>
  <si>
    <t>A §6 Nr. 3 a)</t>
  </si>
  <si>
    <t>A §3 Nr.2 + C; B Nr. 12</t>
  </si>
  <si>
    <t>1 % der VS</t>
  </si>
  <si>
    <t>HB S.65</t>
  </si>
  <si>
    <t>G. HWSB + HB S.74</t>
  </si>
  <si>
    <t>A §13 Nr. 2 a)</t>
  </si>
  <si>
    <t>A §13 Nr. 2 b) + 1 b) bb)</t>
  </si>
  <si>
    <t>A §6 Nr. 2 c) ee) + 4 c) + HB S. 63</t>
  </si>
  <si>
    <t>A §6 Nr. 2 c) ee) + 4 c) + HB S. 60</t>
  </si>
  <si>
    <t>A §9  Nr. 2 b)</t>
  </si>
  <si>
    <t>A §9  Nr. 2</t>
  </si>
  <si>
    <t>A § 12  Nr. 4</t>
  </si>
  <si>
    <t>A § 12  Nr. 6 a)aa) +bb)</t>
  </si>
  <si>
    <t>bei VS = 650 € pro qm
und Wertsachen unter 30% der WS</t>
  </si>
  <si>
    <t>C; D Nr. 22</t>
  </si>
  <si>
    <t>A; §11 Nr. 4 a) + §12 Nr.6 b)</t>
  </si>
  <si>
    <t>2 Wochen nach Einzug
(UVV bis 1 Monat gültig)</t>
  </si>
  <si>
    <t>D; G Nr. 28</t>
  </si>
  <si>
    <t>C; A Nr.3.2 a) + 3.3</t>
  </si>
  <si>
    <t>C; A Nr.3.1 + 3.3</t>
  </si>
  <si>
    <t>C; A Nr.2</t>
  </si>
  <si>
    <t xml:space="preserve">A §2 + C; A </t>
  </si>
  <si>
    <t>sowie Überstrom und Kurzschluss
bis 25 % der VS</t>
  </si>
  <si>
    <t>C; A Nr.3.2 b) + 3.3</t>
  </si>
  <si>
    <t>C; A Nr. 6</t>
  </si>
  <si>
    <t>C; C Nr.18</t>
  </si>
  <si>
    <t>A; §4 Nr.2 + C; C Nr.18</t>
  </si>
  <si>
    <t>A; §4 Nr. 3 a) aa)</t>
  </si>
  <si>
    <t>A; §7 Nr.4 + C; B Nr.16</t>
  </si>
  <si>
    <t>A; §3 Nr.3+ 2 a) + C; B Nr.15</t>
  </si>
  <si>
    <t>C; B  Nr. 9.1</t>
  </si>
  <si>
    <t>C; B  Nr. 9.3</t>
  </si>
  <si>
    <t>C; B  Nr. 9.4</t>
  </si>
  <si>
    <t>1 % der VS
(Innenraum (Kajüte, Backkisste oder Ähnliches)</t>
  </si>
  <si>
    <t>10 € pro qm, max 1.000 € 
(Innenraum (Kajüte, Backkisste oder Ähnliches)</t>
  </si>
  <si>
    <t>C; H  Nr. 1.5 + 1.1  + Tarif</t>
  </si>
  <si>
    <t>C; B  Nr. 8.4</t>
  </si>
  <si>
    <t>C; B  Nr. 11</t>
  </si>
  <si>
    <t>500 €
(Bargeld 100 €)
keine Wertsachen</t>
  </si>
  <si>
    <t>500 €
(Bargeld 250 €)
keine Wertsachen</t>
  </si>
  <si>
    <t>C; B  Nr. 10.1 a) + 10.2</t>
  </si>
  <si>
    <t>C; B  Nr. 10.1 a) + 10.2 + HB S.67</t>
  </si>
  <si>
    <t>C; B  Nr. 10.1 c) + 10.2</t>
  </si>
  <si>
    <t>C; B  Nr. 10.1 b) + 10.2</t>
  </si>
  <si>
    <t>C; B  Nr. 10.3</t>
  </si>
  <si>
    <t>C; B  Nr. 13</t>
  </si>
  <si>
    <t>1 % der VS, max 500 €
(innerhalb des Versicherungsorts)</t>
  </si>
  <si>
    <t>C; B  Nr. 17</t>
  </si>
  <si>
    <t>gegen Zuschlag
erweiterte Kosten bis 500 €</t>
  </si>
  <si>
    <t>F. AGIB 2008</t>
  </si>
  <si>
    <t xml:space="preserve">B § 13.1 </t>
  </si>
  <si>
    <t>A § 8 c)</t>
  </si>
  <si>
    <t>bis 100 Tage
10 € pro Tag</t>
  </si>
  <si>
    <t>C; F Nr. 23.3</t>
  </si>
  <si>
    <t>C; F Nr. 23.4</t>
  </si>
  <si>
    <t>bis 5.000 €
bei Schäden &gt; 2.500 €</t>
  </si>
  <si>
    <t>C; F Nr. 23.1</t>
  </si>
  <si>
    <t>A § 15 + C; F Nr. 23.2</t>
  </si>
  <si>
    <t>C; F Nr. 25 + 26</t>
  </si>
  <si>
    <t>auch infolge Preissteigerungen</t>
  </si>
  <si>
    <t>C; F Nr. 24</t>
  </si>
  <si>
    <t>C; F Nr. 23.5</t>
  </si>
  <si>
    <t>1.000 €
(auch Gasverlust)</t>
  </si>
  <si>
    <t>C; G Nr. 27.1</t>
  </si>
  <si>
    <t>C; G Nr. 27.2</t>
  </si>
  <si>
    <t xml:space="preserve"> BWE 2008; E §2</t>
  </si>
  <si>
    <t xml:space="preserve"> BWE 2008; E §11</t>
  </si>
  <si>
    <t xml:space="preserve"> BWE 2008; E §5 + 10 c)</t>
  </si>
  <si>
    <t xml:space="preserve"> BWE 2008; E §12 a) + c)</t>
  </si>
  <si>
    <t>D; D Nr. 44</t>
  </si>
  <si>
    <t>D; D Nr. 45</t>
  </si>
  <si>
    <t>30 % der VS
10.000 € Bargeld</t>
  </si>
  <si>
    <t>A §13 Nr. 2 + D; D Nr.39</t>
  </si>
  <si>
    <t>A §6 Nr. 2 c) cc) + §5 Nr.4b bb)
+ D; E Nr. 29</t>
  </si>
  <si>
    <t>A §6 Nr. 2 c) hh) + D; E Nr. 28.1</t>
  </si>
  <si>
    <t>A §6 Nr. 2 c) ee) + 4 c) + HB</t>
  </si>
  <si>
    <t>A §3 Nr.2 + C; B Nr. 15</t>
  </si>
  <si>
    <t>C; E Nr. 31</t>
  </si>
  <si>
    <t>D; E Nr. 32</t>
  </si>
  <si>
    <t>D; A Nr.2.3</t>
  </si>
  <si>
    <t>D; A Nr.3.2 b)</t>
  </si>
  <si>
    <t>D; A Nr.4</t>
  </si>
  <si>
    <t>A; §4 Nr.2 + D; C Nr.23</t>
  </si>
  <si>
    <t>D; C Nr.23</t>
  </si>
  <si>
    <t>A; §4 Nr.2 + D; C Nr.25</t>
  </si>
  <si>
    <t>A; §4 Nr.1 b) aa)  + D; C Nr. 22 c) +24</t>
  </si>
  <si>
    <t>auch falls erfordlich in Folge eines Nässeschadens bis 500€</t>
  </si>
  <si>
    <t>A; §4 Nr.1 + D; D Nr. 22 a)</t>
  </si>
  <si>
    <t>A; §4 Nr.1 + D; D Nr. 22 b)</t>
  </si>
  <si>
    <t>D; D Nr. 26</t>
  </si>
  <si>
    <t>D; D Nr. 27</t>
  </si>
  <si>
    <t>D; A Nr. 7</t>
  </si>
  <si>
    <t>A §7 Nr.1 + 6 + D; E Nr. 30
+ afm SB Nr. 6</t>
  </si>
  <si>
    <t xml:space="preserve">max. 20.000 €
max. 12 Monate </t>
  </si>
  <si>
    <t>D; B  Nr. 10 + afm SB Nr. 2</t>
  </si>
  <si>
    <t>D; B  Nr. 13</t>
  </si>
  <si>
    <t>D; B Nr. 12 a) + afm SB Nr. 4</t>
  </si>
  <si>
    <t>D; B Nr. 12 c) + afm SB Nr. 4</t>
  </si>
  <si>
    <t>D; B Nr. 12 b) + afm SB Nr. 4</t>
  </si>
  <si>
    <t>D; B Nr. 12.3</t>
  </si>
  <si>
    <t>D; B  Nr. 21 + afm SB Nr. 5</t>
  </si>
  <si>
    <t>D; B Nr. 14</t>
  </si>
  <si>
    <t>D; B  Nr. 11.3</t>
  </si>
  <si>
    <t>D; B  Nr.11.1</t>
  </si>
  <si>
    <t>D; B  Nr. 11.4 + afm SB Nr.3</t>
  </si>
  <si>
    <t>1.000 €
(Innenraum (Kajüte, Backkisste oder Ähnliches)</t>
  </si>
  <si>
    <t>D; B  Nr. 18 + afm SB Nr. 1</t>
  </si>
  <si>
    <t>D; B  Nr. 19</t>
  </si>
  <si>
    <t>D; F  Nr.38</t>
  </si>
  <si>
    <t>H.</t>
  </si>
  <si>
    <t>A § 8 g) + D;F Nr.33.5</t>
  </si>
  <si>
    <t>A § 8 c) + D; F Nr. 33.4</t>
  </si>
  <si>
    <t>bis 200 Tage
10 € pro Tag</t>
  </si>
  <si>
    <t>D; F Nr.33.3</t>
  </si>
  <si>
    <t>D; F Nr.33.1</t>
  </si>
  <si>
    <t>D; F Nr.33.6</t>
  </si>
  <si>
    <t>A § 15 + D; F Nr. 33.2</t>
  </si>
  <si>
    <t>D; F Nr. 36 + 35 + 37</t>
  </si>
  <si>
    <t>D; F Nr. 34 + afm SB Nr. 7</t>
  </si>
  <si>
    <t>D; F 1Nr. 33.8</t>
  </si>
  <si>
    <t>D; F Nr. 33.7</t>
  </si>
  <si>
    <t>D; D Nr. 40.1</t>
  </si>
  <si>
    <t>D; D Nr. 40.2</t>
  </si>
  <si>
    <t>aktuell
(geprüft am 11.06.2019)</t>
  </si>
  <si>
    <t>Gothaer Basis</t>
  </si>
  <si>
    <t>Gothaer Plus</t>
  </si>
  <si>
    <t>Gothaer Premium</t>
  </si>
  <si>
    <t>A 3.5</t>
  </si>
  <si>
    <t>A 3.6</t>
  </si>
  <si>
    <t>A 3.7</t>
  </si>
  <si>
    <t>A 3.11.2 + 3.1.3</t>
  </si>
  <si>
    <t>A 3.1.2</t>
  </si>
  <si>
    <t>sowie Überstrom und Kurzschluss
10.000 €</t>
  </si>
  <si>
    <t>A 3.3</t>
  </si>
  <si>
    <t>A 3.4</t>
  </si>
  <si>
    <t>A 3.8</t>
  </si>
  <si>
    <t>A 3.9 + 3.10</t>
  </si>
  <si>
    <t>A 4.1.1</t>
  </si>
  <si>
    <t>A 4.1.2</t>
  </si>
  <si>
    <t>A 4.1.3</t>
  </si>
  <si>
    <t>A 4.1.4</t>
  </si>
  <si>
    <t>A 4.1.5.1</t>
  </si>
  <si>
    <t>A 4.1.5.2</t>
  </si>
  <si>
    <t>A; §7 Nr.4 + D; B Nr.16</t>
  </si>
  <si>
    <t>A; §3 Nr.3+ 2 a) + D; B Nr.15</t>
  </si>
  <si>
    <t>A 4.3.4</t>
  </si>
  <si>
    <t>A 4.2</t>
  </si>
  <si>
    <t xml:space="preserve">
• Wertsachen und Bargeld
</t>
  </si>
  <si>
    <t>A 4.4.3</t>
  </si>
  <si>
    <t>2.000 €
auch aus Dachboxen</t>
  </si>
  <si>
    <t>2.000 €
aus Innenraum</t>
  </si>
  <si>
    <t>A 4.3.4 + 4.5.2</t>
  </si>
  <si>
    <t>A 4.4.1</t>
  </si>
  <si>
    <t>1.000 €
( nachweispflichtig sonst 150 € )</t>
  </si>
  <si>
    <t>2.000 €
( nachweispflichtig sonst 150 € )</t>
  </si>
  <si>
    <t>A 4.4.4</t>
  </si>
  <si>
    <t>2.000 €
Wertsachen max 500 €</t>
  </si>
  <si>
    <t>A 4.4.2</t>
  </si>
  <si>
    <t>2.000 €
Grills, Gartenbeleuchtung und fest im Boden verankerte Skulpturen</t>
  </si>
  <si>
    <t>2.000 €
(soweie Gartenroboter)</t>
  </si>
  <si>
    <t>2.000 €
Spiel- und Sportgeräte</t>
  </si>
  <si>
    <t>A 4.4.9</t>
  </si>
  <si>
    <t>3.000 €
Wertsachen inkl. Bargeld sowie elektrische, elektronische oder optische Geräte max 500 €</t>
  </si>
  <si>
    <t>A 4.4.6</t>
  </si>
  <si>
    <t xml:space="preserve">A 4.4.7 </t>
  </si>
  <si>
    <t>A 4.4.5</t>
  </si>
  <si>
    <t>2.000 € 
Wertsachen 500 €</t>
  </si>
  <si>
    <t>Klimaanlagen</t>
  </si>
  <si>
    <t>A 5.2.5 + 5.2.6</t>
  </si>
  <si>
    <t>A 5.2.1</t>
  </si>
  <si>
    <t>A 5.2.2</t>
  </si>
  <si>
    <t>A 5.2.3</t>
  </si>
  <si>
    <t>A 5.2.4</t>
  </si>
  <si>
    <t>A 5.2.7</t>
  </si>
  <si>
    <t>A 5.3.2</t>
  </si>
  <si>
    <t>A 5.4.1.1</t>
  </si>
  <si>
    <t>Heizungs- u. Klimaanlagen</t>
  </si>
  <si>
    <t>A 5.4.1.2</t>
  </si>
  <si>
    <t>A 5.4.1.3</t>
  </si>
  <si>
    <t>A 5.4.2.2</t>
  </si>
  <si>
    <t>A 5.4.2.1</t>
  </si>
  <si>
    <t>2.000 € 
sonst nur frostbedingt</t>
  </si>
  <si>
    <t>3.000 € 
sonst nur frostbedingt</t>
  </si>
  <si>
    <t>A 5.4.3.1 + 5.4.2.1</t>
  </si>
  <si>
    <t>A 5.5.1</t>
  </si>
  <si>
    <t>A 5</t>
  </si>
  <si>
    <t>A 6.1</t>
  </si>
  <si>
    <t>A 6.4</t>
  </si>
  <si>
    <t>A 6.5.1 + 6.5.3 + 6.5.5</t>
  </si>
  <si>
    <t>A 8.1  + 8.4</t>
  </si>
  <si>
    <t>A 8.1  + 8.4 + 8.3</t>
  </si>
  <si>
    <t>A 10.1</t>
  </si>
  <si>
    <t>A 10.3.1</t>
  </si>
  <si>
    <t>A 10.3.2</t>
  </si>
  <si>
    <t>A 19.3.1</t>
  </si>
  <si>
    <t>Bargeld        -      1.000 €
Urkunden    -     3.000 €
Schmuck     -  20.000 €</t>
  </si>
  <si>
    <t>Bargeld        -      1.000 €
Urkunden    -     2.500 €
Schmuck     -  20.000 €</t>
  </si>
  <si>
    <t>Bargeld        -      2.000 €
Urkunden    -     5.000 €
Schmuck     -  30.000 €</t>
  </si>
  <si>
    <t>A 19.3.2.1 + 19.3.2.2 + 19.3.2.3</t>
  </si>
  <si>
    <t>A 10.3.4</t>
  </si>
  <si>
    <t>selbstfahrende Krankenfahrstühle</t>
  </si>
  <si>
    <t>A 10.3.5</t>
  </si>
  <si>
    <t>A 10.3.6</t>
  </si>
  <si>
    <t>A 10.3.7</t>
  </si>
  <si>
    <t>A 10.3.8</t>
  </si>
  <si>
    <t>A 10.3.9</t>
  </si>
  <si>
    <t>A 10.3.10</t>
  </si>
  <si>
    <t>* Markisen
* Antennenanlagen
(auf dem ganzen Versicherungsgrundstück)</t>
  </si>
  <si>
    <t>A 10.3.3 + 10.3.8</t>
  </si>
  <si>
    <t>* Markisen
* Antennenanlagen
* technische, optische u.
akustische Sicherungsanlagen (s)
(auf dem ganzen Versicherungsgrundstück)</t>
  </si>
  <si>
    <t>A 10.4</t>
  </si>
  <si>
    <t>A 10.5.2 + 11.2.2 + 10.5.5</t>
  </si>
  <si>
    <t>zusätzlich versicherbar
• inkl. Glaskeramikkockflächen</t>
  </si>
  <si>
    <t>zusätzlich versicherbar 
• inkl. Glaskeramikkockflächen
(nicht die Elektrik)
• Waschtische  und Badewannen</t>
  </si>
  <si>
    <t>A 12.1</t>
  </si>
  <si>
    <t>A 12.2</t>
  </si>
  <si>
    <t>A 12.1  bis  12.4</t>
  </si>
  <si>
    <t>A 12.5</t>
  </si>
  <si>
    <t>30.000 €</t>
  </si>
  <si>
    <t>50.000 €</t>
  </si>
  <si>
    <t xml:space="preserve">A 13.6 + 13.1.2 </t>
  </si>
  <si>
    <t xml:space="preserve">10 % der VS, mind. 20.000 €
max. 3 Monate
weltweit </t>
  </si>
  <si>
    <t xml:space="preserve">20 % der VS, mind. 30.000 €
max. 6 Monate
weltweit </t>
  </si>
  <si>
    <t>A 13.2</t>
  </si>
  <si>
    <t>A 4.3 + 13.4</t>
  </si>
  <si>
    <t>A 13.7</t>
  </si>
  <si>
    <t>nach Gothaer Basis 
20.000 € max 6 Monate</t>
  </si>
  <si>
    <t>A 13.8</t>
  </si>
  <si>
    <t xml:space="preserve"> A 12.6 + 13.9 + 13.10 </t>
  </si>
  <si>
    <t>bis 365 Tage
200 € pro Tag</t>
  </si>
  <si>
    <t>A 14.1.4</t>
  </si>
  <si>
    <t>A 14.1.3</t>
  </si>
  <si>
    <t>A 14.1.1</t>
  </si>
  <si>
    <t>A 14.1.2</t>
  </si>
  <si>
    <t>A 14.1.6</t>
  </si>
  <si>
    <t>ja
sowie Gemeinschaftstüren 3.000 €</t>
  </si>
  <si>
    <t>A 14.1.6 + 14.1.7</t>
  </si>
  <si>
    <t>48 Stunden</t>
  </si>
  <si>
    <t>A 14.1.8</t>
  </si>
  <si>
    <t>72 Stunden</t>
  </si>
  <si>
    <t>96 Stunden</t>
  </si>
  <si>
    <t>A 14.1.9</t>
  </si>
  <si>
    <t>A 14.1.10</t>
  </si>
  <si>
    <t>A 14.1.11</t>
  </si>
  <si>
    <t>ja
auch Feuerlöschkosten</t>
  </si>
  <si>
    <t>A 14.1.5 +14.1.14</t>
  </si>
  <si>
    <t>nein 
nur Preissteigerungen</t>
  </si>
  <si>
    <t>A 14.1.15</t>
  </si>
  <si>
    <t>A 14.1.16</t>
  </si>
  <si>
    <t>2.000 €
mind. 100 Tage nicht bewohnbar</t>
  </si>
  <si>
    <t>3.000 €
mind. 100 Tage nicht bewohnbar</t>
  </si>
  <si>
    <t>A 14.1.17</t>
  </si>
  <si>
    <t>A 14.1.18</t>
  </si>
  <si>
    <t>3.000 €
auch über Mobilfunk</t>
  </si>
  <si>
    <t>2.000 €
auch über Mobilfunk</t>
  </si>
  <si>
    <t>3.000 €
(auch Gasverlust)</t>
  </si>
  <si>
    <t>A 14.1.19 + 14.1.20</t>
  </si>
  <si>
    <t>2.000 €
(auch Gasverlust)</t>
  </si>
  <si>
    <t>2.000 €
(ohne Nachweis 150 €)</t>
  </si>
  <si>
    <t>A 11.1.7 + 14.1.23</t>
  </si>
  <si>
    <t>3.000 €
(ohne Nachweis 150 €)</t>
  </si>
  <si>
    <t>A 14.1.15 +14.1.24</t>
  </si>
  <si>
    <t>2000 €
sowie Tierarztkosten 
im Rahmen der VS</t>
  </si>
  <si>
    <t>A 14.1.21 + 14.1.13</t>
  </si>
  <si>
    <t>3000 €
sowie Tierarztkosten 
im Rahmen der VS</t>
  </si>
  <si>
    <t>A 14.2.1</t>
  </si>
  <si>
    <t xml:space="preserve">* Zubehör von Kfz und Anhängern
(subsidär)
</t>
  </si>
  <si>
    <t>A 14.2.3</t>
  </si>
  <si>
    <t>A 14.2.4</t>
  </si>
  <si>
    <t>A 14.2.5</t>
  </si>
  <si>
    <t>A 14.2.6</t>
  </si>
  <si>
    <t>bis 3.000 €
bei Schäden &gt; 25.000 €</t>
  </si>
  <si>
    <t>A 15.2.1 + 15.1</t>
  </si>
  <si>
    <t>A 15.2.3</t>
  </si>
  <si>
    <t>A 15.2.4.2.1-3 + Tarif</t>
  </si>
  <si>
    <t>A 15.4.3 + 16.1 + 16.2</t>
  </si>
  <si>
    <t>A 16.6</t>
  </si>
  <si>
    <t>A 16.4 + 15.4.3</t>
  </si>
  <si>
    <t>im Rahmen der VS
+ 10 % Kosten-Vorsorge</t>
  </si>
  <si>
    <t>im Rahmen der VS
+ 20 % Kosten-Vorsorge</t>
  </si>
  <si>
    <t>vereinbarte Versicherungssumme
(max 140%)</t>
  </si>
  <si>
    <t>A 17.3</t>
  </si>
  <si>
    <t>A 17.6</t>
  </si>
  <si>
    <t>A 17.7</t>
  </si>
  <si>
    <t>Gothaer</t>
  </si>
  <si>
    <t xml:space="preserve">
A 19.2.1 Wertschutzbehältnisse sind Sicherheitsbehältnisse, die durch die VdS Schadenverhütung GmbH oder durch eine gleichermaßen qualifizierte Prüfstelle anerkannt sind.
A 19.2.2 Zusätzlich gilt: Freistehende Wertschutzbehältnisse müssen ein Mindestgewicht von 200 kg aufweisen. Bei geringerem Gewicht müssen sie nach den Herstellervorschriften fachmännisch verankert oder in der Wand oder im Fußboden bündig eingelassen sein.
A 19.2.3 Höchstentschädigungsgrenzen bei Aufbewahrung in verschlossenen Wertschutzbehältnissen Wertschutzbehältnisse werden in unterschiedlichen Sicherheitsstufen und Widerstandsgraden hergestellt. In Abhängigkeit dieser Klassifikation gelten für die Wertschutzbehältnisse unterschiedliche
Höchstentschädigungsgrenzen, bis zu denen Wertsachen darin versicherbar sind. 
Eine Übersicht zur Klassifizierung mit den entsprechenden Höchstentschädigungsgrenzen finden sie im Anhang unter D 1.</t>
  </si>
  <si>
    <t>a) Versicherte Wertsachen (B § 8 Nr. 2b) VHB 2016 - Standard) sind
aa) Bargeld und auf Geldkarten geladene Beträge (z.B. Chipkarte),
bb) Urkunden einschließlich Sparbücher und sonstige Wertpapiere,
cc) Schmucksachen, Edelsteine, Perlen, 
Briefmarken, Münzen und Medaillen 
sowie alle Sachen aus Gold und Platin,
dd) Pelze, handgeknüpfte Teppiche und Gobelins sowie Kunstgegenstände (z.B. Gemälde, Collagen, Zeichnungen, Graphiken und Plastiken)
sowie nicht in cc) genannte Sachen aus Silber
ee) Antiquitäten (Sachen, die über 100 Jahre alt sind), jedoch mit Ausnahme von Möbelstücken.</t>
  </si>
  <si>
    <t>A 19.1.1 Versicherte Wertsachen nach A 10.2 sind:
A 19.1.1.1 Bargeld sowie auf Karten oder sonstige Datenträger geladene Geldbeträge;
A 19.1.1.2 Urkunden einschließlich Sparbücher und sonstige Wertpapiere;
A 19.1.1.3 Schmucksachen, Edelsteine, Perlen, 
Briefmarken, Münzen, Medaillen 
sowie alle Sachen aus Gold oder Platin. 
Dazu gehören auch Uhren, soweit sie überwiegend aus Gold oder Platin bestehen
oder mit Edelsteinen verziert sind;
A 19.1.1.4 Pelze, handgeknüpfte Teppiche, Gobelins und Kunstgegenstände 
sowie nicht in A 19.1.1.4 genannte Sachen aus Silber;
A 19.1.1.5 Antiquitäten, die über 100 Jahre alt sind, mit Ausnahme von Möbelstücken.</t>
  </si>
  <si>
    <t>A 17.1 Der Versicherer ersetzt
A 17.1.1 bei zerstörten oder abhandengekommenen Sachen den Versicherungswert nach A 15.1 zum Zeitpunkt des Versicherungsfalls. Der erzielbare Verkaufspreis von Resten wird bei der Entschädigungsberechnung angerechnet.
A 17.1.2 bei beschädigten Sachen die erforderlichen Reparaturkosten zum Zeitpunkt des Versicherungsfalls. Der Versicherer ersetzt außerdem eine Wertminderung, die durch die Reparatur nicht ausgeglichen wird. Ersetzt wird aber höchstens der Versicherungswert nach A 15.1 zum Zeitpunkt des Versicherungsfalls. Der erzielbare Verkaufspreis von Resten wird bei der Entschädigungsberechnung angerechnet.
A 17.1.3 bei beschädigten Sachen, deren Gebrauchsfähigkeit nicht beeinträchtigt ist (Schönheitsschaden), einen Betrag der dem Minderwert entspricht. Das setzt voraus, dass dem Versicherungsnehmer eine Nutzung dieser Sache ohne Reparatur zumutbar ist.</t>
  </si>
  <si>
    <t>Der Versicherungswert bildet die Grundlage für die Berechnung der Entschädigung.
A 15.1.1 Versicherungswert ist der Neuwert. Das ist der Betrag, der aufzuwenden ist, um Sachen gleicher Art und Güte in neuwertigem Zustand wiederzubeschaffen.
A 15.1.2 Für Kunstgegenstände nach A 19.1.1.5 und Antiquitäten nach A 19.1.1.6 ist der Versicherungswert der Betrag, der aufzuwenden ist, um Sachen gleicher Art und Güte wiederzubeschaffen.
A 15.1.3 Sind Sachen für ihren Zweck in dem versicherten Haushalt nicht mehr zu verwenden, ist der Versicherungswert der gemeine Wert. Das ist der Betrag, den der Versicherungsnehmer dafür bei einem Verkauf erzielen kann.
A 15.1.4 Ist die Entschädigung für Wertsachen auf bestimmte Beträge nach A 19.3 und sofern vereinbart nach C 4.1 begrenzt, werden höchstens diese berücksichtigt.</t>
  </si>
  <si>
    <t>Der Versicherungswert bildet die Grundlage der Entschädigungsberechnung.
a) Versicherungswert ist der Wiederbeschaffungswert von Sachen gleicher Art und Güte in neuwertigem Zustand (Neuwert).
b) Für Kunstgegenstände (B § 14 Nr. 1a) dd) VHB 2016 - Standard) und Antiquitäten (B § 14 Nr. 1a) ee) VHB 2016 - Standard) ist der Versicherungswert der Wiederbeschaffungspreis von Sachen gleicher Art und Güte.
c) Sind Sachen für ihren Zweck in dem versicherten Haushalt nicht mehr zu verwenden, so ist der Versicherungswert der für den Versicherungsnehmer erzielbare Verkaufspreis (gemeiner Wert).
d) Soweit die Entschädigung für Wertsachen auf bestimmte Beträge begrenzt (B § 14Nr. 2 VHB 2016 - Standard) ist, werden bei der Ermittlung des Versicherungswertes höchstens diese Beträge berücksichtigt.</t>
  </si>
  <si>
    <t>A 15.1</t>
  </si>
  <si>
    <t>A 17.1</t>
  </si>
  <si>
    <t>A 20 + 20.6</t>
  </si>
  <si>
    <t>A 23.1.5</t>
  </si>
  <si>
    <t>A 23.1.3</t>
  </si>
  <si>
    <t xml:space="preserve">Klausel 001  A 12.6 + 13.9 + 13.10 </t>
  </si>
  <si>
    <t>Tarif kann für Hausrat in Wohnwagen, Wohnmobile und Wohnmobilheime genutzt werden
nur bei nicht zugelassen, deuerhaft abgestellten (mind 240 Tage "DauerCamper")
Klausel 001</t>
  </si>
  <si>
    <t>Klausel 7005</t>
  </si>
  <si>
    <t>gegen Vereinbarung</t>
  </si>
  <si>
    <t>C 3</t>
  </si>
  <si>
    <t>C 3.4</t>
  </si>
  <si>
    <t xml:space="preserve">gegen Zuschlag
15.000 € 
(inkl. Interneteinkauf 7.500€ ) </t>
  </si>
  <si>
    <t>A 19.3.2.1 + 19.3.2.2 + 19.3.2.3
+ 19.3.2.4 + C 3.5</t>
  </si>
  <si>
    <t>A 17.7 + C 3.5</t>
  </si>
  <si>
    <t>5000 €
(Smart-Home +2.000€)</t>
  </si>
  <si>
    <t>3.000 € 
Wertsachen 500 €
(K&amp;M-Schutz 5.000€)</t>
  </si>
  <si>
    <t>A 4.4.5 + C 4.1 Klausel 7155</t>
  </si>
  <si>
    <t>A 4.4.3 +C 4.1 Klausel 7155</t>
  </si>
  <si>
    <t>3.000 €
aus Innenraum
(K&amp;M-Schutz 5.000€)</t>
  </si>
  <si>
    <t>A 4.4.3 + 6.3.7 +C 4.1 Klausel 7155</t>
  </si>
  <si>
    <t>3.000 €
auch aus Dachboxen
(auch gegen St / H)
(K&amp;M-Schutz 5.000€)</t>
  </si>
  <si>
    <t>3.000 €
( nachweispflichtig sonst 150 € )
(K&amp;M-Schutz 5.000€)</t>
  </si>
  <si>
    <t>A 4.4.1 + C 4.1 Klausel 7155</t>
  </si>
  <si>
    <t>3.000 €
Wertsachen max 500 €
(K&amp;M-Schutz 5.000€)</t>
  </si>
  <si>
    <t>A 4.4.4 + C 4.1 Klausel 7155</t>
  </si>
  <si>
    <t>3.000 €
auch gegen St / H
(K&amp;M-Schutz 5.000€)</t>
  </si>
  <si>
    <t>A 4.4.2 + 6.3.8 +  C 4.1 Klausel 7155</t>
  </si>
  <si>
    <t>3.000 €
Grills, Gartenbeleuchtung und fest im Boden verankerte Skulpturen
auch gegen St / H
(K&amp;M-Schutz 5.000€)</t>
  </si>
  <si>
    <t>3.000 €
(soweie Gartenroboter)
auch gegen St / H
(K&amp;M-Schutz 5.000€)</t>
  </si>
  <si>
    <t>3.000 €
Spiel- und Sportgeräte
auch gegen St / H
(K&amp;M-Schutz 5.000€)</t>
  </si>
  <si>
    <t>3.000 €
(K&amp;M-Schutz 5.000€)</t>
  </si>
  <si>
    <t>A 4.4.6 +  C 4.1 Klausel 7155</t>
  </si>
  <si>
    <t>A 4.4.7 +   C 4.1 Klausel 7155</t>
  </si>
  <si>
    <t>3.000 €
nur im Zusammenen mit der gestohlenen Tasche 
nicht nur Pormonie einzeln
(K&amp;M-Schutz 5.000€)</t>
  </si>
  <si>
    <t>A 5.3.2 + C 4.1 Klausel 7155</t>
  </si>
  <si>
    <t>1000€
( K&amp;M-Schutz 5.000€)</t>
  </si>
  <si>
    <t>A 19.3.1 + C 4.1 Klausel 7155</t>
  </si>
  <si>
    <t>40 % der VS
(K&amp;M-Schutz 100% der VS)</t>
  </si>
  <si>
    <t>30 % der VS, mind. 50.000 €
max. 12 Monate weltweit 
(K&amp;M-Schutz min. 75.000 €)</t>
  </si>
  <si>
    <t>A 13.6 + 13.1.2 + C 4.1 Klausel 7155</t>
  </si>
  <si>
    <t>nach Gothaer Basis 
20.000 € max 12 Monate
(K&amp;M-Schutz 30.000€)</t>
  </si>
  <si>
    <t>A 13.7 + C 4.1 Klausel 7155</t>
  </si>
  <si>
    <t>5.000 €
(K&amp;M-Schutz 10.000€)</t>
  </si>
  <si>
    <t>A 13.8 + C 4.1 Klausel 7155</t>
  </si>
  <si>
    <t xml:space="preserve"> A 12.6 + 13.9 + 13.10 + C 4.1 Klausel 7155</t>
  </si>
  <si>
    <t>Bargeld        -      3.000 € 
Urkunden    -    10.000 €
Schmuck     -   40.000 €( K&amp;M 50')
(bes.Feste Bargeld 5.000€ (K&amp;M 10')
(Smart-Home - Bargeld +2.000€)</t>
  </si>
  <si>
    <t>GDV - Stand 2017-05
AKBP - Stand 2010-02</t>
  </si>
  <si>
    <t>D 2</t>
  </si>
  <si>
    <t>aktuell
(geprüft am 18.06.2019)</t>
  </si>
  <si>
    <t>A 15.2.4.2.1-3 + Antrag S.6</t>
  </si>
  <si>
    <t>B 1.1 + Antrag S.2</t>
  </si>
  <si>
    <t xml:space="preserve">Nein, Verzicht auf Obliegenheitsverletzung </t>
  </si>
  <si>
    <t>Wartezeit 4 Wochen
Zürs 1 + Zürs 2: 1.000 €</t>
  </si>
  <si>
    <t>BWE E § 12 a) + c) HB S. 64</t>
  </si>
  <si>
    <t>Tarifrechner</t>
  </si>
  <si>
    <t xml:space="preserve">* Zubehör von Kfz und Anhängern
(subsidär)
* Zuschuss 500 € einmalig für 
ED-Sicherungen 
nach Schaden &gt; 5.000 €
--------------------------
Gegen Zuschlag
 * E-Bike-Schutz 
(Fahrrad-Vollkasko)
Zubehör bis 250 €
*  Elektronik-Schutz
bis 10.000 €
(Betriebstechnik-Vers.All-Risk))
* Smart-Home
</t>
  </si>
  <si>
    <t>* Zubehör von Kfz und Anhängern
(subsidär)
* Zuschuss 500 € einmalig für 
ED-Sicherungen 
nach Schaden &gt; 5.000 €
* Nässeschäden aufgrund undichter Fugen oder Fliesen
* Graffitischäden an versicherten Sachen im Rahmen der VS
--------------------------
Gegen Zuschlag
 * E-Bike-Schutz 
(Fahrrad-Vollkasko)
Zubehör bis 250 €
*  Elektronik-Schutz
bis 10.000 €
(Betriebstechnik-Vers.All-Risk))
* Smart-Home-Schutz
(siehe Zellen mit Smart-Home)
ABUS- o. Bosch-Anlage
* Kunst &amp; Mobilien Schutz 
(siehe Zellen mit K&amp;M)
(ab VS 250.000€)</t>
  </si>
  <si>
    <t xml:space="preserve">A 10.3.10
A 14.1.22
A 5.3.1
A 14.2.2
-------------
C 3.2 Klausel 7130
C 3.3 Klausel 7141 + Rechner
C 3.5 Klausel 7143 + Antrag S.6 
C 4.1 Klausel 7155 + Antrag S. 6
</t>
  </si>
  <si>
    <t>A 10.3.10
A 14.1.22
-------------
C 3.2 Klausel 7130
C 3.3 Klausel 7141 + Rechner
C 3.5 Klausel 7143+ Antrag S.6</t>
  </si>
  <si>
    <t>Klausel 7110 + Rechner</t>
  </si>
  <si>
    <t>ab 100.000 € Wertsachen: EMA</t>
  </si>
  <si>
    <t>gegen Zuschlag
"AVHW 2014"
500 € je VF max. 1.500 € / VJ
• Schlüsseldienst
• Rohrreinigung
• Sanitär-Installations-Service Notfall 
• Elektro-Installations-Service Notfall
• Notheizung
• Schädlingsbekämpfung
• Entfernung von Nestern (Hornissen/Wespen/Bienen)</t>
  </si>
  <si>
    <t>AVHW 2014</t>
  </si>
  <si>
    <t>Ammerländer Basic</t>
  </si>
  <si>
    <t>Ammerländer Economic</t>
  </si>
  <si>
    <t>A § 2 Nr. 4-2.</t>
  </si>
  <si>
    <t>BB Basic Nr. 1</t>
  </si>
  <si>
    <t>BB Basic Nr. 2</t>
  </si>
  <si>
    <t>5 % der VS</t>
  </si>
  <si>
    <t>BB Basic Nr. 3</t>
  </si>
  <si>
    <t>A § 2 Nr. 5 b)</t>
  </si>
  <si>
    <t>sowie Überstrom und Kurzschluss
150 € SB</t>
  </si>
  <si>
    <t>BB Basic Nr. 6</t>
  </si>
  <si>
    <t xml:space="preserve">A § 1 Nr.2 a) </t>
  </si>
  <si>
    <t>BB Basic Nr. 4</t>
  </si>
  <si>
    <t>Anprall oder Absturrz von Fahrzeugen bzw. unbemannten Flugkörpern oder deren Teile o. Ladung</t>
  </si>
  <si>
    <t>Keine unbemannten Flugkörper</t>
  </si>
  <si>
    <t>A § 4 Nr.2</t>
  </si>
  <si>
    <t>A § 4 Nr.3 a) aa)</t>
  </si>
  <si>
    <t>A § 4 Nr. 1 a) aa)</t>
  </si>
  <si>
    <t>oder damit verbundenen Schläuchen (nicht Verschleiß)</t>
  </si>
  <si>
    <t>A § 4 Nr. 1 a) bb)</t>
  </si>
  <si>
    <t>A § 4 Nr. 1 a) cc)</t>
  </si>
  <si>
    <t>A § 4 Nr. 1 b) aa)</t>
  </si>
  <si>
    <t>A § 4 Nr. 1 b) bb)</t>
  </si>
  <si>
    <t>A § 5 Nr. 2 + BB Basic Nr.15</t>
  </si>
  <si>
    <t xml:space="preserve">Windstärke 8
und Anscheinsbeweis
* keine
innerhalb der versicherten Räume </t>
  </si>
  <si>
    <t>A § 5 Nr. 4 a) bb)</t>
  </si>
  <si>
    <t>A § 3 Nr. 2 a)</t>
  </si>
  <si>
    <t>A § 3 Nr. 2 c)</t>
  </si>
  <si>
    <t>A § 3 Nr. 2 d)</t>
  </si>
  <si>
    <t>A § 3 Nr. 2 e)</t>
  </si>
  <si>
    <t>A § 3 Nr. 2 b)</t>
  </si>
  <si>
    <t>A § 3 Nr. 2 f)</t>
  </si>
  <si>
    <t>A § 3 Nr. 3</t>
  </si>
  <si>
    <t>100 €</t>
  </si>
  <si>
    <t>100 €
(keine Wertsachen/Bargeld/ 
elektr. Geräte)</t>
  </si>
  <si>
    <t>1% der VS
(keine Wertsachen; 
elektr. Kleingeräte zum Zeitwert)</t>
  </si>
  <si>
    <t>BB Basic Nr. 16</t>
  </si>
  <si>
    <t>BB Basic Nr. 14</t>
  </si>
  <si>
    <t>BB Basic Nr. 12</t>
  </si>
  <si>
    <t>BB Basic Nr. 9</t>
  </si>
  <si>
    <t>BB Basic Nr. 11</t>
  </si>
  <si>
    <t>BB Basic Nr. 10</t>
  </si>
  <si>
    <t>BB Basic Nr. 8</t>
  </si>
  <si>
    <t>ja
Garagen, auch in der angrenzenden Gemeinde  
(Garagen 2.000 € keine Wertsachen)</t>
  </si>
  <si>
    <t>A § 6 Nr. 3 + BB Basic Nr. 18</t>
  </si>
  <si>
    <t>A § 6 Nr. 3 b)</t>
  </si>
  <si>
    <t>BB Basic Nr. 19</t>
  </si>
  <si>
    <t>A § 6 Nr. 2 a)</t>
  </si>
  <si>
    <t>A § 6 Nr. 2 c) aa)</t>
  </si>
  <si>
    <t>A § 6 Nr. 2 c) bb)</t>
  </si>
  <si>
    <t>A § 6 Nr. 2 c) ee)</t>
  </si>
  <si>
    <t>A § 6 Nr. 2 c) ff)</t>
  </si>
  <si>
    <t>A § 6 Nr. 2 c) gg)</t>
  </si>
  <si>
    <t>A § 6 Nr. 2 c) ii)</t>
  </si>
  <si>
    <t>A § 6 Nr. 2 c) hh)</t>
  </si>
  <si>
    <t>A § 6 Nr. 2 a) + 4 c)</t>
  </si>
  <si>
    <t>A § 7 Nr. 2</t>
  </si>
  <si>
    <t>A § 3 Nr. 4 a) bb) + § 7 Nr. 4</t>
  </si>
  <si>
    <t>A § 3 Nr. 4 a) aa) + cc) + § 7 Nr. 4</t>
  </si>
  <si>
    <t>A § 7 Nr. 1  + 6 + BB Basic Nr. 17</t>
  </si>
  <si>
    <t>A § 8 Nr. a)</t>
  </si>
  <si>
    <t>A § 8 Nr. b)</t>
  </si>
  <si>
    <t>100 Tage
1‰ der VS pro Tag</t>
  </si>
  <si>
    <t>A § 8 Nr. c) + BB Basic Nr.23</t>
  </si>
  <si>
    <t>100 Tage</t>
  </si>
  <si>
    <t>A § 8 Nr. d) + BB Basic Nr.24</t>
  </si>
  <si>
    <t>A § 8 Nr. e)</t>
  </si>
  <si>
    <t>A § 8 Nr. f)</t>
  </si>
  <si>
    <t>A § 8 Nr. g)</t>
  </si>
  <si>
    <t>A § 8 Nr. h)</t>
  </si>
  <si>
    <t>A § 12 Nr.4 + 6</t>
  </si>
  <si>
    <t>A § 9 Nr. 2a) + § 12 Nr.1a) + 4</t>
  </si>
  <si>
    <t>A § 9 Nr. 2c)</t>
  </si>
  <si>
    <t>A § 9 Nr. 3 a) bb) + Rechner</t>
  </si>
  <si>
    <t>bei Kombi-Policen mit 
mind. 3 Verträgen
3 Jahren Laufzeit</t>
  </si>
  <si>
    <t>A § 11 Nr. 1 + 2</t>
  </si>
  <si>
    <t>A § 11 Nr. 6</t>
  </si>
  <si>
    <t>A § 11 Nr. 4 a) + 3 b)</t>
  </si>
  <si>
    <t>A § 13 Nr. 2 a) + BB Basic Nr. 26</t>
  </si>
  <si>
    <t>Bargeld - 500 €
Urkunden - 5%der VS max 2.500 €
Schmuck - 10% der VS
(Schmuck/Uhren mit &gt; 1.000 € Einzelwert nur mit Nachweis)</t>
  </si>
  <si>
    <t>BB Basic Nr. 27 .3</t>
  </si>
  <si>
    <t>A § 6 Nr. 2 c) hh) + BB Basic Nr.30.2</t>
  </si>
  <si>
    <t>* Markisen (auch St/H)
* Antennenanlagen(auch St/H)
* technische, optische u.
akustische Sicherungsanlagen
bis 1% der VS max 1.000€</t>
  </si>
  <si>
    <t>A § 6 Nr. 2 c) cc) + § 5 Nr. 4 b) bb)
+ BB Basic Nr. 31</t>
  </si>
  <si>
    <t>auch
von Pflegekräften 
und Au-Pairs</t>
  </si>
  <si>
    <t>BB Basic Nr. 29</t>
  </si>
  <si>
    <t xml:space="preserve">Mindestsicherung vorgeschrieben
sowie ab VS 200.000 € oder
ab 75.000 € Wertsachenanteil </t>
  </si>
  <si>
    <t>Mindestsicherungen:
Alle Eingangstüren (auch Kellertüren) der Wohnung bzw. des
Einfamilienhauses müssen über bündige Zylinderschlösser
(Überstand maximal 5 mm) mit von innen verschraubtem
Sicherheitsbeschlag und/oder elektronische Schlösser mit
Codekartenschlüssel verfügen.</t>
  </si>
  <si>
    <t>1% der VS
max. 250 €</t>
  </si>
  <si>
    <t>A § 8 Nr. i) + BB Basic Nr.20</t>
  </si>
  <si>
    <t>bis 5% der VS, max. 1.000 €
bei Schäden &gt; 10.000 €
(auch Dienstreisen)</t>
  </si>
  <si>
    <t>BB Basic Nr. 21</t>
  </si>
  <si>
    <t>A § 15 Nr.6 + BB Basic Nr. 22</t>
  </si>
  <si>
    <t>A § 17 Nr. c)</t>
  </si>
  <si>
    <t>BB Basic Nr. 25</t>
  </si>
  <si>
    <t>B § 31 Nr. 1</t>
  </si>
  <si>
    <t xml:space="preserve">B § 34 Nr. 1 </t>
  </si>
  <si>
    <t xml:space="preserve">B § 26 Nr. 1 </t>
  </si>
  <si>
    <t>BB Economic Nr. 1</t>
  </si>
  <si>
    <t>BB Economic Nr. 2</t>
  </si>
  <si>
    <t>BB Economic Nr. 3</t>
  </si>
  <si>
    <t>2% der VS (150 SB u. Zeitwert)
keine techn.Geräte o. Wertsachen
Ausschl. Tabak-, Zigarettenglut</t>
  </si>
  <si>
    <t>wenn dieser plötzlich bestimmungswidrig aus den am Versicherungsort und in dessen unmittelbarer Umgebung befindlichen Feuerungs-, Heizungs-, Koch- oder Trockenanlagen ausgetreten ist und unmittelbar auf versicherte Sachen einwirkt.
"Abweichende Formulierung auf dem Versicherungsgrundstück"
ohne Umgebung</t>
  </si>
  <si>
    <t>ja
(aus auf dem Grundstück befindl.)</t>
  </si>
  <si>
    <t>5 % der VS
(aus auf dem Grundstück befindl.)</t>
  </si>
  <si>
    <t>allgemein</t>
  </si>
  <si>
    <t>allgemein
(250 € SB)</t>
  </si>
  <si>
    <t>BB Economic Nr. 4.2 + 4.3</t>
  </si>
  <si>
    <t>BB Economic Nr. 4.1 + 4.3</t>
  </si>
  <si>
    <t>BB Economic Nr. 5</t>
  </si>
  <si>
    <t>BB Economic Nr. 7</t>
  </si>
  <si>
    <t>A § 2 Nr. 1 d) 
+ BB Economic Nr.6 + 8</t>
  </si>
  <si>
    <t>A § 2 Nr. 1 d) 
+ BB Basic Nr.5 + 7</t>
  </si>
  <si>
    <t>BB Economic Nr. 9</t>
  </si>
  <si>
    <t>BB Economic Nr. 11</t>
  </si>
  <si>
    <t>BB Economic Nr. 12</t>
  </si>
  <si>
    <t>2% der VS
(keine Wertsachen/Bargeld/ 
elektr. Geräte)</t>
  </si>
  <si>
    <t>BB Economic Nr. 13</t>
  </si>
  <si>
    <t>500 €
keine Anhänger,
Wohnwagen oder Wohnmobile</t>
  </si>
  <si>
    <t>BB Economic Nr. 10.1 + 10.3</t>
  </si>
  <si>
    <t>BB Economic Nr. 10.4</t>
  </si>
  <si>
    <t>BB Economic Nr. 10.1 + 10.5</t>
  </si>
  <si>
    <t>BB Economic Nr. 14</t>
  </si>
  <si>
    <t>BB Economic Nr. 16</t>
  </si>
  <si>
    <t>100 €
nur Festnetz</t>
  </si>
  <si>
    <t>BB Economic Nr. 17</t>
  </si>
  <si>
    <t>ja, sowie innerhalb des VO auch das Herbeischaffen bsi 5.000 €</t>
  </si>
  <si>
    <t>A § 3 Nr. 4 a) bb) + § 7 Nr. 4
+ BB Economic Nr.18</t>
  </si>
  <si>
    <t>BB Economic Nr. 19</t>
  </si>
  <si>
    <t>A § 4 Nr.2 + BB Economic Nr.20</t>
  </si>
  <si>
    <t>A § 5 Nr. 2 
+ BB Economic Nr.21</t>
  </si>
  <si>
    <t>BB Economic Nr. 22</t>
  </si>
  <si>
    <t>10% der VS
max. 3 Monate
weltweit</t>
  </si>
  <si>
    <t>20% der VS
max. 6 Monate
weltweit</t>
  </si>
  <si>
    <t>A § 7 Nr. 1  + 6 + BB Economic Nr. 23</t>
  </si>
  <si>
    <t>ja
Garagen, auch in der angrenzenden Gemeinde  
(Garagen 3.000 € keine Wertsachen)</t>
  </si>
  <si>
    <t>A § 6 Nr. 3 + BB Economic Nr. 24</t>
  </si>
  <si>
    <t>ja
(mit separaten Eingang nur ohne Angestellte und Publikumsverkehr)</t>
  </si>
  <si>
    <t xml:space="preserve"> BB Economic Nr. 25</t>
  </si>
  <si>
    <t>A § 8 Nr. i) + BB Economic Nr.26</t>
  </si>
  <si>
    <t>BB Economic Nr. 27</t>
  </si>
  <si>
    <t>bis 5% der VS, max. 1.500 €
bei Schäden &gt; 10.000 €
(auch Dienstreisen)</t>
  </si>
  <si>
    <t>BB Economic Nr. 28</t>
  </si>
  <si>
    <t>1% der VS, max. 1.000 €
bei Schäden &gt; 50.000 €</t>
  </si>
  <si>
    <t>A § 8 Nr. c) + BB Economic Nr. 31</t>
  </si>
  <si>
    <t>A § 8 Nr. d) + BB Economic Nr. 32</t>
  </si>
  <si>
    <t>BB Economic Nr. 33</t>
  </si>
  <si>
    <t>500 €
auch Gas</t>
  </si>
  <si>
    <t>500 € (SB 50 €)
auch Gas</t>
  </si>
  <si>
    <t>BB Economic Nr. 34</t>
  </si>
  <si>
    <t>25% der VS</t>
  </si>
  <si>
    <t>A § 13 Nr. 2 a) 
+ BB Economic Nr. 35.1</t>
  </si>
  <si>
    <t>A § 13 Nr. 2 a) 
+ BB Basic Nr. 26.1</t>
  </si>
  <si>
    <t>Bargeld        -      1.000 €
Urkunden    -     5.000 €
Schmuck - 20% der VS
(Schmuck/Uhren mit &gt; 1.000 € Einzelwert nur mit Nachweis)</t>
  </si>
  <si>
    <t>A § 13 Nr. 2 a) 
+ BB Economic Nr. 35</t>
  </si>
  <si>
    <t>* Markisen (auch St/H)
* Antennenanlagen(auch St/H)
* technische, optische u.
akustische Sicherungsanlagen
bis 2% der VS max 2.000€</t>
  </si>
  <si>
    <t>A § 6 Nr. 2 c) cc) + § 5 Nr. 4 b) bb)
+ BB Economic Nr.41</t>
  </si>
  <si>
    <t>A § 6 Nr. 2 c) hh) 
+ BB Economic Nr.30</t>
  </si>
  <si>
    <t>A § 6 Nr. 2 c) dd) 
+ BB Economic Nr. 42</t>
  </si>
  <si>
    <t>A § 6 Nr. 2 c) dd) 
+ BB Basic Nr. 32</t>
  </si>
  <si>
    <t>GDV - Stand 2013-01
AKBP --------------</t>
  </si>
  <si>
    <t>BB Economic Nr. 43 + LÜ</t>
  </si>
  <si>
    <t>BB Economic Nr. 44</t>
  </si>
  <si>
    <t>BB Economic Nr. 39</t>
  </si>
  <si>
    <t>BB Economic Nr. 37</t>
  </si>
  <si>
    <t>BB Economic Nr. 36</t>
  </si>
  <si>
    <t>BB Classic Nr. 1</t>
  </si>
  <si>
    <t>sowie Überstrom und Kurzschluss
(auch Stromschwankungen Netz 1.000 €)</t>
  </si>
  <si>
    <t>BB Classic Nr. 2 + 3</t>
  </si>
  <si>
    <t>4% der VS (Zeitwert)
keine techn.Geräte o. Wertsachen
Ausschl. Tabak-, Zigarettenglut</t>
  </si>
  <si>
    <t>BB Classic Nr. 4</t>
  </si>
  <si>
    <t>BB Classic Nr. 5</t>
  </si>
  <si>
    <t>BB Classic Nr. 6</t>
  </si>
  <si>
    <t>A § 2 Nr. 1 d) 
+ BB Classic Nr.7 + 9</t>
  </si>
  <si>
    <t>Gefriergut
nur durch Blitzschlag oder Netzausfall verursacht</t>
  </si>
  <si>
    <t>BB Classic Nr. 8</t>
  </si>
  <si>
    <t>BB Classic Nr. 10</t>
  </si>
  <si>
    <t>BB Classic Nr. 11</t>
  </si>
  <si>
    <t>BB Classic Nr. 12.1 + 12.3</t>
  </si>
  <si>
    <t>BB Classic Nr. 12.4</t>
  </si>
  <si>
    <t>1.000 €
keine Anhänger,
Wohnwagen oder Wohnmobile</t>
  </si>
  <si>
    <t>BB Economic Nr. 12.1 + 12.5</t>
  </si>
  <si>
    <t>BB Classic Nr. 17</t>
  </si>
  <si>
    <t>1% der VS
Kinderspiel- 
und Sportgeräte</t>
  </si>
  <si>
    <t>BB Classic Nr. 16</t>
  </si>
  <si>
    <t>4% der VS</t>
  </si>
  <si>
    <t>BB Classic Nr. 13</t>
  </si>
  <si>
    <t>BB Classic Nr. 14
BB Classic Nr. 15</t>
  </si>
  <si>
    <t>BB Classic Nr. 19</t>
  </si>
  <si>
    <t>BB Classic Nr. 23</t>
  </si>
  <si>
    <t>BB Classic Nr. 22</t>
  </si>
  <si>
    <t>4% der VS
(keine Wertsachen/Bargeld/ 
elektr. Geräte)</t>
  </si>
  <si>
    <t>BB Classic Nr. 18</t>
  </si>
  <si>
    <t>BB Classic Nr. 20</t>
  </si>
  <si>
    <t>BB Classic Nr. 26</t>
  </si>
  <si>
    <t>A § 4 Nr.2 + BB Classic Nr.27</t>
  </si>
  <si>
    <t>ja, sowie innerhalb des VO auch das Herbeischaffen</t>
  </si>
  <si>
    <t>A § 3 Nr. 4 a) bb) + § 7 Nr. 4
+ BB Classic Nr. 24</t>
  </si>
  <si>
    <t>Hausrat außerhalb des Gebäudes</t>
  </si>
  <si>
    <t>BB Classic Nr. 28</t>
  </si>
  <si>
    <t>C; D Nr. 27</t>
  </si>
  <si>
    <t>D; D Nr. 24</t>
  </si>
  <si>
    <t>D; D Nr. 37</t>
  </si>
  <si>
    <t>A 6.3.8 + 6.5.7</t>
  </si>
  <si>
    <t>neu</t>
  </si>
  <si>
    <t>II B § 5 Nr. 4 c)</t>
  </si>
  <si>
    <t>B26; §5 Nr 4.2 b)</t>
  </si>
  <si>
    <t>B27; §5 Nr 4.2 b)</t>
  </si>
  <si>
    <t>B28; §5 Nr 3 kein Ausschluß</t>
  </si>
  <si>
    <t>5.000 €
Gartenmöbel, Garteninventar und Gartengeräte (auch F/LW)</t>
  </si>
  <si>
    <t>Gartenmöbel, Garteninventar und Gartengeräte (auch F/LW)</t>
  </si>
  <si>
    <t xml:space="preserve">A; Ziff. 2.1 (4) </t>
  </si>
  <si>
    <t>BB Classic Nr. 30</t>
  </si>
  <si>
    <t>BB Classic Nr. 46</t>
  </si>
  <si>
    <t>BB Classic Nr. 48</t>
  </si>
  <si>
    <t>1.000 €
auch Gas</t>
  </si>
  <si>
    <t>BB Classic Nr. 42</t>
  </si>
  <si>
    <t>BB Classic Nr. 43</t>
  </si>
  <si>
    <t>BB Classic Nr. 38</t>
  </si>
  <si>
    <t>1% der VS, max. 1.500 €
bei Schäden &gt; 50.000 €</t>
  </si>
  <si>
    <t>BB Classic Nr. 36</t>
  </si>
  <si>
    <t>bis 5% der VS, max. 2.000 €
bei Schäden &gt; 10.000 €
(auch Dienstreisen)</t>
  </si>
  <si>
    <t>BB Classic Nr. 37</t>
  </si>
  <si>
    <t>1% der VS,
max. 1000 €</t>
  </si>
  <si>
    <t>A § 8 Nr. c) + BB Classic Nr. 40</t>
  </si>
  <si>
    <t>auch an 
behindertengerechten Einbauten</t>
  </si>
  <si>
    <t>A § 8 Nr. h) + BB Classic Nr. 35</t>
  </si>
  <si>
    <t>A § 8 Nr. i) + BB Classic Nr. 34</t>
  </si>
  <si>
    <t>A § 8 Nr. d) + BB Classic Nr. 41</t>
  </si>
  <si>
    <t>3% der VS
(Wertsachen/Bargeld/elektr. Geräte bis 1.000 €)</t>
  </si>
  <si>
    <t>2% der VS
(Wertsachen/Bargeld/elektr. Geräte bis 1.000 €)</t>
  </si>
  <si>
    <t>BB Classic 21</t>
  </si>
  <si>
    <t>30% der VS
max. 6 Monate
weltweit</t>
  </si>
  <si>
    <t>A § 7 Nr. 1  + 6 + BB Classic Nr. 31</t>
  </si>
  <si>
    <t>ja
Garagen, auch in der angrenzenden Gemeinde  
(Garagen 4.000 € keine Wertsachen)</t>
  </si>
  <si>
    <t>A § 6 Nr. 3 + BB Classic Nr. 32</t>
  </si>
  <si>
    <t>BB Classic Nr.33</t>
  </si>
  <si>
    <t>A § 6 Nr. 2 c) dd) 
+ BB Classic Nr. 53</t>
  </si>
  <si>
    <t>A § 6 Nr. 2 c) hh) 
+ BB Classic Nr. 50</t>
  </si>
  <si>
    <t>* Markisen (auch St/H)
* Antennenanlagen(auch St/H)
* technische, optische u.
akustische Sicherungsanlagen
bis 5% der VS max 2.000€</t>
  </si>
  <si>
    <t>A § 6 Nr. 2 c) cc) + § 5 Nr. 4 b) bb)
+ BB Classic Nr. 52</t>
  </si>
  <si>
    <t>Bargeld         -     2.000 €
Urkunden    -    10.000 €
Schmuck     -   30.000 €
(Schmuck/Uhren mit &gt; 1.000 € Einzelwert nur mit Nachweis)</t>
  </si>
  <si>
    <t>A § 13 Nr. 2 a) 
+ BB Classic Nr. 44</t>
  </si>
  <si>
    <t>35% der VS</t>
  </si>
  <si>
    <t>A § 13 Nr. 2 a) 
+ BB Classic Nr. 44.1</t>
  </si>
  <si>
    <t>BB Classic Nr 4 + LÜ</t>
  </si>
  <si>
    <t>BB Classic Nr. 54</t>
  </si>
  <si>
    <t>1% der VS
durch Unfall mit Bus, Bahn, Taxi Mietwagen (PKW)</t>
  </si>
  <si>
    <t>BB Classic Nr. 49</t>
  </si>
  <si>
    <t>BB Comfort Nr. 1</t>
  </si>
  <si>
    <t>BB Comfort Nr. 2 + 3</t>
  </si>
  <si>
    <t>ja
keine techn.Geräte o. Wertsachen
Ausschl. Tabak-, Zigarettenglut</t>
  </si>
  <si>
    <t>BB Comfort Nr. 4</t>
  </si>
  <si>
    <t>BB Comfort Nr. 5</t>
  </si>
  <si>
    <t>BB Classic Nr. 5.2</t>
  </si>
  <si>
    <t>BB Comfort Nr. 5.2</t>
  </si>
  <si>
    <t>BB Comfort Nr. 8</t>
  </si>
  <si>
    <t>BB Comfort Nr. 10</t>
  </si>
  <si>
    <t>A § 2 Nr. 1 d) 
+ BB Comfort Nr.7 + 9</t>
  </si>
  <si>
    <t>BB Comfort Nr. 6</t>
  </si>
  <si>
    <t>BB Comfort Nr. 12.1 + 12.3</t>
  </si>
  <si>
    <t>• Wertsachen
• Foto-, Film- oder Videogeräte,
• Mobiltelefone,
Computer-, Musikabspiel-,
Navigationsgeräte
einschließlich des Zubehörs</t>
  </si>
  <si>
    <t xml:space="preserve">• Wertsachen
</t>
  </si>
  <si>
    <t>BB Comfort Nr. 12.4</t>
  </si>
  <si>
    <t>3.000 €
keine Anhänger,
Wohnwagen oder Wohnmobile</t>
  </si>
  <si>
    <t>BB Comfort Nr. 12.1 + 12.5</t>
  </si>
  <si>
    <t>* einfacher Diebstahl von
Waschmaschienen und Trockner aus Gemeinschaftsräumen
'* einfacher Diebstahl von
Kleinvieh-, Futter- u. Streuvorräten
1% der VS</t>
  </si>
  <si>
    <t>BB Comfort Nr. 62</t>
  </si>
  <si>
    <t>BB Comfort Nr. 60</t>
  </si>
  <si>
    <t>BB Comfort Nr. 37</t>
  </si>
  <si>
    <t>BB Comfort Nr. 52</t>
  </si>
  <si>
    <t>BB Comfort Nr. 55</t>
  </si>
  <si>
    <t>BB Comfort Nr. 47</t>
  </si>
  <si>
    <t>1% der VS
bei Schäden &gt; 50.000 €</t>
  </si>
  <si>
    <t>BB Comfort Nr. 46</t>
  </si>
  <si>
    <t>3.000 €
bei Schäden &gt; 5.000 €
(auch Dienstreisen)</t>
  </si>
  <si>
    <t>BB Comfort Nr. 45</t>
  </si>
  <si>
    <t>12 monate
2‰ der VS pro Tag</t>
  </si>
  <si>
    <t>BB Comfort Nr. 50</t>
  </si>
  <si>
    <t xml:space="preserve">50 €
bei Entschädidung &gt; 2.500 € </t>
  </si>
  <si>
    <t>BB Comfort Nr. 49</t>
  </si>
  <si>
    <t>A § 8 Nr. h) + BB Comfort Nr. 43</t>
  </si>
  <si>
    <t>A § 8 Nr. i) + BB Comfort Nr. 42</t>
  </si>
  <si>
    <t>12 Monate</t>
  </si>
  <si>
    <t>A § 8 Nr. d) + BB Comfort Nr. 51</t>
  </si>
  <si>
    <t>BB Comfort Nr. 30</t>
  </si>
  <si>
    <t>5.000 € (nicht Balkon o. Terrase)
durch Schalen- und Federwild 
nach BJagdG</t>
  </si>
  <si>
    <t>BB Comfort Nr. 54</t>
  </si>
  <si>
    <t>2% der VS
durch Unfall mit Bus, Bahn, Taxi Mietwagen (PKW)</t>
  </si>
  <si>
    <t>BB Comfort Nr. 63</t>
  </si>
  <si>
    <t>500 €
nur Festnetz</t>
  </si>
  <si>
    <t>BB Comfort Nr. 25</t>
  </si>
  <si>
    <t>BB Comfort Nr. 26</t>
  </si>
  <si>
    <t>BB Comfort Nr. 29</t>
  </si>
  <si>
    <t>2.500 €
innerhalb des VO</t>
  </si>
  <si>
    <t>BB Comfort Nr. 28</t>
  </si>
  <si>
    <t>BB Comfort Nr. 22</t>
  </si>
  <si>
    <t>3% der VS
Kinderspiel- 
und Sportgeräte</t>
  </si>
  <si>
    <t>BB Comfort Nr. 18</t>
  </si>
  <si>
    <t>BB Comfort Nr. 14</t>
  </si>
  <si>
    <t>ja
auch Grillgeräten</t>
  </si>
  <si>
    <t>2% der VS
festverankerte Skulpturen</t>
  </si>
  <si>
    <t>BB Comfort Nr. 16</t>
  </si>
  <si>
    <t>BB Comfort Nr. 21</t>
  </si>
  <si>
    <t>BB Comfort Nr. 19</t>
  </si>
  <si>
    <t>BB Comfort Nr. 11</t>
  </si>
  <si>
    <t>BB Comfort Nr. 24</t>
  </si>
  <si>
    <t>5% der VS
(Wertsachen/Bargeld/elektr. Geräte bis 1.000 €)</t>
  </si>
  <si>
    <t>A § 3 Nr. 4 a) bb) + § 7 Nr. 4
+ BB Comfort Nr. 27</t>
  </si>
  <si>
    <t>BB Comfort Nr. 31</t>
  </si>
  <si>
    <t>A § 4 Nr.2 + BB Comfort Nr.32</t>
  </si>
  <si>
    <t>ja, nach geltender Norm</t>
  </si>
  <si>
    <t>BB Comfort Nr. 33.2</t>
  </si>
  <si>
    <t>1% der VS (250 €SB)
ausgeschl. Bleiben nicht ordnungsgem. Geschl. Fenster, Türen o. andere Öffnungen</t>
  </si>
  <si>
    <t>BB Comfort Nr. 34</t>
  </si>
  <si>
    <t>BB Comfort Nr. 35</t>
  </si>
  <si>
    <t>A § 5 Nr. 2 
+ BB Classic Nr. 29</t>
  </si>
  <si>
    <t>A § 5 Nr. 2 
+ BB Comfort Nr. 36</t>
  </si>
  <si>
    <t>A § 7 Nr. 1  + 6 + BB Comfort Nr. 38</t>
  </si>
  <si>
    <t>50% der VS
max. 6 Monate
weltweit</t>
  </si>
  <si>
    <t>BB Comfort Nr. 39</t>
  </si>
  <si>
    <t>ja
Garagen, auch in der angrenzenden Gemeinde  
(Garagen 5.000 € keine Wertsachen)</t>
  </si>
  <si>
    <t>A § 6 Nr. 3 + BB Comfort Nr. 40</t>
  </si>
  <si>
    <t>BB Comfort Nr. 41</t>
  </si>
  <si>
    <t>50% der VS</t>
  </si>
  <si>
    <t>BB Classic Nr. 45</t>
  </si>
  <si>
    <t>BB Comfort Nr. 59</t>
  </si>
  <si>
    <t>A § 6 Nr. 2 c) dd) 
+ BB Comfort Nr. 71</t>
  </si>
  <si>
    <t>7.500 €</t>
  </si>
  <si>
    <t>A § 6 Nr. 2 c) hh) 
+ BB Comfort Nr. 64</t>
  </si>
  <si>
    <t>90 Tgae
(Doppelwohnsitz: für neues Objekt)</t>
  </si>
  <si>
    <t>A § 11 Nr. 1 + 2 + BB Comfort Nr. 66</t>
  </si>
  <si>
    <t>A § 6 Nr. 2 c) cc) + § 5 Nr. 4 b) bb)
+ BB Comfort Nr. 69</t>
  </si>
  <si>
    <t xml:space="preserve">* Markisen (auch St/H)
* Antennenanlagen(auch St/H)
* technische, optische u.
akustische Sicherungsanlagen
</t>
  </si>
  <si>
    <t>Bargeld         -     3.000 €
Urkunden    -    15.000 €
Schmuck     -   40.000 €
(Schmuck/Uhren mit &gt; 1.000 € Einzelwert nur mit Nachweis)</t>
  </si>
  <si>
    <t>A § 13 Nr. 2 a) 
+ BB Comfort Nr. 58</t>
  </si>
  <si>
    <t>Im Rahmen der VS</t>
  </si>
  <si>
    <t>A § 13 Nr. 2 a) 
+ BB Comfort Nr. 58.1</t>
  </si>
  <si>
    <t>bei VS = 650 € pro qm
sowie für Schäden bis 1% der VS</t>
  </si>
  <si>
    <t>A § 9 Nr. 3 a) bb) + Rechner
+ BB Comfort Nr. 65</t>
  </si>
  <si>
    <t>BB Comfort Nr 73 + LÜ</t>
  </si>
  <si>
    <t>BB Comfort Nr 74</t>
  </si>
  <si>
    <t>2% der VS
sowie Tierarztkosten 
(keine Nutztiere o. Exoten)</t>
  </si>
  <si>
    <t>BB Comfort Nr. 53</t>
  </si>
  <si>
    <t>BB Classic Nr. 14
BB Classic Nr. 15
BB Comfort Nr. 12.4
BB Comfort Nr. 44
BB Comfort Nr. 56
BB Comfort Nr. 57
BB Comfort Nr. 75</t>
  </si>
  <si>
    <t>* einfacher Diebstahl von
Waschmaschienen und Trockner aus Gemeinschaftsräumen
* einfacher Diebstahl von
Kleinvieh-, Futter- u. Streuvorräten
1% der VS
* nicht montierte Kfz-Zubehör 
gegen F und ED am Versicherungsort
1% der VS 
* Mietkosten 
für Waschmaschine &amp; Co.
* Kinderbetreuung 250 €
bei Schäden &gt; 2.500 €
* Psychologische Betreuung nach ED, Raub oder Brand 
500 €
* Verzicht auf 3-Monatsfrist bei Kündigung durch VN</t>
  </si>
  <si>
    <t>BB Exclusiv Nr. 1</t>
  </si>
  <si>
    <t>BB Exclusiv Nr. 2 + 3</t>
  </si>
  <si>
    <t>sowie Überstrom und Kurzschluss
(auch Stromschwankungen Netz 3.000 €)</t>
  </si>
  <si>
    <t>BB Exclusiv Nr. 4</t>
  </si>
  <si>
    <t>BB Exclusiv Nr. 5.2</t>
  </si>
  <si>
    <t>BB Exclusiv Nr. 8</t>
  </si>
  <si>
    <t>BB Exclusiv Nr. 10</t>
  </si>
  <si>
    <t>BB Exclusiv Nr. 6</t>
  </si>
  <si>
    <t>A § 2 Nr. 1 d) 
+ BB Exclusiv Nr. 7 + 9</t>
  </si>
  <si>
    <t>BB Exclusiv Nr. 11</t>
  </si>
  <si>
    <t xml:space="preserve">BB Exclusiv Nr. 12.1 </t>
  </si>
  <si>
    <t>BB Exclusiv Nr. 12.1 + 12.3</t>
  </si>
  <si>
    <t>BB Exclusiv Nr. 12.4</t>
  </si>
  <si>
    <t>BB Exclusiv Nr. 19</t>
  </si>
  <si>
    <t>BB Exclusiv Nr. 21</t>
  </si>
  <si>
    <t>BB Exclusiv Nr. 14</t>
  </si>
  <si>
    <t>BB Exclusiv Nr. 16</t>
  </si>
  <si>
    <t>BB Exclusiv Nr. 18</t>
  </si>
  <si>
    <t>BB Exclusiv Nr. 22</t>
  </si>
  <si>
    <t>BB Exclusiv Nr. 28</t>
  </si>
  <si>
    <t>5.000 €
innerhalb des VO</t>
  </si>
  <si>
    <t>BB Exclusiv Nr. 29</t>
  </si>
  <si>
    <t>BB Exclusiv Nr. 26</t>
  </si>
  <si>
    <t>1.000 €
nur Festnetz</t>
  </si>
  <si>
    <t>BB Exclusiv Nr. 25</t>
  </si>
  <si>
    <t>A § 3 Nr. 4 a) bb) + § 7 Nr. 4
+ BB Exclusiv Nr. 27</t>
  </si>
  <si>
    <t>Im Rahmen der VS
(Wertsachen/Bargeld/elektr. Geräte bis 1.000 €)</t>
  </si>
  <si>
    <t>BB Exclusiv Nr. 24</t>
  </si>
  <si>
    <t>aktuell
(geprüft am 05.07.2019)</t>
  </si>
  <si>
    <t>BB Exclusiv Nr. 30</t>
  </si>
  <si>
    <t>BB Exclusiv Nr. 31</t>
  </si>
  <si>
    <t>A § 4 Nr.2 + BB Exklusiv Nr. 32</t>
  </si>
  <si>
    <t>BB Exclusiv Nr. 34</t>
  </si>
  <si>
    <t>2% der VS (250 €SB)
ausgeschl. Bleiben nicht ordnungsgem. Geschl. Fenster, Türen o. andere Öffnungen</t>
  </si>
  <si>
    <t>BB Exclusiv Nr. 35</t>
  </si>
  <si>
    <t>A § 5 Nr. 2 
+ BB Exclusiv Nr. 36</t>
  </si>
  <si>
    <t>BB Exklusiv Nr. 33.2</t>
  </si>
  <si>
    <t>BB Exclusiv Nr. 62</t>
  </si>
  <si>
    <t>BB Exclusiv Nr. 37</t>
  </si>
  <si>
    <t>100% der VS
max. 12 Monate
weltweit</t>
  </si>
  <si>
    <t>A § 7 Nr. 1  + 6 + BB Exklusiv Nr. 38</t>
  </si>
  <si>
    <t>BB Exclusiv Nr. 39</t>
  </si>
  <si>
    <t>A § 6 Nr. 3 + BB Exclusiv Nr. 40</t>
  </si>
  <si>
    <t>ja
Garagen, auch in der angrenzenden Gemeinde  
(Garagen 6.000 € keine Wertsachen)</t>
  </si>
  <si>
    <t>BB Exclusiv Nr. 41</t>
  </si>
  <si>
    <t>BB Exclusiv Nr. 63</t>
  </si>
  <si>
    <t>A § 11 Nr. 1 + 2 + BB Exclusiv Nr. 71</t>
  </si>
  <si>
    <t>BB Exclusiv Nr. 67</t>
  </si>
  <si>
    <t>3% der VS
durch Unfall mit Bus, Bahn, Taxi Mietwagen (PKW)</t>
  </si>
  <si>
    <t>BB Exclusiv Nr. 56</t>
  </si>
  <si>
    <t>7.500 € (nicht Balkon o. Terrase)
durch Schalen- und Federwild 
nach BJagdG</t>
  </si>
  <si>
    <t>A § 8 Nr. i) + BB Exclusiv Nr. 43</t>
  </si>
  <si>
    <t>A § 8 Nr. d) + BB Exclusiv Nr. 53</t>
  </si>
  <si>
    <t>A § 8 Nr. h) + BB Exclusiv Nr. 45</t>
  </si>
  <si>
    <t>BB Exclusiv Nr. 44</t>
  </si>
  <si>
    <t>BB Exclusiv Nr. 52</t>
  </si>
  <si>
    <t>im Rahmen der VS
sowie Tierarztkosten 
(keine Nutztiere o. Exoten)</t>
  </si>
  <si>
    <t>BB Exclusiv Nr. 55</t>
  </si>
  <si>
    <t>BB Exclusiv Nr. 48</t>
  </si>
  <si>
    <t>BB Exclusiv Nr. 47</t>
  </si>
  <si>
    <t>5.000 €
bei Schäden &gt; 5.000 €
(auch Dienstreisen)</t>
  </si>
  <si>
    <t>2% der VS
bei Schäden &gt; 50.000 €</t>
  </si>
  <si>
    <t>BB Exclusiv Nr. 49</t>
  </si>
  <si>
    <t>BB Exclusiv Nr. 51</t>
  </si>
  <si>
    <t>auch Gas</t>
  </si>
  <si>
    <t>BB Exclusiv Nr. 54</t>
  </si>
  <si>
    <t>BB Exclusiv Nr. 61 +60</t>
  </si>
  <si>
    <t>A § 13 Nr. 2 a) 
+ BB Exclusiv Nr. 62.1</t>
  </si>
  <si>
    <t>A § 13 Nr. 2 a) 
+ BB Exclusiv Nr. 62</t>
  </si>
  <si>
    <t>BB Exclusiv Nr. 64</t>
  </si>
  <si>
    <t>A § 11 Nr. 4 a) + 3 b) 
+ BB Exclusiv Nr. 72</t>
  </si>
  <si>
    <t>A § 11 Nr. 4 a) + 3 b) 
+ BB Comfort Nr. 67</t>
  </si>
  <si>
    <t>A § 11 Nr. 4 a) + 3 b) 
+ BB Classic Nr. 51</t>
  </si>
  <si>
    <t>A § 6 Nr. 2 c) hh) 
+ BB Exclusiv Nr.69</t>
  </si>
  <si>
    <t>15.000 €</t>
  </si>
  <si>
    <t>A § 9 Nr. 3 a) bb) + Rechner
+ BB Exclusiv Nr. 70</t>
  </si>
  <si>
    <t>BB Exclusiv Nr 81 + LÜ</t>
  </si>
  <si>
    <t>BB Exclusiv Nr 82</t>
  </si>
  <si>
    <t>A § 6 Nr. 2 c) cc) + § 5 Nr. 4 b) bb)
+ BB Exclusiv Nr. 74</t>
  </si>
  <si>
    <t>A § 6 Nr. 2 c) dd) 
+ BB Exclusiv Nr. 78</t>
  </si>
  <si>
    <t>A § 9 Nr. 2c) + BB Exclusiv Nr. 76</t>
  </si>
  <si>
    <t>anzeigepflichtig
25% der VS, max 6 Monate
Keine WG</t>
  </si>
  <si>
    <t>* "Pendler-Wohnung"
5% der VS, max 5.000 €
(Wertschachen 500 €)
* eingelagerter Hausrat 
max 12 Monate
(keine Wertsachen)</t>
  </si>
  <si>
    <t>BB Exclusiv Nr. 42 + 73</t>
  </si>
  <si>
    <t>BB Exclusiv Nr. 57 + 75</t>
  </si>
  <si>
    <t>BB Excellent Nr. 1</t>
  </si>
  <si>
    <t>BB Excellent Nr. 2 + 3</t>
  </si>
  <si>
    <t>BB Excellent Nr. 8</t>
  </si>
  <si>
    <t>BB Excellent Nr. 10</t>
  </si>
  <si>
    <t>BB Excellent Nr. 6</t>
  </si>
  <si>
    <t>sowie Überstrom und Kurzschluss
(auch Stromschwankungen Netz)</t>
  </si>
  <si>
    <t>ja
keine techn.Geräte o. Wertsachen</t>
  </si>
  <si>
    <t>BB Excellent Nr. 4</t>
  </si>
  <si>
    <t>BB Excellent Nr. 5</t>
  </si>
  <si>
    <t>A § 2 Nr. 1 d) 
+ BB Excllwnt Nr. 7 + 9</t>
  </si>
  <si>
    <t>100 € Gefriergut
nur durch Blitzschlag oder Netzausfall verursacht
keine techn. Geräteversagen</t>
  </si>
  <si>
    <t>200 € Gefriergut
nur durch Blitzschlag oder Netzausfall verursacht
keine techn. Geräteversagen</t>
  </si>
  <si>
    <t>Gefriergut
nur durch Blitzschlag oder Netzausfall verursacht
keine techn. Geräteversagen</t>
  </si>
  <si>
    <t>BB Excellent Nr. 35</t>
  </si>
  <si>
    <t>A § 4 Nr.2 + BB Excellent Nr. 36</t>
  </si>
  <si>
    <t>BB Excellent Nr. 37.2</t>
  </si>
  <si>
    <t>BB Excellent Nr. 38</t>
  </si>
  <si>
    <t>3% der VS (250 €SB)
ausgeschl. Bleiben nicht ordnungsgem. Geschl. Fenster, Türen o. andere Öffnungen</t>
  </si>
  <si>
    <t>A § 5 Nr. 2 
+ BB Excellent Nr. 40</t>
  </si>
  <si>
    <t>BB Excellent Nr. 39</t>
  </si>
  <si>
    <t>BB Excellent Nr. 76</t>
  </si>
  <si>
    <t>BB Excellent Nr. 42</t>
  </si>
  <si>
    <t>BB Excellent Nr. 73</t>
  </si>
  <si>
    <t>bei Verletzung gestzlicher o. behördlicher Voschriften</t>
  </si>
  <si>
    <t>BB Excellent Nr. 74</t>
  </si>
  <si>
    <t>A § 11 Nr. 4 a) + 3 b) 
+ BB Excellent Nr. 82</t>
  </si>
  <si>
    <t>BB Exellent Nr. 83</t>
  </si>
  <si>
    <t>BB Excellent Nr. 61</t>
  </si>
  <si>
    <t xml:space="preserve">50 €
bei Entschädidung &gt; 1.000 € </t>
  </si>
  <si>
    <t>BB Excellent Nr. 58</t>
  </si>
  <si>
    <t>ja, sowie 
bis 3.500€ Wiederbeschaffung  von Downloads Musik und Viedeo</t>
  </si>
  <si>
    <t>ja, sowie 
bis 3.000€ Wiederbeschaffung  von Downloads Musik und Viedeo</t>
  </si>
  <si>
    <t>BB Excellent Nr. 64 + 86</t>
  </si>
  <si>
    <t>BB Excellent Nr. 68 + 69</t>
  </si>
  <si>
    <t>BB Excellent Nr. 56</t>
  </si>
  <si>
    <t>3% der VS
bei Schäden &gt; 10.000 €</t>
  </si>
  <si>
    <t>BB Excellent Nr. 53 + 54</t>
  </si>
  <si>
    <t>* bei Schäden &gt; 5.000 €
(auch Dienstreisen)
* sowie Rücktritt (privat) bis 3.500 €
bei Schäden &gt; 10.000 €</t>
  </si>
  <si>
    <t>BB Excellent Nr. 55</t>
  </si>
  <si>
    <t>BB Excellent Nr. 62</t>
  </si>
  <si>
    <t>BB Excellent Nr. 59</t>
  </si>
  <si>
    <t>BB Excellent Nr. 50</t>
  </si>
  <si>
    <t>A § 8 Nr. h) + BB Excellent Nr. 51</t>
  </si>
  <si>
    <t>A § 8 Nr. i) + BB Excellent Nr. 49</t>
  </si>
  <si>
    <t>A § 8 Nr. d) + BB Excellent Nr. 60</t>
  </si>
  <si>
    <t>10.000 € (nicht Balkon o. Terrase)
durch Schalen- und Federwild 
nach BJagdG</t>
  </si>
  <si>
    <t>BB Exccellent Nr. 63</t>
  </si>
  <si>
    <t>BB Exccellent Nr. 33</t>
  </si>
  <si>
    <t>BB Exccellent Nr. 77</t>
  </si>
  <si>
    <t>im Rahmen der VS
durch Unfall mit Bus, Bahn, Taxi Mietwagen (PKW)</t>
  </si>
  <si>
    <t>BB Excellent Nr.12</t>
  </si>
  <si>
    <t>BB Excellent Nr.12.3</t>
  </si>
  <si>
    <t>im Rahmen der VS
auch aus Dachboxen 
keine
Wohnwagen oder Wohnmobile</t>
  </si>
  <si>
    <t>im Rahmen der VS
keine Anhänger,
Wohnwagen oder Wohnmobile</t>
  </si>
  <si>
    <t>BB Excellent Nr.12.1</t>
  </si>
  <si>
    <t>BB Excellent Nr.19</t>
  </si>
  <si>
    <t>BB Excellent Nr.23</t>
  </si>
  <si>
    <t>BB Excellent Nr.14</t>
  </si>
  <si>
    <t>BB Excellent Nr.16</t>
  </si>
  <si>
    <t>3% der VS
festverankerte Skulpturen</t>
  </si>
  <si>
    <t>BB Excellent Nr.18</t>
  </si>
  <si>
    <t>ja
(keine Wertsachen; 
elektr. Kleingeräte zum Zeitwert)</t>
  </si>
  <si>
    <t>BB Excellent Nr.24</t>
  </si>
  <si>
    <t>10.000 €
innerhalb des VO</t>
  </si>
  <si>
    <t>BB Excellent Nr.31</t>
  </si>
  <si>
    <t>A § 9 Nr. 2c) + BB Excellent Nr. 87</t>
  </si>
  <si>
    <t>A § 9 Nr. 3 a) bb) + Rechner
+ BB Excellent Nr. 80</t>
  </si>
  <si>
    <t>BB Exclellent Nr 92 + LÜ</t>
  </si>
  <si>
    <t>BB Exclellent Nr 93</t>
  </si>
  <si>
    <t>VR und Tarif muss in Deutschland zum Betrieb zugelassen sein
und muss als für jedermann zugänglich sein.</t>
  </si>
  <si>
    <t>BB Exclellent Nr 72 + 95</t>
  </si>
  <si>
    <t>Erweiterte Vorsorge gegenüber Wettbewerbsbedingungen | Best-Leistungs-Garantie (im Rahmen der VS)</t>
  </si>
  <si>
    <t>nur Sturm
Im Rahmen der VS
100 € SB</t>
  </si>
  <si>
    <t>nur Festnetz</t>
  </si>
  <si>
    <t>BB Excellent Nr.27</t>
  </si>
  <si>
    <t>BB Excellent Nr.29</t>
  </si>
  <si>
    <t>BB Excellent Nr.32</t>
  </si>
  <si>
    <t>3.500 €</t>
  </si>
  <si>
    <t>inklusive
• Entfernung von Nestern(Wespen)
nur inerhalb der Wohnung 
150 €</t>
  </si>
  <si>
    <t>BB Excellent Nr. 67</t>
  </si>
  <si>
    <t>A § 13 Nr. 2 a) 
+ BB Excellent Nr. 70.1</t>
  </si>
  <si>
    <t>A § 13 Nr. 2 a) 
+ BB Excellent Nr. 70</t>
  </si>
  <si>
    <t>Bargeld         -      3.500 €
Urkunden    -    25.000 €
Schmuck     -   50.000 €
(Schmuck/Uhren mit &gt; 1.000 € Einzelwert nur mit Nachweis)</t>
  </si>
  <si>
    <t>BB Excellent Nr. 71</t>
  </si>
  <si>
    <t>A § 11 Nr. 1 + 2 + BB Excellent Nr. 81</t>
  </si>
  <si>
    <t>BB Excellent Nr. 44</t>
  </si>
  <si>
    <t>BB Exclusiv Nr. 77</t>
  </si>
  <si>
    <t>anzeigepflichtig
25% der VS, max 1  Jahr
Keine WG</t>
  </si>
  <si>
    <t>BB Excellent Nr. 88</t>
  </si>
  <si>
    <t>*vermietete Einliegerwohnung des selbstbewohnten EFH
* "Pendler-Wohnung"
20% der VS, max 20.000 €
(Wertschachen 2.500 €)
* eingelagerter Hausrat 
max 12 Monate
(keine Wertsachen)</t>
  </si>
  <si>
    <t>BB Excellent Nr. 45 + 48 + 84</t>
  </si>
  <si>
    <t>A § 7 Nr. 1  + 6 + BB Excellent Nr. 43</t>
  </si>
  <si>
    <t>BB Excellent Nr. 47</t>
  </si>
  <si>
    <t>A § 6 Nr. 3 + BB Excellent Nr. 46</t>
  </si>
  <si>
    <t>ja
Garagen, auch in der angrenzenden Gemeinde  
(keine Wertsachen)</t>
  </si>
  <si>
    <t>A § 6 Nr. 2 c) dd) 
+ BB Excellent Nr. 89</t>
  </si>
  <si>
    <t>A § 6 Nr. 2 c) hh) 
+ BB Excellent Nr.79</t>
  </si>
  <si>
    <t>A § 6 Nr. 2 c) cc) + § 5 Nr. 4 b) bb)
+ BB Excellent Nr. 85</t>
  </si>
  <si>
    <t>inklusive
(gegen Zuschlag 
höhre Sublimits u. geingere SB)</t>
  </si>
  <si>
    <t>auch infolge Einschleichens</t>
  </si>
  <si>
    <t>A § 3 Nr. 3 + BB Excellent Nr. 28</t>
  </si>
  <si>
    <t>ja, auch das Herbeischaffen</t>
  </si>
  <si>
    <t>A § 3 Nr. 4 a) bb) + § 7 Nr. 4
+ BB Excellent Nr. 30</t>
  </si>
  <si>
    <t xml:space="preserve">nur im Seniorenschutz (60J)
1% der VS max. 1.500 € (SB 250€)
(auch Diebstahl v. Seh- u. Hörhilfen sowie Zähne/Gebisse) </t>
  </si>
  <si>
    <t>BB Excellent Nr.20</t>
  </si>
  <si>
    <t xml:space="preserve">ja
(sowie Graffiti auch ohne ED oder Raub bis 1% der VS) </t>
  </si>
  <si>
    <t>A § 3 Nr. 3 + BB Excellent Nr. 34</t>
  </si>
  <si>
    <t>* einfacher Diebstahl von
Waschmaschienen und Trockner aus Gemeinschaftsräumen
* einfacher Diebstahl von
Kleinvieh-, Futter- u. Streuvorräten
1% der VS
* nicht montierte Kfz-Zubehör 
(Reifen inkl. Feklgen, Dachboxen u. Kindersitze) gegen F und ED am Versicherungsort
2% der VS 
* Beschädigung von Fahrrädern
als Reisegepäck bei Aufgabe im öff. Nahverkehr bis 500 €
* Mietkosten 
für Waschmaschine &amp; Co.
* Kinderbetreuung 250 €
bei Schäden &gt; 2.500 €
* Psychologische Betreuung nach ED, Raub oder Brand 
500 €
* Verzicht auf 3-Monatsfrist bei Kündigung durch VN
* 25% Nachlass bei Seniorenheim
Mindestprämie 29 € net.p.a.
3 Jahre Vertragsbestand zuvor
* Beitragsbefreiung bei Arbeistlosigkeit 
typischen Vorrausetzungen</t>
  </si>
  <si>
    <t>BB Exklusiv Nr. 15
BB Exklusiv Nr. 17
BB Exklusiv Nr. 13
BB Exklusiv Nr. 68
BB Exklusiv Nr. 46
BB Exklusiv Nr. 58
BB Exklusiv Nr. 59
BB Exklusiv Nr. 83
BB Exklusiv Nr. 80
BB Exklusiv Nr. 79</t>
  </si>
  <si>
    <t>Konditiondifferenzdeckung (Sofoertschutz)</t>
  </si>
  <si>
    <t>GDV - Stand 2014-01
AKBP - Stand XXXXX</t>
  </si>
  <si>
    <t>Wartezeit 1  Monat 
SB 10 % mind. 250 €  / max. 1.500 €</t>
  </si>
  <si>
    <t>BWE 2014 § 12</t>
  </si>
  <si>
    <t>BWE 2014 § 10 c) + § 5</t>
  </si>
  <si>
    <t>BWE 2014 § 11 a) aa)</t>
  </si>
  <si>
    <t>1% der VS (100 € SB) subsidär
auf Fernreisen außerhalb Europas
keine Wertsachen, Mobiltelefone, elektr. Geräte, Organizer, Computer,
u. Inhalt v. Hand-o.Tragetaschen
gegen Zuschlag 
erweiterbar
2.000 € o 4.000€
4 Wochen weltweit</t>
  </si>
  <si>
    <t>2% der VS (100 € SB) subsidär
auf Fernreisen außerhalb Europas
keine Wertsachen, Mobiltelefone, elektr. Geräte, Organizer, Computer,
u. Inhalt v. Hand-o.Tragetaschen
gegen Zuschlag 
erweiterbar
2.000 € o 4.000€
4 Wochen weltweit</t>
  </si>
  <si>
    <t>3% der VS (100 € SB) subsidär
auf Fernreisen außerhalb Europas
keine Wertsachen, Mobiltelefone, elektr. Geräte, Organizer, Computer,
u. Inhalt v. Hand-o.Tragetaschen
gegen Zuschlag 
erweiterbar
2.000 € o 4.000€
4 Wochen weltweit</t>
  </si>
  <si>
    <t>BB Excellent Nr.21
+ BRV 2016</t>
  </si>
  <si>
    <t>BB Exclusiv Nr. 20 
+ BRV 2016</t>
  </si>
  <si>
    <t>BB Comfort Nr. 20 
+ BRV 2016</t>
  </si>
  <si>
    <t>gegen Zuschlag 
nach AGIB 2016
• inkl. Glaskeramikkockflächen</t>
  </si>
  <si>
    <t>AGIB 2016</t>
  </si>
  <si>
    <t>BÜS 2014 +  BWE 2014 + Tarif</t>
  </si>
  <si>
    <t>aktuell
(geprüft am 31.07.2019)</t>
  </si>
  <si>
    <t>BB Comfort Nr. 33.1+3 
BÜS 2014 +  BWE 2014 + Tarif</t>
  </si>
  <si>
    <t>BBExklusiv Nr. 33.1+3 
BÜS 2014 +  BWE 2014 + Tarif</t>
  </si>
  <si>
    <t>BB Excellent Nr. 37.1+3  + 41
BÜS 2014 +  BWE 2014 + Tarif</t>
  </si>
  <si>
    <t>INKLUSIVE bis 40.000€
gegen Zuschlag erhöhbar</t>
  </si>
  <si>
    <t>versichert gegen Zuschlag
Überschwemmung, Rückstau, Erdbeben,Erdfall, Erdsenkung, Erdrutsch, Schneedruck, Lawinen, Vulkanausbruch</t>
  </si>
  <si>
    <t>wahlweise komplett 
oder nur Starkregen</t>
  </si>
  <si>
    <t>VHV Klassik Garant
(Stand 2015-04)</t>
  </si>
  <si>
    <t>VHV Klassik Garant Exkl.
(Stand 2015-04)</t>
  </si>
  <si>
    <t>A 3.2 + 3.3</t>
  </si>
  <si>
    <t>A 3.4 + K 8 Nr. 1 a) +2</t>
  </si>
  <si>
    <t>A 3.4 + K 8 Nr. 1 a) +3</t>
  </si>
  <si>
    <t xml:space="preserve">A 3.3 + K 1 </t>
  </si>
  <si>
    <t>K 7</t>
  </si>
  <si>
    <t>keine Schäden durch Stromeinwirkung an elektr. Einrichtungen/-Geräten</t>
  </si>
  <si>
    <t>K 6</t>
  </si>
  <si>
    <t>K 5</t>
  </si>
  <si>
    <t>ja
(auch durch Diebstahl erlagenten)</t>
  </si>
  <si>
    <t>A 5.2.5</t>
  </si>
  <si>
    <t>A 5.2</t>
  </si>
  <si>
    <t>LW gleichgestellt Wasserdampf
und Betriebsflüssigkeiten aus Heiz- und Klimaanlagen (nicht z.B Heizöl)</t>
  </si>
  <si>
    <t>A 5.3.1.1</t>
  </si>
  <si>
    <t>A 5.3.1.2</t>
  </si>
  <si>
    <t>A 5.3.1.3</t>
  </si>
  <si>
    <t>A .5.3.2.2</t>
  </si>
  <si>
    <t>A 5.4.1</t>
  </si>
  <si>
    <t>K 19</t>
  </si>
  <si>
    <t>A 5.3.2.1 + K 20</t>
  </si>
  <si>
    <t>A 4.2 + K 17</t>
  </si>
  <si>
    <t>K 10</t>
  </si>
  <si>
    <t xml:space="preserve">
• Wertsachen
• für elektron.. Geräte 
• Fotoapparate
einschließlich des Zubehörs</t>
  </si>
  <si>
    <t>K 10 Nr. 5</t>
  </si>
  <si>
    <t>K 10 Nr. 1</t>
  </si>
  <si>
    <t>ja
Einstellklausel</t>
  </si>
  <si>
    <t>K 11</t>
  </si>
  <si>
    <t>ja
Wertsachen bis 600 €
nur unter Verschluß</t>
  </si>
  <si>
    <t>K 12</t>
  </si>
  <si>
    <t>K 13</t>
  </si>
  <si>
    <t xml:space="preserve">K 14 </t>
  </si>
  <si>
    <t>innerhalb des VO
(Wertsachen bis 1.000 €)</t>
  </si>
  <si>
    <t>250 €
in der Wohnung</t>
  </si>
  <si>
    <t>K 34</t>
  </si>
  <si>
    <t>A 8.1</t>
  </si>
  <si>
    <t>A 8.3.1</t>
  </si>
  <si>
    <t>A 8.3.2</t>
  </si>
  <si>
    <t>A 18.3.2.1 + 18.3.2.2 + 18.3.2.3</t>
  </si>
  <si>
    <t>Bargeld        -      3.000 €
Urkunden    -    15.000 €
Schmuck     -  25.000 €</t>
  </si>
  <si>
    <t xml:space="preserve">A 18.3.1 + K 38 </t>
  </si>
  <si>
    <t>A 8.3.4</t>
  </si>
  <si>
    <t>A 8.3.5</t>
  </si>
  <si>
    <t>A 8.3.6</t>
  </si>
  <si>
    <t>A 8.3.3.8</t>
  </si>
  <si>
    <t>sowie ferngel. Flugmodelle</t>
  </si>
  <si>
    <t>A 8.4 + 9.1.5</t>
  </si>
  <si>
    <t>ja
(Pedelecs und E-Bikes  im Rahmen von Fahrradklausel ohne Verspfl.)</t>
  </si>
  <si>
    <t>A 8.1 + A 9.1.3 + Fahrradklausel</t>
  </si>
  <si>
    <t>E 6</t>
  </si>
  <si>
    <t>vereinbarte Versicherungssumme
(max 110%)</t>
  </si>
  <si>
    <t>vereinbarte Versicherungssumme
(max 210% bzw. 230%)</t>
  </si>
  <si>
    <t>vereinbarte Versicherungssumme
(max 220%)</t>
  </si>
  <si>
    <t>vereinbarte Versicherungssumme
(max 210%)</t>
  </si>
  <si>
    <t>15% des VS</t>
  </si>
  <si>
    <t>A 14.2 .2 + K43</t>
  </si>
  <si>
    <t>vereinbarte Versicherungssumme
(max 125%)</t>
  </si>
  <si>
    <t>LÜ + VIB S.6</t>
  </si>
  <si>
    <t>GDV - Stand VHB 216
AKBP - Stand 2018-08-08</t>
  </si>
  <si>
    <t>BBH Präambel VIB S 44</t>
  </si>
  <si>
    <t>A 9.1.3 + 9.1.4</t>
  </si>
  <si>
    <t xml:space="preserve">25 % der VS
max. 6 Monate
weltweit </t>
  </si>
  <si>
    <t>K 28 + A 12.1.2 + 12.1</t>
  </si>
  <si>
    <t>im Rahmen der VS (subsidär)
vermietete Einliegerwohnung des selbstbewohnten EFH</t>
  </si>
  <si>
    <t>K 27</t>
  </si>
  <si>
    <t>Im Rahmen der VS
(Wertsachen/Bargeld/
Handys, Computer u. Kameras
bis 1.000 €)</t>
  </si>
  <si>
    <t>K 15</t>
  </si>
  <si>
    <t>A12.2.1</t>
  </si>
  <si>
    <t>bis 30.000 €, bis max. 3 Monate 
nach Ablauf des Versicherungsjahres</t>
  </si>
  <si>
    <t>E 19</t>
  </si>
  <si>
    <t>E 10</t>
  </si>
  <si>
    <t>bis 2.500 € 
weltweit</t>
  </si>
  <si>
    <t>A 12.4</t>
  </si>
  <si>
    <t>ja, sowie
das Herbeischaffen</t>
  </si>
  <si>
    <t>A 12.4 + K 18</t>
  </si>
  <si>
    <t>VIB S.73 
(VHB 1992-Fassung 2008)</t>
  </si>
  <si>
    <t>VIB S.63</t>
  </si>
  <si>
    <t>250 €
durch Unfall mit ÖV (Bus, Bahn, Taxi, Schiff, Seilbahn, Skilift) bzw. eigenem PKW der Mietwagen</t>
  </si>
  <si>
    <t>K3</t>
  </si>
  <si>
    <t>ja
(subsidär Staatshaftung)</t>
  </si>
  <si>
    <t>K 2</t>
  </si>
  <si>
    <t>A 3.6 + K 4</t>
  </si>
  <si>
    <t>5% der VS
auch gegen Feuer</t>
  </si>
  <si>
    <t>5% der VS
(soweie Gartenroboter)
auch gegen Feuer</t>
  </si>
  <si>
    <t>5% der VS
Grills, fest verankerte Skulpturen
auch gegen Feuer</t>
  </si>
  <si>
    <t>5% der VS
Kinderspiel- u. -Sportgeäten
auch gegen Feuer</t>
  </si>
  <si>
    <t>K 13 + 9</t>
  </si>
  <si>
    <t>ja
(auch St/H bis 1.000€)</t>
  </si>
  <si>
    <t>A 10.2 + K 21</t>
  </si>
  <si>
    <t>A 8.3.3 + K 23</t>
  </si>
  <si>
    <t>K 26</t>
  </si>
  <si>
    <t>ja
auch Garagen am Wohnort des VN</t>
  </si>
  <si>
    <t>A 10.1  + 10.3 + 10.4 + K 25</t>
  </si>
  <si>
    <t>A 8.3.3.7 + K 22</t>
  </si>
  <si>
    <t xml:space="preserve"> ja, sowie 2.000 €
Arbeitsgeräte am Arbeitsplatz</t>
  </si>
  <si>
    <t>A 10.1 + K 24</t>
  </si>
  <si>
    <t>ja (häusliches Arbeitszimmer)
bis 10.000 €, wenn Räume nicht ausschließlich über versicherte Wohnung betretbar sind</t>
  </si>
  <si>
    <t>K 29</t>
  </si>
  <si>
    <t>1.000 € (auch Gasverlust)
Wasser nur LW-Schaden</t>
  </si>
  <si>
    <t>bis 200 Tage
 2‰ der VS € pro Tag</t>
  </si>
  <si>
    <t>A 13.2.3 + K 31</t>
  </si>
  <si>
    <t>A 13.2.4 + K 30</t>
  </si>
  <si>
    <t>K 32</t>
  </si>
  <si>
    <t>K 33</t>
  </si>
  <si>
    <t>K 36</t>
  </si>
  <si>
    <t>A 19.6 + K 35</t>
  </si>
  <si>
    <t>technische Wiederherstellung – und nicht der Wiederbeschaffung</t>
  </si>
  <si>
    <t>K 37</t>
  </si>
  <si>
    <t>A 23.1 + K 39</t>
  </si>
  <si>
    <t>A 23.1 .3 + K 40</t>
  </si>
  <si>
    <t xml:space="preserve">*einfacher Diebstahl von
Waschmaschienen und Trockner aus Gemeinschaftsräumen
* Rauchmelderpflicht
Verzicht auf Obliegenheitsverletzung
* Zuständigkeit bei VR-Wechsel
Schadenübernahme 
 mind. nach Vorvertrag
* Beitragsfreistellung bei !!!Arbeitslosigkeit!!! </t>
  </si>
  <si>
    <t>K 16
K 42 + B 3.3.1.2
K 44 
K 46</t>
  </si>
  <si>
    <t>E 1  + K 10</t>
  </si>
  <si>
    <t xml:space="preserve"> 
• Wertsachen (24h)
gilt nur in der Nachtzeit (22-6)
• für elektron.. Geräte
• Fotoapparate
einschließlich des Zubehörs</t>
  </si>
  <si>
    <t>2% VS mind. 1.000 €
auch aus Dachboxen
(Nachtzeitklausel max 600 €) 
Keine Anhänger</t>
  </si>
  <si>
    <t>3% VS mind. 1.000 €
auch aus Dachboxen
(Nachtzeitklausel max. 600 €) 
keine Anhänger</t>
  </si>
  <si>
    <t>E 2</t>
  </si>
  <si>
    <t>mit teilweiser Nachtzeitklausel
innerhalb Deutschland, Benelux,
Lichtenstein,Österreich, Schweiz</t>
  </si>
  <si>
    <t>2% VS mind. 1.000 €
aus Innenraum (weltweit)
(kein Fremdeseigentum)</t>
  </si>
  <si>
    <t>1.000 €
250 € SB</t>
  </si>
  <si>
    <t>E 3</t>
  </si>
  <si>
    <t>A 10.2 + K 21 + E 4</t>
  </si>
  <si>
    <t>1.000 €
auf Balkonen, Loggien u.
angeschl. Terassen</t>
  </si>
  <si>
    <t>3.500 € 
(1.000 € auf Balkonen, Loggien u.
angeschl. Terassen)</t>
  </si>
  <si>
    <t xml:space="preserve"> 10.000 €  
Arbeitsger. am Arbeitsplatz 2.000€</t>
  </si>
  <si>
    <t xml:space="preserve">im Rahmen der VS (subsidär)
vermietete Einliegerwohnung des selbstbewohnten EFH
* 15.000 € / 2.500 € Wertsachen
in berufsbedingter Zweitwohnung </t>
  </si>
  <si>
    <t>K 27 + E 11</t>
  </si>
  <si>
    <t>*einfacher Diebstahl von
Waschmaschienen und Trockner aus Gemeinschaftsräumen
* Rauchmelderpflicht
Verzicht auf Obliegenheitsverletzung
* Zuständigkeit bei VR-Wechsel
Schadenübernahme 
 mind. nach Vorvertrag
* Beitragsfreistellung bei !!!Arbeitslosigkeit!!! 
* Zubehör von Kfz, feste Aufzählung bis 500 € (subsidär)</t>
  </si>
  <si>
    <t>K 16
K 42 + B 3.3.1.2
K 44 
K 46
E 7</t>
  </si>
  <si>
    <t xml:space="preserve">51 % der VS
max. 6 Monate
weltweit </t>
  </si>
  <si>
    <t xml:space="preserve">E 8 + K 28 + A 12.1.2 + 12.1 </t>
  </si>
  <si>
    <t>bis 200 Tage
 4‰ der VS € pro Tag</t>
  </si>
  <si>
    <t>A 13.2.4 + K 30 + E 13</t>
  </si>
  <si>
    <t>10% der Leistung
max 500 €</t>
  </si>
  <si>
    <t>A 18.3.1 + K 38  + E 40</t>
  </si>
  <si>
    <t>A 21 + 23 + B 3.2 +3.3 
+ K 41 Nr. 1  + E17</t>
  </si>
  <si>
    <t xml:space="preserve">A 21 + 23 + B 3.2 +3.3 
+ K 41 Nr. 1 </t>
  </si>
  <si>
    <t>A 21 + 23 + B 3.2 +3.3 
+ K 41 Nr. 2</t>
  </si>
  <si>
    <t>30% des VS</t>
  </si>
  <si>
    <t>A 14.2 + A 17.3 + K 43</t>
  </si>
  <si>
    <t>A 14.2 + A 17.3 + K 43 + E 18</t>
  </si>
  <si>
    <t>A 14.2 .2 + K43 + E 18</t>
  </si>
  <si>
    <t xml:space="preserve">L 1 </t>
  </si>
  <si>
    <t>ja (häusliches Arbeitszimmer)
 auch , wenn Räume nicht ausschließlich über versicherte Wohnung betretbar sind</t>
  </si>
  <si>
    <t>A 10.1 + K 24 + E 5</t>
  </si>
  <si>
    <t>im Rahmen der Ausbildung</t>
  </si>
  <si>
    <t>K 26 + E 12</t>
  </si>
  <si>
    <t>A 16.1 + 16.2</t>
  </si>
  <si>
    <t>A 16.6 + 16.7</t>
  </si>
  <si>
    <t>A 13.1.2 + 13.2.2</t>
  </si>
  <si>
    <t>A 13.1.1 + 13.2.1</t>
  </si>
  <si>
    <t>A 13.1.5 + 13.2.5</t>
  </si>
  <si>
    <t>A 13.1.6 + 13.2.6</t>
  </si>
  <si>
    <t>A 13.1.7 + 13.2.7</t>
  </si>
  <si>
    <t>A 13.1.8 + 13.2.8</t>
  </si>
  <si>
    <t>E 14</t>
  </si>
  <si>
    <t xml:space="preserve">A 16.4 </t>
  </si>
  <si>
    <t>ab VS 200.000 €
sowie bes. Hinweis auf die 
Sicherungsrichtlinien bei Abwesenheit</t>
  </si>
  <si>
    <t>Tarif + K 45</t>
  </si>
  <si>
    <t>unbenannte Gefahren (nicht versicherte Sachen)</t>
  </si>
  <si>
    <t>unbenannte Gefahren (Ausschlüsse)</t>
  </si>
  <si>
    <t>a) Mängel, die bereits bei Vertragsabschluss vorhanden waren und Ihnen bekannt sein mussten,
b) fehlerhafte Konstruktion, Planung oder Instandhaltung versicherter Sachen,
c) durch die natürliche oder mangelhafte Beschaffenheit versicherter Sachen,
d) an oder durch Pflanzen oder Tiere,
e) durch Baumaßnahmen (auch Renovierung oder Restaurierung) auf dem Versicherungsgrundstück,
f ) an Gebäuden oder Gebäudeteilen, die nicht bezugsfertig sind und an den darin befindlichen Sachen.
Keine Leistung erbringen wir für Schäden an Sachen
a) ohne äußere Einwirkung oder durch Abnutzung oder
Verschleiß,
b) durch Bedienung, Bearbeitung, Gebrauch, Reinigung,
Reparatur oder Wartung,
c) durch bestimmungswidrigen Gebrauch oder übermäßige
Beanspruchung,
d) durch die allmähliche Einwirkung von Chemikalien,
Feuchtigkeit, Staub, Strahlen oder Temperaturen,</t>
  </si>
  <si>
    <t>gegen Zuschlag
"Klausel 7280"</t>
  </si>
  <si>
    <t>gegen Zuschlag
250.000 € 
10 % mind. 1000 €</t>
  </si>
  <si>
    <t xml:space="preserve">a)   Schäden  die  nach  den  zugrundeliegenden  VHB    . versicherbar sind oder dort ausgeschlossen sind. Nicht versichert sind insbesondere Schäden durch  Krieg,  kriegsähnliche  Ereignisse,  Bürger-krieg, Revolution, Rebellion, Aufstand sowie Schä-den durch Kernenergie, nukleare Strahlung oder radioaktive  Substanzen  gemäß  Abschnitt A  ;   Nr.  ; 
b)  Vermögensschäden (z.B. Verdienstausfall); 
c)  Schäden durch natürliche oder mangelhafte Beschaffenheit,  fehlerhafte  Planung,  Konstruktion oder Instandhaltung; 
d)  allmählich  eintretende  Schäden  (gilt  nicht  bei Schäden durch Leitungswasser); 
e)  Schäden durch Kontamination, Vergiftung, Verseuchung mit Krankheitserregern (zum  Beispiel Bakterien, Viren)
f) Schäden durch Witterungseinflüsse an im Freien befindlichen versicherten Sachen; g)  Schäden durch Grundwasser, Schwamm, Schimmel oder Geruchsbildung;  
h)  Schäden durch Tiere oder Schädlinge; 
i)  Schäden durch Beschlagnahme;  j)  Schäden durch Reparaturen, Restaurierung, Bearbeitung, Reinigung;  
k)  Schäden  durch  Verschleiß,  Abnutzung  oder  bestimmungswidrigen Gebrauch; 
l)  Schäden durch Feuchtigkeit, extreme Temperatur; 
m)  Schäden durch Strom- oder Energieausfall; 
n)  Schäden an Tieren; 
o)  Schäden an Maschinen, technischen Einrichtungen  oder  sonstigen  Gegenständen  gewerblicher Tätigkeit; 
p)  Schäden an Brillen, Kontaktlinsen, Statuen, Porzellan, Keramik, Glaswaren oder anderen leicht zerbrechlichen Gegenständen;  
q)  Schäden an elektronischen Geräten; 
r)  Schäden  an  Fahrzeuge,  Wasserfahrzeuge  sowie Luftahrzeuge gemäß Abschnitt A ; 5 Nr.  c) ee) bis gg); 
s)  Schäden an Daten und Programme (siehe auch Abschnitt A ; 5 Nr.   VHB    .); 
t)  Schäden  durch  Überschwemmungen,  Rückstau, Erdbeben,  Erdsenkung,  Erdrutsch,  Schneedruck, Lawinen sowie Vulkanausbruch (siehe auch unter a)). </t>
  </si>
  <si>
    <t xml:space="preserve">a)   Schäden  die  nach  den  zugrundeliegenden  VHB    . versicherbar sind oder dort ausgeschlossen sind. Nicht versichert sind insbesondere Schäden durch  Krieg,  kriegsähnliche  Ereignisse,  Bürger-krieg, Revolution, Rebellion, Aufstand sowie Schä-den durch Kernenergie, nukleare Strahlung oder radioaktive  Substanzen  gemäß  Abschnitt A  ;   Nr.  ; 
b)  Vermögensschäden (z.B. Verdienstausfall); 
c)  Schäden durch natürliche oder mangelhafte Beschaffenheit,  fehlerhafte  Planung,  Konstruktion oder Instandhaltung; 
d)  allmählich  eintretende  Schäden  (gilt  nicht  bei Schäden durch Leitungswasser); 
e)  Schäden durch Kontamination, Vergiftung, Verseuchung mit Krankheitserregern (zum  Beispiel Bakterien, Viren)
f) Schäden durch Witterungseinflüsse an im Freien befindlichen versicherten Sachen; g)  Schäden durch Grundwasser, Schwamm, Schimmel oder Geruchsbildung;  
h)  Schäden durch Tiere oder Schädlinge; 
i)  Schäden durch Beschlagnahme;  j)  Schäden durch Reparaturen, Restaurierung, Bearbeitung, Reinigung;  
k)  Schäden  durch  Verschleiß,  Abnutzung  oder  bestimmungswidrigen Gebrauch; 
l)  Schäden durch Feuchtigkeit, extreme Temperatur; 
m)  Schäden durch Strom- oder Energieausfall; 
t)  Schäden  durch  Überschwemmungen,  Rückstau, Erdbeben,  Erdsenkung,  Erdrutsch,  Schneedruck, Lawinen sowie Vulkanausbruch (siehe auch unter a)). </t>
  </si>
  <si>
    <t xml:space="preserve">n)  Schäden an Tieren; 
o)  Schäden an Maschinen, technischen Einrichtungen  oder  sonstigen  Gegenständen  gewerblicher Tätigkeit; 
p)  Schäden an Brillen, Kontaktlinsen, Statuen, Porzellan, Keramik, Glaswaren oder anderen leicht zerbrechlichen Gegenständen;  
q)  Schäden an elektronischen Geräten; 
r)  Schäden  an  Fahrzeuge,  Wasserfahrzeuge  sowie Luftahrzeuge gemäß Abschnitt A ; 5 Nr.  c) ee) bis gg); 
s)  Schäden an Daten und Programme (siehe auch Abschnitt A ; 5 Nr.   VHB    .); 
</t>
  </si>
  <si>
    <t>5.000 € (250 € SB)
über "Kunst &amp; Mobilien Schutz"
erhöhbar auf 100% der VS</t>
  </si>
  <si>
    <t>gegen Zuschlag
Baustein "BEST-Leistung"
250 € SB</t>
  </si>
  <si>
    <t>a) die nach den zugrunde liegenden VHB 2018 versichert oder versicherbar sind, einschließlich den dort benannten Ausschlüssen;
b) an und durch Haustiere; Folgeschäden sind jedoch versichert;
c) durch Abnutzung, Verschleiß, Alterung, Rost, Schimmel, Fäulnis, Insekten, Schädlinge oder durch die natürliche oder mangelhafte Beschaffenheit versicherter Sachen;
d) durch Mängel, die bei Abschluss der Versicherung bereits vorhanden waren und dem VN oder
dessen Repr. bekannt waren oder bekannt sein mussten;
e) durch fehlerhafte Konstruktion, Planung oder Instandhaltung versicherter Sachen;
f) durch Baumaßnahmen (auch Renovierung oder Restaurierung) auf dem Versicherungsgrundstück;
g) durch Bedienungsfehler, Bearbeitung, Gebrauch, Reinigung, Reparatur oder Wartung, bestimmungswidrigen Gebrauch
oder übermäßige Beanspruchung;
h) durch die allmähliche Einwirkung (Beispiel: von Chemikalien, Feuchtigkeit, Staub, Strahlen oder Temperaturen);
i) die nicht die Gebrauchs- oder Funktionsfähigkeit der versicherten Sache beeinträchtigen (Beispiel: Kratzer, Schrammen, Lack- oder ähnliche Schönheitsschäden);
j) Durch einfachen Diebstahl, Verlieren, Stehen- oder Liegenlassen, Unterschlagung oder Veruntreuung versicherter Sachen;</t>
  </si>
  <si>
    <t>b) an und durch Haustiere; Folgeschäden sind jedoch versichert;
a) Sachen aus Glas, Keramik, Porzellan sowie Brillen und Kontaktlinsen;
b) mobile elektronische Geräte (Beispiel: Mobiltelefone, Tablets, Spielkonsolen oder Laptops);
c) Sportgeräte, Fahrräder und Fahrradanhänger außerhalb des Versicherungsortes</t>
  </si>
  <si>
    <t>L 2 Nr. 3</t>
  </si>
  <si>
    <t>L 2 Nr. 2</t>
  </si>
  <si>
    <t>L 2 Nr. 1 + 4</t>
  </si>
  <si>
    <t>A 6.5.2.</t>
  </si>
  <si>
    <t>L 3</t>
  </si>
  <si>
    <t xml:space="preserve">ja
Elementar II inkl. Ausuferung </t>
  </si>
  <si>
    <t>A 6.5.1  + 6.5.3 + 6.5.5</t>
  </si>
  <si>
    <t>A 6.4.9 + Klauselbogen</t>
  </si>
  <si>
    <t>gegen Zuschlag
erweiterte Kosten bis 250 €</t>
  </si>
  <si>
    <t>BBGl 2018</t>
  </si>
  <si>
    <t>gegen Zuschlag
Baustein "Mobilität/Reisegpäck"
max 10% der VS  max 5.000 €
bei Reisen länger 4 Tage 
doppelte VS</t>
  </si>
  <si>
    <t>VHV Kl. Garant</t>
  </si>
  <si>
    <t>VHV Kl. Garant Exkl.</t>
  </si>
  <si>
    <t>VHV Kl. Garant Exkl.BEST</t>
  </si>
  <si>
    <t>inkl.
Erhöhung Sublimits u. geingere SB</t>
  </si>
  <si>
    <t xml:space="preserve">5.000 € 
(inkl. Interneteinkauf 1.00€ ) </t>
  </si>
  <si>
    <t>nicht versicherte Sachen 
bei Diebstählen aus verschlossenen Fahrzeugen</t>
  </si>
  <si>
    <t>1% der VS inklusive
1 - 100% der VS ,max.5.000 €
auch Fahrradanhänger, Pedelecs, E-Bikes und Zubehör</t>
  </si>
  <si>
    <t>1 - 100% der VS  max.5.000 €
auch Fahrradanhänger, Pedelecs, E-Bikes und Zubehör</t>
  </si>
  <si>
    <t>1 - 100% der VS  max.5.000 €
auch Fahrradanhänger, Pedelecs, E-Bikes und Zubehör
(Einstellklausel)</t>
  </si>
  <si>
    <t>8.2.1 Gefahren und Schäden, die nach den VHB 2019 oder über weitere Klauseleinschlüsse dem
Grunde nach versicherbar oder dort ausgeschlossen sind. Dies bedeutet auch, dass etwaige Entschädigungsgrenzen und SB der vorgenannten Bedingungen und Klauseln nicht über diese Regelung ausgeweitet werden können.
Dies sind insbesondere:
A 8.2.1.1 Feuer (A 3),
A 8.2.1.2 Einbruchdiebstahl, Vandalismus nach Eindringen sowie Raub oder den Versuch einer solchen
Tat, Diebstahl (A 4),
A 8.2.1.3 Leitungswasser (A 5),
A 8.2.1.4 Naturgefahren (A 6),
a) Sturm, Hagel
b) weitere Elementargefahren (Überschwemmung, Rückstau, Erdbeben, Erdsenkung, Erdrutsch,
Schneedruck, Lawinen, Vulkanausbruch)
A 8.2.1.5 Glasbruch (A 7),
A 8.2.1.6 Baustein Fahrraddiebstahl (Klausel 7110),
A 8.2.1.7 Baustein E-Bike Schutz (Klausel 7130),
A 8.2.1.8 Baustein Elektronik Schutz (Klausel 7141),
A 8.2.1.9 Baustein Internet Schutz (Klausel 7142),
A 8.2.2 Schäden, die der VN oder sein Repr. vorsätzlich (siehe B 4.12.1)
herbeiführt,
A 8.2.3 Schäden durch Kriegsereignisse jeder Art (siehe A 2.1),
A 8.2.4 Schäden durch Kernenergie, nukleare Strahlung oder radioaktive Substanzen (siehe A 2.3),
A 8.2.5 Schäden durch Sturmflut oder durch Grundwasser,
A 8.2.6 Schäden durch Beschlagnahme, Entziehung oder sonstige hoheitliche Maßnahmen,
A 8.2.7 Schäden durch Mängel, die bei Abschluss der Versicherung bereits vorhanden waren und dem
Versicherungsnehmer oder seinem Repräsentanten bekannt sein mussten,
A 8.2.8 Schäden durch die natürliche oder mangelhafte Beschaffenheit der versicherten Sachen, Abnutzung,
Verschleiß und Selbstverderb, Material-, Konstruktions- oder Herstellungsmängel (Funktionsstörungen),
Verfall, Schimmel, Rost und Korrosion,
A 8.2.9 Schäden durch Bedienungs- und Programmierungsfehler an allen digitalen, elektrischen und
elektronischen Geräten sowie deren Zubehör,
A 8.2.10 Schäden durch Tiere, Schädlinge und Ungeziefer aller Art sowie Mikroorganismen, z.B. Pilze,
Bakterien, Schwamm, Zecken etc.,
A 8.2.11 Schäden durch Be- und Verarbeitung, Wartung, bestimmungswidrigen Gebrauch, Reinigung,
Reparatur und Restaurierung,
A 8.2.12 Schäden durch Verlieren, Stehen-, Hängen- oder Liegenlassen,
A 8.2.13 Schäden durch Diebstahl, sofern die Sache nicht in persönlichem Gewahrsam sicher verwahrt
mitgeführt wurde (Tragerisiko),</t>
  </si>
  <si>
    <t>* leicht zerbrechlichen Gegenständen einschl. Brillen, Statuen, Porzellan, Glaswaren und ähnlichen,
* mobilen elektron. Geräten, wie 
z. B. Mobiltelefonen, Tablets, Foto-, Film- und Videogeräten.</t>
  </si>
  <si>
    <t xml:space="preserve">Festnetz </t>
  </si>
  <si>
    <t xml:space="preserve">unbenannte Gefahren (Auschlüsse)
VORERST NICHT IM HSR DRUCK BERÜCKSICHTIGT
</t>
  </si>
  <si>
    <t>unbenannte Gefahren
(nicht versicherte Sachen bzw. Schäden an)
VORERST NICHT IM HSR DRUCK BERÜCKSICHTIGT</t>
  </si>
  <si>
    <t xml:space="preserve">VR besteht auf Rückstausicherung expliziet
grundsätzlich sonst Obliegenheitsverletzung  bei behördliche Vorgabe </t>
  </si>
  <si>
    <t>Rückstausicherungen vorgeschrieben 
(unabhänigg von behördlicher Auflage/Vorgabe)</t>
  </si>
  <si>
    <t>Sturmflut, Grundwasser, Trockenheit,</t>
  </si>
  <si>
    <t>VHB 2014 
BB Basis - Stand 2019-02</t>
  </si>
  <si>
    <t>VHB 2014 
BB Com - Stand 2019-02</t>
  </si>
  <si>
    <t>VHB 2014 
BB Cl - Stand 2019-02</t>
  </si>
  <si>
    <t>VHB 2014 
BB Eco - Stand 2019-02</t>
  </si>
  <si>
    <t>VHB 2014 
BB Excl - Stand 2019-02</t>
  </si>
  <si>
    <t>VHB 2014 
BB Exce - Stand 2019-02</t>
  </si>
  <si>
    <t>Allgemeines</t>
  </si>
  <si>
    <t>Rückstausicherungen von VR vorgeschrieben 
(unabhänigg von behördlicher Auflage/Vorgabe)</t>
  </si>
  <si>
    <t>Wartezeit ohne Vorvertrag
SB-Regelung Elementarversicherung</t>
  </si>
  <si>
    <t>Fahrräder bzw. Pedelecs  (auch mit Trethilfe oder Hilfsmotor max. 25 km/h und max. 0,25 kW)</t>
  </si>
  <si>
    <t>bei Schäden &gt; 10.000 € 
80 % der Kosten  max. 6.000 €</t>
  </si>
  <si>
    <t>Einbrechen, Einsteigen, Eindringen mit falschem Schlüssel oder
mit Hilfe von Werkzeugen in einen Raum oder Gebäude.</t>
  </si>
  <si>
    <t>Aufbrechen von Behältnissen, Öffnen von Behältnissen mit falschen Schlüsseln oder mit Hilfe von Werkzeugen in Gebäuden</t>
  </si>
  <si>
    <t xml:space="preserve">Abwendung und Minderung des Schadens ohne Weisung des VR </t>
  </si>
  <si>
    <t>ja ,(bei einfachen Diebstahl bis 5.000 
auch für Gemeinschaftstüren)</t>
  </si>
  <si>
    <t>1% der VS, max. 250 €</t>
  </si>
  <si>
    <t>1% der VS, max. 750 €</t>
  </si>
  <si>
    <t>1% der VS, max. 500 €</t>
  </si>
  <si>
    <t>1.000 € (nicht durch Tabakrauch, Kochdünste o. ähnliches)</t>
  </si>
  <si>
    <t>500 € (nicht durch Tabakrauch, Kochdünste o. ähnliches)</t>
  </si>
  <si>
    <t>* 5.000 € (subsidär)
vermietete Einliegerwohnung des selbstbewohnten EFH
(K&amp;M-Schutz 10.000 €)
* 5.000 €  in einer Zweitwohnung
(K&amp;M-Schutz 100% der VS, Freizügigkeit auch Ferienhaus)
* 15.000 € / 500 € Wertsachen
im Alten-/Pflegeheim wenn zuvor fam. Mitgl. In häusl. Gmeinschaft</t>
  </si>
  <si>
    <t>Nässeschäden</t>
  </si>
  <si>
    <t xml:space="preserve">unbenannte Gefahren (Auschlüsse Schäden durch ……)
VORERST NICHT IM HSR DRUCK BERÜCKSICHTIGT
</t>
  </si>
  <si>
    <t>unbenannte Gefahren
(nicht versicherte Sachen bzw. Schäden an ……...)
VORERST NICHT IM HSR DRUCK BERÜCKSICHTIGT</t>
  </si>
  <si>
    <t>inkl. Rückstau  bis 5% (SB250)
inkl. Starkregen bis 10%(SB 250)
max. 1.500€
weitere Risiken gegen Zuschlag</t>
  </si>
  <si>
    <t>inklusive Rückstau  bis 5% (SB250)
weitere Risiken gegen Zuschlag</t>
  </si>
  <si>
    <t>keine Wartezeiten
-</t>
  </si>
  <si>
    <t>Wartezeit 1  Monat
SB 10% mind. 500 € max 5.000 €
SB 20% mind. 1.000 € max 10.000 €
Erdbeben 5.000 €</t>
  </si>
  <si>
    <t>Wartezeit 14 Tage 
SB 10% mind. 500 € max 5.000 €</t>
  </si>
  <si>
    <t>Überschwemmung und Rückstau
Wartezeit 14 Tage
Elementarzonen 0 bis 3.000 €</t>
  </si>
  <si>
    <t>Domcura Standard
(2016-10-01)</t>
  </si>
  <si>
    <t>Domcura Komfort
(2016-10-01)</t>
  </si>
  <si>
    <t>Domcura Top
(2016-10-01)</t>
  </si>
  <si>
    <t>500.000 €</t>
  </si>
  <si>
    <t>LÜ + II B § 13 Nr.5</t>
  </si>
  <si>
    <t>II B § 11 Nr. 3 a)</t>
  </si>
  <si>
    <t>GDV - Stand 2017-05-26
AKBP - Stand 2018-08-18</t>
  </si>
  <si>
    <t>II A §26 Nr. 1 + 2</t>
  </si>
  <si>
    <t>II A §25 Nr. 1  + 2</t>
  </si>
  <si>
    <t>D Leistungsgarantie S.43</t>
  </si>
  <si>
    <t>II I  § 2</t>
  </si>
  <si>
    <t>gegen Zuschlag
"UG"  Marktgarantie</t>
  </si>
  <si>
    <t>I BB-HR § 2</t>
  </si>
  <si>
    <t>gegen Zuschlag
"Top-Garantie" Marktgarantie</t>
  </si>
  <si>
    <t>II B §8 Nr. 2 a) + c) ee)</t>
  </si>
  <si>
    <t>auch Freisitze</t>
  </si>
  <si>
    <t>25.000 € nach Tarif Komfort
max. 12 Monate</t>
  </si>
  <si>
    <t>II D S. 42</t>
  </si>
  <si>
    <t>5.000 € 
(innerhalb Deutschland)</t>
  </si>
  <si>
    <t>10.000 € 
(innerhalb Deutschland)</t>
  </si>
  <si>
    <t>II B §12 Nr. 1 + 2 +  II D zu B § 12 Nr. 1</t>
  </si>
  <si>
    <t>max 3 Monate über
nächste Prämienfalligkeit hinaus</t>
  </si>
  <si>
    <t>II B § 3 Nr. 2 d) + 4  a)</t>
  </si>
  <si>
    <t>II B § 9 Nr. 4</t>
  </si>
  <si>
    <t>Raub durch Erpressung außerhalb des Versicherungsortes
AUGEBLENDET</t>
  </si>
  <si>
    <t>Raub durch Erpressung außerhalb des Versicherungsortes
AUSGEBLENDET</t>
  </si>
  <si>
    <t>ausgebl</t>
  </si>
  <si>
    <t>,</t>
  </si>
  <si>
    <t>II C zu B § 3 Nr. 7 d) aa) + cc)</t>
  </si>
  <si>
    <t>1.500 €
auch Fahrradanhänger nicht montiert</t>
  </si>
  <si>
    <t>II D zu B § 3 Nr. 7 i)</t>
  </si>
  <si>
    <t>II D zu B § 3 Nr. 7 l)</t>
  </si>
  <si>
    <t>bis 1.000 €
(Bargeld 300 €)
sowieh aus Praxisräumen(Arztbesuch)</t>
  </si>
  <si>
    <t>II C zu B § 3 Nr. 7 b)</t>
  </si>
  <si>
    <t>II D zu B § 3 Nr. 7 b)</t>
  </si>
  <si>
    <t>ja
(3.000 € Wertsachen/Bargeld/ 
elektr. Geräte)</t>
  </si>
  <si>
    <t>ja
(3.000 € Wertsachen/Bargeld/ 
elektr. Geräte)
sowieh aus Praxisräumen(Arztbesuch)</t>
  </si>
  <si>
    <t>II C zu B § 3 Nr. 7 a) bb)</t>
  </si>
  <si>
    <t>1.500 €
auch Skulpturen, Grills</t>
  </si>
  <si>
    <t>II C zu B § 3 Nr. 7 a) aa)</t>
  </si>
  <si>
    <t>II C zu B § 3 Nr. 7 e)</t>
  </si>
  <si>
    <t>* einfacher Diebstahl von
Waschmaschienen und Trockner aus Gemeinschaftsräumen
bis 3.000 €</t>
  </si>
  <si>
    <t>II D zu B § 3 Nr. 7 f)</t>
  </si>
  <si>
    <t>II D zu B § 3 Nr. 7 g)</t>
  </si>
  <si>
    <t>3.000 €
(innerhalb des Versicherungsorts)</t>
  </si>
  <si>
    <t>II D zu B § 3 Nr. 7 h)</t>
  </si>
  <si>
    <t>1.000 € Bargeld 
250 € Wertsachen und elektr. Geräte</t>
  </si>
  <si>
    <t>II D zu B § 10 Nr. 16</t>
  </si>
  <si>
    <t>II D zu B Transportmittelunfall</t>
  </si>
  <si>
    <t>gegen Zuschlag
Baustein  "UG"
250 € SB</t>
  </si>
  <si>
    <t>II B I § 1 Nr. 1 + 5</t>
  </si>
  <si>
    <t>aa) Sachen aus Glas, Keramik, Porzellan sowie Brillen und Kontaktlinsen,
bb) mobile elektronische Geräte (z. B. Mobiltelefone, Tablets, Spielkonsolen, Laptops oder Endgeräte der Smart-Home-Technik),
cc) Sportgeräte, Fahrräder (z. B. auch Pedelecs) und Fahrradanhänger außerhalb des Versicherungsortes,
dd) lebende Tiere, Pflanzen und Mikroorganismen,
ee) Sachen die noch nicht betriebsfertig sind,
ff) Akkumulatoren,
gg) Software und Daten.</t>
  </si>
  <si>
    <t>II B I § 1 Nr. 13</t>
  </si>
  <si>
    <t>a) durch die versicherbaren Gefahren aller zum Hauptvertrag abschließbaren Bedingungen einschließlich der dort genannten Ausschlüsse
(B-H).
b) durch Krieg, kriegsähnliche Ereignisse, Bürgerkrieg, Revolution, Rebellion oder Aufstand.
Der Ausschluss gilt nicht für Schäden an versicherten Sachen, die im Zuge von Räumungs- bzw. Entschärfungsmaßnahmen an unentdeckter
Kriegsmunition (Blindgänger) bzw. durch spontane Explosion unentdeckter Kriegsmunition beendeter Kriege zerstört oder beschädigt
werden oder infolge eines solchen Ereignisses abhandenkommen.
Voraussetzung für die Entschädigung ist, dass die Räumungs- und Entschärfungsmaßnahmen vom Kampfmittelräumdienst bzw. im
Rahmen der gesetzlichen Vorschriften von einem Munitionsfachkundigen durchgeführt und die sprengtechnisch gebotenen Sicherheitsvorkehrungen
getroffen worden sind.
Weitere Voraussetzung für eine Entschädigung ist der vorausgegangene Explosionsschaden. Ausfallschäden, die durch die im Vorfeld
getroffenen Maßnahmen entstehen, gelten nicht versichert.
Der Versicherungsschutz ist auf das Gebiet der Bundesrepublik Deutschland beschränkt.
c) durch Kernenergie, nukleare Strahlung oder radioaktive Substanzen.
Der Ausschluss gilt nicht für Schäden an versicherten Sachen, die als Folge eines unter die Versicherung fallenden Schadenereignisses
durch auf dem Grundstück, auf dem der Versicherungsort liegt, betriebsbedingt vorhandene oder verwendete radioaktive Isotope entstehen,
insbesondere Schäden durch Kontamination und Aktivierung. Dies gilt nicht für radioaktive Isotope von Kernreaktoren.
d) durch Beschlagnahme oder sonstige Eingriffe von hoher Hand.
e) durch Sturmflut.
f) durch Grundwasser.
g) durch Abnutzung, Verschleiß, natürliche Beschaffenheit oder Selbstverderb.
h) durch allmähliche Einwirkung, wie z. B. von Frost, Hitze, Temperatur- und Luftschwankungen, Luftfeuchtigkeit, Fäulnis, Rost, Schimmel,
Schwamm, Staub, Licht, Strahlen, Gasen und Chemikalien.
i) durch Vögel, Haustiere, Nagetiere, Schädlinge und Ungeziefer aller Art.
j) durch Bearbeitung, Renovierung, Reparatur, Restauration, Umbau und Wartung.
k) durch Bedienung, Gebrauch, bestimmungswidrigen Gebrauch oder übermäßige Beanspruchung.
l) durch Herunterfallen oder Umfallen in Folge von unmittelbarer menschlicher Einwirkung.
m) durch Verlieren, Liegen-, Hängen- oder Stehenlassen, Unterschlagung oder Veruntreuung.
n) durch Mängel, die bei Abschluss der Versicherung bereits vorhanden waren und dem Versicherungsnehmer oder dessen Repräsentanten
bekannt sein mussten.
o) durch Einsatz einer Sache, deren Reparaturbedürftigkeit dem Versicherungsnehmer oder seinen Repräsentanten bekannt sein musste;
der Versicherer leistet jedoch Entschädigung, wenn der Schaden nicht durch die Reparaturbedürftigkeit verursacht wurde oder wenn die
Sache zur Zeit des Schadens mit Zustimmung des Versicherers wenigstens behelfsmäßig repariert war.
p) durch fehlerhafte Konstruktion, Planung oder Instandhaltung versicherter Sachen.
q) durch Verfall.
r) durch Pflanzen.
s) durch austretende Flüssigkeiten aus festen oder mobilen Gefäßen und Behältnissen in Folge von unmittelbarer menschlicher Einwirkung</t>
  </si>
  <si>
    <t>II B I § 1 Nr. 2</t>
  </si>
  <si>
    <t>gegen Zuschlag
inkl. Glaskeramikkockflächen</t>
  </si>
  <si>
    <t>II H § 1 Nr. 5</t>
  </si>
  <si>
    <t>II H § 2 Nr. 3</t>
  </si>
  <si>
    <t>3000
erweitert CyberBaustein</t>
  </si>
  <si>
    <t>5000
erweitert CyberBaustein</t>
  </si>
  <si>
    <t>• Entfernung von Nestern (Hornissen/Wespen/Bienen)
500 €</t>
  </si>
  <si>
    <t>II D zu B § 10 Nr. 26</t>
  </si>
  <si>
    <t xml:space="preserve">II D zu B § 10  Nr. 24 </t>
  </si>
  <si>
    <t>im Rahmen der Hotelkosten</t>
  </si>
  <si>
    <t>II D zu B § 10  Nr. 4</t>
  </si>
  <si>
    <t>II D zu B § 10  Nr. 17</t>
  </si>
  <si>
    <t>II B § 8 Nr. 4</t>
  </si>
  <si>
    <t>Wiederherstellung privater Unterlagen / Wertpapieren</t>
  </si>
  <si>
    <t>bis 1.000 € Wiederherstellung privater Unterlagen / Wertpapieren</t>
  </si>
  <si>
    <t>II D zu B § 10  Nr. 18</t>
  </si>
  <si>
    <t>5.000 €
(auch Gasverlust)</t>
  </si>
  <si>
    <t>II C zu B § 10  Nr. 18</t>
  </si>
  <si>
    <t>Umzugskosten innerhalb Deutschland bei dauernder Unbewohnbarkeit des Risikoortes</t>
  </si>
  <si>
    <t>II C zu B § 10  Nr. 17</t>
  </si>
  <si>
    <t>II B § 12 Nr. 4 a)</t>
  </si>
  <si>
    <t>II B § 22 Nr. 1 b)</t>
  </si>
  <si>
    <t>Tarif 2019 HSR 2018-10-01 / 16.02.2018</t>
  </si>
  <si>
    <t>Wartezeit 14 Tage 
keine Angaben</t>
  </si>
  <si>
    <t>II B §5 Nr. 3 i) + Tarif 2019</t>
  </si>
  <si>
    <t>A. Kiss</t>
  </si>
  <si>
    <t>II B § 14 Nr. 2 a)</t>
  </si>
  <si>
    <t>II B § 14 Nr. 2 b)</t>
  </si>
  <si>
    <t>II B § 3 Nr. 2 d) + 4 + II C zu B § 3 Nr 4</t>
  </si>
  <si>
    <t>II B § 3 Nr. 2 d) + 4</t>
  </si>
  <si>
    <t xml:space="preserve">25 % der VS
max. 8 Monate
weltweit </t>
  </si>
  <si>
    <t>II C zu II B §9 Nr. 1  + 6 a)</t>
  </si>
  <si>
    <t>"Pendler-Wohnung" bis 5.000 €
(Wertschachen 1.000 €)</t>
  </si>
  <si>
    <t>II B; § 4, Ziff. 1 b) aa) + 
II C zu B § 4 Nr. 1 b)</t>
  </si>
  <si>
    <t>II C zu B § 3 Nr. 7 c)</t>
  </si>
  <si>
    <t>II C zu B § 3 Nr. 7 c) aa) + bb)</t>
  </si>
  <si>
    <t>II C zu B § 3 Nr. 7 c) cc)</t>
  </si>
  <si>
    <t>II C zu B § 10  Nr. 1 b)</t>
  </si>
  <si>
    <t>II C zu B § 10  Nr. 3 a) + d) + 11</t>
  </si>
  <si>
    <t>II C zu B § 10  Nr. 3 a) + d) + 4</t>
  </si>
  <si>
    <t>II B § 10  Nr. 3 a) + d) + 4</t>
  </si>
  <si>
    <t>II D zu B § 10  Nr. 3 a) + d) + 4</t>
  </si>
  <si>
    <t>II C zu B § 10  Nr. 3 b)+c)+d)</t>
  </si>
  <si>
    <t>bis 96 Stunden</t>
  </si>
  <si>
    <t>II D zu B § 10  Nr. 7</t>
  </si>
  <si>
    <t>bei korrekter Angabe Wohnfläche
sowie Schäden bis 2.500 €</t>
  </si>
  <si>
    <t>II B § 11 Nr. 2 + Tarif/Antrag</t>
  </si>
  <si>
    <t>II B §11 Nr. 2 + Tarif/Antrag
II C zu B § 13 Nr. 4 d)</t>
  </si>
  <si>
    <t>bei korrekter Angabe Wohnfläche
sowie Schäden bis 5.000 €</t>
  </si>
  <si>
    <t>II B §11 Nr. 2 + Tarif/Antrag
II D zu B § 13 Nr. 4 d)</t>
  </si>
  <si>
    <t>II B §8 Nr. 2 b) + II C zu §14 Nr. 2a) + b)cc)</t>
  </si>
  <si>
    <t>20.000 €
(Schmuck 30.000 €)</t>
  </si>
  <si>
    <t>II C zu B  § 2 Nr. 3</t>
  </si>
  <si>
    <t>II C zu II B § 22 Nr. 1 b)</t>
  </si>
  <si>
    <t>1.000 € Gefriergut</t>
  </si>
  <si>
    <t>Gefriergut</t>
  </si>
  <si>
    <t>II D zu B  § 2 Nr. 3</t>
  </si>
  <si>
    <t>ja (sowie "Frei-Spinde" bis 500 € Wertsachen, elektr. Geräte bis 250 €)</t>
  </si>
  <si>
    <t>II B § 3 Nr. 2 b) + II D zu B § 3 Nr. 2</t>
  </si>
  <si>
    <t xml:space="preserve">ja
(inkl Herbeischaffen) </t>
  </si>
  <si>
    <t xml:space="preserve">ja
(inkl. Herbeischaffen bis 1.500 €) </t>
  </si>
  <si>
    <t xml:space="preserve">II B § 3 Nr. 2 d) + 4 + II C zu B § 3 Nr 4 </t>
  </si>
  <si>
    <t>ja
auch Fahrradanhänger nicht montiert</t>
  </si>
  <si>
    <t>II D zu B § 3 Nr. 7 d) aa) + cc)</t>
  </si>
  <si>
    <t>II D zu B § 3 Nr. 7 a) bb)</t>
  </si>
  <si>
    <t>II D zu B § 3 Nr. 7 a) aa)</t>
  </si>
  <si>
    <t>ja
auch Skulpturen, Grills</t>
  </si>
  <si>
    <t>Diebstahl  Kinderspielzeug oder Sportgerät 
(auf eingefriedetem Grundstück)</t>
  </si>
  <si>
    <t>Spielzeug</t>
  </si>
  <si>
    <t>1.500 € Spielzeug</t>
  </si>
  <si>
    <t>1.200 Spielzeug 
aus Gemeinschaftsräumen 3.000 €</t>
  </si>
  <si>
    <t>5.000 Spielzeug 
aus Gemeinschaftsräumen 3.000 €</t>
  </si>
  <si>
    <t>Im Rahmen von
Diebstahl von Garteninventar
auch Spielgeräte</t>
  </si>
  <si>
    <t>Diebstahl von Spielfahrzeugen (auf eingefriedetem Grundstück) nicht jedoch zulassungs- oder versicherungspflichtige Fahrzeuge über 6 km/h AUSGEBLENDET</t>
  </si>
  <si>
    <t>AUSGEBLENDET im HSR-Druck</t>
  </si>
  <si>
    <t>II D zu B § 3 Nr. 7 c)</t>
  </si>
  <si>
    <t>II D zu B § 3 Nr. 7 c) aa) + bb)</t>
  </si>
  <si>
    <t>II B §8 Nr. 2 b) + II D zu §14 Nr. 2a)</t>
  </si>
  <si>
    <t xml:space="preserve">Bargeld - 1.500 €
Urkunden - 10.000 €
Schmuck - 50.000 € </t>
  </si>
  <si>
    <t xml:space="preserve">Im Rahmen der VS
max. 12 Monate
weltweit </t>
  </si>
  <si>
    <t>II D zu II B §9 Nr. 1  + 6 a)</t>
  </si>
  <si>
    <t>*vermietete Einliegerwohnung des selbstbewohnten EFH
bis 10.000 €
"Pendler-Wohnung" bis 20.000 €
(Wertschachen 2.500 €)</t>
  </si>
  <si>
    <t>II D zu B §8 Nr. 3a)
II D zu B §9 Nr. 1 ~ 1 c)</t>
  </si>
  <si>
    <t>II B; § 4, Ziff. 1 b) aa) + 
II D zu B § 4 Nr. 1 b)</t>
  </si>
  <si>
    <t>II D § 5 Nr. 4 c)</t>
  </si>
  <si>
    <t>II D zu B § 5 Nr. 2</t>
  </si>
  <si>
    <t>II D zu B § 10  Nr.1</t>
  </si>
  <si>
    <t>ja
auch Absperrkosten / Verkehrssicherungsmaßnahmen
und Isokierungskosten radioaktiv verseuchte Sachen</t>
  </si>
  <si>
    <t>ja
auch Feuerlöschkosten
und freiwillige Aufwendungen des VN</t>
  </si>
  <si>
    <t>II D zu B § 10  Nr. 3 a) + 11</t>
  </si>
  <si>
    <t>II D zu B § 10  Nr. 3 b)+c)</t>
  </si>
  <si>
    <t>II D zu B § 10  Nr. 10</t>
  </si>
  <si>
    <t>II D zu B § 10  Nr. 9</t>
  </si>
  <si>
    <t>bis 25.000 €
auch sonstige Versicherungsfälle</t>
  </si>
  <si>
    <t>ja
auch sonstige Versicherungsfälle</t>
  </si>
  <si>
    <t>10.000 €
bei Schäden &gt; 5.000 €
(auch Dienstreisen)</t>
  </si>
  <si>
    <t>II D zu B § 10  Nr. 14</t>
  </si>
  <si>
    <t>ja
sowie Vandalismus bis 1.000 €</t>
  </si>
  <si>
    <t>II D zu B § 10  Nr. 8 +21</t>
  </si>
  <si>
    <t>ja
(auch infolge Preissteigerungen)</t>
  </si>
  <si>
    <t>II D zu B §10 Nr. 13 + II B § 10  Nr. 12</t>
  </si>
  <si>
    <t xml:space="preserve">II H §4 </t>
  </si>
  <si>
    <t>ja - über Cyberdeckung</t>
  </si>
  <si>
    <t>II D zu II B § 18  Nr. 1 b) cc)</t>
  </si>
  <si>
    <t>12 (3) Monate
(Doppelwohnsitz: für neues Objekt)</t>
  </si>
  <si>
    <t>II D zu II B § 17 Nr. 3</t>
  </si>
  <si>
    <t>II B § 17 Nr. 3</t>
  </si>
  <si>
    <t>bis 12 Monate
150 € pro Tag
(auch Mietfortzahlung bis 5.000 €)</t>
  </si>
  <si>
    <t>II D zu B § 10  Nr. 4 + 22</t>
  </si>
  <si>
    <t>II D zu B § 3 Nr. 7 e)
II D zu B § 3 Nr. 7 j)
II D zu § 10 Nr. 25
II D zu § 10 Nr. 27
II D zu § 10 Nr. 28
II D zu § 10 Nr. 29
II D zu § 10 Nr. 30</t>
  </si>
  <si>
    <t>1000
auch Notfall (Gefahr in Verzug)</t>
  </si>
  <si>
    <t>ja
nach einfachem Diebstahl bis 500 €</t>
  </si>
  <si>
    <t>II D zu B § 10  Nr. 6 + 22</t>
  </si>
  <si>
    <t>* einfacher Diebstahl von
Waschmaschienen und Trockner aus Gemeinschaftsräumen
* einfacher Diebstahl von
Kleinvieh-, Futter- u. Streuvorräten
* Neueinastellung von Satelliten- 
und Antennenamlagen
* Reinigung und Desinfektion 
nach ED bis 500 €
* Mietkosten für techn. Geräte
Waschmaschine &amp; Co.
bis 250 €
* Psychologische Betreuung nach ED, Raub oder Brand 
500 €
* Dolmechterkosten infolge einens
Versicherungsfalles im Ausland
bis 500 €</t>
  </si>
  <si>
    <t>BB Excellent Nr. 15
BB Excellent Nr. 17
BB Excellent Nr. 13
BB Excellent Nr. 78
BB Excellent Nr. 52
BB Excellent Nr. 65
BB Excellent Nr. 66
BB Excellent Nr. 94
BB Excellent Nr. 91
BB Excellent Nr. 90</t>
  </si>
  <si>
    <r>
      <t xml:space="preserve">* einfacher Diebstahl von
Waschmaschienen und Trockner aus Gemeinschaftsräumen
* einfacher Diebstahl von
Kleinvieh-, Futter- u. Streuvorräten
1% der VS
* nicht montierte Kfz-Zubehör 
(Reifen inkl. Feklgen, Dachboxen u. Kindersitze) gegen F und ED am Versicherungsort
5% der VS 
* Beschädigung von Fahrrädern
als Reisegepäck bei Aufgabe im öff. Nahverkehr
* Mietkosten für techn. Geräte
Waschmaschine &amp; Co.
* Kinderbetreuung 350 €
bei Schäden &gt; 1.500 €
* Psychologische Betreuung nach ED, Raub oder Brand 
500 €
* Verzicht auf 3-Monatsfrist bei Kündigung durch VN
* 25% Nachlass bei Seniorenheim
Mindestprämie 29 € net.p.a.
3 Jahre Vertragsbestand zuvor
* Beitragsbefreiung bei Arbeistlosigkeit 
typischen Vorrausetzungen
</t>
    </r>
    <r>
      <rPr>
        <u/>
        <sz val="7"/>
        <rFont val="Arial"/>
        <family val="2"/>
      </rPr>
      <t/>
    </r>
  </si>
  <si>
    <t>VR intern keine Meldung mehr nötig</t>
  </si>
  <si>
    <t>Versicherte Sachen - Fortsetzung</t>
  </si>
  <si>
    <t>Versicherte Gefahr ED / Diebstahl - Fortsetzung</t>
  </si>
  <si>
    <r>
      <t xml:space="preserve"> 
* Haushaltshilfe nach Verletzung durch Versicherungsfall bis 2.000 € fürWohnungsreinigung, Wäscheservice, Einkäufe, Gartenpflege Schneeräumdienst
</t>
    </r>
    <r>
      <rPr>
        <u/>
        <sz val="7"/>
        <rFont val="Arial"/>
        <family val="2"/>
      </rPr>
      <t>Zusätzliche Bausteine</t>
    </r>
    <r>
      <rPr>
        <sz val="7"/>
        <rFont val="Arial"/>
        <family val="2"/>
      </rPr>
      <t xml:space="preserve">
* Cyberschutzbrief "Internetschutz"
* AllRisk Gegenstandsdeckung  "MeinPlus"
150 € SB 
30%  SB mind. 150 € für
Verlieren-, Stehen- oder Liegen- lassen 
• Kunst
• Schmuck, Armband- ,Taschenuhren und Pelze
• Fotoapparate und Videokameras
• Zubehör von Fotoapparaten und Videokameras
• Jagd- und Sportwaffen
• Zubehör von Jagd- und Sportwaffen
• Musikinstrumente - Kleine Streichinstrumente
• Musikinstrumente - Große Streichinstrumente
• Musikinstrumente - Sonstige Musikinstrumente
• Zubehör von Musikinstrumenten
</t>
    </r>
    <r>
      <rPr>
        <u/>
        <sz val="7"/>
        <rFont val="Arial"/>
        <family val="2"/>
      </rPr>
      <t>weitere Vorteile KombiVertrag</t>
    </r>
    <r>
      <rPr>
        <sz val="7"/>
        <rFont val="Arial"/>
        <family val="2"/>
      </rPr>
      <t xml:space="preserve">
* Beitragsfreistellung bei Arbeitslosigkeit
* Portemonnaie-Schutz</t>
    </r>
  </si>
  <si>
    <r>
      <t xml:space="preserve">* Sammlungen NUR bis 100€ pro QM
gegen Zuschlag erhöhbar
* Haushaltshilfe nach Verletzung durch Versicherungsfall bis 5.000 € für Wohnungsreinigung, Wäscheservice, Einkäufe, Gartenpflege Schneeräumdienst
</t>
    </r>
    <r>
      <rPr>
        <u/>
        <sz val="7"/>
        <rFont val="Arial"/>
        <family val="2"/>
      </rPr>
      <t xml:space="preserve">Zusätzliche Bausteine </t>
    </r>
    <r>
      <rPr>
        <sz val="7"/>
        <rFont val="Arial"/>
        <family val="2"/>
      </rPr>
      <t xml:space="preserve">
* Cyberschutzbrief "Internetschutz"
* AllRisk Gegenstandsdeckung  "MeinPlus"
150 € SB 
30%  SB mind. 150 € für
Verlieren-, Stehen- oder Liegen- lassen 
• Kunst
• Schmuck, Armband- ,Taschenuhren und Pelze
• Fotoapparate und Videokameras
• Zubehör von Fotoapparaten und Videokameras
• Jagd- und Sportwaffen
• Zubehör von Jagd- und Sportwaffen
• Musikinstrumente - Kleine Streichinstrumente
• Musikinstrumente - Große Streichinstrumente
• Musikinstrumente - Sonstige Musikinstrumente
• Zubehör von Musikinstrumenten
</t>
    </r>
    <r>
      <rPr>
        <u/>
        <sz val="7"/>
        <rFont val="Arial"/>
        <family val="2"/>
      </rPr>
      <t>weitere Vorteile KombiVertrag</t>
    </r>
    <r>
      <rPr>
        <sz val="7"/>
        <rFont val="Arial"/>
        <family val="2"/>
      </rPr>
      <t xml:space="preserve">
* Beitragsfreistellung bei Arbeitslosigkeit
* Portemonnaie-Schutz</t>
    </r>
  </si>
  <si>
    <t>A; Ziff. 2.3
A; Ziff. 1.4.2 (14)
PSV-- 2085Z0 (000)  2016-10
PSV--2083Z0 (000) 2016-10
PSV--2479Z0 (000) 2013-05</t>
  </si>
  <si>
    <t>A; Ziff. 1.4.2 (14)
PSV-- 2085Z0 (000)  2016-10
PSV--2083Z0 (000) 2016-10
PSV--2479Z0 (000) 2013-05</t>
  </si>
  <si>
    <t>Gegenstandsversicherung (AllRisk)
VORERST NICHT IM HSR DRUCK BERÜCKSICHTIGT</t>
  </si>
  <si>
    <t>Versicherte Kosten - Fortsetzung</t>
  </si>
  <si>
    <t>VHB 2019 Domcura Top
(2019-10-01)</t>
  </si>
  <si>
    <t>VHB 2019 Domcura Standard
(2019-10-01)</t>
  </si>
  <si>
    <t>VHB 2019 Domcura Komfort
(2019-10-01)</t>
  </si>
  <si>
    <t>Ammerländer Excellent
(2019-02)</t>
  </si>
  <si>
    <r>
      <rPr>
        <u/>
        <sz val="10"/>
        <rFont val="Arial"/>
        <family val="2"/>
      </rPr>
      <t>Risiken, welche nicht gezeichnet werden:</t>
    </r>
    <r>
      <rPr>
        <sz val="10"/>
        <rFont val="Arial"/>
      </rPr>
      <t xml:space="preserve">
* Antragsteller mit mehr als 3 Schäden in den letzten fünf Jahren
* Risiken mit einer Versicherungssumme über 250.000,- EURO
* Risiken in Gebäuden mit ungewöhnlicher Nutzung (feuergefährliche Betriebe s. u.)
* Antragsteller, in ungünstigen wirtschaftlichen Verhältnissen (Insolvenz)
* Risiken in Gebäuden mit Bauartklassen IV und V sowie FHG III
* Risiken in Schrebergartenhäusern/Datschas
* Hausrat des Vermieters in möbliert vermieteten Wohnungen oder Häusern
* Risiken in Mobilheimen und auf Campingplätzen
* Rein gewerbliche Risiken
</t>
    </r>
    <r>
      <rPr>
        <u/>
        <sz val="10"/>
        <rFont val="Arial"/>
        <family val="2"/>
      </rPr>
      <t>Direktionsanfrage</t>
    </r>
    <r>
      <rPr>
        <sz val="10"/>
        <rFont val="Arial"/>
      </rPr>
      <t xml:space="preserve">
* Antragsteller mit einem Schaden ab 2.500,- EURO in den letzten drei Jahren
* Antragsteller ab 2 Schäden in den letzten fünf Jahren
* Verträge, die vom Vorversicherer gekündigt oder Anträge, die abgelehnt wurden
</t>
    </r>
    <r>
      <rPr>
        <u/>
        <sz val="10"/>
        <rFont val="Arial"/>
        <family val="2"/>
      </rPr>
      <t>Direktionsanfragen mit Zusatzerklärung zur Hausratversicherung</t>
    </r>
    <r>
      <rPr>
        <sz val="10"/>
        <rFont val="Arial"/>
      </rPr>
      <t xml:space="preserve">:
* Risiken mit einer Versicherungssumme über 200.000,- EURO 
bis maximal 250.000,- EURO 
* Risiken mit einem Wertsachenanteil über 75.000,- EURO 
bis maximal 125.000,- EURO 
</t>
    </r>
  </si>
  <si>
    <t>Ammerländer</t>
  </si>
  <si>
    <t>Wohnfläche ist die Grundfläche aller zu Wohnzwecken nutzbaren
Räume auf dem Versicherungsgrundstück. Dazu zählen auch Hobby- und Party-Räume (auch im Keller oder Dachgeschoss) sowie Wintergärten, Schwimmbäder und ähnliche nach allen Seiten geschlossene Räume. Flächen mit einer Deckenhöhe von weniger als zwei Metern werden nur zur Hälfte gerechnet bzw. Flächen mit einer Deckenhöhe von weniger als einem Meter überhaupt nicht.
Nicht gerechnet werden:
• Terrassen, Dachgärten, Loggien, Balkone,
• Treppen,
• Abstellräume (z.B. im Keller, auf dem Dachboden oder in Nebengebäuden),
• Waschküchen, Trocken-, Heizungs- und sonstige Zubehörräume,
• Garagen und Carports,
• Räume, die nicht ausschließlich zur versicherten Wohnung gehören.
Alternativ akzeptieren wir auch die Angabe der Gesamtfläche entsprechend
• der Wohnflächenverordnung (WoFlV),
• der Nutzfläche gemäß DIN 277,
• dem Miet- oder Kaufvertrag, sofern dieser den aktuellen Ausbauzustand wiedergibt,
• anderen gültigen Berechnungsmethoden, sofern die Ermittlung durch einen sachverständigen Dritten erfolgt.</t>
  </si>
  <si>
    <t>1. Sicherungen bei Wertsachen ab 75.000 EURO oder
ab einer Gesamtversicherungssumme über 200.000 EURO:
Hier gelten die erweiterten Sicherungsrichtlinien.
2. Sicherungen bei Wertsachen über 100.000 EURO:
Zusätzlich zu der vorgenannten Sicherungsanforderung müssen noch folgende Sicherungsvoraussetzungen erfüllt werden: Einbau/Vorhandensein einer VdS anerkannten Einbruchmeldeanlage
(EMA) mit Aufschaltung zu einem Sicherheitsdienst oder zur Polizei. Die VdS anerkannte EMA muss durch eine entsprechende Fachfirma eingebaut werden. Für
die VdS anerkannte EMA müssen entsprechende Wartungsverträge vorhanden sein. Die EMA ist nach den Vorgaben der Fachfirma zu betreiben. Störungen, Mängel oder Schäden sind unverzüglich durch die Fachfirma zu beseitigen. In den
letzten 5 Jahren dürfen keine Vorschäden im Bereich Einbruchdiebstahl vorhanden sein.
Der Versicherungsnehmer ist verpflichtet, die vorgenannten
Sicherungen innerhalb eines Monats nach
Vertragsbeginn anzubringen. Bis zum Einbau der vereinbarten
Sicherungen gilt eine Selbstbeteiligung von
25 %, wenn der Schaden durch das Fehlen der vereinbarten
Sicherungen begünstigt worden ist. Für Schäden
nach Ablauf der Frist, die durch das Fehlen der
vereinbarten Sicherungen begünstigt worden sind, besteht
kein Versicherungsschutz.</t>
  </si>
  <si>
    <t>Ammerländer Classic
(2019-02)</t>
  </si>
  <si>
    <t>3% der VS
(keine Wertsachen; 
elektr. Kleingeräte zum Zeitwert)</t>
  </si>
  <si>
    <t>aktuell
(geprüft am 31.01.2020)</t>
  </si>
  <si>
    <r>
      <t xml:space="preserve">* einfacher Diebstahl von
Waschmaschienen und Trockner aus Gemeinschaftsräumen
* einfacher Diebstahl von
Kleinvieh-, Futter- u. Streuvorräten
1% der VS
* nicht montierte Kfz-Zubehör 
(Reifen inkl. Feklgen, Dachboxen u. Kindersitze) gegen F und ED am Versicherungsort
10.000 € 
* Beschädigung von Fahrrädern
als Reisegepäck bei Aufgabe im öff. Nahverkehr
* Mietkosten für techn. Geräte
Waschmaschine &amp; Co.
* Kinderbetreuung 350 €
bei Schäden &gt; 1.500 €
* Psychologische Betreuung nach ED, Raub oder Brand 
500 €
* Verzicht auf 3-Monatsfrist bei Kündigung durch VN
* 25% Nachlass bei Seniorenheim
Mindestprämie 29 € net.p.a.
3 Jahre Vertragsbestand zuvor
* Beitragsbefreiung bei Arbeistlosigkeit 
typischen Vorrausetzungen
</t>
    </r>
    <r>
      <rPr>
        <u/>
        <sz val="7"/>
        <rFont val="Arial"/>
        <family val="2"/>
      </rPr>
      <t/>
    </r>
  </si>
  <si>
    <t>ja
(keine Zusatzbausteine)</t>
  </si>
  <si>
    <t>BB Exclellent Nr 92</t>
  </si>
  <si>
    <t>BB Exclellent Nr 93 + LÜ</t>
  </si>
  <si>
    <t>BB Exclellent Nr 94</t>
  </si>
  <si>
    <t>BB Excellent Nr. 15
BB Excellent Nr. 17
BB Excellent Nr. 13
BB Excellent Nr. 78
BB Excellent Nr. 52
BB Excellent Nr. 65
BB Excellent Nr. 66
BB Excellent Nr. 95
BB Excellent Nr. 91
BB Excellent Nr. 90</t>
  </si>
  <si>
    <t>anzeigepflichtig
50% der VS, max 1  Jahr
Keine WG</t>
  </si>
  <si>
    <t>Konditionsdifferenzdeckung –
längstens für 12 Monate 
Einmalbeitrag: 25,- EURO netto pauschal</t>
  </si>
  <si>
    <t>inklusive
(gegen Zuschlag von 25%auch
höhre Sublimits u. geingere SB)</t>
  </si>
  <si>
    <t>BB Exclellent Nr 72 + 96 
Tarif S. 29</t>
  </si>
  <si>
    <t>BB Excellent Nr.11 + Tarif S.29</t>
  </si>
  <si>
    <t xml:space="preserve">BB Excellent Nr.11 </t>
  </si>
  <si>
    <t>Ammerländer Exclusiv
(2019-02)</t>
  </si>
  <si>
    <t>Ammerländer Economic
(2019-02)</t>
  </si>
  <si>
    <t>Ammerländer Comfort
(2019-02)</t>
  </si>
  <si>
    <t>Ammerländer Basic
(2019-02)</t>
  </si>
  <si>
    <t>BB Basic Nr. 8 + Tarif S.29</t>
  </si>
  <si>
    <t>BB Classic Nr. 11 + Tarif S.29</t>
  </si>
  <si>
    <t>BB Comfort Nr. 11 + Tarif S.29</t>
  </si>
  <si>
    <t>BB Economic Nr. 9 + Tarif S.29</t>
  </si>
  <si>
    <t>1% der VS inklusive
1 - 100% der VS ,max.5.000 €
auch Fahrradanhänger, Pedelecs, E-Bikes und Zubehör
erweiterbar um Kasko
(10% Nachlass zu Einzel-Risiko)</t>
  </si>
  <si>
    <t>1 - 100% der VS  max.5.000 €
auch Fahrradanhänger, Pedelecs, E-Bikes und Zubehör
(Einstellklausel)
erweiterbar um Kasko
(10% Nachlass zu Einzel-Risiko)</t>
  </si>
  <si>
    <t>1 - 100% der VS  max.5.000 €
auch Fahrradanhänger, Pedelecs, E-Bikes und Zubehör
erweiterbar um Kasko
(10% Nachlass zu Einzel-Risiko)</t>
  </si>
  <si>
    <t>erweiterbar um Baustein "Autoinhalt"</t>
  </si>
  <si>
    <t>mit Nachtzeitklausel
innerhalb Deutschlands
erweiterbar um Baustein "Autoinhalt"</t>
  </si>
  <si>
    <t>BB Classic Nr. 12.1 + 12.3 + Tarif S .29</t>
  </si>
  <si>
    <t>Tarif S.29</t>
  </si>
  <si>
    <t>ja
erweiterbar um Baustein "Autoinhalt"</t>
  </si>
  <si>
    <t>BB Exclusiv Nr. 12.1 + 12.3 + Tarif S. 29</t>
  </si>
  <si>
    <t>BB Excellent Nr.12 + Tarif S. 29</t>
  </si>
  <si>
    <t>BB Economic Nr. 10.1 + 10.3 + Tarif S. 29</t>
  </si>
  <si>
    <t>BB Comfort Nr. 12.1 + 12.3 + Tarif S. 29</t>
  </si>
  <si>
    <t xml:space="preserve">BB Excellent Nr. 37.2 </t>
  </si>
  <si>
    <t>Ammerländer Classic
(2016-01)</t>
  </si>
  <si>
    <t>Ammerländer Comfort
(2016-01)</t>
  </si>
  <si>
    <t>Ammerländer Exclusiv
(2016-01)</t>
  </si>
  <si>
    <t>Ammerländer Excellent
(2016-01)</t>
  </si>
  <si>
    <t>B1 Nr. 19</t>
  </si>
  <si>
    <t>B1 Nr. 18</t>
  </si>
  <si>
    <t>B2 Nr. 2</t>
  </si>
  <si>
    <t>C1 Nr. 2 1-2</t>
  </si>
  <si>
    <t>B1 Nr. 11.1</t>
  </si>
  <si>
    <t>A §11 1-7</t>
  </si>
  <si>
    <t>A §11 6</t>
  </si>
  <si>
    <t>B1 Nr. 1 - 1.1</t>
  </si>
  <si>
    <t>B1 Nr. 1.2 1-2</t>
  </si>
  <si>
    <t>B1 Nr. 1.5</t>
  </si>
  <si>
    <t>B1 Nr. 1.6</t>
  </si>
  <si>
    <t>B1 Nr. 1.7</t>
  </si>
  <si>
    <t>A §4 Nr. 2c</t>
  </si>
  <si>
    <t>A §5 Nr. 2</t>
  </si>
  <si>
    <t>B1 Nr. 2.6</t>
  </si>
  <si>
    <t>B1 Nr. 2.7</t>
  </si>
  <si>
    <t>B1 Nr. 2.5</t>
  </si>
  <si>
    <t>3 % der VS</t>
  </si>
  <si>
    <t>B1 Nr. 2.2</t>
  </si>
  <si>
    <t>B1 Nr. 2.3</t>
  </si>
  <si>
    <t>B1 Nr. 2.1</t>
  </si>
  <si>
    <t>B1 Nr. 5</t>
  </si>
  <si>
    <t>A § 12 Nr. 4</t>
  </si>
  <si>
    <t>B1 Nr. 14.15</t>
  </si>
  <si>
    <t xml:space="preserve">2% der VS </t>
  </si>
  <si>
    <t>B1 Nr. 14.1</t>
  </si>
  <si>
    <t>B1 Nr. 14.11</t>
  </si>
  <si>
    <t>B1 Nr. 14.4</t>
  </si>
  <si>
    <t>B1 Nr. 14.13</t>
  </si>
  <si>
    <t>bis 2 % der VS</t>
  </si>
  <si>
    <t>B1 Nr. 14.9</t>
  </si>
  <si>
    <t>B1 Nr. 6.2</t>
  </si>
  <si>
    <t>C4 Nr 11</t>
  </si>
  <si>
    <t>Sturmflut</t>
  </si>
  <si>
    <t>C4 Nr. 2</t>
  </si>
  <si>
    <t>C4 Nr. 13</t>
  </si>
  <si>
    <t>A §6 Nr.1 + 2 a)</t>
  </si>
  <si>
    <t>A §6 Nr. 2 c) cb)</t>
  </si>
  <si>
    <t>A §6 Nr. 2 c) ca)</t>
  </si>
  <si>
    <t>A §6 Nr. 2 c) cd) + 4 e)</t>
  </si>
  <si>
    <t>ja
bei Überalssung durch VN auch von Mietern und Untermietern</t>
  </si>
  <si>
    <t xml:space="preserve">A §6 Nr. 2 c) ce) </t>
  </si>
  <si>
    <t xml:space="preserve">Roll- und Krankenfahrstühle </t>
  </si>
  <si>
    <t xml:space="preserve">A §6 Nr. 2 c) cf) </t>
  </si>
  <si>
    <t xml:space="preserve">A §6 Nr. 2 c) cg) </t>
  </si>
  <si>
    <t>ja
sowie Flugmodelle</t>
  </si>
  <si>
    <t xml:space="preserve">A §6 Nr. 2 c) ch) </t>
  </si>
  <si>
    <t xml:space="preserve">A §6 Nr. 2 c) ci) </t>
  </si>
  <si>
    <t>A §6 Nr. 3 b)  + B1 Nr. 11.4</t>
  </si>
  <si>
    <t>ja
sowie bis 20.000 €
auch mit separatem Eingang</t>
  </si>
  <si>
    <t xml:space="preserve">100 % der VS
max. 12 Monate
weltweit </t>
  </si>
  <si>
    <t>A § 7 Nr. 1 +6 a) +  B1 Nr. 11.2</t>
  </si>
  <si>
    <t>2% der VS
(Wertsachen / Bargeld / 
optische Geräte bis 500 €)</t>
  </si>
  <si>
    <t>B1 Nr. 2.4</t>
  </si>
  <si>
    <t>A §1 Nr. 1 a) + §2 Nr. 5</t>
  </si>
  <si>
    <t>SB 100 €
keine Schäden durch Stromeinwirkung an elektr. Einrichtungen/-Geräten</t>
  </si>
  <si>
    <t>A §2 Nr. 3 + B1 Nr. 1.3</t>
  </si>
  <si>
    <t>nur Netzausfall
keine techn. Geräteversagen</t>
  </si>
  <si>
    <t xml:space="preserve">B1  Nr. 10 </t>
  </si>
  <si>
    <t>A §2 Nr. 1 d) + B1 Nr.1.4</t>
  </si>
  <si>
    <t>Anprall oder Absturrz von Fahrzeugen bzw. unbemannten Flugkörpern oder deren Teile o. Ladung
(nicht von VN betrieben)</t>
  </si>
  <si>
    <t xml:space="preserve">A §3 Nr. 2 a) </t>
  </si>
  <si>
    <t xml:space="preserve">A §3 Nr. 2 b) </t>
  </si>
  <si>
    <t xml:space="preserve">A §3 Nr. 2 c) </t>
  </si>
  <si>
    <t xml:space="preserve">A §3 Nr. 2 e+f) </t>
  </si>
  <si>
    <t>A §3 Nr. 2 d + 4 a)aa)+ab)</t>
  </si>
  <si>
    <t>2 % der VS
auch aus Dachboxen</t>
  </si>
  <si>
    <t>• Wertsachen
* Bargeld
* kein fremdes Eigentum</t>
  </si>
  <si>
    <t>A §4 Nr. 2 b)</t>
  </si>
  <si>
    <t>A §4 Nr. 2 b) + B1 Nr.3</t>
  </si>
  <si>
    <t>Regenfallrohren</t>
  </si>
  <si>
    <t xml:space="preserve">auch Terrarien </t>
  </si>
  <si>
    <t>aus Zisternen oder Ähnlichem</t>
  </si>
  <si>
    <t>LW gleichgestellt sind Sole, Öle, Kältemittel aus Klima- Wärmepumpen- und Solar-hzg-sanl. sowie Wasserdampf</t>
  </si>
  <si>
    <t>A §4 Nr. 1 a) aa)</t>
  </si>
  <si>
    <t>A §4 Nr. 1 a) ac)</t>
  </si>
  <si>
    <t>A §4 Nr. 1 b)</t>
  </si>
  <si>
    <t>A §4 Nr. 1 b) bb)</t>
  </si>
  <si>
    <t>im Rahmen der VS
auf dem Versicherungsgrundstück</t>
  </si>
  <si>
    <t>A §5 Nr. 2 + B1 Nr.4</t>
  </si>
  <si>
    <t>A §7 Nr. 4 + §3 Nr. 4 + B1 Nr. 2.13</t>
  </si>
  <si>
    <t>A §6 Nr. 2 c) ce) + 4 c + d)</t>
  </si>
  <si>
    <t>A § 8 Nr. 1</t>
  </si>
  <si>
    <t>A § 8 Nr. 2</t>
  </si>
  <si>
    <t>A § 8 Nr. 4 + B1 Nr. 14.3</t>
  </si>
  <si>
    <t>A § 8 Nr. 5 + B1 Nr. 14.7</t>
  </si>
  <si>
    <t>ja
sowie Gemeinschaftstüren 1.000 €</t>
  </si>
  <si>
    <t>A § 8 Nr. 6 + B1 Nr. 14.10</t>
  </si>
  <si>
    <t>A § 8 Nr. 7</t>
  </si>
  <si>
    <t>ja
bei rettungsmaßnahmen</t>
  </si>
  <si>
    <t>A § 8 Nr. 7 + B1 Nr. 14.12</t>
  </si>
  <si>
    <t>an Bodenbelegen, Innenanstriche
o. Tapeten</t>
  </si>
  <si>
    <t>A § 8 Nr. 8</t>
  </si>
  <si>
    <t>A § 8 Nr. 3 + B1 Nr. 14.2</t>
  </si>
  <si>
    <t>keine zeitliche Begrenzung 
2,5 %o der VS pro Tag</t>
  </si>
  <si>
    <t>im Rahmen der VS
bei Schäden &gt; 5.000 €
(auch Dienstreisen)</t>
  </si>
  <si>
    <t>bei Schäden &gt; 10.000 € 
80 % der Kosten / max. 10.000 €</t>
  </si>
  <si>
    <t>B1 Nr. 14.16</t>
  </si>
  <si>
    <t>B1 Nr. 14.8</t>
  </si>
  <si>
    <t>50 €
bei Schäden &gt; 1.000 €</t>
  </si>
  <si>
    <t>A § 8 Nr. 17 + B1 Nr. 6.1</t>
  </si>
  <si>
    <t>A § 11 Nr. 1 + 4 a) + B1 Nr. 17.2</t>
  </si>
  <si>
    <t>A § 34 Nr. 1 b) + B1 Nr. 16</t>
  </si>
  <si>
    <t>A § 26 Nr. 3 a)</t>
  </si>
  <si>
    <t>ja
(pauschal 26 €)</t>
  </si>
  <si>
    <t>zumutbare sowie vorhandene
frei und funktionsbereit zu halten</t>
  </si>
  <si>
    <t>Wartezeit 1  Monat
SB 10% mind. 500 € max 5.000 €
gilt nicht für Regen- Schmelzwasser</t>
  </si>
  <si>
    <t>gegen Zuschlag über Elementar
max. 3 % VS (250 € SB)</t>
  </si>
  <si>
    <t>A §5 Nr. 4 a) ab) + C4 Nr.</t>
  </si>
  <si>
    <t>A §9 Nr. 2a + § 12 Nr. 4</t>
  </si>
  <si>
    <t>Tarif 2019 -  S.4</t>
  </si>
  <si>
    <t>GDV - jeweils akt. Stand</t>
  </si>
  <si>
    <t>B2 Nr. 1</t>
  </si>
  <si>
    <t>im Rahmen der VS
(Achtung Ausschlüsse)</t>
  </si>
  <si>
    <t>A §13 Nr. 2 + B1 Nr. 15</t>
  </si>
  <si>
    <t>50 % der VS</t>
  </si>
  <si>
    <t>Wohnfläche: Die Wohnfläche ist die Grundfläche aller Räume einer Wohnung einschließlich
der Hobbyräume (siehe Mietvertrag/Baubeschreibungen etc.; falls nicht
vorhanden, bitte ausmessen). 
Unberücksichtigt bleiben 
Treppen, Balkone, Loggien und Terrassen 
sowie Keller-, Speicher-/Bodenräume, wenn diese nicht zu Wohn oder
Hobbyzwecken genutzt werden.</t>
  </si>
  <si>
    <t>AHB - Stand 19-01-01 Fussnote HR 29</t>
  </si>
  <si>
    <t>b) Wertschutzschränke im Sinne von Nr. 2 b) sind Sicherheitsbehältnisse,die
ba) durch die VdS Schadenverhütung GmbH oder durch eine
gleichermaßen qualifizierte Prüfstelle anerkannt sind und
bb) als freistehende Wertschutzschränke ein Mindestgewicht
von 200 kg aufweisen oder bei geringerem Gewicht nach
den Vorschriften des Herstellers fachmännisch verankert
oder in der Wand oder im Fußboden bündig eingelassen
sind (Einmauerschrank).</t>
  </si>
  <si>
    <t>§ 13 Nr. 1 b)</t>
  </si>
  <si>
    <t>a) Versicherte Wertsachen (Verweis) sind
aa) Bargeld und auf Geldkarten geladene Beträge (z. B. Chipkarte),
ab) Urkunden einschließlich Sparbücher und sonstige Wertpapiere,
ac) Schmucksachen, Edelsteine, Perlen, Briefmarken, Münzen
und Medaillen sowie alle Sachen aus Gold und Platin,
ad) Pelze, handgeknüpfte Teppiche und Gobelins  sowie Kunstgegenstände 
(z. B. Gemälde, Collagen, Zeichnungen, Grafiken und Plastiken) 
sowie nicht in ac) genannte Sachen aus Silber,
ae) Antiquitäten (Sachen, die über 100 Jahre alt sind), jedoch mit Ausnahme von Möbelstücken.</t>
  </si>
  <si>
    <t>Versicherte Wertsachen gemäß § 6 Nr. 1.2 b) sind
a) Bargeld und auf Geldkarten geladene Beträge (z.B. Chipkarte),
b) Urkunden, einschließlich Sparbücher und sonstiger Wertpapiere,
c) Schmucksachen, Edelsteine, Perlen, Briefmarken, Münzen 
und Medaillen sowie alle Sachen aus Gold und Platin,
d) Pelze, handgeknüpfte Teppiche und Gobelins sowie Kunstgegenstände 
(z.B. Gemälde, Collagen, Zeichnungen, Grafiken und Plastiken) 
sowie nicht in Absatz c) genannte Sachen aus Silber,
e) Antiquitäten (Sachen, die über 100 Jahre alt sind), jedoch mit Ausnahme von Möbelstücken.</t>
  </si>
  <si>
    <t>Versicherte Wertsachen (siehe Teil A § 6 Nr. 2 b) sind
aa) Bargeld und auf Geldkarten geladene Beträge (z.B. Chipkarte);
bb) Urkunden einschließlich Sparbücher und sonstige Wertpapiere;
cc) Schmucksachen, Edelsteine, Perlen, Briefmarken, Münzen 
und Medaillen sowie alle Sachen aus Gold und Platin;
dd) Pelze, handgeknüpJe Teppiche und Gobelins sowie Kunstgegenstände 
(z.B. Gemälde, Collagen, Zeichnungen, Graphiken und Plastiken) 
sowie nicht in cc) genannte Sachen aus Silber;
ee) Antiquitäten (Sachen, die über 100 Jahre alt sind), jedoch mit Ausnahme von 
Möbelstücken</t>
  </si>
  <si>
    <t>Die Wohnfläche ist dem Kauf- / Mietvertrag oder den Bauunterlagen zu entnehmen, 
wobei alle zu Wohn-, Gewerbe- oder Hobbyzwecken ausgebauten Flächen zu berücksichtigen sind.
Bei Ein-, Zweifamilien- und Reihenhäusern sind vorhandene Kellerräume (auch Hanglage) grundsätzlich, 
unabhängig von der Nutzung, mit 20 % der Kellergrundfläche zu berechnen.
Zur Wohnfläche zählen nicht 
Treppen, Balkone, Loggien, Terrassen, Garagen, Carports und sonstige nicht
ausgebaute Räume.
Sind derartige Unterlagen nicht vorhanden, 
ist die Wohnfläche nach Maßgabe der folgenden Bestimmungen zu ermitteln.
Die Wohnfläche ist die Summe der Gesamtgrundfläche aller Räume 
(Innenmaß ohne Innenwände, kein Abzug für Dachschrägen) 
des Hauses und der zu Wohn- bzw. Gewerbezwecken genutzten Nebengebäude. 
Zur Wohnfläche zählen auch 
Arbeitszimmer, gewerblich und beruflich genutzte Räume, Hobbyräume und Wintergärten.
Bei Ein-, Zweifamilien- und Reihenhäusern sind vorhandene Kellerräume (auch Hanglage) grundsätzlich, 
unabhängig von der Nutzung, mit 20 % der Grundfläche zu berechnen.</t>
  </si>
  <si>
    <t>HK Die Haftpflichtkasse</t>
  </si>
  <si>
    <t>§ 12 Nr. 1 - 3</t>
  </si>
  <si>
    <t>Ersetzt werden im Versicherungsfall bei
a) zerstörten oder abhandengekommenen Sachen der Versicherungswert
(siehe § 9 Nr. 1) bei Eintritt des Versicherungsfalles;
b) beschädigten Sachen die notwendigen Reparaturkosten bei Eintritt
des Versicherungsfalles zuzüglich einer durch die Reparatur
nicht auszugleichenden Wertminderung, höchstens jedoch der
Versicherungswert (siehe § 9 Nr. 1) bei Eintritt des Versicherungsfalles.
c) Wird durch den Schaden die Gebrauchsfähigkeit einer Sache nicht beeinträchtigt und ist dem Versicherungsnehmer die Nutzung ohne Reparatur zumutbar 
(so genannter Schönheitsschaden), so ist die Beeinträchtigung durch Zahlung des Betrags auszugleichen, der dem Minderwert entspricht.
2. Restwerte
Restwerte werden in den Fällen von Nr. 1 angerechnet.
3. Mehrwertsteuer
Die Mehrwertsteuer wird nicht ersetzt, wenn der Versicherungsnehmer
vorsteuerabzugsberechtigt ist; das Gleiche gilt, wenn der Versicherungsnehmer
Mehrwertsteuer tatsächlich nicht gezahlt hat.</t>
  </si>
  <si>
    <t>Der Versicherungswert bildet die Grundlage der Entschädigungsberechnung.
a) Versicherungswert ist der Wiederbeschaffungswert von Sachen gleicher Art und Güte in neuwertigem Zustand (Neuwert).
b) Für Kunstgegenstände (§ 13 Nr. 1 a) ad)) und Antiquitäten (§ 13 Nr. 1 a) ae)) ist der Versicherungswert der Wiederbeschaffungspreis von Sachen gleicher Art und Güte.
c) Sind Sachen für ihren Zweck in dem versicherten Haushalt nicht mehr zu verwenden, so ist der Versicherungswert der für den Versicherungsnehmer erzielbare Verkaufspreis (gemeiner Wert).
d) Soweit die Entschädigung für Wertsachen auf bestimmte Beträge begrenzt (Entschädigungsgrenzen siehe Verweis) ist, werden bei der Ermittlung des Versicherungswertes höchstens diese Beträge berücksichtigt.</t>
  </si>
  <si>
    <t>§ 9 Nr 1</t>
  </si>
  <si>
    <t>5 % der VS
auch Raub</t>
  </si>
  <si>
    <t>1.000 €
nur Taschen und ähnlichen,
wenn am Körper getragen</t>
  </si>
  <si>
    <t>im Rahmen von Diebstahl auf dem Grundstück 5% der VS</t>
  </si>
  <si>
    <t>im Rahmen von Diebstahl auf dem Grundstück 5% der VS
auch Grills und fest im Boden verankerte Skulpturen</t>
  </si>
  <si>
    <t>im Rahmen von Diebstahl auf dem Grundstück 5% der VS
(soweie Mähroboter und Aufsitz-)</t>
  </si>
  <si>
    <t>im Rahmen von Diebstahl auf dem Grundstück 5% der VS
Spiel- und Sportgeräte</t>
  </si>
  <si>
    <t>2 % der VS
Bargeld 200 €</t>
  </si>
  <si>
    <t>ja
Einstellklausel
(subsidär)</t>
  </si>
  <si>
    <t>B1 Nr. 2.10 zu 1-4</t>
  </si>
  <si>
    <t>B1 Nr. 2.10 zu 1-3</t>
  </si>
  <si>
    <t>A § 3 Nr.3 + B1 Nr. 2.12</t>
  </si>
  <si>
    <t>ja
(auch Einschleichen)</t>
  </si>
  <si>
    <t>B1 Nr. 2.12</t>
  </si>
  <si>
    <t>A §6 Nr. 2 c) cc) + B1 Nr. 7</t>
  </si>
  <si>
    <t>im Rahmen der VS
(subsidär)</t>
  </si>
  <si>
    <t>ja
Garagen auch in der gleichen Gemeinde</t>
  </si>
  <si>
    <t>25 % der VS
max. 12 Monate</t>
  </si>
  <si>
    <t>B1 Nr. 12</t>
  </si>
  <si>
    <t>A §9 Nr. 2b + B1  Nr. 13</t>
  </si>
  <si>
    <t>vereinbarte Versicherungssumme 
(max.130%)</t>
  </si>
  <si>
    <t>B1 Nr. 14.5</t>
  </si>
  <si>
    <t>A § 31 Nr. 1 + B1 Nr. 14.14</t>
  </si>
  <si>
    <t>* einfacher Diebstahl von
Waschmaschienen und Trockner aus Gemeinschaftsräumen
* einfacher Diebstahl von
Kleinvieh-, Futter- u. Streuvorräten
1.000 €
* nicht montierte Anhänger-
und Kfz-Zubehör 
sowie Reifen inkl. Feklgen innerhalb desVersicherungsort
2.500 € 
 * Beschädigung von Fahrrädern 
als  Reisegepäck bei Aufgabe 
im öff. Verkehr
* Übernahme bei unklarer Zuständigkeit mit VVR  wegen Versichererwechsel</t>
  </si>
  <si>
    <t>B1 Nr. 2.8
B1 Nr. 2.9
B1 Nr. 8
B1 Nr. 9
B1 Nr. 20</t>
  </si>
  <si>
    <t>Bargeld        -     3.500 €
Urkunden    -    20.000 €
Schmuck     -  50.000 €</t>
  </si>
  <si>
    <t>Bargeld        -      3.000 €
Urkunden    -    10.000 €
Schmuck    -   40.000 €</t>
  </si>
  <si>
    <t>A §13 Nr. 2 + B2 Nr. 3</t>
  </si>
  <si>
    <t>100 % der VS</t>
  </si>
  <si>
    <t>B1 Nr. 1.2 1-2 +LÜ</t>
  </si>
  <si>
    <t>ja
keine Schäden durch Stromeinwirkung an elektr. Einrichtungen/-Geräten</t>
  </si>
  <si>
    <t>A § 3 b + B1 Nr. 4</t>
  </si>
  <si>
    <t>ja
(auch St/H auf Vers.-Grundstück)</t>
  </si>
  <si>
    <t>Summen- und Konditions-differenzdeckung  
max 12 Monate 
max. 20% VS über VVR
keine Gefahrerweiterung
C1. Nr. 3</t>
  </si>
  <si>
    <t xml:space="preserve">A §6 Nr.1 + C1 Nr. 1 </t>
  </si>
  <si>
    <t>ja
sowie E-Bikes ohne Vers.-Plficht</t>
  </si>
  <si>
    <t>gegen Zuschlag
• inkl. Glaskeramikkockflächen</t>
  </si>
  <si>
    <t>2 % der VS
aus Innenraum</t>
  </si>
  <si>
    <t>gegen Zuschlag
im Rahmen der VS 
250 € SB</t>
  </si>
  <si>
    <t>Nicht versichert sind ohne Rücksicht auf mitwirkende Ursachen
Schäden
a) die nach dem zugrunde liegenden VHB 2016 versichert oder versicherbar sind, einschließlich den dort benannten Ausschlüssen;
b) an und durch Haustiere; Folgeschäden sind jedoch versichert;
c) durch Abnutzung, Verschleiß, Alterung, Rost, Schimmel, Fäulnis, Insekten, Schädlinge oder durch die natürliche 
oder mangelhafte Beschaffenheit versicherter Sachen;
d) durch Mängel, die bei Abschluss der Versicherung bereits vorhanden waren und dem Versicherungsnehmer oder dessen Repräsentanten bekannt sein mussten;
e) durch fehlerhafte Konstruktion, Planung oder Instandhaltung versicherter Sachen;
f) durch Baumaßnahmen (auch Renovierung oder Restaurierung)
auf dem Versicherungsgrundstück;
g) durch Bedienung, Bearbeitung, Gebrauch, Reinigung, Reparatur
oder Wartung, bestimmungswidrigen Gebrauch oder über mäßige Beanspruchung;
h) durch die allmähliche Einwirkung, z. B. von Chemikalien, Feuchtigkeit, Staub, Strahlen oder Temperaturen;
i) die nicht die Gebrauchs- oder Funktionsfähigkeit der versicherten
Sache beeinträchtigen (z. B. Kratzer, Schrammen, Lackoder ähnliche Schönheitsschäden);
j) durch einfachen Diebstahl, Verlieren, Stehen- oder Liegenlassen, Unterschlagung oder Veruntreuung versicherter Sachen;</t>
  </si>
  <si>
    <t>C5 Nr. 1 + 4</t>
  </si>
  <si>
    <t>C5 Nr. 3</t>
  </si>
  <si>
    <t>a) Sachen aus Glas, Keramik, Porzellan sowie Brillen und Kontaktlinsen;
b) mobile elektronische Geräte (z. B. Mobiltelefone oder Laptops);
c) Sportgeräte, Fahrräder und Fahrradanhänger außerhalb des
Versicherungsortes.</t>
  </si>
  <si>
    <t>C5 Nr. 2</t>
  </si>
  <si>
    <t xml:space="preserve">C3 </t>
  </si>
  <si>
    <t>Tarif und Vertragsabt. Fr. Funke
Telefonat 05.11.2020</t>
  </si>
  <si>
    <t xml:space="preserve">indiv. ab 1.000 € / qm
max VS 250.000 
Wertsachen ab 150.000 </t>
  </si>
  <si>
    <t>indiv. ab 1.000 
max VS 250.000</t>
  </si>
  <si>
    <t>HK Darmstadt Einfach Besser</t>
  </si>
  <si>
    <t>HK Darmstadt Einfach Komplett</t>
  </si>
  <si>
    <t>HK Darmstadt Eindach Komplett</t>
  </si>
  <si>
    <t>Allianz PSV--2041Z0 (002)
(2017-12)</t>
  </si>
  <si>
    <t>Allianz PSV--2042Z0 (002)
(2017-12)</t>
  </si>
  <si>
    <t>Ammerländer VHB 2014 
BB Exce - Stand 2020-02</t>
  </si>
  <si>
    <t>Gothaer VHB 2019
(2019-04)</t>
  </si>
  <si>
    <t>InterRisk B26 L
(2016-12-19)</t>
  </si>
  <si>
    <t>InterRisk B26 XL
(2016-12-19)</t>
  </si>
  <si>
    <t>InterRisk B26 XXL
(2016-12-19)</t>
  </si>
  <si>
    <t>ITL VHB 2014 VS-Modell
(2013-08)</t>
  </si>
  <si>
    <t>ITL VHB 2014 qm-Modell
(2013-08) + afm SB (2014-01)</t>
  </si>
  <si>
    <t>ITL VHB 2014 qm-Modell
(2013-08)</t>
  </si>
  <si>
    <t>ITL VHB 2014 VS-Modell
(2013-08) + afm SB (2014-01)</t>
  </si>
  <si>
    <t>VHV VHB 2018
(2018-12)</t>
  </si>
  <si>
    <t>ITL Classic
Stand 2013-08</t>
  </si>
  <si>
    <t>C 1-1  + (A3-3.2)</t>
  </si>
  <si>
    <t xml:space="preserve">C 2-1 </t>
  </si>
  <si>
    <t>C 3-1.1</t>
  </si>
  <si>
    <t>C 3-1.2</t>
  </si>
  <si>
    <t>Seng- und Schmorschäden 
nicht nur als Folgeschaden Feuer</t>
  </si>
  <si>
    <t>C 3-1.3</t>
  </si>
  <si>
    <t>aus beendeten Kriegen
(auch Schäden ohne Explosion aus der Beseitigung Subsidiär)</t>
  </si>
  <si>
    <t>C 3-1.4</t>
  </si>
  <si>
    <t>C 3-1.5</t>
  </si>
  <si>
    <t>B 3-6 + C 3-1.6</t>
  </si>
  <si>
    <t>B 3-5</t>
  </si>
  <si>
    <t>B 3-4</t>
  </si>
  <si>
    <t>B 3-2</t>
  </si>
  <si>
    <t>B 4-1.1</t>
  </si>
  <si>
    <t>B 4-1.2</t>
  </si>
  <si>
    <t>B 4-1.3</t>
  </si>
  <si>
    <t>B 4-1.5</t>
  </si>
  <si>
    <t>B 4-2</t>
  </si>
  <si>
    <t>C 3-2.2</t>
  </si>
  <si>
    <t>1 % der VS
max 2.500 €  (250 € Wertsachen)
auch Dachbxen und Wohnmobil</t>
  </si>
  <si>
    <t>B 4-3 + 4-4.2 + B 12-4</t>
  </si>
  <si>
    <t>C 3-2.3</t>
  </si>
  <si>
    <t>C 3-2.4</t>
  </si>
  <si>
    <t>Fahrraddiebstahl (gegen Zuschlag)
ohne Nachtzeitklausel</t>
  </si>
  <si>
    <t>bis 10.000 € (250€- Stufen)
(auch Fahrradanhänger, Pedelecs sowie E-Bikes)
( nachweispflichtig sonst 150 € )</t>
  </si>
  <si>
    <t>*BEITRAGSFREI*
bis 10.000 €
(auch Fahrradanhänger, Pedelecs sowie E-Bikes)</t>
  </si>
  <si>
    <t>500 bis 2.000 €
(auch Fahrradanhänger, Pedelecs sowie E-Bikes)</t>
  </si>
  <si>
    <t>INKLUSIVE
10 € pro qm, max 1.000 €
(auch Fahrradanhänger, Pedelecs sowie E-Bikes)
gegen Zuschlag erhöhbar</t>
  </si>
  <si>
    <t>INKLUSIVE
25 € pro qm, max 5.000 €
(auch Fahrradanhänger, Pedelecs sowie E-Bikes)
gegen Zuschlag erhöhbar</t>
  </si>
  <si>
    <t>INKLUSIVE
1 % der VS
(auch Fahrradanhänger, Pedelecs sowie E-Bikes)
gegen Zuschlag erhöhbar</t>
  </si>
  <si>
    <t>bis 10% der VS 
Einstellklausel
(auch Fahrradanhänger, Pedelecs sowie E-Bikes)</t>
  </si>
  <si>
    <t>INKLUSIVE
1% der VS
(auch Fahrradanhänger, Pedelecs sowie E-Bikes ohne Zulassungspflicht und Elektromobile ohne Zulassungspflicht)
(nachweispflichtig sonst 150 €)</t>
  </si>
  <si>
    <r>
      <t xml:space="preserve">1 % der VS
</t>
    </r>
    <r>
      <rPr>
        <sz val="7"/>
        <color rgb="FFFF0000"/>
        <rFont val="Arial"/>
        <family val="2"/>
      </rPr>
      <t>(nachweispflichtig sonst 150 €)</t>
    </r>
  </si>
  <si>
    <t>C 3-3.1</t>
  </si>
  <si>
    <t>C 3-3.2</t>
  </si>
  <si>
    <t>C 3-3.3 a)</t>
  </si>
  <si>
    <t>C 3-3.3 b)</t>
  </si>
  <si>
    <t>1 % der VS
nicht nur von der Leine
(keine Pelze Leder- u. Alcantarawaren)</t>
  </si>
  <si>
    <t>C 3-3.3 e)</t>
  </si>
  <si>
    <t>10.000 €
z.B.  Wäschespinnen,
Grillgeräte und Skulpturen</t>
  </si>
  <si>
    <t>C 3-3.3 d)</t>
  </si>
  <si>
    <t>1 % der VS
Grillgeräte, Outdoorküchen, Wäschespinnen (fest im Boden verankerte Skulpturen bis 500 €)</t>
  </si>
  <si>
    <t>C 3-3.3 b + d)</t>
  </si>
  <si>
    <t>m Rahmen von
Diebstahl von Gartengärte
1 % der VS</t>
  </si>
  <si>
    <t>C 3-3.4</t>
  </si>
  <si>
    <t>C 3-3.5</t>
  </si>
  <si>
    <t>3.000 € 
(keine Wertsachen)
nur während der Geschäftszeiten</t>
  </si>
  <si>
    <t>C 3-3.6</t>
  </si>
  <si>
    <t>C 3-4.1</t>
  </si>
  <si>
    <t>auch mit separaten Eingang 
wenn ohne Angestellte oder Publikumsverkehr)</t>
  </si>
  <si>
    <t>B 10-1 + C 4-1</t>
  </si>
  <si>
    <t>B 10-2</t>
  </si>
  <si>
    <t>B 10-3 + 10-2</t>
  </si>
  <si>
    <t>B 12-1.2 + C 5-1</t>
  </si>
  <si>
    <t>C 5-2</t>
  </si>
  <si>
    <t>B 12-2</t>
  </si>
  <si>
    <t>C 9-2</t>
  </si>
  <si>
    <t>GDV - VHB 2016
AKBP - Stand 2018-08</t>
  </si>
  <si>
    <t>C 9-3 + 9-4</t>
  </si>
  <si>
    <t>ITL VHB 2021 VS-Modell
(2021-01)</t>
  </si>
  <si>
    <t>B 13-2</t>
  </si>
  <si>
    <t>B 13-5</t>
  </si>
  <si>
    <t>B 13-10</t>
  </si>
  <si>
    <t>B 13-7</t>
  </si>
  <si>
    <t>B 13-8</t>
  </si>
  <si>
    <t>B 13-9</t>
  </si>
  <si>
    <t>B 13-4</t>
  </si>
  <si>
    <t>B 13-12</t>
  </si>
  <si>
    <t>auch Feuerlöschkosten
und freiwillige Aufwendungen des VN</t>
  </si>
  <si>
    <t>B 13-3 + C 6-1</t>
  </si>
  <si>
    <t>C 6-2</t>
  </si>
  <si>
    <r>
      <t xml:space="preserve">bei Schäden &gt; 5.000 €
(auch Dienstreisen </t>
    </r>
    <r>
      <rPr>
        <sz val="7"/>
        <color rgb="FFFF0000"/>
        <rFont val="Arial"/>
        <family val="2"/>
      </rPr>
      <t>und Stornierung</t>
    </r>
    <r>
      <rPr>
        <sz val="7"/>
        <rFont val="Arial"/>
        <family val="2"/>
      </rPr>
      <t>)
max 2.500 € Rückreiseksoten</t>
    </r>
  </si>
  <si>
    <t>C 6-3</t>
  </si>
  <si>
    <t>C 6-4</t>
  </si>
  <si>
    <t>Umzugskosten innerhalb Deutschland bei dauernder Unbewohnbarkeit des Risikoortes (keine Maklerkosten)</t>
  </si>
  <si>
    <t>C 6-6</t>
  </si>
  <si>
    <t>C 7-1</t>
  </si>
  <si>
    <t>C 8-1</t>
  </si>
  <si>
    <t>B 16-4 + C 8-2</t>
  </si>
  <si>
    <t>B 5-2.1</t>
  </si>
  <si>
    <t>B 5-2.2</t>
  </si>
  <si>
    <t>B 5-2.3</t>
  </si>
  <si>
    <t>B 5-2.4</t>
  </si>
  <si>
    <t>B 5-2.5 + 5.2.7</t>
  </si>
  <si>
    <t>B 5-2.6</t>
  </si>
  <si>
    <t>ohne Verbindung zum Rohrsystem</t>
  </si>
  <si>
    <t>B 5-2.5 + LÜ</t>
  </si>
  <si>
    <t>und Zisternen</t>
  </si>
  <si>
    <t>B 5-2.8</t>
  </si>
  <si>
    <t>B 5-2</t>
  </si>
  <si>
    <t>B 5-4</t>
  </si>
  <si>
    <t>B 5-3.1.1</t>
  </si>
  <si>
    <t>B 5-3.1.3</t>
  </si>
  <si>
    <t>auch Öl</t>
  </si>
  <si>
    <t>B 5-3.1.4</t>
  </si>
  <si>
    <t>B 5-3.2.2</t>
  </si>
  <si>
    <t>B 5-3.2.1</t>
  </si>
  <si>
    <t>B 5-3.1.2 + B 5-3.2.2</t>
  </si>
  <si>
    <t>B 6-4</t>
  </si>
  <si>
    <t>B 6-4.9 + 6-4.10</t>
  </si>
  <si>
    <t>B 6-5</t>
  </si>
  <si>
    <t>B 6-5.2</t>
  </si>
  <si>
    <t>B 7 + B 8-1</t>
  </si>
  <si>
    <t>B 7 + B 8-3.1</t>
  </si>
  <si>
    <t>B 7 + B 8-3.2</t>
  </si>
  <si>
    <t>B 8-3.4</t>
  </si>
  <si>
    <t>B 8-3.5</t>
  </si>
  <si>
    <t>B 8-3.6</t>
  </si>
  <si>
    <t>und ferngelenkte Flugmodelle 
inkl. Zubehör</t>
  </si>
  <si>
    <t>B 8-3.7</t>
  </si>
  <si>
    <t>B 8-3.8</t>
  </si>
  <si>
    <t>B 8-4</t>
  </si>
  <si>
    <t>B 9-1.3</t>
  </si>
  <si>
    <t>B 14-2.2</t>
  </si>
  <si>
    <t>B 16-1 +16-2</t>
  </si>
  <si>
    <t>B 16-6.1</t>
  </si>
  <si>
    <t>B 17- 3</t>
  </si>
  <si>
    <t>B 14-2 + 14-2.2 + 17-3</t>
  </si>
  <si>
    <t>B 18-3.1</t>
  </si>
  <si>
    <t>B  18-3.2</t>
  </si>
  <si>
    <t>B 13-1</t>
  </si>
  <si>
    <t>B 23-1.3</t>
  </si>
  <si>
    <t>B 23-1.5</t>
  </si>
  <si>
    <t>B 21-3</t>
  </si>
  <si>
    <t>LÜ sonst nicht verankert</t>
  </si>
  <si>
    <t>ja laut LÜ optinal möglich</t>
  </si>
  <si>
    <t>ab 115.000 €</t>
  </si>
  <si>
    <t>ITL Eurosecure Plus afm
Stand 2013-08</t>
  </si>
  <si>
    <t>ITL Protect Plus afm
Stand 2013-08</t>
  </si>
  <si>
    <t>ITL Protect Plus VS</t>
  </si>
  <si>
    <t>ITL Classic VS</t>
  </si>
  <si>
    <t>1.000 €
Lebensmittel und Medikamente
(kein Verschleiß o. angekündigte Stromabschaltung)</t>
  </si>
  <si>
    <t>nur Lebensmittel 
nur in Gefrier- oder Tiefkühlanlagen
keine techn. Geräteversagen</t>
  </si>
  <si>
    <t>1.000 €
nur Lebensmittel 
nur in Gefrier- oder Tiefkühlanlagen
keine techn. Geräteversagen</t>
  </si>
  <si>
    <t>nur Lebensmittel 
nur in Gefrier- oder Tiefkühlanlagen
keine techn. Geräteversagen
keine Aussenevrsicherung</t>
  </si>
  <si>
    <t>C 3-1.6</t>
  </si>
  <si>
    <t>C 3-1.6 + 3-1.7</t>
  </si>
  <si>
    <t>1 % der VS max. 1.000 €
durch Unfall mit Bus, Bahn, Taxi Mietwagen (PKW)</t>
  </si>
  <si>
    <t>C 3-1.10</t>
  </si>
  <si>
    <t>C 1-1</t>
  </si>
  <si>
    <t>C 2-1</t>
  </si>
  <si>
    <t xml:space="preserve">innere Unruhen, Streik oder Aussperrung </t>
  </si>
  <si>
    <t>subsidär / kein Anspruch bei Entschädigung durch Staat</t>
  </si>
  <si>
    <t>1 % der VS
max 2.500 €  (250 € Wertsachen)
aus Innenraum (Kajüte, Backkisste oder Ähnliches)</t>
  </si>
  <si>
    <t>2% der VS
max 5.000 €  (1.000 € Wertsachen)
auch Dachbxen und Wohnmobil</t>
  </si>
  <si>
    <t>2% der VS
max 5.000 €  (1.000 € Wertsachen)
aus Innenraum (Kajüte, Backkisste oder Ähnliches)</t>
  </si>
  <si>
    <t>B 4-3 + 4-4.2 + B 12-4 + C 3-2.4</t>
  </si>
  <si>
    <t>INKLUSIVE
2% der VS
(auch Fahrradanhänger, Pedelecs sowie E-Bikes ohne Zulassungspflicht und Elektromobile ohne Zulassungspflicht)
(nachweispflichtig sonst 150 €)</t>
  </si>
  <si>
    <r>
      <t xml:space="preserve">2 % der VS
</t>
    </r>
    <r>
      <rPr>
        <sz val="7"/>
        <color rgb="FFFF0000"/>
        <rFont val="Arial"/>
        <family val="2"/>
      </rPr>
      <t>(nachweispflichtig sonst 150 €)</t>
    </r>
  </si>
  <si>
    <t>2 % der VS, max 1.000 €
(innerhalb des Versicherungsorts)</t>
  </si>
  <si>
    <t>C 3-4</t>
  </si>
  <si>
    <t>2 % der VS max 1.000 €
auch nach Raub o. Diebstahl</t>
  </si>
  <si>
    <t>C 3-5.1</t>
  </si>
  <si>
    <t>B 5-3.2.1 + C 3-5.2.2</t>
  </si>
  <si>
    <t>C 3-5.3.3</t>
  </si>
  <si>
    <t>C 3-5.2.3</t>
  </si>
  <si>
    <t>C 3-6.1</t>
  </si>
  <si>
    <t>B 8-3.3 + B 6-3.1</t>
  </si>
  <si>
    <t>C 3-6.2</t>
  </si>
  <si>
    <t>2 % der VS
auch St/H im Rahmen der VS</t>
  </si>
  <si>
    <t>C 3-3.3 a) + C 3-6.2</t>
  </si>
  <si>
    <t>C 3-3.3 b + d) + C 3-6.2</t>
  </si>
  <si>
    <t>m Rahmen von
Diebstahl von Gartengärte
2 % der VS
auch St/H im Rahmen der VS</t>
  </si>
  <si>
    <t>C 3-3.3 b) + C 3-6.2</t>
  </si>
  <si>
    <t>2 % der VS
nicht nur von der Leine
(keine Pelze Leder- u. Alcantarawaren)
auch St/H im Rahmen der VS</t>
  </si>
  <si>
    <t>C 3-3.3 e) + C 3-6.2</t>
  </si>
  <si>
    <t>C 3-3.3 d) + C 3-6.2</t>
  </si>
  <si>
    <t>B 18-3.1 + C 4-1</t>
  </si>
  <si>
    <t>C 4-3</t>
  </si>
  <si>
    <t>B 10-1 + C 5-1</t>
  </si>
  <si>
    <r>
      <t xml:space="preserve">ja
auch Garagen am Wohnort des VN
</t>
    </r>
    <r>
      <rPr>
        <sz val="7"/>
        <color rgb="FFFF0000"/>
        <rFont val="Arial"/>
        <family val="2"/>
      </rPr>
      <t>max 1 km Luftlinie</t>
    </r>
  </si>
  <si>
    <t>B 10-3 + 10-2 + C 5-2</t>
  </si>
  <si>
    <t>B 12-1.2 + C 6-1</t>
  </si>
  <si>
    <t>B 13-3 + C 7-1</t>
  </si>
  <si>
    <t>C 7-2</t>
  </si>
  <si>
    <r>
      <t xml:space="preserve">bei Schäden &gt; 5.000 €
(auch Dienstreisen </t>
    </r>
    <r>
      <rPr>
        <sz val="7"/>
        <color rgb="FFFF0000"/>
        <rFont val="Arial"/>
        <family val="2"/>
      </rPr>
      <t>und Stornierung</t>
    </r>
    <r>
      <rPr>
        <sz val="7"/>
        <rFont val="Arial"/>
        <family val="2"/>
      </rPr>
      <t>)
max 5.000 € Rückreiseksoten</t>
    </r>
  </si>
  <si>
    <t>C 7-3</t>
  </si>
  <si>
    <t>C 7-4</t>
  </si>
  <si>
    <r>
      <t xml:space="preserve">B 13-6 </t>
    </r>
    <r>
      <rPr>
        <sz val="7"/>
        <color rgb="FFFF0000"/>
        <rFont val="Arial"/>
        <family val="2"/>
      </rPr>
      <t>(C 7-5)</t>
    </r>
  </si>
  <si>
    <r>
      <t xml:space="preserve">B 13-6 </t>
    </r>
    <r>
      <rPr>
        <sz val="7"/>
        <color rgb="FFFF0000"/>
        <rFont val="Arial"/>
        <family val="2"/>
      </rPr>
      <t>(6-5)</t>
    </r>
  </si>
  <si>
    <t>B 5-3.2.1 + C 3-5.2.2 + C 7-6</t>
  </si>
  <si>
    <t>C 7-7</t>
  </si>
  <si>
    <t>B 13-12 + C 7-8</t>
  </si>
  <si>
    <t>C 7-11</t>
  </si>
  <si>
    <t>C 7-12</t>
  </si>
  <si>
    <t>B 14-2.2 + C 8-2</t>
  </si>
  <si>
    <t>C 8-3.1.1 / 8-3.1.2</t>
  </si>
  <si>
    <t>C 8-5.1.1 / 8-5.1.2 + 8-4</t>
  </si>
  <si>
    <t>B 14-2 + 14-2.2 + 17-3 + C 8-2</t>
  </si>
  <si>
    <t>Im Rahmen der VS
mitversicherte Sachen auf dem Grundstück (siehe einfacher Diebstahl)</t>
  </si>
  <si>
    <t>spätestens mit Beginn des Umzug
(UVV bis 6 Monate gültig)</t>
  </si>
  <si>
    <t>B 16-4 + C 8-3</t>
  </si>
  <si>
    <t>ED Eindringen über nicht versicherte Räume</t>
  </si>
  <si>
    <t>ja
C 3-2.1</t>
  </si>
  <si>
    <t>ITL Infinitus
Stand 2013-08</t>
  </si>
  <si>
    <t>ITL Infinitus VS</t>
  </si>
  <si>
    <t>bis 10.000 €
für LW - Heizen und entleeren
für ED Alarmanlagen Sicherungen</t>
  </si>
  <si>
    <t>C 1-2</t>
  </si>
  <si>
    <t>C 3-1.7 + 3-1.8</t>
  </si>
  <si>
    <t>B 3-6 + C 3-1.9 + 3-1.10</t>
  </si>
  <si>
    <t>B 3-6 + C 3-1.8 + 3-1.9</t>
  </si>
  <si>
    <t>C 3-1.11</t>
  </si>
  <si>
    <t>ED durch Manipulation von Smart-Home-Sicherungen</t>
  </si>
  <si>
    <r>
      <t xml:space="preserve">ja
C 3-2.2 
</t>
    </r>
    <r>
      <rPr>
        <sz val="7"/>
        <color rgb="FFFF0000"/>
        <rFont val="Arial"/>
        <family val="2"/>
      </rPr>
      <t>Achtung Nachweis / Obliegenheiten nach C1-2 wieder ausgehebelt
wo liegt der Vorteil zu Klausel nicht vorhanden</t>
    </r>
  </si>
  <si>
    <t>5 % der VS max 10.000 €  
(3.000 € Wertsachen 1.000 Bargeld)
auch Dachbxen und Wohnmobil</t>
  </si>
  <si>
    <t>C 3-2.3 + B 18</t>
  </si>
  <si>
    <t>5 % der VS max 10.000 €  
(3.000 € Wertsachen 1.000 Bargeld)
aus Innenraum (Kajüte, Backkisste oder Ähnliches)</t>
  </si>
  <si>
    <t>B 4-1.2 + C 3-2.5</t>
  </si>
  <si>
    <t>C  3-2.6</t>
  </si>
  <si>
    <t>Schäden durch Wildtiere
(Schalen- und Federwild nach BJagdG)</t>
  </si>
  <si>
    <t>5.000 € (nicht Balkon o. Terrase)</t>
  </si>
  <si>
    <t>10.000 € (nicht Balkon o. Terrase)</t>
  </si>
  <si>
    <t>7.500 € (nicht Balkon o. Terrase)</t>
  </si>
  <si>
    <t>3.000 €
nur durch Haarwild 
nach §2 Abs 1 Nr. BJagdG</t>
  </si>
  <si>
    <t>10.000 € (nicht Balkon o. Terrase)
sowie Waschbären inkl. Reinigungskosten (amtliche Meldung)</t>
  </si>
  <si>
    <t>C 3-2.8</t>
  </si>
  <si>
    <r>
      <t xml:space="preserve">INKLUSIVE
</t>
    </r>
    <r>
      <rPr>
        <sz val="7"/>
        <color rgb="FFFF0000"/>
        <rFont val="Arial"/>
        <family val="2"/>
      </rPr>
      <t>im Rahmen der VS</t>
    </r>
    <r>
      <rPr>
        <sz val="7"/>
        <rFont val="Arial"/>
        <family val="2"/>
      </rPr>
      <t xml:space="preserve">
(auch Fahrradanhänger, Pedelecs sowie E-Bikes ohne Zulassungspflicht und Elektromobile ohne Zulassungspflicht)
(nachweispflichtig sonst 150 €)</t>
    </r>
  </si>
  <si>
    <r>
      <t xml:space="preserve">im Rahmen der VS
</t>
    </r>
    <r>
      <rPr>
        <sz val="7"/>
        <color rgb="FFFF0000"/>
        <rFont val="Arial"/>
        <family val="2"/>
      </rPr>
      <t>(nachweispflichtig sonst 150 €)</t>
    </r>
  </si>
  <si>
    <t>C 3-3.3 a) + C 3-6.2 + C 3-1.4</t>
  </si>
  <si>
    <t>im Rahmen der VS
auch St/H und F</t>
  </si>
  <si>
    <t>2 % der VS
Grillgeräte, Outdoorküchen, Wäschespinnen (fest im Boden verankerte Skulpturen bis 1.000 €)
auch St/H im Rahmen der VS</t>
  </si>
  <si>
    <t>C 3-3.3 b) + d) +  C 3-6.2 + C 3-1.4</t>
  </si>
  <si>
    <t>Diebstahl von Garteninventar / -geräte 
(auf eingefriedetem Grundstück)</t>
  </si>
  <si>
    <t>Diebstahl von Rasenmähern 
(auf eingefriedetem Grundstück)</t>
  </si>
  <si>
    <t>Diebstahl von Wäsche auf der Leine 
(auf eingefriedetem Grundstück)</t>
  </si>
  <si>
    <t>Diebstahl von Gartenmöbeln und -geräten 
(auf eingefriedetem Grundstück)</t>
  </si>
  <si>
    <t>C 3-3.3 b) +  C 3-6.2 + C 3-1.4</t>
  </si>
  <si>
    <t>C 3-3.3 e) +  C 3-6.2 + C 3-1.4</t>
  </si>
  <si>
    <t>im Rahmen der VS
nicht nur von der Leine
(keine Pelze Leder- u. Alcantarawaren)
auch St/H und F</t>
  </si>
  <si>
    <t>im Rahmen der VS
Diebstahl von Gartengärte
auch St/H iund F</t>
  </si>
  <si>
    <t>C 3-3.3 d) + C 3-6.2 + C 3-1.4</t>
  </si>
  <si>
    <t>500 € 
(Wertsachen 100 €)
auch aus Pflege- oder Altenheims
sowie aus Praxisräumen(Arztbesuch)</t>
  </si>
  <si>
    <t>500 € 
(Wertsachen 250 €)
auch aus Pflege- oder Altenheims
sowie aus Praxisräumen(Arztbesuch)</t>
  </si>
  <si>
    <t>im Rahmen der VS 
(Wertsachen 1.000 €)
auch aus Pflege- oder Altenheims
sowie aus Praxisräumen(Arztbesuch)</t>
  </si>
  <si>
    <t>500 € 
(Wertsachen 100 €)
nur während der Arbeitszeiten
innerhalb eines Gebäudes</t>
  </si>
  <si>
    <t>500 € 
(Wertsachen 250 €)
nur während der Arbeitszeiten
innerhalb eines Gebäudes</t>
  </si>
  <si>
    <t>im Rahmen der VS
(Wertsachen 1.000 €)
nur während der Arbeitszeiten
innerhalb eines Gebäudes</t>
  </si>
  <si>
    <t>C 3-3.7</t>
  </si>
  <si>
    <t>allgemein einfacher Diebstahl
4 % der VS max. 5.000 €
(Wertsachen 1.000 €)
elektron.. Geräte zum Zeitwert 
oder Naturalersatz</t>
  </si>
  <si>
    <t>C 3-3.8</t>
  </si>
  <si>
    <t>1.000 € 
im Rahmen Opfer einer Strafttat
(amtliche Anzeige erforderlich)</t>
  </si>
  <si>
    <t>C 3-3.9</t>
  </si>
  <si>
    <t>1.000 € pro VF max 3.000 € VJ
(subsidär)</t>
  </si>
  <si>
    <t>10.000 €
auch nach Raub o. Diebstahl</t>
  </si>
  <si>
    <t>C 3-4.2</t>
  </si>
  <si>
    <t>C 3-5.2</t>
  </si>
  <si>
    <t>B 5-3.2.1 + C 3-5.2.2 + C 7-9</t>
  </si>
  <si>
    <t>auch falls erfordlich in Folge eines Nässeschadens im Rahmen der VS</t>
  </si>
  <si>
    <t>C 3-5.3.2 + LÜ</t>
  </si>
  <si>
    <t>C 3-5.4.3</t>
  </si>
  <si>
    <t>Bargeld        -      5.000 €
Urkunden    -   25.000 €
Schmuck     -  50.000 €</t>
  </si>
  <si>
    <t>B  18-3.2 + C 4-1</t>
  </si>
  <si>
    <r>
      <t xml:space="preserve">ja
auch Garagen am Wohnort des VN
</t>
    </r>
    <r>
      <rPr>
        <sz val="7"/>
        <color rgb="FFFF0000"/>
        <rFont val="Arial"/>
        <family val="2"/>
      </rPr>
      <t>max 3 km Luftlinie</t>
    </r>
  </si>
  <si>
    <t>max. 25.000 €
max. 24 Monate
weltweit</t>
  </si>
  <si>
    <t>max. 20.000 €
max. 6 Monate
weltweit</t>
  </si>
  <si>
    <t>max. 20.000 €
max. 3 Monate
weltweit</t>
  </si>
  <si>
    <t>C 5-3 + C 6-3</t>
  </si>
  <si>
    <r>
      <t xml:space="preserve">gegen Zuschlag
"Pendler-Wohnung"
</t>
    </r>
    <r>
      <rPr>
        <sz val="7"/>
        <color rgb="FFFF0000"/>
        <rFont val="Arial"/>
        <family val="2"/>
      </rPr>
      <t>im Rahmen der Außenversicherung</t>
    </r>
  </si>
  <si>
    <r>
      <t xml:space="preserve">bei Schäden &gt; 5.000 €
(auch Dienstreisen </t>
    </r>
    <r>
      <rPr>
        <sz val="7"/>
        <color rgb="FFFF0000"/>
        <rFont val="Arial"/>
        <family val="2"/>
      </rPr>
      <t>und Stornierung</t>
    </r>
    <r>
      <rPr>
        <sz val="7"/>
        <rFont val="Arial"/>
        <family val="2"/>
      </rPr>
      <t>)
max 10.000 € Rückreiseksoten</t>
    </r>
  </si>
  <si>
    <t>250 € pro Tag
keine zeitliche Begrenzung</t>
  </si>
  <si>
    <t>C 7-5</t>
  </si>
  <si>
    <t xml:space="preserve">auch für gemein. genutzte Türen </t>
  </si>
  <si>
    <r>
      <t xml:space="preserve">B 13-6 </t>
    </r>
    <r>
      <rPr>
        <sz val="7"/>
        <color rgb="FFFF0000"/>
        <rFont val="Arial"/>
        <family val="2"/>
      </rPr>
      <t>(C 7-6)</t>
    </r>
  </si>
  <si>
    <t>sowie vermuteter Notlage</t>
  </si>
  <si>
    <t>C 7-10</t>
  </si>
  <si>
    <t>B 13-12 + C 7-11</t>
  </si>
  <si>
    <t>C 7-14</t>
  </si>
  <si>
    <t>C 7-15</t>
  </si>
  <si>
    <t>C 8-3</t>
  </si>
  <si>
    <t>25.000 €
(Wertschachen 2.500 € Bargeld 1.000 €)
12 Monate</t>
  </si>
  <si>
    <t>C 8-5.1.1 / 8-5.1.2 + 8-5</t>
  </si>
  <si>
    <r>
      <t xml:space="preserve">bei VS = 650 € pro qm
</t>
    </r>
    <r>
      <rPr>
        <sz val="7"/>
        <color rgb="FFFF0000"/>
        <rFont val="Arial"/>
        <family val="2"/>
      </rPr>
      <t>und Wertsachen unter 30% der WS</t>
    </r>
    <r>
      <rPr>
        <sz val="7"/>
        <rFont val="Arial"/>
        <family val="2"/>
      </rPr>
      <t xml:space="preserve">
</t>
    </r>
    <r>
      <rPr>
        <sz val="7"/>
        <color rgb="FF00B050"/>
        <rFont val="Arial"/>
        <family val="2"/>
      </rPr>
      <t>sowie Schäden bis 5.000 €</t>
    </r>
  </si>
  <si>
    <r>
      <t xml:space="preserve">bei VS = 650 € pro qm
</t>
    </r>
    <r>
      <rPr>
        <sz val="7"/>
        <color rgb="FFFF0000"/>
        <rFont val="Arial"/>
        <family val="2"/>
      </rPr>
      <t>und Wertsachen unter 30% der WS</t>
    </r>
    <r>
      <rPr>
        <sz val="7"/>
        <rFont val="Arial"/>
        <family val="2"/>
      </rPr>
      <t xml:space="preserve">
sowie Schäden bis 500 €</t>
    </r>
  </si>
  <si>
    <r>
      <t xml:space="preserve">bei VS = 650 € pro qm
</t>
    </r>
    <r>
      <rPr>
        <sz val="7"/>
        <color rgb="FFFF0000"/>
        <rFont val="Arial"/>
        <family val="2"/>
      </rPr>
      <t>und Wertsachen unter 30% der WS</t>
    </r>
  </si>
  <si>
    <t>C 8-7 oder C 3-3.7</t>
  </si>
  <si>
    <t>allgemein einfacher Diebstahl
4 % der VS max. 5.000 €
elektron.. Geräte zum Zeitwert 
oder Naturalersatz</t>
  </si>
  <si>
    <t>C 10-1</t>
  </si>
  <si>
    <t>bis 250.000 €
(Achtung Ausschlüsse)</t>
  </si>
  <si>
    <t>C 10-2</t>
  </si>
  <si>
    <t>C 10-5 + 10-6</t>
  </si>
  <si>
    <t>C 10-4</t>
  </si>
  <si>
    <t>vereinbarte Versicherungssumme
(max 150%)</t>
  </si>
  <si>
    <t>* 'Verzicht auf Kürzung bei grober Fahrlässigkeit nach dem VF
(Obliegenheiten)
für Wertsachen - Wertpapiere
* Schadensübernahme bei unklarer Schadenszuständigkeit mit VVR</t>
  </si>
  <si>
    <t>* Schadensübernahme bei unklarer Schadenszuständigkeit mit VVR</t>
  </si>
  <si>
    <t>C 9-1</t>
  </si>
  <si>
    <t>C 1-2
C 10-3</t>
  </si>
  <si>
    <t>gegen Zuschlag
• inkl. Glaskeramikkockflächen
ggfls. inkl. Technick
erweiterte Kosten bis 1.000 €</t>
  </si>
  <si>
    <t>LÜ + D 4 + D 5</t>
  </si>
  <si>
    <t>LÜ + E + E 2</t>
  </si>
  <si>
    <t>gegen Zuschlag
Elektronikschutz für
- Haushaltsgeräte 
- Informations-, Unterhaltungs- u. 
kommunikationselektronik
(Bitte auf Klassifizierung achten)
5.000 € Fall
max. 20.000 € Jahr
1. Jahr 100 % des Neuwertes
2. Jahr  80 % des Neuwertes
3. Jahr  60 % des Neuwertes
4. Jahr  50 % des Neuwertes
5. Jahr  40 % des Neuwertes
...
9. Jahr  10 % des Neuwertes
SB 50 €</t>
  </si>
  <si>
    <t>a) die der Versicherungsnehmer oder sein Repräsentant sich zurechnen lassen muss, vorsätzlich herbeigeführt hat;
b) Kriegsereignisse jeder Art, Bürgerkrieg, Revolution, Rebellion, Aufstand oder Verfügung von hoher Hand (z.B. Beschlagnahme oder Verstaatlichung) oder durch Kernenergie (B2-2);
c) das Abhandenkommen der versicherten Sache;
d) gebrauchsbedingte Abnutzung und Verschleiß;
e) allmähliche Einwirkung (z.B. durch Feuchtigkeit, Trockenheit, Licht- und Temperatureinflüsse, Rost und Oxidation);
f) Witterungseinflüsse an im Freien befindlichen versicherten Sachen;
g) Tiere, Insekten, Schädlinge und Ungeziefer aller Art verursacht werden;
h) wenn die versicherte Sache nicht ihrer Bestimmung entsprechend oder nicht nach den Vorgaben des Herstellers verwendet oder gereinigt wird;
i) die nicht die Gebrauchs- oder Funktionsfähigkeit der versicherten Sache beeinträchtigen (z.B. Kratzer, Schrammen, Lackoder
ähnliche Schönheitsschäden);
j) durch magnetische Einwirkung, Computerviren, Softwarefehler/Softwareupdates, Programmierungsfehler oder das Löschen oder Ändern oder fehlerhaftes Lesen/Verarbeiten von Daten ohne gleichzeitige Zerstörung oder Beschädigung des Datenträgermaterials;
k) durch den Verlust von Daten (z.B. Bildern, Software, Downloads, Apps, Musik etc.)</t>
  </si>
  <si>
    <t>LÜ + G 1-6</t>
  </si>
  <si>
    <t>gegen Zuschlag
im Rahmen der VS
max 250.000 € (500.000 € pro Jahr)
SB 10 % mind. 1.000 €</t>
  </si>
  <si>
    <t>g) die an Tieren
q) an Glas, Keramik, Porzellan sowie Brillen und Kontaktlinsen und ähnlichen;
u) an mobilen elektronischen Geräten, wie z.B. Mobiltelefonen, Tablets, Foto-, Film- und Videogeräten;</t>
  </si>
  <si>
    <t>a) Sachen aus Glas, Keramik und Porzellan, Scheiben und
Platten aus Kunststoff sowie Brillen und Kontaktlinsen,
b) mobile elektronische Geräte (z.B. Mobiltelefone oder Laptops).</t>
  </si>
  <si>
    <t>A 3-3.1.1 (1) + B 21</t>
  </si>
  <si>
    <t>im Rahmen der VS
Grillgeräte, Outdoorküchen, Wäschespinnen (fest im Boden verankerte Skulpturen bis 10.000 €)
auch St/H und F</t>
  </si>
  <si>
    <t xml:space="preserve">
* Telefonische Erstberatung
ARAG-JuraTel (subsidär)
* Beitragsfreistellung bei !!!Arbeitslosigkeit!!! </t>
  </si>
  <si>
    <t>D; E Nr. 52
D; E Nr. 44</t>
  </si>
  <si>
    <t>D; A Nr. 7
D; E Nr. 50
D; E Nr. 51</t>
  </si>
  <si>
    <t xml:space="preserve">
* Schäden durch Radioaktive Isotope
* Kosten für Übergabeprotokoll bei Vermietung 2x pro Kalenderjahr
* Kosten für telefonische psychologische Betreuung nach ED, Raub o Groß-Schadenfall</t>
  </si>
  <si>
    <t>* Telefonische Erstberatung
ARAG-JuraTel (subsidär)
* Beitragsfreistellung bis 24 Monate 
bei !!!Arbeitslosigkeit!!! 
gegen Zuschlag 
erweiterbar auf 5 Jahre inkl. EU</t>
  </si>
  <si>
    <t>gegen Zuschlag
Beitragsfreistellung bis 5 Jahre  
bei !!!Arbeitslosigkeit + EU!!!</t>
  </si>
  <si>
    <t>G 2</t>
  </si>
  <si>
    <t>weitere Vorteile KombiVertrag
* Beitragsbefreiung bei Arbeitslosigkeit</t>
  </si>
  <si>
    <t>Klausel 7772-7775
Klausel 7771</t>
  </si>
  <si>
    <t>B28; §6 Nr.2.1b) - Kein Ausschluss 
B01; §6 Nr. 1.2
B28; §1 Nr.2b) + VBE zu §1 Nr. 2b)
B28; §4 Nr.3</t>
  </si>
  <si>
    <t>B28; §24</t>
  </si>
  <si>
    <t>*  Bonussystem bei SB-Tarifen
Reduzierung des SB wenn 5 Jahre Schadenfrei
* SFR-System 
25% wenn 5 Jahre Schadenfrei</t>
  </si>
  <si>
    <r>
      <t>* Zubehör von Kfz und Anhängern
* Keine Kündigungsfristen für VN
* Schäden durch Radioaktive Isotope
* Rohrverstopfungen</t>
    </r>
    <r>
      <rPr>
        <u/>
        <sz val="7"/>
        <rFont val="Arial"/>
        <family val="2"/>
      </rPr>
      <t/>
    </r>
  </si>
  <si>
    <t>ITL Infinitus QM</t>
  </si>
  <si>
    <t>100.000 €</t>
  </si>
  <si>
    <r>
      <t xml:space="preserve">C 2-2
C 4-2
C 3-3.3 f) + g) + C 3-6.2
C 7-10
</t>
    </r>
    <r>
      <rPr>
        <sz val="7"/>
        <color rgb="FF00B050"/>
        <rFont val="Arial"/>
        <family val="2"/>
      </rPr>
      <t>C 7-9</t>
    </r>
  </si>
  <si>
    <t>* Schäden durch Radioaktive Isotope
* bis 1% der VS für  einfacher Diebstahl von
- Waschmaschienen und Trockner
Schafe, Ziegen, Hasen, Kaninchen und Geflügel einschl. Futter- und Streuvorräte
auf dem Grundstück (privat)</t>
  </si>
  <si>
    <t>C 2-2
C 3-3.3.1  f)+ g)</t>
  </si>
  <si>
    <r>
      <t xml:space="preserve">* Schäden durch Radioaktive Isotope
* Zubehör von Kfz und Anhängern
(subsidär)
im Rahmen der VS
'* im Rahmen der VS für einfacher Diebstahl von
- Waschmaschienen und Trockner
auch St/H iund F für
Schafe, Ziegen, Hasen, Kaninchen und Geflügel einschl. Vorräte
auf dem Grundstück (privat)
* einfacher Diebstahl von Bekleidung 
bei schulischen Veranstaltungen 
bzw. aus Umkleiden von Sportstätten
im Rahmen der VS
* Vandalismus an vers. Sachen
bis 10.000 € auf dem Grundstück
(keine Fahrräder)
* Mietkosten im Rahmen der VS
für Waschmaschine &amp; Co.
</t>
    </r>
    <r>
      <rPr>
        <sz val="7"/>
        <color rgb="FF92D050"/>
        <rFont val="Arial"/>
        <family val="2"/>
      </rPr>
      <t xml:space="preserve">
</t>
    </r>
    <r>
      <rPr>
        <sz val="7"/>
        <color rgb="FF00B050"/>
        <rFont val="Arial"/>
        <family val="2"/>
      </rPr>
      <t>* Mehrkosten bei Beauftragung von nachhaltigen Unternehmen 20 % der Entschädigungsleistung max 1.000 €
(abtimmungspflichtig mit VR)</t>
    </r>
    <r>
      <rPr>
        <sz val="7"/>
        <rFont val="Arial"/>
        <family val="2"/>
      </rPr>
      <t xml:space="preserve">
* Kosten für telefonische psychologische Betreuung nach ED, Raub o Groß-Schadenfall
* Kosten für Übergabeprotokoll bei Vermietung 2x pro Kalenderjahr</t>
    </r>
  </si>
  <si>
    <r>
      <t xml:space="preserve">C 2-2
C 4-2
C 3-3.3 f) + g) + C 3-6.2 + C 3-1.4
C 3-3.6
C 7-13
</t>
    </r>
    <r>
      <rPr>
        <sz val="7"/>
        <color rgb="FF00B050"/>
        <rFont val="Arial"/>
        <family val="2"/>
      </rPr>
      <t xml:space="preserve">C 7-12
</t>
    </r>
    <r>
      <rPr>
        <sz val="7"/>
        <rFont val="Arial"/>
        <family val="2"/>
      </rPr>
      <t xml:space="preserve">C 2-2
C 9-2
</t>
    </r>
  </si>
  <si>
    <r>
      <t xml:space="preserve">C 2-2
C 4-1
C 3-3.3 f) + g) + C 3-6.2
C 7-10
</t>
    </r>
    <r>
      <rPr>
        <sz val="7"/>
        <color rgb="FF00B050"/>
        <rFont val="Arial"/>
        <family val="2"/>
      </rPr>
      <t>C 7-9</t>
    </r>
  </si>
  <si>
    <r>
      <t xml:space="preserve">
* Schäden durch Radioaktive Isotope
* Zubehör von Kfz und Anhängern
(subsidär)
2 % der VS max 3.000 €
'* bis 2 % der VS für einfacher Diebstahl von
- Waschmaschienen und Trockner
Schafe, Ziegen, Hasen, Kaninchen und Geflügel einschl. Futter- und Streuvorräte
auf dem Grundstück (privat)
auch St/H im Rahmen der VS
* Mietkosten bis 1.000 €
für Waschmaschine &amp; Co.
</t>
    </r>
    <r>
      <rPr>
        <sz val="7"/>
        <color rgb="FF00B050"/>
        <rFont val="Arial"/>
        <family val="2"/>
      </rPr>
      <t>* Mehrkosten bei Beauftragung von nachhaltigen Unternehmen 20 % der Entschädigungsleistung max 500 €
(abtimmungspflichtig mit VR)</t>
    </r>
  </si>
  <si>
    <r>
      <t xml:space="preserve">
* Schäden durch Radioaktive Isotope
* Zubehör von Kfz und Anhängern
(subsidär)
3.000 €
* bis 20 € pro qm max 5.000 € für einfacher Diebstahl von
- Waschmaschienen und Trockner
Schafe, Ziegen, Hasen, Kaninchen und Geflügel einschl. Futter- und Streuvorräte
auf dem Grundstück (privat)
auch St/H im Rahmen der VS
* Mietkosten bis 1.000 €
für Waschmaschine &amp; Co.
</t>
    </r>
    <r>
      <rPr>
        <sz val="7"/>
        <color rgb="FF00B050"/>
        <rFont val="Arial"/>
        <family val="2"/>
      </rPr>
      <t>* Mehrkosten bei Beauftragung von nachhaltigen Unternehmen 20 % der Entschädigungsleistung max 500 €
(abtimmungspflichtig mit VR)</t>
    </r>
  </si>
  <si>
    <t>C 3-6.3 + LÜ</t>
  </si>
  <si>
    <t>20 € pro qm
max 5.000 €  (1.000 € Wertsachen)
auch Dachbxen und Wohnmobil</t>
  </si>
  <si>
    <t>20 € pro qm
max 5.000 €  (1.000 € Wertsachen)
aus Innenraum (Kajüte, Backkisste oder Ähnliches)</t>
  </si>
  <si>
    <r>
      <t xml:space="preserve">20 € pro qm
</t>
    </r>
    <r>
      <rPr>
        <sz val="7"/>
        <color rgb="FFFF0000"/>
        <rFont val="Arial"/>
        <family val="2"/>
      </rPr>
      <t>(nachweispflichtig sonst 150 €)</t>
    </r>
  </si>
  <si>
    <t>20 € pro qm
auch St/H im Rahmen der VS</t>
  </si>
  <si>
    <t>20 € pro qm
nicht nur von der Leine
(keine Pelze Leder- u. Alcantarawaren)
auch St/H im Rahmen der VS</t>
  </si>
  <si>
    <t>20 € pro qm, max 1.000 €
(innerhalb des Versicherungsorts)</t>
  </si>
  <si>
    <t>1.000 €
auch nach Raub o. Diebstahl</t>
  </si>
  <si>
    <t>1.000 €
durch Unfall mit Bus, Bahn, Taxi Mietwagen (PKW)</t>
  </si>
  <si>
    <t>ITL VHB 2021 QM-Modell
(2021-01)</t>
  </si>
  <si>
    <t>korrekte WFl. max 15% Abweichung
sowie Schäden bis 500 €</t>
  </si>
  <si>
    <t>VHB Nr.6 / S.26</t>
  </si>
  <si>
    <t>INKLUSIVE
20 € pro qm  
(max. 5.000 €) gegen Zuschlag erhöbar
(auch Fahrradanhänger, Pedelecs sowie E-Bikes ohne Zulassungspflicht und Elektromobile ohne Zulassungspflicht)
(nachweispflichtig sonst 150 €)</t>
  </si>
  <si>
    <t>B 14 - 2</t>
  </si>
  <si>
    <t>enfällt
(Höchstentschädigungsgrenze VS)</t>
  </si>
  <si>
    <t>Maklerinfo 2021-04</t>
  </si>
  <si>
    <t>VHB 2021 S.26 + C 3-3.1</t>
  </si>
  <si>
    <t xml:space="preserve">unbegrenzt </t>
  </si>
  <si>
    <t>LÜ + VHB Nr.6 / S.27</t>
  </si>
  <si>
    <t>korrekte WFl. max 20% Abweichung
sowie Schäden bis 5.000 €</t>
  </si>
  <si>
    <t>C 8-5.1 / 8-5.2 + 8-4</t>
  </si>
  <si>
    <t>für die Grundgefahren
inkl. Erhöhung Sublimits u. geingere SB
(Achtung Auschlüsse / und gilt nicht  für Zusatzbausteine)</t>
  </si>
  <si>
    <t>ja
(Achtung Auschlüsse / und gilt nicht  für Zusatzbausteine)</t>
  </si>
  <si>
    <t>C 6-1 + (B 12-1.2)</t>
  </si>
  <si>
    <t>vermietete Einliegerwohnung des selbstbewohnten EFH
(VS muss berücksichtigt werden)
"Pendler-Wohnung" bis 25.000 €
(Wertschachen 2.500 € Bargeld 1.000 €)</t>
  </si>
  <si>
    <t>vermietete Einliegerwohnung des selbstbewohnten EFH
(WF muss berücksichtigt werden)
"Pendler-Wohnung" bis 25.000 €
(Wertschachen 2.500 € Bargeld 1.000 €)</t>
  </si>
  <si>
    <t>C 8-2</t>
  </si>
  <si>
    <t>im Rahmen der Wertsachen</t>
  </si>
  <si>
    <t>auch Druckwellen durch Luft-Fz</t>
  </si>
  <si>
    <t>C 3-5.4.2</t>
  </si>
  <si>
    <t>Reinigungs- und Planschwasser</t>
  </si>
  <si>
    <t>für Spind oder Schließfach gilt auch außerhalb (dann aber nicht Wertsachen oder elektr. Geräte bzw. Foto/Film</t>
  </si>
  <si>
    <t>B 4-1.4 (+ 4-4.2 + 4-3)</t>
  </si>
  <si>
    <t>B 12-4 + C 3-2.8</t>
  </si>
  <si>
    <t xml:space="preserve">ja, auch bei z.B. Ohnmacht 
(inkl Herbeischaffen) </t>
  </si>
  <si>
    <t>B 12-4 + C 3-2.4</t>
  </si>
  <si>
    <t>max 10.000 €  
(3.000 € Wertsachen 1.000 Bargeld)
auch Dachbxen und Wohnmobil</t>
  </si>
  <si>
    <t>max 10.000 €  
(3.000 € Wertsachen 1.000 Bargeld)
aus Innenraum (Kajüte, Backkisste oder Ähnliches)</t>
  </si>
  <si>
    <t>C 8-6 oder C 3-3.7</t>
  </si>
  <si>
    <t>im Rahmen der VS
diverse Besonderheiten und teilweise schon über allgemeine Außenversicherung gedeckt darüberhinaus Transportmittelunfall 
Feuchtigkeitsschäden u. höhere Gewalt
- mind. 4 Tage + 50 km 
- berufl.Gep.nur gegen Vereinb.
------------------------------------------------
allgemein einfacher Diebstahl
25 € pro qm  max. 5.000 €
(Wertsachen 1.000 €)
elektron.. Geräte zum Zeitwert 
oder Naturalersatz</t>
  </si>
  <si>
    <t>im Rahmen der VS
diverse Besonderheiten und teilweise schon über allgemeine Außenversicherung gedeckt darüberhinaus Transportmittelunfall 
Feuchtigkeitsschäden u. höhere Gewalt
- mind. 4 Tage + 50 km 
- berufl.Gep.nur gegen Vereinb.
------------------------------------------------
allgemein einfacher Diebstahl
4 % der VS  max. 5.000 €
(Wertsachen 1.000 €)
elektron.. Geräte zum Zeitwert 
oder Naturalersatz</t>
  </si>
  <si>
    <t>allgemein einfacher Diebstahl
25 € pro qm max. 5.000 €
elektron.. Geräte zum Zeitwert 
oder Naturalersatz</t>
  </si>
  <si>
    <t>allgemein einfacher Diebstahl
25 € pro qm max. 5.000 €
(Wertsachen 1.000 €)
elektron.. Geräte zum Zeitwert 
oder Naturalersatz</t>
  </si>
  <si>
    <t xml:space="preserve">G 1-3 </t>
  </si>
  <si>
    <t>Teil F</t>
  </si>
  <si>
    <t>im Rahmen von
Diebstahl von Gartengärte
20 € pro qm
auch St/H im Rahmen der VS</t>
  </si>
  <si>
    <t xml:space="preserve">
Lebensmittel und Medikamente
(kein Verschleiß o. angekündigte Stromabschaltung)</t>
  </si>
  <si>
    <t>10.000 €
(Wertschachen 1.000 €)
12 Monate</t>
  </si>
  <si>
    <t>B 14-2.2 + C 8-3</t>
  </si>
  <si>
    <t>C 8-6.1.1 / 8-6.1.2 + 8-5</t>
  </si>
  <si>
    <t>B 14-2 + 14-2.2 + 17-3 + C 8-3</t>
  </si>
  <si>
    <r>
      <t xml:space="preserve">2.000 €
</t>
    </r>
    <r>
      <rPr>
        <sz val="7"/>
        <color rgb="FFFF0000"/>
        <rFont val="Arial"/>
        <family val="2"/>
      </rPr>
      <t>(100 € SB)</t>
    </r>
  </si>
  <si>
    <t>C 7-10 + afm SB Nr. 2</t>
  </si>
  <si>
    <t>Bargeld        -      1.500 €
Urkunden    -     5.000 €
Schmuck     -  25.000 €</t>
  </si>
  <si>
    <t>B  18-3.2 + afm SB Nr. 1</t>
  </si>
  <si>
    <t>ITL Eurosecure Plus QM afm</t>
  </si>
  <si>
    <t>max bis 250 €  (300 € afm)
VHB 2021 Nr. 6</t>
  </si>
  <si>
    <t>max bis 250 qm  (300 qm afm)
VHB 2021 Nr. 6</t>
  </si>
  <si>
    <t>Vorschäden</t>
  </si>
  <si>
    <t>2 und mehr 
in den letzten 5 Kalenderjahren (3 afm) 
ED- Schaden höher 10.000 €</t>
  </si>
  <si>
    <t>HKD VHB 2016
(2019-01)+(2021-01)</t>
  </si>
  <si>
    <t>HKDVHB 2016
(2019-01)+(2021-01)</t>
  </si>
  <si>
    <t>B1 Nr. 14.6
(in 2021-01 ergäzend § 4 Nr. 6 g) )</t>
  </si>
  <si>
    <t>A §6 Nr. 3a + B1 Nr. 11.3
(in 2021-01 klarstellung)</t>
  </si>
  <si>
    <t>VHB 2016 - Stand 2019-01
zu
VHB 2016 - Stand 2021-01
nur leichte Anpassung Wording 
A § 6 Nr 4 g) ergänzt bzg. B Nr. 14.6
A § 9 Nr. 1 d) Verweis
B Nr. 11.3 Klarstellung
C1 Nr. 4 b) Gefahren benannt
C2. Nr. AXA gegen Dienstleister
C3 Nr. 2) zuätzlich benannter Auschluss
C5 Nr, 4 Klarstellung</t>
  </si>
  <si>
    <t>Inkl.
500 € je VF für Fahrkosten und Notreparatur sonst nur Vermittlung
• Schlüsseldienst max 1x im VJ
• Rohrreinigung
• Sanitär-Installations-Service Notfall 
• Elektro-Installations-Service Notfall
 sowie weitere Leistungen zu Dienstleistern im Rahmen der Organisation der Dienste
• Entfernung von Nestern (Hornissen/Wespen/Bienen)</t>
  </si>
  <si>
    <t>inkl. 
500 € je VF für Fahrkosten und Notreparatur sonst nur Vermittlung
• Schlüsseldienst max 1x im VJ
• Rohrreinigung
• Sanitär-Installations-Service Notfall 
• Elektro-Installations-Service Notfall
 sowie weitere Leistungen zu Dienstleistern im Rahmen der Organisation der Dienste
• Entfernung von Nestern (Hornissen/Wespen/Bienen)</t>
  </si>
  <si>
    <t>C2 
in 2021-01 AXA gegen Dienstleister</t>
  </si>
  <si>
    <t>aktuell
(geprüft am 06.07.2021)</t>
  </si>
  <si>
    <t>optinaler Baustein
Fahrradschutzbrief
bei Panne / Unfall
über Roland für 21 € p.a.</t>
  </si>
  <si>
    <t>BB Basic Nr. 13
2021-02 verbessert</t>
  </si>
  <si>
    <t>Sicherungsmaßnahmen</t>
  </si>
  <si>
    <t>BB Classic Nr. 20
2021-02 verbessert</t>
  </si>
  <si>
    <t>BB Classic - Stand 2020-02
zu
BB Classic - Stand 2021-02
nur leichte Anpassung Wording 
Nr. 20 verbessert
Nr. 45 Zif. 3 überflüssiger Zusatz gestr.</t>
  </si>
  <si>
    <t xml:space="preserve">BB Basis - Stand 2020-02
zu
BB Basis - Stand 2021-02
nur leichte Anpassung Wording 
Nr. 13 verbessert
</t>
  </si>
  <si>
    <t>Ammerländer Excellent
(2020-02)</t>
  </si>
  <si>
    <t>Erweiterte Vorsorge gegenüber Wettbewerbsbedingungen | Best-Leistungs-Garantie (im Rahmen der VS)
(Achtung Auschlüsse / nicht Zusatzbausteine)</t>
  </si>
  <si>
    <t>Pro-Aktive Schadenrsregulierung VR
inkl. Erhöhung Sublimits u. geingere SB</t>
  </si>
  <si>
    <t>inkl. 
Erhöhung Sublimits 
und. geingere SB</t>
  </si>
  <si>
    <t>BB Exclellent Nr 72 
Tarif S. 29</t>
  </si>
  <si>
    <t>BB Exclellent Nr 94 + LÜ</t>
  </si>
  <si>
    <t>BB Exclellent Nr 95</t>
  </si>
  <si>
    <t>BB Excellent Nr. 15
BB Excellent Nr. 17
BB Excellent Nr. 13
BB Excellent Nr. 78
BB Excellent Nr. 52
BB Excellent Nr. 65
BB Excellent Nr. 66
BB Excellent Nr. 96
BB Excellent Nr. 91
BB Excellent Nr. 90</t>
  </si>
  <si>
    <t>Konditionsdifferenzdeckung –
längstens für 12 Monate 
Einmalbeitrag: 25,- EURO netto pauschal
BB Exellent Nr. 97</t>
  </si>
  <si>
    <t>ja
10 % SB mind. 500 €</t>
  </si>
  <si>
    <t>Nicht versichert sind im Rahmen der Versicherung gegen unbenannte
Gefahren ohne Rücksicht auf mitwirkende Ursachen Schäden
a) die nach den zugrunde liegenden VHB 2014 versichert oder versicherbar sind, einschließlich den dort benannten Ausschlüssen;
b) an und durch Personen und Tiere aller Art;
c) an und durch Haustiere; Folgeschäden sind jedoch versichert;
d) durch Abnutzung, Verschleiß, Alterung, Rost, Schimmel, Fäulnis, Insekten, Schädlinge oder durch die natürliche oder mangelhafte Beschaffenheit versicherter Sachen;
e) durch Mängel, die bei Abschluss der Versicherung bereits vorhanden
waren und dem Versicherungsnehmer oder dessen Repräsentanten bekannt waren oder bekannt sein mussten;
f) durch fehlerhafte Konstruktion, Planung oder Instandhaltung versicherter Sachen;
g) durch Baumaßnahmen (auch Renovierung oder Restaurierung) auf dem Versicherungsgrundstück;
h) durch Bedienungsfehler, Bearbeitung, Reinigung, Reparatur oder Wartung, bestimmungswidrigen Gebrauch oder übermäßige Beanspruchung;
i) durch die allmähliche Einwirkung (z. B. von Chemikalien, Feuchtigkeit, Staub, Strahlen oder Temperaturen);
j) die nicht die Gebrauchs- oder Funktionsfähigkeit der versicherten
Sache beeinträchtigen (z.B. Kratzer, Schrammen, Lack- oder ähnliche Schönheitsschäden);
k) durch einfachen Diebstahl, Verlieren, Stehen- oder Liegenlassen,
Unterschlagung oder Veruntreuung versicherter Sachen;
l) durch Überschwemmung, Starkregen, Rückstau, Erdbeben, Erdsenkung, Erdrutsch, Schneedruck, Lawinen, Vulkanausbruch, Grundwasser, Sturmflut-</t>
  </si>
  <si>
    <t>a) Sachen aus Glas, Keramik, Porzellan sowie Brillen und Kontaktlinsen;
b) elektronische Geräte;
c) Sportgeräte, Fahrräder und Fahrradanhänger außerhalb des
Versicherungsortes.</t>
  </si>
  <si>
    <t>BB Exccellent Nr. 93 Ziff. 4</t>
  </si>
  <si>
    <t>BB Exccellent Nr. 93 Ziff. 2</t>
  </si>
  <si>
    <t>BB Exccellent Nr. 93 Ziff. 3</t>
  </si>
  <si>
    <t>unbenannte Gefahren
ACHTUNG immer Ausschlüsse beachten</t>
  </si>
  <si>
    <t>unbenannte Gefahren
(ACHTUNG immer Ausschlüsse beachten)</t>
  </si>
  <si>
    <t>BB Exellent Nr. 25
2021-02 verbessert</t>
  </si>
  <si>
    <t>Ammerländer VHB 2014 
BB Exce - Stand 2021-02</t>
  </si>
  <si>
    <t>aktuell
(geprüft am 07.07.2021)</t>
  </si>
  <si>
    <t>Ammerländer VHB 2014 
BB Basis - Stand 2021-02 (wie 2020-02)</t>
  </si>
  <si>
    <t>Ammerländer VHB 2014 
BB Cl - Stand 2021-02 (wie 2020-02)</t>
  </si>
  <si>
    <t>BB Exellent Nr. 25</t>
  </si>
  <si>
    <t>Ammerländer VHB 2014 
BB Excl - Stand 2021-02 (wie2020-02)</t>
  </si>
  <si>
    <t>BB EConomic - Stand 2020-02
zu
BB EConomic - Stand 2021-02
nur leichte Anpassung Wording 
Nr. 15 verbessert
Nr. 36 Zif. 3 überflüssiger Zusatz gestr.</t>
  </si>
  <si>
    <t>BB Exklusiv - Stand 2020-02
zu
BB Exclusiv - Stand 2021-02
nur leichte Anpassung Wording 
Nr. 23 verbessert
Nr. 63 Zif. 3 überflüssiger Zusatz gestr.</t>
  </si>
  <si>
    <t>Ammerländer VHB 2014 
BB Com - Stand 2021-02 (wie 2020-02)</t>
  </si>
  <si>
    <t>Ammerländer VHB 2014 
BB Eco - Stand 2021-02 (wie 2020-02)</t>
  </si>
  <si>
    <t>BB Comfort Nr. 23
2021-02 verbessert</t>
  </si>
  <si>
    <t>BB Exconomic Nr. 15
2021-02 verbessert</t>
  </si>
  <si>
    <t>BB Exclusiv Nr. 23
2021-02 verbessert</t>
  </si>
  <si>
    <t>BB Comfort - Stand 2020-02
zu
BB Comfort - Stand 2021-02
nur leichte Anpassung Wording 
Nr. 23 verbessert
Nr. 59 Zif. 3 überflüssiger Zusatz gestr.</t>
  </si>
  <si>
    <t>aktuell
(geprüft am 09.07.2021)</t>
  </si>
  <si>
    <t>aktuell
(geprüft am 02.07.2021)</t>
  </si>
  <si>
    <t>aktuell
(geprüft am 08.07.2021)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</si>
</sst>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0\ &quot;€&quot;;[Red]\-#,##0\ &quot;€&quot;"/>
    <numFmt numFmtId="164" formatCode="#,##0.00\ [$€-1]"/>
    <numFmt numFmtId="165" formatCode="#,##0\ [$€-1]"/>
    <numFmt numFmtId="166" formatCode="#,##0.00\ &quot;€&quot;"/>
    <numFmt numFmtId="167" formatCode="#,##0\ &quot;€&quot;"/>
  </numFmts>
  <fonts count="27">
    <font>
      <sz val="10"/>
      <name val="Arial"/>
    </font>
    <font>
      <sz val="8"/>
      <name val="Arial"/>
      <family val="2"/>
    </font>
    <font>
      <b/>
      <sz val="10"/>
      <name val="Arial"/>
      <family val="2"/>
    </font>
    <font>
      <sz val="8"/>
      <name val="Arial"/>
      <family val="2"/>
    </font>
    <font>
      <b/>
      <sz val="8"/>
      <name val="Arial"/>
      <family val="2"/>
    </font>
    <font>
      <b/>
      <sz val="7"/>
      <color indexed="9"/>
      <name val="Arial"/>
      <family val="2"/>
    </font>
    <font>
      <sz val="7"/>
      <name val="Arial"/>
      <family val="2"/>
    </font>
    <font>
      <b/>
      <sz val="7"/>
      <name val="Arial"/>
      <family val="2"/>
    </font>
    <font>
      <i/>
      <u/>
      <sz val="7"/>
      <name val="Arial"/>
      <family val="2"/>
    </font>
    <font>
      <b/>
      <u/>
      <sz val="7"/>
      <name val="Arial"/>
      <family val="2"/>
    </font>
    <font>
      <sz val="7"/>
      <name val="Wingdings 2"/>
      <family val="1"/>
      <charset val="2"/>
    </font>
    <font>
      <sz val="7"/>
      <color indexed="10"/>
      <name val="Arial"/>
      <family val="2"/>
    </font>
    <font>
      <u/>
      <sz val="7"/>
      <name val="Arial"/>
      <family val="2"/>
    </font>
    <font>
      <b/>
      <sz val="7"/>
      <color theme="0"/>
      <name val="Arial"/>
      <family val="2"/>
    </font>
    <font>
      <sz val="10"/>
      <name val="Arial"/>
      <family val="2"/>
    </font>
    <font>
      <sz val="7"/>
      <color rgb="FFFF0000"/>
      <name val="Arial"/>
      <family val="2"/>
    </font>
    <font>
      <i/>
      <sz val="7"/>
      <name val="Arial"/>
      <family val="2"/>
    </font>
    <font>
      <sz val="7"/>
      <color theme="1"/>
      <name val="Arial"/>
      <family val="2"/>
    </font>
    <font>
      <b/>
      <sz val="7"/>
      <color theme="1"/>
      <name val="Arial"/>
      <family val="2"/>
    </font>
    <font>
      <b/>
      <i/>
      <sz val="9"/>
      <color indexed="9"/>
      <name val="Arial"/>
      <family val="2"/>
    </font>
    <font>
      <sz val="10"/>
      <color rgb="FFFF0000"/>
      <name val="Arial"/>
      <family val="2"/>
    </font>
    <font>
      <b/>
      <u/>
      <sz val="10"/>
      <name val="Arial"/>
      <family val="2"/>
    </font>
    <font>
      <u/>
      <sz val="10"/>
      <name val="Arial"/>
      <family val="2"/>
    </font>
    <font>
      <sz val="7"/>
      <color theme="3" tint="0.39997558519241921"/>
      <name val="Arial"/>
      <family val="2"/>
    </font>
    <font>
      <sz val="10"/>
      <color rgb="FF9C0006"/>
      <name val="Arial"/>
      <family val="2"/>
    </font>
    <font>
      <sz val="7"/>
      <color rgb="FF00B050"/>
      <name val="Arial"/>
      <family val="2"/>
    </font>
    <font>
      <sz val="7"/>
      <color rgb="FF92D050"/>
      <name val="Arial"/>
      <family val="2"/>
    </font>
  </fonts>
  <fills count="17">
    <fill>
      <patternFill patternType="none"/>
    </fill>
    <fill>
      <patternFill patternType="gray125"/>
    </fill>
    <fill>
      <patternFill patternType="solid">
        <fgColor indexed="6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1"/>
        <bgColor indexed="64"/>
      </patternFill>
    </fill>
    <fill>
      <patternFill patternType="solid">
        <fgColor rgb="FFFFC000"/>
        <bgColor indexed="64"/>
      </patternFill>
    </fill>
    <fill>
      <patternFill patternType="solid">
        <fgColor rgb="FF1D2D4B"/>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C7CE"/>
      </patternFill>
    </fill>
    <fill>
      <patternFill patternType="solid">
        <fgColor theme="5" tint="0.79998168889431442"/>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3"/>
      </left>
      <right/>
      <top style="thin">
        <color indexed="63"/>
      </top>
      <bottom/>
      <diagonal/>
    </border>
    <border>
      <left/>
      <right style="thin">
        <color indexed="63"/>
      </right>
      <top style="thin">
        <color indexed="63"/>
      </top>
      <bottom/>
      <diagonal/>
    </border>
    <border>
      <left/>
      <right style="thin">
        <color indexed="64"/>
      </right>
      <top/>
      <bottom style="thin">
        <color indexed="64"/>
      </bottom>
      <diagonal/>
    </border>
  </borders>
  <cellStyleXfs count="3">
    <xf numFmtId="0" fontId="0" fillId="0" borderId="0"/>
    <xf numFmtId="0" fontId="14" fillId="0" borderId="0"/>
    <xf numFmtId="0" fontId="24" fillId="15" borderId="0" applyNumberFormat="0" applyBorder="0" applyAlignment="0" applyProtection="0"/>
  </cellStyleXfs>
  <cellXfs count="334">
    <xf numFmtId="0" fontId="0" fillId="0" borderId="0" xfId="0"/>
    <xf numFmtId="0" fontId="0" fillId="0" borderId="0" xfId="0" applyBorder="1"/>
    <xf numFmtId="0" fontId="0" fillId="0" borderId="0" xfId="0" applyBorder="1" applyAlignment="1">
      <alignment wrapText="1"/>
    </xf>
    <xf numFmtId="0" fontId="2" fillId="0" borderId="0" xfId="0" applyFont="1" applyBorder="1" applyAlignment="1">
      <alignment vertical="center"/>
    </xf>
    <xf numFmtId="0" fontId="0" fillId="0" borderId="0" xfId="0" applyFill="1" applyBorder="1"/>
    <xf numFmtId="0" fontId="6" fillId="0" borderId="0" xfId="0" applyFont="1" applyBorder="1"/>
    <xf numFmtId="0" fontId="6" fillId="0" borderId="3" xfId="0" applyFont="1" applyFill="1" applyBorder="1" applyAlignment="1">
      <alignment vertical="center"/>
    </xf>
    <xf numFmtId="165" fontId="6" fillId="0" borderId="3" xfId="0" applyNumberFormat="1" applyFont="1" applyFill="1" applyBorder="1" applyAlignment="1">
      <alignment horizontal="center" vertical="center" wrapText="1"/>
    </xf>
    <xf numFmtId="0" fontId="6" fillId="0" borderId="0" xfId="0" applyFont="1" applyFill="1" applyBorder="1" applyAlignment="1">
      <alignment vertical="center"/>
    </xf>
    <xf numFmtId="0" fontId="7" fillId="0" borderId="0" xfId="0" applyNumberFormat="1" applyFont="1" applyBorder="1" applyAlignment="1">
      <alignment horizontal="center" vertical="center" wrapText="1"/>
    </xf>
    <xf numFmtId="0" fontId="5" fillId="2" borderId="2" xfId="0" applyFont="1" applyFill="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vertical="center"/>
    </xf>
    <xf numFmtId="49" fontId="6" fillId="0" borderId="4" xfId="0" applyNumberFormat="1" applyFont="1" applyFill="1" applyBorder="1" applyAlignment="1">
      <alignment horizontal="center" vertical="center" wrapText="1"/>
    </xf>
    <xf numFmtId="0" fontId="4" fillId="0" borderId="0" xfId="0" applyFont="1" applyFill="1" applyBorder="1" applyAlignment="1">
      <alignment horizontal="right" vertical="center" indent="3"/>
    </xf>
    <xf numFmtId="0" fontId="4" fillId="0" borderId="0" xfId="0" applyFont="1" applyBorder="1" applyAlignment="1">
      <alignment horizontal="right" vertical="center" indent="3"/>
    </xf>
    <xf numFmtId="0" fontId="3" fillId="0" borderId="0" xfId="0" applyFont="1" applyFill="1" applyBorder="1"/>
    <xf numFmtId="0" fontId="7" fillId="0" borderId="0" xfId="0" applyFont="1" applyBorder="1" applyAlignment="1">
      <alignment vertical="center"/>
    </xf>
    <xf numFmtId="0" fontId="5" fillId="2" borderId="5" xfId="0" applyNumberFormat="1" applyFont="1" applyFill="1" applyBorder="1" applyAlignment="1">
      <alignment horizontal="center" vertical="center" wrapText="1"/>
    </xf>
    <xf numFmtId="0" fontId="7" fillId="0" borderId="0" xfId="0" applyFont="1" applyBorder="1" applyAlignment="1">
      <alignment horizontal="right" vertical="center" indent="3"/>
    </xf>
    <xf numFmtId="0" fontId="6" fillId="0" borderId="0" xfId="0" applyFont="1" applyBorder="1" applyAlignment="1">
      <alignment vertical="center"/>
    </xf>
    <xf numFmtId="165" fontId="6" fillId="0" borderId="0" xfId="0" applyNumberFormat="1" applyFont="1" applyFill="1" applyBorder="1" applyAlignment="1">
      <alignment horizontal="center" vertical="center" wrapText="1"/>
    </xf>
    <xf numFmtId="0" fontId="5" fillId="2" borderId="5" xfId="0" applyFont="1" applyFill="1" applyBorder="1" applyAlignment="1">
      <alignment vertical="center" wrapText="1"/>
    </xf>
    <xf numFmtId="0" fontId="6" fillId="0" borderId="0" xfId="0" applyFont="1" applyBorder="1" applyAlignment="1">
      <alignment vertical="center" wrapText="1"/>
    </xf>
    <xf numFmtId="0" fontId="5" fillId="2" borderId="6" xfId="0" applyFont="1" applyFill="1" applyBorder="1" applyAlignment="1">
      <alignment vertical="center" wrapText="1"/>
    </xf>
    <xf numFmtId="0" fontId="5" fillId="2" borderId="6" xfId="0" applyNumberFormat="1" applyFont="1" applyFill="1" applyBorder="1" applyAlignment="1">
      <alignment horizontal="center" vertical="center" wrapText="1"/>
    </xf>
    <xf numFmtId="0" fontId="7" fillId="3" borderId="3" xfId="0" applyFont="1" applyFill="1" applyBorder="1" applyAlignment="1">
      <alignment vertical="center"/>
    </xf>
    <xf numFmtId="0" fontId="7" fillId="0" borderId="0" xfId="0" applyFont="1" applyFill="1" applyBorder="1" applyAlignment="1">
      <alignment horizontal="center" vertical="center"/>
    </xf>
    <xf numFmtId="0" fontId="8" fillId="0" borderId="3" xfId="0" applyFont="1" applyBorder="1" applyAlignment="1">
      <alignment vertical="center"/>
    </xf>
    <xf numFmtId="0" fontId="8" fillId="0" borderId="3" xfId="0" applyFont="1" applyFill="1" applyBorder="1" applyAlignment="1">
      <alignment vertical="center"/>
    </xf>
    <xf numFmtId="0" fontId="6" fillId="0" borderId="3" xfId="0" applyFont="1" applyBorder="1" applyAlignment="1">
      <alignment horizontal="left" vertical="center" indent="2"/>
    </xf>
    <xf numFmtId="49" fontId="6" fillId="0" borderId="0" xfId="0" applyNumberFormat="1" applyFont="1" applyBorder="1" applyAlignment="1">
      <alignment horizontal="left" vertical="center" wrapText="1" indent="2"/>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49" fontId="6" fillId="0" borderId="3" xfId="0" applyNumberFormat="1" applyFont="1" applyFill="1" applyBorder="1" applyAlignment="1">
      <alignment horizontal="center" vertical="center" wrapText="1"/>
    </xf>
    <xf numFmtId="0" fontId="6" fillId="0" borderId="3" xfId="0" applyFont="1" applyFill="1" applyBorder="1" applyAlignment="1" applyProtection="1">
      <alignment horizontal="center" vertical="center" wrapText="1"/>
      <protection locked="0"/>
    </xf>
    <xf numFmtId="49" fontId="6" fillId="0" borderId="3"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xf>
    <xf numFmtId="0" fontId="6" fillId="0" borderId="0" xfId="0" applyFont="1" applyFill="1" applyBorder="1"/>
    <xf numFmtId="0" fontId="6" fillId="0" borderId="0" xfId="0" applyFont="1" applyBorder="1" applyAlignment="1">
      <alignment wrapText="1"/>
    </xf>
    <xf numFmtId="0" fontId="7" fillId="0" borderId="0" xfId="0" applyFont="1" applyFill="1" applyBorder="1"/>
    <xf numFmtId="0" fontId="6" fillId="0" borderId="0" xfId="0" applyFont="1" applyBorder="1" applyProtection="1"/>
    <xf numFmtId="0" fontId="6" fillId="0" borderId="3" xfId="0" quotePrefix="1" applyNumberFormat="1" applyFont="1" applyFill="1" applyBorder="1" applyAlignment="1">
      <alignment horizontal="center" vertical="center" wrapText="1"/>
    </xf>
    <xf numFmtId="14" fontId="6" fillId="0" borderId="3" xfId="0" applyNumberFormat="1" applyFont="1" applyBorder="1" applyAlignment="1" applyProtection="1">
      <alignment horizontal="center" vertical="center"/>
      <protection locked="0"/>
    </xf>
    <xf numFmtId="166" fontId="7" fillId="0" borderId="3" xfId="0" applyNumberFormat="1" applyFont="1" applyBorder="1" applyAlignment="1" applyProtection="1">
      <alignment horizontal="center" vertical="center" wrapText="1"/>
      <protection locked="0"/>
    </xf>
    <xf numFmtId="0" fontId="5" fillId="2" borderId="2" xfId="0" applyFont="1" applyFill="1" applyBorder="1" applyAlignment="1">
      <alignment vertical="center"/>
    </xf>
    <xf numFmtId="49" fontId="5" fillId="2" borderId="0"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5" fillId="2" borderId="0" xfId="0" applyNumberFormat="1" applyFont="1" applyFill="1" applyBorder="1" applyAlignment="1">
      <alignment horizontal="center" vertical="center" wrapText="1"/>
    </xf>
    <xf numFmtId="0" fontId="6" fillId="4" borderId="3" xfId="0" applyFont="1" applyFill="1" applyBorder="1" applyAlignment="1">
      <alignment horizontal="right" vertical="center" indent="1"/>
    </xf>
    <xf numFmtId="0" fontId="6" fillId="4" borderId="3" xfId="0" applyFont="1" applyFill="1" applyBorder="1" applyAlignment="1">
      <alignment horizontal="center" vertical="center"/>
    </xf>
    <xf numFmtId="49" fontId="6" fillId="0" borderId="0"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49" fontId="6" fillId="0" borderId="9" xfId="0" applyNumberFormat="1" applyFont="1" applyBorder="1" applyAlignment="1">
      <alignment horizontal="left" vertical="center" wrapText="1"/>
    </xf>
    <xf numFmtId="49" fontId="6" fillId="0" borderId="9" xfId="0" applyNumberFormat="1" applyFont="1" applyBorder="1" applyAlignment="1">
      <alignment horizontal="left" vertical="center" wrapText="1" indent="2"/>
    </xf>
    <xf numFmtId="0" fontId="6" fillId="0" borderId="10" xfId="0" applyFont="1" applyBorder="1" applyAlignment="1">
      <alignment vertical="center" wrapText="1"/>
    </xf>
    <xf numFmtId="49" fontId="5" fillId="2" borderId="0" xfId="0" applyNumberFormat="1" applyFont="1" applyFill="1" applyBorder="1" applyAlignment="1">
      <alignment vertical="center" wrapText="1"/>
    </xf>
    <xf numFmtId="49" fontId="5" fillId="2" borderId="2" xfId="0" applyNumberFormat="1" applyFont="1" applyFill="1" applyBorder="1" applyAlignment="1">
      <alignment vertical="center" wrapText="1"/>
    </xf>
    <xf numFmtId="49" fontId="7" fillId="0" borderId="0" xfId="0" applyNumberFormat="1" applyFont="1" applyBorder="1" applyAlignment="1">
      <alignment horizontal="center" vertical="center"/>
    </xf>
    <xf numFmtId="0" fontId="6" fillId="0" borderId="0" xfId="0" applyFont="1"/>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49" fontId="5" fillId="2" borderId="5"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1" xfId="0" applyFont="1" applyBorder="1" applyAlignment="1">
      <alignment vertical="center"/>
    </xf>
    <xf numFmtId="49" fontId="6" fillId="0" borderId="7"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wrapText="1"/>
    </xf>
    <xf numFmtId="49" fontId="6" fillId="0" borderId="3" xfId="0" quotePrefix="1"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7"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4" xfId="0" applyFont="1" applyFill="1" applyBorder="1" applyAlignment="1" applyProtection="1">
      <alignment horizontal="center" vertical="center"/>
      <protection locked="0"/>
    </xf>
    <xf numFmtId="49" fontId="6" fillId="0" borderId="0" xfId="0" applyNumberFormat="1" applyFont="1" applyBorder="1" applyAlignment="1">
      <alignment horizontal="center" vertical="center" wrapText="1"/>
    </xf>
    <xf numFmtId="164" fontId="6" fillId="0" borderId="0" xfId="0" applyNumberFormat="1" applyFont="1" applyBorder="1"/>
    <xf numFmtId="0" fontId="10" fillId="0" borderId="0"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5" borderId="3" xfId="0" applyFont="1" applyFill="1" applyBorder="1" applyAlignment="1">
      <alignment vertical="center"/>
    </xf>
    <xf numFmtId="0" fontId="6" fillId="5" borderId="3" xfId="0" applyFont="1" applyFill="1" applyBorder="1" applyAlignment="1">
      <alignment vertical="center" wrapText="1"/>
    </xf>
    <xf numFmtId="0" fontId="6" fillId="6" borderId="3" xfId="0" applyFont="1" applyFill="1" applyBorder="1" applyAlignment="1">
      <alignment horizontal="center" vertical="center"/>
    </xf>
    <xf numFmtId="0" fontId="6" fillId="4" borderId="3" xfId="0" applyFont="1" applyFill="1" applyBorder="1" applyAlignment="1">
      <alignment horizontal="center" vertical="center" wrapText="1"/>
    </xf>
    <xf numFmtId="0" fontId="6" fillId="0" borderId="0" xfId="0" applyFont="1" applyFill="1" applyBorder="1" applyAlignment="1">
      <alignment wrapText="1"/>
    </xf>
    <xf numFmtId="49" fontId="6" fillId="0" borderId="9"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indent="2"/>
    </xf>
    <xf numFmtId="0" fontId="6" fillId="0" borderId="10" xfId="0" applyFont="1" applyFill="1" applyBorder="1" applyAlignment="1">
      <alignment vertical="center" wrapText="1"/>
    </xf>
    <xf numFmtId="0" fontId="6" fillId="0" borderId="3" xfId="0" applyFont="1" applyFill="1" applyBorder="1" applyAlignment="1">
      <alignment horizontal="left" vertical="center" indent="2"/>
    </xf>
    <xf numFmtId="0" fontId="6" fillId="0" borderId="1" xfId="0" applyFont="1" applyFill="1" applyBorder="1" applyAlignment="1">
      <alignment vertical="center" wrapText="1"/>
    </xf>
    <xf numFmtId="0" fontId="6" fillId="0" borderId="11" xfId="0" applyFont="1" applyFill="1" applyBorder="1" applyAlignment="1">
      <alignment vertical="center"/>
    </xf>
    <xf numFmtId="165" fontId="6" fillId="0" borderId="3" xfId="0" quotePrefix="1" applyNumberFormat="1" applyFont="1" applyFill="1" applyBorder="1" applyAlignment="1">
      <alignment horizontal="center" vertical="center" wrapText="1"/>
    </xf>
    <xf numFmtId="0" fontId="6" fillId="0" borderId="3" xfId="0" quotePrefix="1" applyFont="1" applyFill="1" applyBorder="1" applyAlignment="1" applyProtection="1">
      <alignment horizontal="center" vertical="center" wrapText="1"/>
      <protection locked="0"/>
    </xf>
    <xf numFmtId="0" fontId="6" fillId="0" borderId="3" xfId="0" applyFont="1" applyFill="1" applyBorder="1" applyAlignment="1">
      <alignment horizontal="left" vertical="center"/>
    </xf>
    <xf numFmtId="0" fontId="6" fillId="0" borderId="0" xfId="0" applyFont="1" applyFill="1" applyBorder="1" applyAlignment="1">
      <alignment horizontal="center"/>
    </xf>
    <xf numFmtId="165" fontId="6" fillId="0" borderId="3" xfId="0" applyNumberFormat="1" applyFont="1" applyFill="1" applyBorder="1" applyAlignment="1" applyProtection="1">
      <alignment horizontal="center" vertical="center" wrapText="1"/>
      <protection locked="0"/>
    </xf>
    <xf numFmtId="49" fontId="6" fillId="6" borderId="3" xfId="0" applyNumberFormat="1" applyFont="1" applyFill="1" applyBorder="1" applyAlignment="1">
      <alignment horizontal="center" vertical="center" wrapText="1"/>
    </xf>
    <xf numFmtId="49" fontId="5" fillId="2" borderId="5" xfId="0" applyNumberFormat="1" applyFont="1" applyFill="1" applyBorder="1" applyAlignment="1">
      <alignment vertical="center" wrapText="1"/>
    </xf>
    <xf numFmtId="0" fontId="6" fillId="6" borderId="3" xfId="0" applyFont="1" applyFill="1" applyBorder="1" applyAlignment="1">
      <alignment horizontal="center" vertical="center" wrapText="1"/>
    </xf>
    <xf numFmtId="0" fontId="12" fillId="0" borderId="3" xfId="0" quotePrefix="1" applyNumberFormat="1"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13" fillId="2" borderId="0"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49" fontId="7" fillId="0" borderId="0" xfId="0" applyNumberFormat="1" applyFont="1" applyFill="1" applyBorder="1" applyAlignment="1">
      <alignment horizontal="center" vertical="center"/>
    </xf>
    <xf numFmtId="164" fontId="6" fillId="0" borderId="0" xfId="0" applyNumberFormat="1" applyFont="1" applyFill="1" applyBorder="1"/>
    <xf numFmtId="0" fontId="6" fillId="0" borderId="7" xfId="0" quotePrefix="1" applyNumberFormat="1" applyFont="1" applyFill="1" applyBorder="1" applyAlignment="1">
      <alignment horizontal="center" vertical="center" wrapText="1"/>
    </xf>
    <xf numFmtId="49" fontId="6" fillId="6" borderId="3" xfId="0" applyNumberFormat="1" applyFont="1" applyFill="1" applyBorder="1" applyAlignment="1">
      <alignment horizontal="center" vertical="center"/>
    </xf>
    <xf numFmtId="49" fontId="6" fillId="7" borderId="3" xfId="0" applyNumberFormat="1" applyFont="1" applyFill="1" applyBorder="1" applyAlignment="1">
      <alignment horizontal="center" vertical="center" wrapText="1"/>
    </xf>
    <xf numFmtId="0" fontId="6" fillId="6" borderId="3" xfId="0" quotePrefix="1" applyNumberFormat="1"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49" fontId="5" fillId="7" borderId="0"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wrapText="1"/>
    </xf>
    <xf numFmtId="49" fontId="6" fillId="6"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49" fontId="7" fillId="0" borderId="0" xfId="0" applyNumberFormat="1" applyFont="1" applyBorder="1" applyAlignment="1">
      <alignment horizontal="center" vertical="center" wrapText="1"/>
    </xf>
    <xf numFmtId="0" fontId="6" fillId="4" borderId="0" xfId="0" applyFont="1" applyFill="1" applyBorder="1"/>
    <xf numFmtId="14" fontId="6" fillId="4" borderId="3" xfId="0" applyNumberFormat="1" applyFont="1" applyFill="1" applyBorder="1" applyAlignment="1">
      <alignment horizontal="center" vertical="center"/>
    </xf>
    <xf numFmtId="16" fontId="6" fillId="4" borderId="3" xfId="0" applyNumberFormat="1" applyFont="1" applyFill="1" applyBorder="1" applyAlignment="1">
      <alignment horizontal="center" vertical="center"/>
    </xf>
    <xf numFmtId="49" fontId="13" fillId="2" borderId="2" xfId="1" applyNumberFormat="1" applyFont="1" applyFill="1" applyBorder="1" applyAlignment="1">
      <alignment horizontal="center" vertical="center" wrapText="1"/>
    </xf>
    <xf numFmtId="49" fontId="6" fillId="0" borderId="3" xfId="1" applyNumberFormat="1" applyFont="1" applyFill="1" applyBorder="1" applyAlignment="1">
      <alignment horizontal="center" vertical="center" wrapText="1"/>
    </xf>
    <xf numFmtId="0" fontId="6" fillId="4" borderId="3" xfId="1" applyFont="1" applyFill="1" applyBorder="1" applyAlignment="1">
      <alignment horizontal="center" vertical="center"/>
    </xf>
    <xf numFmtId="49" fontId="6" fillId="0" borderId="3" xfId="1" applyNumberFormat="1" applyFont="1" applyFill="1" applyBorder="1" applyAlignment="1">
      <alignment horizontal="center" vertical="center"/>
    </xf>
    <xf numFmtId="49" fontId="6" fillId="0" borderId="0" xfId="1" applyNumberFormat="1" applyFont="1" applyFill="1" applyBorder="1" applyAlignment="1">
      <alignment horizontal="center" vertical="center"/>
    </xf>
    <xf numFmtId="49" fontId="5" fillId="2" borderId="6"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wrapText="1"/>
    </xf>
    <xf numFmtId="49" fontId="5" fillId="2" borderId="2" xfId="1" applyNumberFormat="1" applyFont="1" applyFill="1" applyBorder="1" applyAlignment="1">
      <alignment vertical="center" wrapText="1"/>
    </xf>
    <xf numFmtId="49" fontId="7" fillId="0" borderId="0" xfId="1" applyNumberFormat="1" applyFont="1" applyBorder="1" applyAlignment="1">
      <alignment horizontal="center" vertical="center"/>
    </xf>
    <xf numFmtId="49" fontId="5" fillId="2" borderId="5" xfId="1" applyNumberFormat="1" applyFont="1" applyFill="1" applyBorder="1" applyAlignment="1">
      <alignment vertical="center" wrapText="1"/>
    </xf>
    <xf numFmtId="0" fontId="6" fillId="0" borderId="0" xfId="1" applyFont="1" applyBorder="1"/>
    <xf numFmtId="0" fontId="14" fillId="0" borderId="0" xfId="1"/>
    <xf numFmtId="49" fontId="5" fillId="2" borderId="5" xfId="1" applyNumberFormat="1" applyFont="1" applyFill="1" applyBorder="1" applyAlignment="1">
      <alignment horizontal="center" vertical="center"/>
    </xf>
    <xf numFmtId="49" fontId="6" fillId="0" borderId="0" xfId="1" applyNumberFormat="1" applyFont="1" applyBorder="1" applyAlignment="1">
      <alignment horizontal="center" vertical="center" wrapText="1"/>
    </xf>
    <xf numFmtId="49" fontId="5" fillId="2" borderId="2" xfId="1" applyNumberFormat="1" applyFont="1" applyFill="1" applyBorder="1" applyAlignment="1">
      <alignment horizontal="center" vertical="center"/>
    </xf>
    <xf numFmtId="49" fontId="6" fillId="0" borderId="0"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wrapText="1"/>
    </xf>
    <xf numFmtId="0" fontId="6" fillId="4" borderId="3" xfId="1" applyFont="1" applyFill="1" applyBorder="1" applyAlignment="1">
      <alignment horizontal="center" vertical="center" wrapText="1"/>
    </xf>
    <xf numFmtId="0" fontId="6" fillId="0" borderId="0" xfId="1" applyFont="1" applyBorder="1" applyAlignment="1">
      <alignment horizontal="center" vertical="center" wrapText="1"/>
    </xf>
    <xf numFmtId="49" fontId="5" fillId="2" borderId="5" xfId="1" applyNumberFormat="1" applyFont="1" applyFill="1" applyBorder="1" applyAlignment="1">
      <alignment horizontal="center" vertical="center" wrapText="1"/>
    </xf>
    <xf numFmtId="0" fontId="6" fillId="6" borderId="3" xfId="1" applyFont="1" applyFill="1" applyBorder="1" applyAlignment="1">
      <alignment horizontal="center" vertical="center" wrapText="1"/>
    </xf>
    <xf numFmtId="0" fontId="5" fillId="2" borderId="0" xfId="0" applyFont="1" applyFill="1" applyBorder="1" applyAlignment="1">
      <alignment horizontal="center" vertical="center"/>
    </xf>
    <xf numFmtId="0" fontId="6" fillId="0"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wrapText="1"/>
    </xf>
    <xf numFmtId="0" fontId="8" fillId="0" borderId="3" xfId="0" applyFont="1" applyFill="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pplyAlignment="1">
      <alignment horizontal="center" vertical="center"/>
    </xf>
    <xf numFmtId="0" fontId="6" fillId="8" borderId="3" xfId="0" applyFont="1" applyFill="1" applyBorder="1" applyAlignment="1">
      <alignment horizontal="center" vertical="center"/>
    </xf>
    <xf numFmtId="0" fontId="6" fillId="8" borderId="3" xfId="1" applyFont="1" applyFill="1" applyBorder="1" applyAlignment="1">
      <alignment horizontal="center" vertical="center"/>
    </xf>
    <xf numFmtId="0" fontId="6" fillId="8" borderId="0" xfId="0" applyFont="1" applyFill="1" applyBorder="1"/>
    <xf numFmtId="0" fontId="6" fillId="8" borderId="3" xfId="0" applyFont="1" applyFill="1" applyBorder="1" applyAlignment="1">
      <alignment horizontal="center" vertical="center" wrapText="1"/>
    </xf>
    <xf numFmtId="0" fontId="0" fillId="8" borderId="0" xfId="0" applyFill="1"/>
    <xf numFmtId="0" fontId="6" fillId="8" borderId="3" xfId="0" applyFont="1" applyFill="1" applyBorder="1" applyAlignment="1">
      <alignment vertical="center"/>
    </xf>
    <xf numFmtId="0" fontId="7" fillId="0" borderId="0" xfId="0" applyFont="1" applyFill="1" applyBorder="1" applyAlignment="1">
      <alignment horizontal="center" vertical="center" wrapText="1"/>
    </xf>
    <xf numFmtId="0" fontId="6" fillId="8" borderId="0" xfId="0" applyFont="1" applyFill="1" applyBorder="1" applyAlignment="1">
      <alignment horizontal="center" vertical="center" wrapText="1"/>
    </xf>
    <xf numFmtId="49" fontId="6" fillId="8" borderId="3" xfId="0" applyNumberFormat="1" applyFont="1" applyFill="1" applyBorder="1" applyAlignment="1">
      <alignment horizontal="center" vertical="center"/>
    </xf>
    <xf numFmtId="49" fontId="6" fillId="8" borderId="3" xfId="0" applyNumberFormat="1" applyFont="1" applyFill="1" applyBorder="1" applyAlignment="1">
      <alignment horizontal="center" vertical="center" wrapText="1"/>
    </xf>
    <xf numFmtId="49" fontId="6" fillId="8" borderId="4" xfId="0" applyNumberFormat="1" applyFont="1" applyFill="1" applyBorder="1" applyAlignment="1">
      <alignment horizontal="center" vertical="center" wrapText="1"/>
    </xf>
    <xf numFmtId="164" fontId="6" fillId="0" borderId="0" xfId="0" applyNumberFormat="1" applyFont="1" applyBorder="1" applyAlignment="1">
      <alignment wrapText="1"/>
    </xf>
    <xf numFmtId="0" fontId="15" fillId="9" borderId="0" xfId="0" applyFont="1" applyFill="1" applyBorder="1"/>
    <xf numFmtId="165" fontId="6" fillId="8" borderId="3" xfId="0" applyNumberFormat="1" applyFont="1" applyFill="1" applyBorder="1" applyAlignment="1">
      <alignment horizontal="center" vertical="center" wrapText="1"/>
    </xf>
    <xf numFmtId="49" fontId="15" fillId="8" borderId="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wrapText="1"/>
    </xf>
    <xf numFmtId="0" fontId="17" fillId="0" borderId="0" xfId="0" applyFont="1" applyFill="1" applyBorder="1" applyAlignment="1"/>
    <xf numFmtId="0" fontId="17" fillId="0" borderId="0" xfId="0" applyFont="1" applyFill="1" applyBorder="1" applyAlignment="1">
      <alignment horizontal="right"/>
    </xf>
    <xf numFmtId="0" fontId="17" fillId="0" borderId="0" xfId="0" applyFont="1" applyFill="1" applyBorder="1" applyAlignment="1">
      <alignment horizontal="right" wrapText="1"/>
    </xf>
    <xf numFmtId="0" fontId="18" fillId="0" borderId="0" xfId="0" applyFont="1" applyFill="1" applyBorder="1" applyAlignment="1">
      <alignment horizontal="right"/>
    </xf>
    <xf numFmtId="49" fontId="18" fillId="0" borderId="0" xfId="0" applyNumberFormat="1" applyFont="1" applyFill="1" applyBorder="1" applyAlignment="1">
      <alignment horizontal="right"/>
    </xf>
    <xf numFmtId="49" fontId="18" fillId="0" borderId="0" xfId="0" applyNumberFormat="1" applyFont="1" applyFill="1" applyBorder="1" applyAlignment="1">
      <alignment horizontal="right" wrapText="1"/>
    </xf>
    <xf numFmtId="49" fontId="13" fillId="2" borderId="13"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center"/>
    </xf>
    <xf numFmtId="49" fontId="7" fillId="0" borderId="13" xfId="0" applyNumberFormat="1" applyFont="1" applyBorder="1" applyAlignment="1">
      <alignment horizontal="center" vertical="center"/>
    </xf>
    <xf numFmtId="0" fontId="6" fillId="0" borderId="13" xfId="0" applyFont="1" applyBorder="1"/>
    <xf numFmtId="49" fontId="6" fillId="0" borderId="13" xfId="0" applyNumberFormat="1" applyFont="1" applyBorder="1" applyAlignment="1">
      <alignment horizontal="center" vertical="center" wrapText="1"/>
    </xf>
    <xf numFmtId="49" fontId="6" fillId="0" borderId="13" xfId="0" applyNumberFormat="1" applyFont="1" applyFill="1" applyBorder="1" applyAlignment="1">
      <alignment horizontal="center" vertical="center" wrapText="1"/>
    </xf>
    <xf numFmtId="0" fontId="6" fillId="0" borderId="13" xfId="0" applyFont="1" applyBorder="1" applyAlignment="1">
      <alignment horizontal="center" vertical="center" wrapText="1"/>
    </xf>
    <xf numFmtId="0" fontId="7" fillId="0" borderId="13" xfId="0" applyNumberFormat="1" applyFont="1" applyBorder="1" applyAlignment="1">
      <alignment horizontal="center" vertical="center" wrapText="1"/>
    </xf>
    <xf numFmtId="0" fontId="10" fillId="0" borderId="13" xfId="0" applyNumberFormat="1" applyFont="1" applyFill="1" applyBorder="1" applyAlignment="1">
      <alignment horizontal="center" vertical="center" wrapText="1"/>
    </xf>
    <xf numFmtId="0" fontId="6" fillId="10" borderId="3" xfId="0" applyFont="1" applyFill="1" applyBorder="1" applyAlignment="1">
      <alignment vertical="center" wrapText="1"/>
    </xf>
    <xf numFmtId="0" fontId="6" fillId="10" borderId="3" xfId="0" applyFont="1" applyFill="1" applyBorder="1" applyAlignment="1">
      <alignment vertical="center"/>
    </xf>
    <xf numFmtId="0" fontId="6" fillId="3" borderId="3" xfId="0" applyFont="1" applyFill="1" applyBorder="1" applyAlignment="1">
      <alignment vertical="center" wrapText="1"/>
    </xf>
    <xf numFmtId="0" fontId="17" fillId="0" borderId="3" xfId="0" applyFont="1" applyBorder="1" applyAlignment="1">
      <alignment horizontal="center" vertical="center"/>
    </xf>
    <xf numFmtId="0" fontId="6" fillId="4" borderId="3" xfId="0" applyFont="1" applyFill="1" applyBorder="1" applyAlignment="1">
      <alignment horizontal="right" vertical="center" wrapText="1" indent="1"/>
    </xf>
    <xf numFmtId="49" fontId="6" fillId="4" borderId="3" xfId="0" applyNumberFormat="1" applyFont="1" applyFill="1" applyBorder="1" applyAlignment="1">
      <alignment horizontal="center" vertical="center" wrapText="1"/>
    </xf>
    <xf numFmtId="49" fontId="6" fillId="4" borderId="3" xfId="1"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4" borderId="7"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xf>
    <xf numFmtId="0" fontId="6" fillId="8" borderId="3" xfId="0" applyFont="1" applyFill="1" applyBorder="1" applyAlignment="1">
      <alignment horizontal="right" vertical="center" indent="1"/>
    </xf>
    <xf numFmtId="0" fontId="6" fillId="8" borderId="0" xfId="0" applyFont="1" applyFill="1" applyBorder="1" applyAlignment="1">
      <alignment horizontal="center" vertical="center"/>
    </xf>
    <xf numFmtId="0" fontId="5" fillId="11" borderId="14" xfId="0" applyFont="1" applyFill="1" applyBorder="1" applyAlignment="1">
      <alignment vertical="center" wrapText="1"/>
    </xf>
    <xf numFmtId="0" fontId="7" fillId="3" borderId="0" xfId="0" applyFont="1" applyFill="1" applyBorder="1" applyAlignment="1">
      <alignment vertical="center"/>
    </xf>
    <xf numFmtId="0" fontId="6" fillId="8" borderId="0" xfId="0" applyFont="1" applyFill="1" applyBorder="1" applyAlignment="1">
      <alignment horizontal="right" vertical="center" indent="1"/>
    </xf>
    <xf numFmtId="0" fontId="0" fillId="0" borderId="0" xfId="0" applyAlignment="1">
      <alignment horizontal="center" vertical="center"/>
    </xf>
    <xf numFmtId="0" fontId="6" fillId="5" borderId="10" xfId="0" applyFont="1" applyFill="1" applyBorder="1" applyAlignment="1">
      <alignment vertical="center" wrapText="1"/>
    </xf>
    <xf numFmtId="0" fontId="19" fillId="2" borderId="2" xfId="0" applyFont="1" applyFill="1" applyBorder="1" applyAlignment="1">
      <alignment horizontal="center" vertical="center"/>
    </xf>
    <xf numFmtId="49" fontId="6" fillId="12" borderId="3" xfId="0" applyNumberFormat="1" applyFont="1" applyFill="1" applyBorder="1" applyAlignment="1">
      <alignment horizontal="center" vertical="center" wrapText="1"/>
    </xf>
    <xf numFmtId="0" fontId="7" fillId="0" borderId="0" xfId="0" applyFont="1" applyFill="1" applyBorder="1" applyAlignment="1">
      <alignment vertical="center"/>
    </xf>
    <xf numFmtId="0" fontId="6" fillId="0" borderId="3" xfId="0" applyFont="1" applyBorder="1" applyAlignment="1">
      <alignment horizontal="center" vertical="center"/>
    </xf>
    <xf numFmtId="0" fontId="6" fillId="0" borderId="3" xfId="0" applyFont="1" applyFill="1" applyBorder="1"/>
    <xf numFmtId="0" fontId="6" fillId="0" borderId="3" xfId="0" applyFont="1" applyFill="1" applyBorder="1" applyAlignment="1"/>
    <xf numFmtId="0" fontId="0" fillId="0" borderId="0" xfId="0" applyBorder="1" applyAlignment="1">
      <alignment horizontal="center" vertical="center"/>
    </xf>
    <xf numFmtId="0" fontId="14" fillId="0" borderId="0" xfId="0" applyFont="1" applyBorder="1" applyAlignment="1">
      <alignment horizontal="center" vertical="center"/>
    </xf>
    <xf numFmtId="0" fontId="0" fillId="0" borderId="0" xfId="0" applyBorder="1" applyAlignment="1">
      <alignment horizontal="center" vertical="center" wrapText="1"/>
    </xf>
    <xf numFmtId="0" fontId="18" fillId="0" borderId="0" xfId="0"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14" fontId="6" fillId="6" borderId="0" xfId="0" applyNumberFormat="1" applyFont="1" applyFill="1" applyAlignment="1">
      <alignment horizontal="center" vertical="center"/>
    </xf>
    <xf numFmtId="49" fontId="7" fillId="0" borderId="0" xfId="0" applyNumberFormat="1" applyFont="1" applyFill="1" applyBorder="1" applyAlignment="1">
      <alignment horizontal="center" vertical="center" wrapText="1"/>
    </xf>
    <xf numFmtId="49" fontId="6" fillId="10" borderId="3" xfId="0" applyNumberFormat="1" applyFont="1" applyFill="1" applyBorder="1" applyAlignment="1">
      <alignment horizontal="center" vertical="center" wrapText="1"/>
    </xf>
    <xf numFmtId="165" fontId="6" fillId="10" borderId="3" xfId="0" applyNumberFormat="1" applyFont="1" applyFill="1" applyBorder="1" applyAlignment="1">
      <alignment horizontal="center" vertical="center" wrapText="1"/>
    </xf>
    <xf numFmtId="49" fontId="6" fillId="10" borderId="3" xfId="0" applyNumberFormat="1" applyFont="1" applyFill="1" applyBorder="1" applyAlignment="1">
      <alignment horizontal="center" vertical="center"/>
    </xf>
    <xf numFmtId="165" fontId="6" fillId="5" borderId="3" xfId="0" applyNumberFormat="1" applyFont="1" applyFill="1" applyBorder="1" applyAlignment="1">
      <alignment horizontal="center" vertical="center" wrapText="1"/>
    </xf>
    <xf numFmtId="0" fontId="6" fillId="5" borderId="0" xfId="0" applyFont="1" applyFill="1" applyBorder="1"/>
    <xf numFmtId="0" fontId="6" fillId="10" borderId="3" xfId="0" applyFont="1" applyFill="1" applyBorder="1" applyAlignment="1">
      <alignment horizontal="center" vertical="center" wrapText="1"/>
    </xf>
    <xf numFmtId="0" fontId="6" fillId="10" borderId="3" xfId="0" applyFont="1" applyFill="1" applyBorder="1" applyAlignment="1" applyProtection="1">
      <alignment horizontal="center" vertical="center"/>
      <protection locked="0"/>
    </xf>
    <xf numFmtId="0" fontId="6" fillId="10" borderId="3" xfId="0" applyFont="1" applyFill="1" applyBorder="1" applyAlignment="1" applyProtection="1">
      <alignment horizontal="center" vertical="center" wrapText="1"/>
      <protection locked="0"/>
    </xf>
    <xf numFmtId="0" fontId="6" fillId="5"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17" fillId="5" borderId="3" xfId="0" applyFont="1" applyFill="1" applyBorder="1" applyAlignment="1">
      <alignment horizontal="center" vertical="center"/>
    </xf>
    <xf numFmtId="49" fontId="6" fillId="5" borderId="7" xfId="0" applyNumberFormat="1" applyFont="1" applyFill="1" applyBorder="1" applyAlignment="1">
      <alignment horizontal="center" vertical="center"/>
    </xf>
    <xf numFmtId="49" fontId="6" fillId="5" borderId="12" xfId="0" applyNumberFormat="1" applyFont="1" applyFill="1" applyBorder="1" applyAlignment="1">
      <alignment horizontal="center" vertical="center"/>
    </xf>
    <xf numFmtId="0" fontId="6" fillId="5" borderId="3"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wrapText="1"/>
      <protection locked="0"/>
    </xf>
    <xf numFmtId="0" fontId="6" fillId="5" borderId="0" xfId="0"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49" fontId="6" fillId="5" borderId="12" xfId="0" applyNumberFormat="1" applyFont="1" applyFill="1" applyBorder="1" applyAlignment="1">
      <alignment horizontal="center" vertical="center" wrapText="1"/>
    </xf>
    <xf numFmtId="0" fontId="6" fillId="5" borderId="3" xfId="0" applyFont="1" applyFill="1" applyBorder="1"/>
    <xf numFmtId="0" fontId="0" fillId="0" borderId="0" xfId="0" applyAlignment="1">
      <alignment horizontal="center" vertical="center" wrapText="1"/>
    </xf>
    <xf numFmtId="0" fontId="6" fillId="5"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5" borderId="3" xfId="0" applyFont="1" applyFill="1" applyBorder="1" applyAlignment="1">
      <alignment horizontal="left" vertical="center"/>
    </xf>
    <xf numFmtId="0" fontId="7" fillId="7" borderId="0" xfId="0" applyFont="1" applyFill="1" applyBorder="1" applyAlignment="1">
      <alignment vertical="center"/>
    </xf>
    <xf numFmtId="0" fontId="8" fillId="7" borderId="0" xfId="0" applyFont="1" applyFill="1" applyBorder="1" applyAlignment="1">
      <alignment vertical="center"/>
    </xf>
    <xf numFmtId="49" fontId="5" fillId="0" borderId="0" xfId="0" applyNumberFormat="1" applyFont="1" applyFill="1" applyBorder="1" applyAlignment="1">
      <alignment horizontal="center" vertical="center"/>
    </xf>
    <xf numFmtId="0" fontId="7" fillId="3" borderId="0" xfId="0" applyFont="1" applyFill="1" applyBorder="1" applyAlignment="1">
      <alignment vertical="center" wrapText="1"/>
    </xf>
    <xf numFmtId="0" fontId="14" fillId="0" borderId="0" xfId="0" applyFont="1" applyBorder="1" applyAlignment="1">
      <alignment horizontal="center" vertical="center" wrapText="1"/>
    </xf>
    <xf numFmtId="0" fontId="14" fillId="0" borderId="0" xfId="0" applyFont="1" applyAlignment="1">
      <alignment horizontal="center" vertical="center" wrapText="1"/>
    </xf>
    <xf numFmtId="49" fontId="6" fillId="10" borderId="7" xfId="0" applyNumberFormat="1" applyFont="1" applyFill="1" applyBorder="1" applyAlignment="1">
      <alignment horizontal="center" vertical="center" wrapText="1"/>
    </xf>
    <xf numFmtId="49" fontId="6" fillId="10" borderId="12"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wrapText="1"/>
    </xf>
    <xf numFmtId="0" fontId="17" fillId="10" borderId="3" xfId="0" applyFont="1" applyFill="1" applyBorder="1" applyAlignment="1">
      <alignment horizontal="center" vertical="center"/>
    </xf>
    <xf numFmtId="6" fontId="6" fillId="0" borderId="3" xfId="0" applyNumberFormat="1" applyFont="1" applyFill="1" applyBorder="1" applyAlignment="1">
      <alignment horizontal="center" vertical="center" wrapText="1"/>
    </xf>
    <xf numFmtId="0" fontId="6" fillId="10" borderId="3" xfId="0" applyFont="1" applyFill="1" applyBorder="1" applyAlignment="1">
      <alignment horizontal="left" vertical="center"/>
    </xf>
    <xf numFmtId="0" fontId="6" fillId="10" borderId="0" xfId="0" applyFont="1" applyFill="1" applyBorder="1" applyAlignment="1">
      <alignment horizontal="center" vertical="center" wrapText="1"/>
    </xf>
    <xf numFmtId="49" fontId="6" fillId="0" borderId="3" xfId="0" applyNumberFormat="1" applyFont="1" applyFill="1" applyBorder="1" applyAlignment="1">
      <alignment horizontal="left" vertical="center" wrapText="1"/>
    </xf>
    <xf numFmtId="6" fontId="6" fillId="0" borderId="3"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right" vertical="center" indent="1"/>
    </xf>
    <xf numFmtId="0" fontId="6" fillId="0" borderId="0" xfId="0" applyFont="1" applyFill="1" applyBorder="1" applyAlignment="1">
      <alignment horizontal="center" vertical="center"/>
    </xf>
    <xf numFmtId="49" fontId="5" fillId="2" borderId="3" xfId="0" applyNumberFormat="1" applyFont="1" applyFill="1" applyBorder="1" applyAlignment="1">
      <alignment horizontal="center" vertical="center" wrapText="1"/>
    </xf>
    <xf numFmtId="0" fontId="5" fillId="2" borderId="14"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vertical="center" wrapText="1"/>
    </xf>
    <xf numFmtId="49" fontId="6" fillId="0" borderId="3" xfId="0" applyNumberFormat="1" applyFont="1" applyFill="1" applyBorder="1" applyAlignment="1">
      <alignment horizontal="left" vertical="center" wrapText="1" indent="2"/>
    </xf>
    <xf numFmtId="0" fontId="0" fillId="13" borderId="0" xfId="0" applyFill="1" applyBorder="1" applyAlignment="1">
      <alignment horizontal="center" vertical="center"/>
    </xf>
    <xf numFmtId="0" fontId="0" fillId="13" borderId="0" xfId="0" applyFill="1"/>
    <xf numFmtId="0" fontId="0" fillId="13" borderId="0" xfId="0" applyFill="1" applyAlignment="1">
      <alignment horizontal="center" vertical="center"/>
    </xf>
    <xf numFmtId="0" fontId="14" fillId="13" borderId="0" xfId="0" applyFont="1" applyFill="1" applyBorder="1" applyAlignment="1">
      <alignment horizontal="center" vertical="center" wrapText="1"/>
    </xf>
    <xf numFmtId="0" fontId="14" fillId="13" borderId="0" xfId="0" applyFont="1" applyFill="1" applyAlignment="1">
      <alignment horizontal="center" vertical="center" wrapText="1"/>
    </xf>
    <xf numFmtId="0" fontId="0" fillId="13" borderId="0" xfId="0" applyFill="1" applyAlignment="1">
      <alignment horizontal="center" vertical="center" wrapText="1"/>
    </xf>
    <xf numFmtId="0" fontId="14" fillId="0" borderId="0" xfId="0" applyFont="1" applyAlignment="1">
      <alignment horizontal="center" vertical="center"/>
    </xf>
    <xf numFmtId="0" fontId="14" fillId="13" borderId="0" xfId="0" applyFont="1" applyFill="1" applyAlignment="1">
      <alignment horizontal="center" vertical="center"/>
    </xf>
    <xf numFmtId="0" fontId="21" fillId="0" borderId="0" xfId="0" applyFont="1" applyBorder="1" applyAlignment="1">
      <alignment horizontal="left" vertical="center"/>
    </xf>
    <xf numFmtId="6" fontId="6" fillId="5" borderId="3" xfId="0" applyNumberFormat="1" applyFont="1" applyFill="1" applyBorder="1" applyAlignment="1">
      <alignment horizontal="center" vertical="center" wrapText="1"/>
    </xf>
    <xf numFmtId="0" fontId="7" fillId="6" borderId="0" xfId="0" applyFont="1" applyFill="1" applyBorder="1" applyAlignment="1">
      <alignment horizontal="center" vertical="center"/>
    </xf>
    <xf numFmtId="49" fontId="7" fillId="6" borderId="0" xfId="0" applyNumberFormat="1" applyFont="1" applyFill="1" applyBorder="1" applyAlignment="1">
      <alignment horizontal="center" vertical="center"/>
    </xf>
    <xf numFmtId="49" fontId="7" fillId="6" borderId="0"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xf>
    <xf numFmtId="0" fontId="6" fillId="4" borderId="12" xfId="0" applyFont="1" applyFill="1" applyBorder="1" applyAlignment="1">
      <alignment horizontal="center" vertical="center"/>
    </xf>
    <xf numFmtId="0" fontId="5" fillId="2" borderId="15"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6" fontId="6" fillId="0" borderId="12" xfId="0" applyNumberFormat="1" applyFont="1" applyFill="1" applyBorder="1" applyAlignment="1">
      <alignment horizontal="center" vertical="center" wrapText="1"/>
    </xf>
    <xf numFmtId="49" fontId="6" fillId="10" borderId="12" xfId="0" applyNumberFormat="1" applyFont="1" applyFill="1" applyBorder="1" applyAlignment="1">
      <alignment horizontal="center" vertical="center"/>
    </xf>
    <xf numFmtId="167" fontId="6" fillId="0" borderId="3" xfId="0" applyNumberFormat="1" applyFont="1" applyFill="1" applyBorder="1" applyAlignment="1">
      <alignment horizontal="center" vertical="center"/>
    </xf>
    <xf numFmtId="0" fontId="14" fillId="0" borderId="0" xfId="0" applyFont="1" applyFill="1" applyBorder="1"/>
    <xf numFmtId="165" fontId="6" fillId="0" borderId="0" xfId="0" applyNumberFormat="1" applyFont="1" applyFill="1" applyBorder="1" applyAlignment="1" applyProtection="1">
      <alignment horizontal="center" vertical="center" wrapText="1"/>
      <protection locked="0"/>
    </xf>
    <xf numFmtId="0" fontId="5" fillId="2" borderId="3" xfId="0" applyFont="1" applyFill="1" applyBorder="1" applyAlignment="1">
      <alignment vertical="center"/>
    </xf>
    <xf numFmtId="0" fontId="13" fillId="2" borderId="3" xfId="0" applyFont="1" applyFill="1" applyBorder="1" applyAlignment="1">
      <alignment horizontal="center" vertical="center"/>
    </xf>
    <xf numFmtId="49" fontId="5" fillId="2" borderId="3" xfId="0" applyNumberFormat="1" applyFont="1" applyFill="1" applyBorder="1" applyAlignment="1">
      <alignment horizontal="center" vertical="center"/>
    </xf>
    <xf numFmtId="0" fontId="5" fillId="0" borderId="0" xfId="0" applyFont="1" applyFill="1" applyBorder="1" applyAlignment="1">
      <alignment vertical="center" wrapText="1"/>
    </xf>
    <xf numFmtId="0" fontId="7" fillId="3" borderId="4" xfId="0" applyFont="1" applyFill="1" applyBorder="1" applyAlignment="1">
      <alignment vertical="center"/>
    </xf>
    <xf numFmtId="0" fontId="6" fillId="3" borderId="8" xfId="0" applyFont="1" applyFill="1" applyBorder="1" applyAlignment="1">
      <alignment vertical="center" wrapText="1"/>
    </xf>
    <xf numFmtId="0" fontId="5" fillId="2" borderId="3"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5" fillId="2" borderId="3" xfId="0" applyNumberFormat="1" applyFont="1" applyFill="1" applyBorder="1" applyAlignment="1" applyProtection="1">
      <alignment horizontal="center" vertical="center" wrapText="1"/>
      <protection locked="0"/>
    </xf>
    <xf numFmtId="0" fontId="7" fillId="3" borderId="3" xfId="0" applyFont="1" applyFill="1" applyBorder="1" applyAlignment="1">
      <alignment vertical="center" wrapText="1"/>
    </xf>
    <xf numFmtId="49" fontId="6" fillId="0" borderId="16" xfId="0" applyNumberFormat="1" applyFont="1" applyFill="1" applyBorder="1" applyAlignment="1">
      <alignment horizontal="center" vertical="center"/>
    </xf>
    <xf numFmtId="49" fontId="7" fillId="3" borderId="0" xfId="0" applyNumberFormat="1" applyFont="1" applyFill="1" applyBorder="1" applyAlignment="1">
      <alignment horizontal="center" vertical="center"/>
    </xf>
    <xf numFmtId="49" fontId="6" fillId="3" borderId="0" xfId="0" applyNumberFormat="1" applyFont="1" applyFill="1" applyBorder="1" applyAlignment="1">
      <alignment horizontal="center" vertical="center"/>
    </xf>
    <xf numFmtId="0" fontId="7" fillId="3" borderId="0" xfId="0" applyFont="1" applyFill="1" applyBorder="1" applyAlignment="1">
      <alignment horizontal="center" vertical="center"/>
    </xf>
    <xf numFmtId="0" fontId="7" fillId="3" borderId="0" xfId="0" applyFont="1" applyFill="1" applyBorder="1" applyAlignment="1" applyProtection="1">
      <alignment horizontal="center" vertical="center"/>
    </xf>
    <xf numFmtId="0" fontId="6" fillId="3" borderId="0" xfId="0" applyFont="1" applyFill="1" applyBorder="1" applyAlignment="1">
      <alignment vertical="center" wrapText="1"/>
    </xf>
    <xf numFmtId="0" fontId="7" fillId="3" borderId="8" xfId="0" applyFont="1" applyFill="1" applyBorder="1" applyAlignment="1">
      <alignment vertical="center" wrapText="1"/>
    </xf>
    <xf numFmtId="0" fontId="6" fillId="7" borderId="3" xfId="0" applyFont="1" applyFill="1" applyBorder="1" applyAlignment="1">
      <alignment vertical="center" wrapText="1"/>
    </xf>
    <xf numFmtId="49" fontId="6" fillId="7" borderId="3" xfId="0" applyNumberFormat="1" applyFont="1" applyFill="1" applyBorder="1" applyAlignment="1">
      <alignment horizontal="center" vertical="center"/>
    </xf>
    <xf numFmtId="6" fontId="6" fillId="7" borderId="3" xfId="0" applyNumberFormat="1" applyFont="1" applyFill="1" applyBorder="1" applyAlignment="1" applyProtection="1">
      <alignment horizontal="center" vertical="center" wrapText="1"/>
      <protection locked="0"/>
    </xf>
    <xf numFmtId="0" fontId="6" fillId="7" borderId="0" xfId="0" applyFont="1" applyFill="1" applyBorder="1"/>
    <xf numFmtId="0" fontId="6" fillId="7" borderId="3" xfId="0" applyFont="1" applyFill="1" applyBorder="1" applyAlignment="1">
      <alignment horizontal="center" vertical="center" wrapText="1"/>
    </xf>
    <xf numFmtId="6" fontId="6" fillId="7" borderId="3" xfId="0" applyNumberFormat="1" applyFont="1" applyFill="1" applyBorder="1" applyAlignment="1" applyProtection="1">
      <alignment horizontal="center" vertical="center"/>
      <protection locked="0"/>
    </xf>
    <xf numFmtId="165" fontId="6" fillId="7" borderId="3" xfId="0" applyNumberFormat="1" applyFont="1" applyFill="1" applyBorder="1" applyAlignment="1">
      <alignment horizontal="center" vertical="center" wrapText="1"/>
    </xf>
    <xf numFmtId="0" fontId="0" fillId="7" borderId="0" xfId="0" applyFill="1"/>
    <xf numFmtId="0" fontId="7" fillId="0" borderId="0" xfId="0" applyFont="1" applyFill="1" applyBorder="1" applyAlignment="1"/>
    <xf numFmtId="0" fontId="7" fillId="0" borderId="0" xfId="0" applyFont="1" applyFill="1" applyBorder="1" applyAlignment="1">
      <alignment horizontal="left"/>
    </xf>
    <xf numFmtId="49" fontId="7" fillId="0" borderId="0" xfId="0" applyNumberFormat="1" applyFont="1" applyFill="1" applyBorder="1" applyAlignment="1">
      <alignment horizontal="left"/>
    </xf>
    <xf numFmtId="0" fontId="7" fillId="0" borderId="0" xfId="0" applyFont="1" applyBorder="1" applyAlignment="1"/>
    <xf numFmtId="0" fontId="6" fillId="0" borderId="0" xfId="0" applyFont="1" applyFill="1" applyBorder="1" applyAlignment="1"/>
    <xf numFmtId="0" fontId="6" fillId="0" borderId="0" xfId="0" applyFont="1" applyBorder="1" applyAlignment="1"/>
    <xf numFmtId="0" fontId="5" fillId="11" borderId="3" xfId="0" applyFont="1" applyFill="1" applyBorder="1" applyAlignment="1">
      <alignment vertical="center" wrapText="1"/>
    </xf>
    <xf numFmtId="49" fontId="13" fillId="2" borderId="3" xfId="0" applyNumberFormat="1" applyFont="1" applyFill="1" applyBorder="1" applyAlignment="1">
      <alignment horizontal="center" vertical="center"/>
    </xf>
    <xf numFmtId="0" fontId="13" fillId="2" borderId="3" xfId="0" applyFont="1" applyFill="1" applyBorder="1" applyAlignment="1">
      <alignment horizontal="center" vertical="center" wrapText="1"/>
    </xf>
    <xf numFmtId="49" fontId="6" fillId="14" borderId="3" xfId="0" applyNumberFormat="1" applyFont="1" applyFill="1" applyBorder="1" applyAlignment="1">
      <alignment horizontal="center" vertical="center" wrapText="1"/>
    </xf>
    <xf numFmtId="0" fontId="6" fillId="14" borderId="3" xfId="0" applyFont="1" applyFill="1" applyBorder="1" applyAlignment="1">
      <alignment vertical="center" wrapText="1"/>
    </xf>
    <xf numFmtId="0" fontId="6" fillId="4" borderId="3" xfId="0" quotePrefix="1" applyFont="1" applyFill="1" applyBorder="1" applyAlignment="1">
      <alignment horizontal="center" vertical="center"/>
    </xf>
    <xf numFmtId="0" fontId="15" fillId="0" borderId="3"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165" fontId="23" fillId="0" borderId="3"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xf>
    <xf numFmtId="49" fontId="24" fillId="15" borderId="3" xfId="2" applyNumberFormat="1" applyBorder="1" applyAlignment="1">
      <alignment horizontal="center" vertical="center" wrapText="1"/>
    </xf>
    <xf numFmtId="0" fontId="6" fillId="0" borderId="0" xfId="0" applyFont="1" applyBorder="1" applyAlignment="1">
      <alignment horizontal="left" vertical="center"/>
    </xf>
    <xf numFmtId="0" fontId="6" fillId="5" borderId="0" xfId="0" applyFont="1" applyFill="1" applyBorder="1" applyAlignment="1">
      <alignment horizontal="center" vertical="center"/>
    </xf>
    <xf numFmtId="0" fontId="17" fillId="0" borderId="0" xfId="0" applyFont="1" applyFill="1" applyBorder="1" applyAlignment="1">
      <alignment horizontal="right" vertical="center"/>
    </xf>
    <xf numFmtId="0" fontId="17" fillId="0" borderId="0" xfId="0" applyFont="1" applyFill="1" applyBorder="1" applyAlignment="1">
      <alignment horizontal="center" vertical="center"/>
    </xf>
    <xf numFmtId="49" fontId="6" fillId="16" borderId="3"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wrapText="1"/>
    </xf>
    <xf numFmtId="49" fontId="18" fillId="0" borderId="0" xfId="0" applyNumberFormat="1" applyFont="1" applyFill="1" applyBorder="1" applyAlignment="1">
      <alignment horizontal="left" wrapText="1"/>
    </xf>
    <xf numFmtId="0" fontId="18" fillId="0" borderId="0" xfId="0" applyFont="1" applyFill="1" applyBorder="1" applyAlignment="1">
      <alignment horizontal="center" vertical="center"/>
    </xf>
    <xf numFmtId="49" fontId="18" fillId="0" borderId="0" xfId="0" applyNumberFormat="1" applyFont="1" applyFill="1" applyBorder="1" applyAlignment="1">
      <alignment horizontal="center" vertical="center"/>
    </xf>
    <xf numFmtId="0" fontId="1" fillId="0" borderId="7"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cellXfs>
  <cellStyles count="3">
    <cellStyle name="Schlecht" xfId="2" builtinId="27"/>
    <cellStyle name="Standard" xfId="0" builtinId="0"/>
    <cellStyle name="Standard 2" xfId="1"/>
  </cellStyles>
  <dxfs count="67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indexed="2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BFB088"/>
      <rgbColor rgb="0000FFFF"/>
      <rgbColor rgb="006E0717"/>
      <rgbColor rgb="00008000"/>
      <rgbColor rgb="001D2D4B"/>
      <rgbColor rgb="00808000"/>
      <rgbColor rgb="00800080"/>
      <rgbColor rgb="00008080"/>
      <rgbColor rgb="00D6D6D6"/>
      <rgbColor rgb="00777777"/>
      <rgbColor rgb="001D2D4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7D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D2D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Lines="20" dropStyle="combo" dx="16" fmlaLink="'HSR-Daten'!$AJ$1" fmlaRange="GesMatrixHR" sel="1" val="0"/>
</file>

<file path=xl/ctrlProps/ctrlProp2.xml><?xml version="1.0" encoding="utf-8"?>
<formControlPr xmlns="http://schemas.microsoft.com/office/spreadsheetml/2009/9/main" objectType="Drop" dropLines="20" dropStyle="combo" dx="16" fmlaLink="'HSR-Daten'!$AK$1" fmlaRange="GesMatrixHR" sel="1" val="0"/>
</file>

<file path=xl/ctrlProps/ctrlProp3.xml><?xml version="1.0" encoding="utf-8"?>
<formControlPr xmlns="http://schemas.microsoft.com/office/spreadsheetml/2009/9/main" objectType="Drop" dropLines="20" dropStyle="combo" dx="16" fmlaLink="'HSR-Daten'!$AL$1" fmlaRange="GesMatrixHR" sel="1" val="0"/>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28575</xdr:rowOff>
        </xdr:from>
        <xdr:to>
          <xdr:col>1</xdr:col>
          <xdr:colOff>1428750</xdr:colOff>
          <xdr:row>2</xdr:row>
          <xdr:rowOff>257175</xdr:rowOff>
        </xdr:to>
        <xdr:sp macro="" textlink="">
          <xdr:nvSpPr>
            <xdr:cNvPr id="5121" name="Drop Down 1" hidden="1">
              <a:extLst>
                <a:ext uri="{63B3BB69-23CF-44E3-9099-C40C66FF867C}">
                  <a14:compatExt spid="_x0000_s5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28575</xdr:rowOff>
        </xdr:from>
        <xdr:to>
          <xdr:col>2</xdr:col>
          <xdr:colOff>1428750</xdr:colOff>
          <xdr:row>2</xdr:row>
          <xdr:rowOff>257175</xdr:rowOff>
        </xdr:to>
        <xdr:sp macro="" textlink="">
          <xdr:nvSpPr>
            <xdr:cNvPr id="5122" name="Drop Down 2" hidden="1">
              <a:extLst>
                <a:ext uri="{63B3BB69-23CF-44E3-9099-C40C66FF867C}">
                  <a14:compatExt spid="_x0000_s5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xdr:row>
          <xdr:rowOff>28575</xdr:rowOff>
        </xdr:from>
        <xdr:to>
          <xdr:col>3</xdr:col>
          <xdr:colOff>1428750</xdr:colOff>
          <xdr:row>2</xdr:row>
          <xdr:rowOff>257175</xdr:rowOff>
        </xdr:to>
        <xdr:sp macro="" textlink="">
          <xdr:nvSpPr>
            <xdr:cNvPr id="5123" name="Drop Down 3" hidden="1">
              <a:extLst>
                <a:ext uri="{63B3BB69-23CF-44E3-9099-C40C66FF867C}">
                  <a14:compatExt spid="_x0000_s5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G210"/>
  <sheetViews>
    <sheetView showGridLines="0" tabSelected="1" zoomScaleNormal="100" zoomScaleSheetLayoutView="100" workbookViewId="0">
      <selection activeCell="A11" sqref="A11:XFD11"/>
    </sheetView>
  </sheetViews>
  <sheetFormatPr baseColWidth="10" defaultRowHeight="12.75"/>
  <cols>
    <col min="1" max="1" width="39.7109375" style="1" customWidth="1"/>
    <col min="2" max="4" width="24.28515625" style="1" customWidth="1"/>
    <col min="5" max="5" width="24.28515625" style="5" customWidth="1"/>
    <col min="6" max="16384" width="11.42578125" style="1"/>
  </cols>
  <sheetData>
    <row r="1" spans="1:7" ht="12" customHeight="1">
      <c r="A1" s="3"/>
    </row>
    <row r="2" spans="1:7" s="16" customFormat="1" ht="20.100000000000001" customHeight="1">
      <c r="A2" s="14" t="s">
        <v>68</v>
      </c>
      <c r="B2" s="332"/>
      <c r="C2" s="333"/>
      <c r="D2" s="15" t="s">
        <v>69</v>
      </c>
      <c r="E2" s="45"/>
    </row>
    <row r="3" spans="1:7" s="5" customFormat="1" ht="22.5" customHeight="1">
      <c r="B3" s="17"/>
      <c r="C3" s="17"/>
      <c r="D3" s="17"/>
      <c r="E3" s="43"/>
    </row>
    <row r="4" spans="1:7" s="5" customFormat="1" ht="20.100000000000001" customHeight="1">
      <c r="A4" s="288"/>
      <c r="B4" s="255" t="str">
        <f>Auswahl1HR</f>
        <v>keine</v>
      </c>
      <c r="C4" s="255" t="str">
        <f>Auswahl2HR</f>
        <v>keine</v>
      </c>
      <c r="D4" s="255" t="str">
        <f>Auswahl3HR</f>
        <v>keine</v>
      </c>
      <c r="E4" s="289" t="s">
        <v>1262</v>
      </c>
    </row>
    <row r="5" spans="1:7" s="5" customFormat="1" ht="20.100000000000001" customHeight="1">
      <c r="A5" s="19" t="s">
        <v>386</v>
      </c>
      <c r="B5" s="46"/>
      <c r="C5" s="46"/>
      <c r="D5" s="46"/>
      <c r="E5" s="46"/>
      <c r="G5" s="40"/>
    </row>
    <row r="6" spans="1:7" s="5" customFormat="1" ht="12" customHeight="1">
      <c r="B6" s="17"/>
      <c r="C6" s="17"/>
      <c r="D6" s="17"/>
      <c r="E6" s="43"/>
      <c r="G6" s="40"/>
    </row>
    <row r="7" spans="1:7" s="5" customFormat="1" ht="20.100000000000001" customHeight="1">
      <c r="A7" s="287" t="s">
        <v>8913</v>
      </c>
      <c r="B7" s="255" t="str">
        <f>Auswahl1HR</f>
        <v>keine</v>
      </c>
      <c r="C7" s="255" t="str">
        <f>Auswahl2HR</f>
        <v>keine</v>
      </c>
      <c r="D7" s="255" t="str">
        <f>Auswahl3HR</f>
        <v>keine</v>
      </c>
      <c r="E7" s="255" t="str">
        <f>E4</f>
        <v>Individuell</v>
      </c>
      <c r="G7" s="40"/>
    </row>
    <row r="8" spans="1:7" s="5" customFormat="1" ht="20.100000000000001" customHeight="1">
      <c r="A8" s="62" t="s">
        <v>6846</v>
      </c>
      <c r="B8" s="7" t="str">
        <f>HLOOKUP(Auswahl1HR,VergleichMatrixHR,2)</f>
        <v>-</v>
      </c>
      <c r="C8" s="7" t="str">
        <f>HLOOKUP(Auswahl2HR,VergleichMatrixHR,2)</f>
        <v>-</v>
      </c>
      <c r="D8" s="7" t="str">
        <f>HLOOKUP(Auswahl3HR,VergleichMatrixHR,2)</f>
        <v>-</v>
      </c>
      <c r="E8" s="96"/>
      <c r="G8" s="40"/>
    </row>
    <row r="9" spans="1:7" s="5" customFormat="1" ht="20.100000000000001" customHeight="1">
      <c r="A9" s="62" t="s">
        <v>6513</v>
      </c>
      <c r="B9" s="7" t="str">
        <f>HLOOKUP(Auswahl1HR,VergleichMatrixHR,4)</f>
        <v>-</v>
      </c>
      <c r="C9" s="7" t="str">
        <f>HLOOKUP(Auswahl2HR,VergleichMatrixHR,4)</f>
        <v>-</v>
      </c>
      <c r="D9" s="7" t="str">
        <f>HLOOKUP(Auswahl3HR,VergleichMatrixHR,4)</f>
        <v>-</v>
      </c>
      <c r="E9" s="96"/>
      <c r="G9" s="40"/>
    </row>
    <row r="10" spans="1:7" s="5" customFormat="1" ht="20.100000000000001" customHeight="1">
      <c r="A10" s="6" t="s">
        <v>6514</v>
      </c>
      <c r="B10" s="7" t="str">
        <f>HLOOKUP(Auswahl1HR,VergleichMatrixHR,6)</f>
        <v>-</v>
      </c>
      <c r="C10" s="7" t="str">
        <f>HLOOKUP(Auswahl2HR,VergleichMatrixHR,6)</f>
        <v>-</v>
      </c>
      <c r="D10" s="7" t="str">
        <f>HLOOKUP(Auswahl3HR,VergleichMatrixHR,6)</f>
        <v>-</v>
      </c>
      <c r="E10" s="96"/>
      <c r="G10" s="40"/>
    </row>
    <row r="11" spans="1:7" s="5" customFormat="1" ht="30" customHeight="1">
      <c r="A11" s="6" t="s">
        <v>6718</v>
      </c>
      <c r="B11" s="7" t="str">
        <f>HLOOKUP(Auswahl1HR,VergleichMatrixHR,8)</f>
        <v>-</v>
      </c>
      <c r="C11" s="7" t="str">
        <f>HLOOKUP(Auswahl2HR,VergleichMatrixHR,8)</f>
        <v>-</v>
      </c>
      <c r="D11" s="7" t="str">
        <f>HLOOKUP(Auswahl3HR,VergleichMatrixHR,8)</f>
        <v>-</v>
      </c>
      <c r="E11" s="96"/>
      <c r="G11" s="40"/>
    </row>
    <row r="12" spans="1:7" s="5" customFormat="1" ht="20.100000000000001" customHeight="1">
      <c r="A12" s="62" t="s">
        <v>6515</v>
      </c>
      <c r="B12" s="7" t="str">
        <f>HLOOKUP(Auswahl1HR,VergleichMatrixHR,10)</f>
        <v>-</v>
      </c>
      <c r="C12" s="7" t="str">
        <f>HLOOKUP(Auswahl2HR,VergleichMatrixHR,10)</f>
        <v>-</v>
      </c>
      <c r="D12" s="7" t="str">
        <f>HLOOKUP(Auswahl3HR,VergleichMatrixHR,10)</f>
        <v>-</v>
      </c>
      <c r="E12" s="96"/>
      <c r="G12" s="40"/>
    </row>
    <row r="13" spans="1:7" s="5" customFormat="1" ht="30" customHeight="1">
      <c r="A13" s="6" t="s">
        <v>6980</v>
      </c>
      <c r="B13" s="7" t="str">
        <f>HLOOKUP(Auswahl1HR,VergleichMatrixHR,12)</f>
        <v>-</v>
      </c>
      <c r="C13" s="7" t="str">
        <f>HLOOKUP(Auswahl2HR,VergleichMatrixHR,12)</f>
        <v>-</v>
      </c>
      <c r="D13" s="7" t="str">
        <f>HLOOKUP(Auswahl3HR,VergleichMatrixHR,12)</f>
        <v>-</v>
      </c>
      <c r="E13" s="96"/>
      <c r="G13" s="40"/>
    </row>
    <row r="14" spans="1:7" s="5" customFormat="1" ht="39.950000000000003" customHeight="1">
      <c r="A14" s="62" t="s">
        <v>9752</v>
      </c>
      <c r="B14" s="7" t="str">
        <f>HLOOKUP(Auswahl1HR,VergleichMatrixHR,14)</f>
        <v>-</v>
      </c>
      <c r="C14" s="7" t="str">
        <f>HLOOKUP(Auswahl2HR,VergleichMatrixHR,14)</f>
        <v>-</v>
      </c>
      <c r="D14" s="7" t="str">
        <f>HLOOKUP(Auswahl3HR,VergleichMatrixHR,14)</f>
        <v>-</v>
      </c>
      <c r="E14" s="96"/>
      <c r="G14" s="40"/>
    </row>
    <row r="15" spans="1:7" s="5" customFormat="1" ht="30" customHeight="1">
      <c r="A15" s="62" t="s">
        <v>6516</v>
      </c>
      <c r="B15" s="7" t="str">
        <f>HLOOKUP(Auswahl1HR,VergleichMatrixHR,16)</f>
        <v>-</v>
      </c>
      <c r="C15" s="7" t="str">
        <f>HLOOKUP(Auswahl2HR,VergleichMatrixHR,16)</f>
        <v>-</v>
      </c>
      <c r="D15" s="7" t="str">
        <f>HLOOKUP(Auswahl3HR,VergleichMatrixHR,16)</f>
        <v>-</v>
      </c>
      <c r="E15" s="96"/>
      <c r="G15" s="40"/>
    </row>
    <row r="16" spans="1:7" s="5" customFormat="1" ht="20.100000000000001" customHeight="1">
      <c r="A16" s="63"/>
      <c r="B16" s="21"/>
      <c r="C16" s="21"/>
      <c r="D16" s="21"/>
      <c r="E16" s="280"/>
      <c r="G16" s="40"/>
    </row>
    <row r="17" spans="1:7" s="5" customFormat="1" ht="5.0999999999999996" customHeight="1">
      <c r="A17" s="8"/>
      <c r="B17" s="9"/>
      <c r="C17" s="9"/>
      <c r="D17" s="9"/>
      <c r="E17" s="43"/>
      <c r="G17" s="40"/>
    </row>
    <row r="18" spans="1:7" s="5" customFormat="1" ht="20.100000000000001" customHeight="1">
      <c r="A18" s="257" t="s">
        <v>1</v>
      </c>
      <c r="B18" s="255" t="str">
        <f>B4</f>
        <v>keine</v>
      </c>
      <c r="C18" s="255" t="str">
        <f t="shared" ref="C18:E18" si="0">C4</f>
        <v>keine</v>
      </c>
      <c r="D18" s="255" t="str">
        <f t="shared" si="0"/>
        <v>keine</v>
      </c>
      <c r="E18" s="255" t="str">
        <f t="shared" si="0"/>
        <v>Individuell</v>
      </c>
      <c r="G18" s="40"/>
    </row>
    <row r="19" spans="1:7" s="5" customFormat="1" ht="20.100000000000001" customHeight="1">
      <c r="A19" s="62" t="s">
        <v>85</v>
      </c>
      <c r="B19" s="7" t="str">
        <f>HLOOKUP(Auswahl1HR,VergleichMatrixHR,20)</f>
        <v>-</v>
      </c>
      <c r="C19" s="7" t="str">
        <f>HLOOKUP(Auswahl2HR,VergleichMatrixHR,20)</f>
        <v>-</v>
      </c>
      <c r="D19" s="7" t="str">
        <f>HLOOKUP(Auswahl3HR,VergleichMatrixHR,20)</f>
        <v>-</v>
      </c>
      <c r="E19" s="96"/>
      <c r="G19" s="40"/>
    </row>
    <row r="20" spans="1:7" s="5" customFormat="1" ht="20.100000000000001" customHeight="1">
      <c r="A20" s="249" t="s">
        <v>86</v>
      </c>
      <c r="B20" s="7" t="str">
        <f>HLOOKUP(Auswahl1HR,VergleichMatrixHR,22)</f>
        <v>-</v>
      </c>
      <c r="C20" s="7" t="str">
        <f>HLOOKUP(Auswahl2HR,VergleichMatrixHR,22)</f>
        <v>-</v>
      </c>
      <c r="D20" s="7" t="str">
        <f>HLOOKUP(Auswahl3HR,VergleichMatrixHR,22)</f>
        <v>-</v>
      </c>
      <c r="E20" s="96"/>
      <c r="G20" s="40"/>
    </row>
    <row r="21" spans="1:7" s="5" customFormat="1" ht="20.100000000000001" customHeight="1">
      <c r="A21" s="6" t="s">
        <v>87</v>
      </c>
      <c r="B21" s="7" t="str">
        <f>HLOOKUP(Auswahl1HR,VergleichMatrixHR,24)</f>
        <v>-</v>
      </c>
      <c r="C21" s="7" t="str">
        <f>HLOOKUP(Auswahl2HR,VergleichMatrixHR,24)</f>
        <v>-</v>
      </c>
      <c r="D21" s="7" t="str">
        <f>HLOOKUP(Auswahl3HR,VergleichMatrixHR,24)</f>
        <v>-</v>
      </c>
      <c r="E21" s="96"/>
      <c r="G21" s="40"/>
    </row>
    <row r="22" spans="1:7" s="5" customFormat="1" ht="30" customHeight="1">
      <c r="A22" s="62" t="s">
        <v>403</v>
      </c>
      <c r="B22" s="7" t="str">
        <f>HLOOKUP(Auswahl1HR,VergleichMatrixHR,26)</f>
        <v>-</v>
      </c>
      <c r="C22" s="7" t="str">
        <f>HLOOKUP(Auswahl2HR,VergleichMatrixHR,26)</f>
        <v>-</v>
      </c>
      <c r="D22" s="7" t="str">
        <f>HLOOKUP(Auswahl3HR,VergleichMatrixHR,26)</f>
        <v>-</v>
      </c>
      <c r="E22" s="96"/>
      <c r="G22" s="40"/>
    </row>
    <row r="23" spans="1:7" s="5" customFormat="1" ht="54.95" customHeight="1">
      <c r="A23" s="258" t="s">
        <v>52</v>
      </c>
      <c r="B23" s="7" t="str">
        <f>HLOOKUP(Auswahl1HR,VergleichMatrixHR,28)</f>
        <v>-</v>
      </c>
      <c r="C23" s="7" t="str">
        <f>HLOOKUP(Auswahl2HR,VergleichMatrixHR,28)</f>
        <v>-</v>
      </c>
      <c r="D23" s="7" t="str">
        <f>HLOOKUP(Auswahl3HR,VergleichMatrixHR,28)</f>
        <v>-</v>
      </c>
      <c r="E23" s="96"/>
      <c r="G23" s="40"/>
    </row>
    <row r="24" spans="1:7" s="5" customFormat="1" ht="95.1" customHeight="1">
      <c r="A24" s="12" t="s">
        <v>89</v>
      </c>
      <c r="B24" s="7" t="str">
        <f>HLOOKUP(Auswahl1HR,VergleichMatrixHR,30)</f>
        <v>-</v>
      </c>
      <c r="C24" s="7" t="str">
        <f>HLOOKUP(Auswahl2HR,VergleichMatrixHR,30)</f>
        <v>-</v>
      </c>
      <c r="D24" s="7" t="str">
        <f>HLOOKUP(Auswahl3HR,VergleichMatrixHR,30)</f>
        <v>-</v>
      </c>
      <c r="E24" s="96"/>
      <c r="G24" s="40"/>
    </row>
    <row r="25" spans="1:7" s="5" customFormat="1" ht="20.100000000000001" customHeight="1">
      <c r="A25" s="62" t="s">
        <v>6851</v>
      </c>
      <c r="B25" s="7" t="str">
        <f>HLOOKUP(Auswahl1HR,VergleichMatrixHR,32)</f>
        <v>-</v>
      </c>
      <c r="C25" s="7" t="str">
        <f>HLOOKUP(Auswahl2HR,VergleichMatrixHR,32)</f>
        <v>-</v>
      </c>
      <c r="D25" s="7" t="str">
        <f>HLOOKUP(Auswahl3HR,VergleichMatrixHR,32)</f>
        <v>-</v>
      </c>
      <c r="E25" s="96"/>
      <c r="G25" s="40"/>
    </row>
    <row r="26" spans="1:7" ht="20.100000000000001" customHeight="1">
      <c r="A26" s="6" t="s">
        <v>91</v>
      </c>
      <c r="B26" s="7" t="str">
        <f>HLOOKUP(Auswahl1HR,VergleichMatrixHR,34)</f>
        <v>-</v>
      </c>
      <c r="C26" s="7" t="str">
        <f>HLOOKUP(Auswahl2HR,VergleichMatrixHR,34)</f>
        <v>-</v>
      </c>
      <c r="D26" s="7" t="str">
        <f>HLOOKUP(Auswahl3HR,VergleichMatrixHR,34)</f>
        <v>-</v>
      </c>
      <c r="E26" s="96"/>
      <c r="G26" s="4"/>
    </row>
    <row r="27" spans="1:7" ht="20.100000000000001" customHeight="1">
      <c r="A27" s="6" t="s">
        <v>92</v>
      </c>
      <c r="B27" s="7" t="str">
        <f>HLOOKUP(Auswahl1HR,VergleichMatrixHR,36)</f>
        <v>-</v>
      </c>
      <c r="C27" s="7" t="str">
        <f>HLOOKUP(Auswahl2HR,VergleichMatrixHR,36)</f>
        <v>-</v>
      </c>
      <c r="D27" s="7" t="str">
        <f>HLOOKUP(Auswahl3HR,VergleichMatrixHR,36)</f>
        <v>-</v>
      </c>
      <c r="E27" s="96"/>
      <c r="G27" s="4"/>
    </row>
    <row r="28" spans="1:7" ht="39.950000000000003" customHeight="1">
      <c r="A28" s="249" t="s">
        <v>6985</v>
      </c>
      <c r="B28" s="7" t="str">
        <f>HLOOKUP(Auswahl1HR,VergleichMatrixHR,38)</f>
        <v>-</v>
      </c>
      <c r="C28" s="7" t="str">
        <f>HLOOKUP(Auswahl2HR,VergleichMatrixHR,38)</f>
        <v>-</v>
      </c>
      <c r="D28" s="7" t="str">
        <f>HLOOKUP(Auswahl3HR,VergleichMatrixHR,38)</f>
        <v>-</v>
      </c>
      <c r="E28" s="96"/>
      <c r="G28" s="4"/>
    </row>
    <row r="29" spans="1:7" s="5" customFormat="1" ht="5.0999999999999996" customHeight="1">
      <c r="A29" s="8"/>
      <c r="B29" s="9"/>
      <c r="C29" s="9"/>
      <c r="D29" s="9"/>
      <c r="E29" s="43"/>
      <c r="G29" s="40"/>
    </row>
    <row r="30" spans="1:7" s="5" customFormat="1" ht="20.100000000000001" customHeight="1">
      <c r="A30" s="257" t="s">
        <v>9108</v>
      </c>
      <c r="B30" s="255" t="str">
        <f>B4</f>
        <v>keine</v>
      </c>
      <c r="C30" s="255" t="str">
        <f t="shared" ref="C30:E30" si="1">C4</f>
        <v>keine</v>
      </c>
      <c r="D30" s="255" t="str">
        <f t="shared" si="1"/>
        <v>keine</v>
      </c>
      <c r="E30" s="255" t="str">
        <f t="shared" si="1"/>
        <v>Individuell</v>
      </c>
      <c r="G30" s="40"/>
    </row>
    <row r="31" spans="1:7" ht="20.100000000000001" customHeight="1">
      <c r="A31" s="6" t="s">
        <v>6852</v>
      </c>
      <c r="B31" s="7" t="str">
        <f>HLOOKUP(Auswahl1HR,VergleichMatrixHR,40)</f>
        <v>-</v>
      </c>
      <c r="C31" s="7" t="str">
        <f>HLOOKUP(Auswahl2HR,VergleichMatrixHR,40)</f>
        <v>-</v>
      </c>
      <c r="D31" s="7" t="str">
        <f>HLOOKUP(Auswahl3HR,VergleichMatrixHR,40)</f>
        <v>-</v>
      </c>
      <c r="E31" s="96"/>
      <c r="G31" s="4"/>
    </row>
    <row r="32" spans="1:7" ht="20.100000000000001" customHeight="1">
      <c r="A32" s="6" t="s">
        <v>94</v>
      </c>
      <c r="B32" s="7" t="str">
        <f>HLOOKUP(Auswahl1HR,VergleichMatrixHR,42)</f>
        <v>-</v>
      </c>
      <c r="C32" s="7" t="str">
        <f>HLOOKUP(Auswahl2HR,VergleichMatrixHR,42)</f>
        <v>-</v>
      </c>
      <c r="D32" s="7" t="str">
        <f>HLOOKUP(Auswahl3HR,VergleichMatrixHR,42)</f>
        <v>-</v>
      </c>
      <c r="E32" s="96"/>
      <c r="G32" s="4"/>
    </row>
    <row r="33" spans="1:7" ht="20.100000000000001" customHeight="1">
      <c r="A33" s="6" t="s">
        <v>582</v>
      </c>
      <c r="B33" s="7" t="str">
        <f>HLOOKUP(Auswahl1HR,VergleichMatrixHR,44)</f>
        <v>-</v>
      </c>
      <c r="C33" s="7" t="str">
        <f>HLOOKUP(Auswahl2HR,VergleichMatrixHR,44)</f>
        <v>-</v>
      </c>
      <c r="D33" s="7" t="str">
        <f>HLOOKUP(Auswahl3HR,VergleichMatrixHR,44)</f>
        <v>-</v>
      </c>
      <c r="E33" s="96"/>
      <c r="G33" s="4"/>
    </row>
    <row r="34" spans="1:7" ht="20.100000000000001" customHeight="1">
      <c r="A34" s="6" t="s">
        <v>4406</v>
      </c>
      <c r="B34" s="7" t="str">
        <f>HLOOKUP(Auswahl1HR,VergleichMatrixHR,46)</f>
        <v>-</v>
      </c>
      <c r="C34" s="7" t="str">
        <f>HLOOKUP(Auswahl2HR,VergleichMatrixHR,46)</f>
        <v>-</v>
      </c>
      <c r="D34" s="7" t="str">
        <f>HLOOKUP(Auswahl3HR,VergleichMatrixHR,46)</f>
        <v>-</v>
      </c>
      <c r="E34" s="96"/>
      <c r="G34" s="4"/>
    </row>
    <row r="35" spans="1:7" ht="30" customHeight="1">
      <c r="A35" s="62" t="s">
        <v>95</v>
      </c>
      <c r="B35" s="7" t="str">
        <f>HLOOKUP(Auswahl1HR,VergleichMatrixHR,48)</f>
        <v>-</v>
      </c>
      <c r="C35" s="7" t="str">
        <f>HLOOKUP(Auswahl2HR,VergleichMatrixHR,48)</f>
        <v>-</v>
      </c>
      <c r="D35" s="7" t="str">
        <f>HLOOKUP(Auswahl3HR,VergleichMatrixHR,48)</f>
        <v>-</v>
      </c>
      <c r="E35" s="96"/>
      <c r="G35" s="4"/>
    </row>
    <row r="36" spans="1:7" s="4" customFormat="1" ht="20.100000000000001" customHeight="1">
      <c r="A36" s="6" t="s">
        <v>96</v>
      </c>
      <c r="B36" s="7" t="str">
        <f>HLOOKUP(Auswahl1HR,VergleichMatrixHR,50)</f>
        <v>-</v>
      </c>
      <c r="C36" s="7" t="str">
        <f>HLOOKUP(Auswahl2HR,VergleichMatrixHR,50)</f>
        <v>-</v>
      </c>
      <c r="D36" s="7" t="str">
        <f>HLOOKUP(Auswahl3HR,VergleichMatrixHR,50)</f>
        <v>-</v>
      </c>
      <c r="E36" s="96"/>
    </row>
    <row r="37" spans="1:7" ht="20.100000000000001" customHeight="1">
      <c r="A37" s="6" t="s">
        <v>97</v>
      </c>
      <c r="B37" s="7" t="str">
        <f>HLOOKUP(Auswahl1HR,VergleichMatrixHR,52)</f>
        <v>-</v>
      </c>
      <c r="C37" s="7" t="str">
        <f>HLOOKUP(Auswahl2HR,VergleichMatrixHR,52)</f>
        <v>-</v>
      </c>
      <c r="D37" s="7" t="str">
        <f>HLOOKUP(Auswahl3HR,VergleichMatrixHR,52)</f>
        <v>-</v>
      </c>
      <c r="E37" s="96"/>
      <c r="G37" s="4"/>
    </row>
    <row r="38" spans="1:7" ht="20.100000000000001" customHeight="1">
      <c r="A38" s="6" t="s">
        <v>98</v>
      </c>
      <c r="B38" s="7" t="str">
        <f>HLOOKUP(Auswahl1HR,VergleichMatrixHR,54)</f>
        <v>-</v>
      </c>
      <c r="C38" s="7" t="str">
        <f>HLOOKUP(Auswahl2HR,VergleichMatrixHR,54)</f>
        <v>-</v>
      </c>
      <c r="D38" s="7" t="str">
        <f>HLOOKUP(Auswahl3HR,VergleichMatrixHR,54)</f>
        <v>-</v>
      </c>
      <c r="E38" s="96"/>
      <c r="G38" s="4"/>
    </row>
    <row r="39" spans="1:7" ht="20.100000000000001" customHeight="1">
      <c r="A39" s="6" t="s">
        <v>6284</v>
      </c>
      <c r="B39" s="7" t="str">
        <f>HLOOKUP(Auswahl1HR,VergleichMatrixHR,56)</f>
        <v>-</v>
      </c>
      <c r="C39" s="7" t="str">
        <f>HLOOKUP(Auswahl2HR,VergleichMatrixHR,56)</f>
        <v>-</v>
      </c>
      <c r="D39" s="7" t="str">
        <f>HLOOKUP(Auswahl3HR,VergleichMatrixHR,56)</f>
        <v>-</v>
      </c>
      <c r="E39" s="96"/>
      <c r="G39" s="4"/>
    </row>
    <row r="40" spans="1:7" ht="20.100000000000001" customHeight="1">
      <c r="A40" s="6" t="s">
        <v>6285</v>
      </c>
      <c r="B40" s="7" t="str">
        <f>HLOOKUP(Auswahl1HR,VergleichMatrixHR,56)</f>
        <v>-</v>
      </c>
      <c r="C40" s="7" t="str">
        <f>HLOOKUP(Auswahl2HR,VergleichMatrixHR,56)</f>
        <v>-</v>
      </c>
      <c r="D40" s="7" t="str">
        <f>HLOOKUP(Auswahl3HR,VergleichMatrixHR,56)</f>
        <v>-</v>
      </c>
      <c r="E40" s="96"/>
      <c r="G40" s="4"/>
    </row>
    <row r="41" spans="1:7" ht="30" customHeight="1">
      <c r="A41" s="6" t="s">
        <v>7792</v>
      </c>
      <c r="B41" s="7" t="str">
        <f>HLOOKUP(Auswahl1HR,VergleichMatrixHR,58)</f>
        <v>-</v>
      </c>
      <c r="C41" s="7" t="str">
        <f>HLOOKUP(Auswahl2HR,VergleichMatrixHR,58)</f>
        <v>-</v>
      </c>
      <c r="D41" s="7" t="str">
        <f>HLOOKUP(Auswahl3HR,VergleichMatrixHR,58)</f>
        <v>-</v>
      </c>
      <c r="E41" s="96"/>
      <c r="G41" s="4"/>
    </row>
    <row r="42" spans="1:7" ht="5.0999999999999996" customHeight="1">
      <c r="A42" s="20"/>
      <c r="B42" s="5"/>
      <c r="C42" s="5"/>
      <c r="D42" s="5"/>
      <c r="E42" s="43"/>
      <c r="G42" s="4"/>
    </row>
    <row r="43" spans="1:7" ht="20.100000000000001" customHeight="1">
      <c r="A43" s="257" t="s">
        <v>101</v>
      </c>
      <c r="B43" s="255" t="str">
        <f>Auswahl1HR</f>
        <v>keine</v>
      </c>
      <c r="C43" s="255" t="str">
        <f>Auswahl2HR</f>
        <v>keine</v>
      </c>
      <c r="D43" s="255" t="str">
        <f>Auswahl3HR</f>
        <v>keine</v>
      </c>
      <c r="E43" s="255" t="str">
        <f>E4</f>
        <v>Individuell</v>
      </c>
      <c r="G43" s="4"/>
    </row>
    <row r="44" spans="1:7" ht="39.950000000000003" customHeight="1">
      <c r="A44" s="62" t="s">
        <v>102</v>
      </c>
      <c r="B44" s="7" t="str">
        <f>HLOOKUP(Auswahl1HR,VergleichMatrixHR,64)</f>
        <v>-</v>
      </c>
      <c r="C44" s="7" t="str">
        <f>HLOOKUP(Auswahl2HR,VergleichMatrixHR,64)</f>
        <v>-</v>
      </c>
      <c r="D44" s="7" t="str">
        <f>HLOOKUP(Auswahl3HR,VergleichMatrixHR,64)</f>
        <v>-</v>
      </c>
      <c r="E44" s="96"/>
      <c r="G44" s="4"/>
    </row>
    <row r="45" spans="1:7" ht="39.950000000000003" customHeight="1">
      <c r="A45" s="62" t="s">
        <v>7436</v>
      </c>
      <c r="B45" s="7" t="str">
        <f>HLOOKUP(Auswahl1HR,VergleichMatrixHR,66)</f>
        <v>-</v>
      </c>
      <c r="C45" s="7" t="str">
        <f>HLOOKUP(Auswahl2HR,VergleichMatrixHR,66)</f>
        <v>-</v>
      </c>
      <c r="D45" s="7" t="str">
        <f>HLOOKUP(Auswahl3HR,VergleichMatrixHR,66)</f>
        <v>-</v>
      </c>
      <c r="E45" s="96"/>
      <c r="G45" s="4"/>
    </row>
    <row r="46" spans="1:7" ht="20.100000000000001" customHeight="1">
      <c r="A46" s="62" t="s">
        <v>7229</v>
      </c>
      <c r="B46" s="7" t="str">
        <f>HLOOKUP(Auswahl1HR,VergleichMatrixHR,68)</f>
        <v>-</v>
      </c>
      <c r="C46" s="7" t="str">
        <f>HLOOKUP(Auswahl2HR,VergleichMatrixHR,68)</f>
        <v>-</v>
      </c>
      <c r="D46" s="7" t="str">
        <f>HLOOKUP(Auswahl3HR,VergleichMatrixHR,68)</f>
        <v>-</v>
      </c>
      <c r="E46" s="96"/>
      <c r="G46" s="4"/>
    </row>
    <row r="47" spans="1:7" ht="30" customHeight="1">
      <c r="A47" s="62" t="s">
        <v>7</v>
      </c>
      <c r="B47" s="7" t="str">
        <f>HLOOKUP(Auswahl1HR,VergleichMatrixHR,70)</f>
        <v>-</v>
      </c>
      <c r="C47" s="7" t="str">
        <f>HLOOKUP(Auswahl2HR,VergleichMatrixHR,70)</f>
        <v>-</v>
      </c>
      <c r="D47" s="7" t="str">
        <f>HLOOKUP(Auswahl3HR,VergleichMatrixHR,70)</f>
        <v>-</v>
      </c>
      <c r="E47" s="96"/>
      <c r="G47" s="4"/>
    </row>
    <row r="48" spans="1:7" ht="110.1" customHeight="1">
      <c r="A48" s="62" t="s">
        <v>6952</v>
      </c>
      <c r="B48" s="7" t="str">
        <f>HLOOKUP(Auswahl1HR,VergleichMatrixHR,72)</f>
        <v>-</v>
      </c>
      <c r="C48" s="7" t="str">
        <f>HLOOKUP(Auswahl2HR,VergleichMatrixHR,72)</f>
        <v>-</v>
      </c>
      <c r="D48" s="7" t="str">
        <f>HLOOKUP(Auswahl3HR,VergleichMatrixHR,72)</f>
        <v>-</v>
      </c>
      <c r="E48" s="96"/>
      <c r="G48" s="4"/>
    </row>
    <row r="49" spans="1:7" ht="50.1" customHeight="1">
      <c r="A49" s="62" t="s">
        <v>321</v>
      </c>
      <c r="B49" s="7" t="str">
        <f>HLOOKUP(Auswahl1HR,VergleichMatrixHR,74)</f>
        <v>-</v>
      </c>
      <c r="C49" s="7" t="str">
        <f>HLOOKUP(Auswahl2HR,VergleichMatrixHR,74)</f>
        <v>-</v>
      </c>
      <c r="D49" s="7" t="str">
        <f>HLOOKUP(Auswahl3HR,VergleichMatrixHR,74)</f>
        <v>-</v>
      </c>
      <c r="E49" s="96"/>
      <c r="G49" s="4"/>
    </row>
    <row r="50" spans="1:7" ht="20.100000000000001" customHeight="1">
      <c r="A50" s="62" t="s">
        <v>451</v>
      </c>
      <c r="B50" s="7" t="str">
        <f>HLOOKUP(Auswahl1HR,VergleichMatrixHR,76)</f>
        <v>-</v>
      </c>
      <c r="C50" s="7" t="str">
        <f>HLOOKUP(Auswahl2HR,VergleichMatrixHR,76)</f>
        <v>-</v>
      </c>
      <c r="D50" s="7" t="str">
        <f>HLOOKUP(Auswahl3HR,VergleichMatrixHR,76)</f>
        <v>-</v>
      </c>
      <c r="E50" s="96"/>
      <c r="G50" s="4"/>
    </row>
    <row r="51" spans="1:7" ht="20.100000000000001" customHeight="1">
      <c r="A51" s="6" t="s">
        <v>63</v>
      </c>
      <c r="B51" s="7" t="str">
        <f>HLOOKUP(Auswahl1HR,VergleichMatrixHR,78)</f>
        <v>-</v>
      </c>
      <c r="C51" s="7" t="str">
        <f>HLOOKUP(Auswahl2HR,VergleichMatrixHR,78)</f>
        <v>-</v>
      </c>
      <c r="D51" s="7" t="str">
        <f>HLOOKUP(Auswahl3HR,VergleichMatrixHR,78)</f>
        <v>-</v>
      </c>
      <c r="E51" s="96"/>
      <c r="G51" s="4"/>
    </row>
    <row r="52" spans="1:7" ht="30" customHeight="1">
      <c r="A52" s="6" t="s">
        <v>6863</v>
      </c>
      <c r="B52" s="7" t="str">
        <f>HLOOKUP(Auswahl1HR,VergleichMatrixHR,80)</f>
        <v>-</v>
      </c>
      <c r="C52" s="7" t="str">
        <f>HLOOKUP(Auswahl2HR,VergleichMatrixHR,80)</f>
        <v>-</v>
      </c>
      <c r="D52" s="7" t="str">
        <f>HLOOKUP(Auswahl3HR,VergleichMatrixHR,80)</f>
        <v>-</v>
      </c>
      <c r="E52" s="96"/>
      <c r="G52" s="4"/>
    </row>
    <row r="53" spans="1:7" ht="20.100000000000001" customHeight="1">
      <c r="A53" s="62" t="s">
        <v>107</v>
      </c>
      <c r="B53" s="7" t="str">
        <f>HLOOKUP(Auswahl1HR,VergleichMatrixHR,82)</f>
        <v>-</v>
      </c>
      <c r="C53" s="7" t="str">
        <f>HLOOKUP(Auswahl2HR,VergleichMatrixHR,82)</f>
        <v>-</v>
      </c>
      <c r="D53" s="7" t="str">
        <f>HLOOKUP(Auswahl3HR,VergleichMatrixHR,82)</f>
        <v>-</v>
      </c>
      <c r="E53" s="96"/>
      <c r="G53" s="4"/>
    </row>
    <row r="54" spans="1:7" ht="20.100000000000001" customHeight="1">
      <c r="A54" s="94" t="s">
        <v>6858</v>
      </c>
      <c r="B54" s="7" t="str">
        <f>HLOOKUP(Auswahl1HR,VergleichMatrixHR,84)</f>
        <v>-</v>
      </c>
      <c r="C54" s="7" t="str">
        <f>HLOOKUP(Auswahl2HR,VergleichMatrixHR,84)</f>
        <v>-</v>
      </c>
      <c r="D54" s="7" t="str">
        <f>HLOOKUP(Auswahl3HR,VergleichMatrixHR,84)</f>
        <v>-</v>
      </c>
      <c r="E54" s="96"/>
      <c r="G54" s="4"/>
    </row>
    <row r="55" spans="1:7" ht="20.100000000000001" customHeight="1">
      <c r="A55" s="94" t="s">
        <v>6751</v>
      </c>
      <c r="B55" s="7" t="str">
        <f>HLOOKUP(Auswahl1HR,VergleichMatrixHR,86)</f>
        <v>-</v>
      </c>
      <c r="C55" s="7" t="str">
        <f>HLOOKUP(Auswahl2HR,VergleichMatrixHR,86)</f>
        <v>-</v>
      </c>
      <c r="D55" s="7" t="str">
        <f>HLOOKUP(Auswahl3HR,VergleichMatrixHR,86)</f>
        <v>-</v>
      </c>
      <c r="E55" s="96"/>
      <c r="G55" s="4"/>
    </row>
    <row r="56" spans="1:7" ht="20.100000000000001" customHeight="1">
      <c r="A56" s="94" t="s">
        <v>6868</v>
      </c>
      <c r="B56" s="7" t="str">
        <f>HLOOKUP(Auswahl1HR,VergleichMatrixHR,88)</f>
        <v>-</v>
      </c>
      <c r="C56" s="7" t="str">
        <f>HLOOKUP(Auswahl2HR,VergleichMatrixHR,88)</f>
        <v>-</v>
      </c>
      <c r="D56" s="7" t="str">
        <f>HLOOKUP(Auswahl3HR,VergleichMatrixHR,88)</f>
        <v>-</v>
      </c>
      <c r="E56" s="96"/>
      <c r="G56" s="4"/>
    </row>
    <row r="57" spans="1:7" ht="5.0999999999999996" customHeight="1">
      <c r="A57" s="23"/>
      <c r="B57" s="21"/>
      <c r="C57" s="21"/>
      <c r="D57" s="21"/>
      <c r="E57" s="43"/>
    </row>
    <row r="58" spans="1:7" ht="20.100000000000001" customHeight="1">
      <c r="A58" s="257" t="s">
        <v>6517</v>
      </c>
      <c r="B58" s="255" t="str">
        <f>Auswahl1HR</f>
        <v>keine</v>
      </c>
      <c r="C58" s="255" t="str">
        <f>Auswahl2HR</f>
        <v>keine</v>
      </c>
      <c r="D58" s="255" t="str">
        <f>Auswahl3HR</f>
        <v>keine</v>
      </c>
      <c r="E58" s="255" t="str">
        <f>E4</f>
        <v>Individuell</v>
      </c>
      <c r="G58" s="279"/>
    </row>
    <row r="59" spans="1:7" s="4" customFormat="1" ht="20.100000000000001" customHeight="1">
      <c r="A59" s="286" t="s">
        <v>6518</v>
      </c>
      <c r="B59" s="296"/>
      <c r="C59" s="296"/>
      <c r="D59" s="296"/>
      <c r="E59" s="296"/>
      <c r="G59" s="279"/>
    </row>
    <row r="60" spans="1:7" ht="20.100000000000001" customHeight="1">
      <c r="A60" s="6" t="s">
        <v>6519</v>
      </c>
      <c r="B60" s="7" t="str">
        <f>HLOOKUP(Auswahl1HR,VergleichMatrixHR,93)</f>
        <v>-</v>
      </c>
      <c r="C60" s="7" t="str">
        <f>HLOOKUP(Auswahl2HR,VergleichMatrixHR,93)</f>
        <v>-</v>
      </c>
      <c r="D60" s="7" t="str">
        <f>HLOOKUP(Auswahl3HR,VergleichMatrixHR,93)</f>
        <v>-</v>
      </c>
      <c r="E60" s="96"/>
      <c r="G60" s="279"/>
    </row>
    <row r="61" spans="1:7" ht="20.100000000000001" customHeight="1">
      <c r="A61" s="6" t="s">
        <v>2</v>
      </c>
      <c r="B61" s="7" t="str">
        <f>HLOOKUP(Auswahl1HR,VergleichMatrixHR,95)</f>
        <v>-</v>
      </c>
      <c r="C61" s="7" t="str">
        <f>HLOOKUP(Auswahl2HR,VergleichMatrixHR,95)</f>
        <v>-</v>
      </c>
      <c r="D61" s="7" t="str">
        <f>HLOOKUP(Auswahl3HR,VergleichMatrixHR,95)</f>
        <v>-</v>
      </c>
      <c r="E61" s="96"/>
      <c r="G61" s="279"/>
    </row>
    <row r="62" spans="1:7" ht="20.100000000000001" customHeight="1">
      <c r="A62" s="62" t="s">
        <v>23</v>
      </c>
      <c r="B62" s="7" t="str">
        <f>HLOOKUP(Auswahl1HR,VergleichMatrixHR,97)</f>
        <v>-</v>
      </c>
      <c r="C62" s="7" t="str">
        <f>HLOOKUP(Auswahl2HR,VergleichMatrixHR,97)</f>
        <v>-</v>
      </c>
      <c r="D62" s="7" t="str">
        <f>HLOOKUP(Auswahl3HR,VergleichMatrixHR,97)</f>
        <v>-</v>
      </c>
      <c r="E62" s="96"/>
      <c r="G62" s="279"/>
    </row>
    <row r="63" spans="1:7" ht="30" customHeight="1">
      <c r="A63" s="62" t="s">
        <v>19</v>
      </c>
      <c r="B63" s="7" t="str">
        <f>HLOOKUP(Auswahl1HR,VergleichMatrixHR,99)</f>
        <v>-</v>
      </c>
      <c r="C63" s="7" t="str">
        <f>HLOOKUP(Auswahl2HR,VergleichMatrixHR,99)</f>
        <v>-</v>
      </c>
      <c r="D63" s="7" t="str">
        <f>HLOOKUP(Auswahl3HR,VergleichMatrixHR,99)</f>
        <v>-</v>
      </c>
      <c r="E63" s="96"/>
      <c r="G63" s="279"/>
    </row>
    <row r="64" spans="1:7" ht="20.100000000000001" customHeight="1">
      <c r="A64" s="6" t="s">
        <v>120</v>
      </c>
      <c r="B64" s="7" t="str">
        <f>HLOOKUP(Auswahl1HR,VergleichMatrixHR,101)</f>
        <v>-</v>
      </c>
      <c r="C64" s="7" t="str">
        <f>HLOOKUP(Auswahl2HR,VergleichMatrixHR,101)</f>
        <v>-</v>
      </c>
      <c r="D64" s="7" t="str">
        <f>HLOOKUP(Auswahl3HR,VergleichMatrixHR,101)</f>
        <v>-</v>
      </c>
      <c r="E64" s="96"/>
      <c r="G64" s="279"/>
    </row>
    <row r="65" spans="1:7" ht="30" customHeight="1">
      <c r="A65" s="62" t="s">
        <v>7453</v>
      </c>
      <c r="B65" s="7" t="str">
        <f>HLOOKUP(Auswahl1HR,VergleichMatrixHR,103)</f>
        <v>-</v>
      </c>
      <c r="C65" s="7" t="str">
        <f>HLOOKUP(Auswahl2HR,VergleichMatrixHR,103)</f>
        <v>-</v>
      </c>
      <c r="D65" s="7" t="str">
        <f>HLOOKUP(Auswahl3HR,VergleichMatrixHR,103)</f>
        <v>-</v>
      </c>
      <c r="E65" s="96"/>
      <c r="G65" s="279"/>
    </row>
    <row r="66" spans="1:7" ht="39.950000000000003" customHeight="1">
      <c r="A66" s="62" t="s">
        <v>7451</v>
      </c>
      <c r="B66" s="7" t="str">
        <f>HLOOKUP(Auswahl1HR,VergleichMatrixHR,105)</f>
        <v>-</v>
      </c>
      <c r="C66" s="7" t="str">
        <f>HLOOKUP(Auswahl2HR,VergleichMatrixHR,105)</f>
        <v>-</v>
      </c>
      <c r="D66" s="7" t="str">
        <f>HLOOKUP(Auswahl3HR,VergleichMatrixHR,105)</f>
        <v>-</v>
      </c>
      <c r="E66" s="96"/>
      <c r="G66" s="279"/>
    </row>
    <row r="67" spans="1:7" ht="30" customHeight="1">
      <c r="A67" s="62" t="s">
        <v>124</v>
      </c>
      <c r="B67" s="7" t="str">
        <f>HLOOKUP(Auswahl1HR,VergleichMatrixHR,107)</f>
        <v>-</v>
      </c>
      <c r="C67" s="7" t="str">
        <f>HLOOKUP(Auswahl2HR,VergleichMatrixHR,107)</f>
        <v>-</v>
      </c>
      <c r="D67" s="7" t="str">
        <f>HLOOKUP(Auswahl3HR,VergleichMatrixHR,107)</f>
        <v>-</v>
      </c>
      <c r="E67" s="96"/>
      <c r="G67" s="279"/>
    </row>
    <row r="68" spans="1:7" ht="20.100000000000001" customHeight="1">
      <c r="A68" s="62" t="s">
        <v>16</v>
      </c>
      <c r="B68" s="7" t="str">
        <f>HLOOKUP(Auswahl1HR,VergleichMatrixHR,109)</f>
        <v>-</v>
      </c>
      <c r="C68" s="7" t="str">
        <f>HLOOKUP(Auswahl2HR,VergleichMatrixHR,109)</f>
        <v>-</v>
      </c>
      <c r="D68" s="7" t="str">
        <f>HLOOKUP(Auswahl3HR,VergleichMatrixHR,109)</f>
        <v>-</v>
      </c>
      <c r="E68" s="96"/>
      <c r="G68" s="279"/>
    </row>
    <row r="69" spans="1:7" ht="39.950000000000003" customHeight="1">
      <c r="A69" s="62" t="s">
        <v>8159</v>
      </c>
      <c r="B69" s="7" t="str">
        <f>HLOOKUP(Auswahl1HR,VergleichMatrixHR,111)</f>
        <v>-</v>
      </c>
      <c r="C69" s="7" t="str">
        <f>HLOOKUP(Auswahl2HR,VergleichMatrixHR,111)</f>
        <v>-</v>
      </c>
      <c r="D69" s="7" t="str">
        <f>HLOOKUP(Auswahl3HR,VergleichMatrixHR,111)</f>
        <v>-</v>
      </c>
      <c r="E69" s="96"/>
      <c r="G69" s="279"/>
    </row>
    <row r="70" spans="1:7" ht="5.0999999999999996" customHeight="1">
      <c r="A70" s="20"/>
      <c r="B70" s="21"/>
      <c r="C70" s="21"/>
      <c r="D70" s="21"/>
      <c r="E70" s="43"/>
    </row>
    <row r="71" spans="1:7" ht="20.100000000000001" customHeight="1">
      <c r="A71" s="257" t="s">
        <v>6522</v>
      </c>
      <c r="B71" s="255" t="str">
        <f>Auswahl1HR</f>
        <v>keine</v>
      </c>
      <c r="C71" s="255" t="str">
        <f>Auswahl2HR</f>
        <v>keine</v>
      </c>
      <c r="D71" s="255" t="str">
        <f>Auswahl3HR</f>
        <v>keine</v>
      </c>
      <c r="E71" s="255" t="str">
        <f>E4</f>
        <v>Individuell</v>
      </c>
    </row>
    <row r="72" spans="1:7" ht="20.100000000000001" customHeight="1">
      <c r="A72" s="285" t="s">
        <v>8928</v>
      </c>
      <c r="B72" s="294"/>
      <c r="C72" s="294"/>
      <c r="D72" s="294"/>
      <c r="E72" s="295"/>
    </row>
    <row r="73" spans="1:7" ht="30" customHeight="1">
      <c r="A73" s="29" t="s">
        <v>128</v>
      </c>
      <c r="B73" s="7" t="str">
        <f>HLOOKUP(Auswahl1HR,VergleichMatrixHR,116)</f>
        <v>-</v>
      </c>
      <c r="C73" s="7" t="str">
        <f>HLOOKUP(Auswahl2HR,VergleichMatrixHR,116)</f>
        <v>-</v>
      </c>
      <c r="D73" s="7" t="str">
        <f>HLOOKUP(Auswahl3HR,VergleichMatrixHR,116)</f>
        <v>-</v>
      </c>
      <c r="E73" s="96"/>
    </row>
    <row r="74" spans="1:7" ht="20.100000000000001" customHeight="1">
      <c r="A74" s="6" t="s">
        <v>130</v>
      </c>
      <c r="B74" s="7" t="str">
        <f>HLOOKUP(Auswahl1HR,VergleichMatrixHR,118)</f>
        <v>-</v>
      </c>
      <c r="C74" s="7" t="str">
        <f>HLOOKUP(Auswahl2HR,VergleichMatrixHR,118)</f>
        <v>-</v>
      </c>
      <c r="D74" s="7" t="str">
        <f>HLOOKUP(Auswahl3HR,VergleichMatrixHR,118)</f>
        <v>-</v>
      </c>
      <c r="E74" s="96"/>
    </row>
    <row r="75" spans="1:7" ht="20.100000000000001" customHeight="1">
      <c r="A75" s="62" t="s">
        <v>6773</v>
      </c>
      <c r="B75" s="7" t="str">
        <f>HLOOKUP(Auswahl1HR,VergleichMatrixHR,120)</f>
        <v>-</v>
      </c>
      <c r="C75" s="7" t="str">
        <f>HLOOKUP(Auswahl2HR,VergleichMatrixHR,120)</f>
        <v>-</v>
      </c>
      <c r="D75" s="7" t="str">
        <f>HLOOKUP(Auswahl3HR,VergleichMatrixHR,120)</f>
        <v>-</v>
      </c>
      <c r="E75" s="96"/>
    </row>
    <row r="76" spans="1:7" ht="20.100000000000001" customHeight="1">
      <c r="A76" s="62" t="s">
        <v>6774</v>
      </c>
      <c r="B76" s="7" t="str">
        <f>HLOOKUP(Auswahl1HR,VergleichMatrixHR,122)</f>
        <v>-</v>
      </c>
      <c r="C76" s="7" t="str">
        <f>HLOOKUP(Auswahl2HR,VergleichMatrixHR,122)</f>
        <v>-</v>
      </c>
      <c r="D76" s="7" t="str">
        <f>HLOOKUP(Auswahl3HR,VergleichMatrixHR,122)</f>
        <v>-</v>
      </c>
      <c r="E76" s="96"/>
    </row>
    <row r="77" spans="1:7" ht="20.100000000000001" customHeight="1">
      <c r="A77" s="62" t="s">
        <v>6551</v>
      </c>
      <c r="B77" s="7" t="str">
        <f>HLOOKUP(Auswahl1HR,VergleichMatrixHR,124)</f>
        <v>-</v>
      </c>
      <c r="C77" s="7" t="str">
        <f>HLOOKUP(Auswahl2HR,VergleichMatrixHR,124)</f>
        <v>-</v>
      </c>
      <c r="D77" s="7" t="str">
        <f>HLOOKUP(Auswahl3HR,VergleichMatrixHR,124)</f>
        <v>-</v>
      </c>
      <c r="E77" s="96"/>
    </row>
    <row r="78" spans="1:7" ht="20.100000000000001" customHeight="1">
      <c r="A78" s="62" t="s">
        <v>6775</v>
      </c>
      <c r="B78" s="7" t="str">
        <f>HLOOKUP(Auswahl1HR,VergleichMatrixHR,126)</f>
        <v>-</v>
      </c>
      <c r="C78" s="7" t="str">
        <f>HLOOKUP(Auswahl2HR,VergleichMatrixHR,126)</f>
        <v>-</v>
      </c>
      <c r="D78" s="7" t="str">
        <f>HLOOKUP(Auswahl3HR,VergleichMatrixHR,126)</f>
        <v>-</v>
      </c>
      <c r="E78" s="96"/>
    </row>
    <row r="79" spans="1:7" ht="20.100000000000001" customHeight="1">
      <c r="A79" s="6" t="s">
        <v>133</v>
      </c>
      <c r="B79" s="7" t="str">
        <f>HLOOKUP(Auswahl1HR,VergleichMatrixHR,128)</f>
        <v>-</v>
      </c>
      <c r="C79" s="7" t="str">
        <f>HLOOKUP(Auswahl2HR,VergleichMatrixHR,128)</f>
        <v>-</v>
      </c>
      <c r="D79" s="7" t="str">
        <f>HLOOKUP(Auswahl3HR,VergleichMatrixHR,128)</f>
        <v>-</v>
      </c>
      <c r="E79" s="96"/>
    </row>
    <row r="80" spans="1:7" ht="20.100000000000001" customHeight="1">
      <c r="A80" s="6" t="s">
        <v>134</v>
      </c>
      <c r="B80" s="7" t="str">
        <f>HLOOKUP(Auswahl1HR,VergleichMatrixHR,130)</f>
        <v>-</v>
      </c>
      <c r="C80" s="7" t="str">
        <f>HLOOKUP(Auswahl2HR,VergleichMatrixHR,130)</f>
        <v>-</v>
      </c>
      <c r="D80" s="7" t="str">
        <f>HLOOKUP(Auswahl3HR,VergleichMatrixHR,130)</f>
        <v>-</v>
      </c>
      <c r="E80" s="96"/>
    </row>
    <row r="81" spans="1:5" s="4" customFormat="1" ht="20.100000000000001" customHeight="1">
      <c r="A81" s="6" t="s">
        <v>135</v>
      </c>
      <c r="B81" s="7" t="str">
        <f>HLOOKUP(Auswahl1HR,VergleichMatrixHR,132)</f>
        <v>-</v>
      </c>
      <c r="C81" s="7" t="str">
        <f>HLOOKUP(Auswahl2HR,VergleichMatrixHR,132)</f>
        <v>-</v>
      </c>
      <c r="D81" s="7" t="str">
        <f>HLOOKUP(Auswahl3HR,VergleichMatrixHR,132)</f>
        <v>-</v>
      </c>
      <c r="E81" s="96"/>
    </row>
    <row r="82" spans="1:5" ht="30" customHeight="1">
      <c r="A82" s="6" t="s">
        <v>136</v>
      </c>
      <c r="B82" s="7" t="str">
        <f>HLOOKUP(Auswahl1HR,VergleichMatrixHR,134)</f>
        <v>-</v>
      </c>
      <c r="C82" s="7" t="str">
        <f>HLOOKUP(Auswahl2HR,VergleichMatrixHR,134)</f>
        <v>-</v>
      </c>
      <c r="D82" s="7" t="str">
        <f>HLOOKUP(Auswahl3HR,VergleichMatrixHR,134)</f>
        <v>-</v>
      </c>
      <c r="E82" s="96"/>
    </row>
    <row r="83" spans="1:5" s="2" customFormat="1" ht="30" customHeight="1">
      <c r="A83" s="62" t="s">
        <v>6552</v>
      </c>
      <c r="B83" s="7" t="str">
        <f>HLOOKUP(Auswahl1HR,VergleichMatrixHR,136)</f>
        <v>-</v>
      </c>
      <c r="C83" s="7" t="str">
        <f>HLOOKUP(Auswahl2HR,VergleichMatrixHR,136)</f>
        <v>-</v>
      </c>
      <c r="D83" s="7" t="str">
        <f>HLOOKUP(Auswahl3HR,VergleichMatrixHR,136)</f>
        <v>-</v>
      </c>
      <c r="E83" s="96"/>
    </row>
    <row r="84" spans="1:5" s="2" customFormat="1" ht="20.100000000000001" customHeight="1">
      <c r="A84" s="6" t="s">
        <v>139</v>
      </c>
      <c r="B84" s="7" t="str">
        <f>HLOOKUP(Auswahl1HR,VergleichMatrixHR,138)</f>
        <v>-</v>
      </c>
      <c r="C84" s="7" t="str">
        <f>HLOOKUP(Auswahl2HR,VergleichMatrixHR,138)</f>
        <v>-</v>
      </c>
      <c r="D84" s="7" t="str">
        <f>HLOOKUP(Auswahl3HR,VergleichMatrixHR,138)</f>
        <v>-</v>
      </c>
      <c r="E84" s="96"/>
    </row>
    <row r="85" spans="1:5" s="2" customFormat="1" ht="20.100000000000001" customHeight="1">
      <c r="A85" s="6" t="s">
        <v>9706</v>
      </c>
      <c r="B85" s="7" t="str">
        <f>HLOOKUP(Auswahl1HR,VergleichMatrixHR,140)</f>
        <v>-</v>
      </c>
      <c r="C85" s="7" t="str">
        <f>HLOOKUP(Auswahl2HR,VergleichMatrixHR,140)</f>
        <v>-</v>
      </c>
      <c r="D85" s="7" t="str">
        <f>HLOOKUP(Auswahl3HR,VergleichMatrixHR,140)</f>
        <v>-</v>
      </c>
      <c r="E85" s="96"/>
    </row>
    <row r="86" spans="1:5" ht="5.0999999999999996" customHeight="1">
      <c r="A86" s="5"/>
      <c r="B86" s="5"/>
      <c r="C86" s="5"/>
      <c r="D86" s="5"/>
      <c r="E86" s="43"/>
    </row>
    <row r="87" spans="1:5" ht="20.100000000000001" customHeight="1">
      <c r="A87" s="257" t="s">
        <v>6522</v>
      </c>
      <c r="B87" s="255" t="str">
        <f>Auswahl1HR</f>
        <v>keine</v>
      </c>
      <c r="C87" s="255" t="str">
        <f>Auswahl2HR</f>
        <v>keine</v>
      </c>
      <c r="D87" s="255" t="str">
        <f>Auswahl3HR</f>
        <v>keine</v>
      </c>
      <c r="E87" s="255" t="str">
        <f>E4</f>
        <v>Individuell</v>
      </c>
    </row>
    <row r="88" spans="1:5" s="4" customFormat="1" ht="20.100000000000001" customHeight="1">
      <c r="A88" s="26" t="s">
        <v>143</v>
      </c>
      <c r="B88" s="294"/>
      <c r="C88" s="294"/>
      <c r="D88" s="294"/>
      <c r="E88" s="295"/>
    </row>
    <row r="89" spans="1:5" ht="30" customHeight="1">
      <c r="A89" s="62" t="s">
        <v>6778</v>
      </c>
      <c r="B89" s="7" t="str">
        <f>HLOOKUP(Auswahl1HR,VergleichMatrixHR,145)</f>
        <v>-</v>
      </c>
      <c r="C89" s="7" t="str">
        <f>HLOOKUP(Auswahl2HR,VergleichMatrixHR,145)</f>
        <v>-</v>
      </c>
      <c r="D89" s="7" t="str">
        <f>HLOOKUP(Auswahl3HR,VergleichMatrixHR,145)</f>
        <v>-</v>
      </c>
      <c r="E89" s="96"/>
    </row>
    <row r="90" spans="1:5" ht="20.100000000000001" customHeight="1">
      <c r="A90" s="6" t="s">
        <v>6590</v>
      </c>
      <c r="B90" s="7" t="str">
        <f>HLOOKUP(Auswahl1HR,VergleichMatrixHR,147)</f>
        <v>-</v>
      </c>
      <c r="C90" s="7" t="str">
        <f>HLOOKUP(Auswahl2HR,VergleichMatrixHR,147)</f>
        <v>-</v>
      </c>
      <c r="D90" s="7" t="str">
        <f>HLOOKUP(Auswahl3HR,VergleichMatrixHR,147)</f>
        <v>-</v>
      </c>
      <c r="E90" s="96"/>
    </row>
    <row r="91" spans="1:5" s="2" customFormat="1" ht="20.100000000000001" customHeight="1">
      <c r="A91" s="62" t="s">
        <v>8164</v>
      </c>
      <c r="B91" s="7" t="str">
        <f>HLOOKUP(Auswahl1HR,VergleichMatrixHR,149)</f>
        <v>-</v>
      </c>
      <c r="C91" s="7" t="str">
        <f>HLOOKUP(Auswahl2HR,VergleichMatrixHR,149)</f>
        <v>-</v>
      </c>
      <c r="D91" s="7" t="str">
        <f>HLOOKUP(Auswahl3HR,VergleichMatrixHR,149)</f>
        <v>-</v>
      </c>
      <c r="E91" s="96"/>
    </row>
    <row r="92" spans="1:5" s="2" customFormat="1" ht="20.100000000000001" customHeight="1">
      <c r="A92" s="62" t="s">
        <v>6591</v>
      </c>
      <c r="B92" s="7" t="str">
        <f>HLOOKUP(Auswahl1HR,VergleichMatrixHR,151)</f>
        <v>-</v>
      </c>
      <c r="C92" s="7" t="str">
        <f>HLOOKUP(Auswahl2HR,VergleichMatrixHR,151)</f>
        <v>-</v>
      </c>
      <c r="D92" s="7" t="str">
        <f>HLOOKUP(Auswahl3HR,VergleichMatrixHR,151)</f>
        <v>-</v>
      </c>
      <c r="E92" s="96"/>
    </row>
    <row r="93" spans="1:5" s="2" customFormat="1" ht="20.100000000000001" customHeight="1">
      <c r="A93" s="62" t="s">
        <v>6619</v>
      </c>
      <c r="B93" s="7" t="str">
        <f>HLOOKUP(Auswahl1HR,VergleichMatrixHR,153)</f>
        <v>-</v>
      </c>
      <c r="C93" s="7" t="str">
        <f>HLOOKUP(Auswahl2HR,VergleichMatrixHR,153)</f>
        <v>-</v>
      </c>
      <c r="D93" s="7" t="str">
        <f>HLOOKUP(Auswahl3HR,VergleichMatrixHR,153)</f>
        <v>-</v>
      </c>
      <c r="E93" s="96"/>
    </row>
    <row r="94" spans="1:5" s="2" customFormat="1" ht="20.100000000000001" customHeight="1">
      <c r="A94" s="6" t="s">
        <v>145</v>
      </c>
      <c r="B94" s="7" t="str">
        <f>HLOOKUP(Auswahl1HR,VergleichMatrixHR,155)</f>
        <v>-</v>
      </c>
      <c r="C94" s="7" t="str">
        <f>HLOOKUP(Auswahl2HR,VergleichMatrixHR,155)</f>
        <v>-</v>
      </c>
      <c r="D94" s="7" t="str">
        <f>HLOOKUP(Auswahl3HR,VergleichMatrixHR,155)</f>
        <v>-</v>
      </c>
      <c r="E94" s="96"/>
    </row>
    <row r="95" spans="1:5" s="2" customFormat="1" ht="20.100000000000001" customHeight="1">
      <c r="A95" s="6" t="s">
        <v>146</v>
      </c>
      <c r="B95" s="7" t="str">
        <f>HLOOKUP(Auswahl1HR,VergleichMatrixHR,157)</f>
        <v>-</v>
      </c>
      <c r="C95" s="7" t="str">
        <f>HLOOKUP(Auswahl2HR,VergleichMatrixHR,157)</f>
        <v>-</v>
      </c>
      <c r="D95" s="7" t="str">
        <f>HLOOKUP(Auswahl3HR,VergleichMatrixHR,157)</f>
        <v>-</v>
      </c>
      <c r="E95" s="96"/>
    </row>
    <row r="96" spans="1:5" s="2" customFormat="1" ht="20.100000000000001" customHeight="1">
      <c r="A96" s="6" t="s">
        <v>134</v>
      </c>
      <c r="B96" s="7" t="str">
        <f>HLOOKUP(Auswahl1HR,VergleichMatrixHR,159)</f>
        <v>-</v>
      </c>
      <c r="C96" s="7" t="str">
        <f>HLOOKUP(Auswahl2HR,VergleichMatrixHR,159)</f>
        <v>-</v>
      </c>
      <c r="D96" s="7" t="str">
        <f>HLOOKUP(Auswahl3HR,VergleichMatrixHR,159)</f>
        <v>-</v>
      </c>
      <c r="E96" s="96"/>
    </row>
    <row r="97" spans="1:5" s="2" customFormat="1" ht="20.100000000000001" customHeight="1">
      <c r="A97" s="6" t="s">
        <v>135</v>
      </c>
      <c r="B97" s="7" t="str">
        <f>HLOOKUP(Auswahl1HR,VergleichMatrixHR,161)</f>
        <v>-</v>
      </c>
      <c r="C97" s="7" t="str">
        <f>HLOOKUP(Auswahl2HR,VergleichMatrixHR,161)</f>
        <v>-</v>
      </c>
      <c r="D97" s="7" t="str">
        <f>HLOOKUP(Auswahl3HR,VergleichMatrixHR,161)</f>
        <v>-</v>
      </c>
      <c r="E97" s="96"/>
    </row>
    <row r="98" spans="1:5" s="2" customFormat="1" ht="20.100000000000001" customHeight="1">
      <c r="A98" s="6" t="s">
        <v>136</v>
      </c>
      <c r="B98" s="7" t="str">
        <f>HLOOKUP(Auswahl1HR,VergleichMatrixHR,163)</f>
        <v>-</v>
      </c>
      <c r="C98" s="7" t="str">
        <f>HLOOKUP(Auswahl2HR,VergleichMatrixHR,163)</f>
        <v>-</v>
      </c>
      <c r="D98" s="7" t="str">
        <f>HLOOKUP(Auswahl3HR,VergleichMatrixHR,163)</f>
        <v>-</v>
      </c>
      <c r="E98" s="96"/>
    </row>
    <row r="99" spans="1:5" ht="20.100000000000001" customHeight="1">
      <c r="A99" s="62" t="s">
        <v>6620</v>
      </c>
      <c r="B99" s="7" t="str">
        <f>HLOOKUP(Auswahl1HR,VergleichMatrixHR,165)</f>
        <v>-</v>
      </c>
      <c r="C99" s="7" t="str">
        <f>HLOOKUP(Auswahl2HR,VergleichMatrixHR,165)</f>
        <v>-</v>
      </c>
      <c r="D99" s="7" t="str">
        <f>HLOOKUP(Auswahl3HR,VergleichMatrixHR,165)</f>
        <v>-</v>
      </c>
      <c r="E99" s="96"/>
    </row>
    <row r="100" spans="1:5" ht="5.0999999999999996" customHeight="1">
      <c r="A100" s="8"/>
      <c r="B100" s="21"/>
      <c r="C100" s="21"/>
      <c r="D100" s="21"/>
      <c r="E100" s="43"/>
    </row>
    <row r="101" spans="1:5" ht="20.100000000000001" customHeight="1">
      <c r="A101" s="257" t="s">
        <v>6621</v>
      </c>
      <c r="B101" s="255" t="str">
        <f>Auswahl1HR</f>
        <v>keine</v>
      </c>
      <c r="C101" s="255" t="str">
        <f>Auswahl2HR</f>
        <v>keine</v>
      </c>
      <c r="D101" s="255" t="str">
        <f>Auswahl3HR</f>
        <v>keine</v>
      </c>
      <c r="E101" s="255" t="str">
        <f>E4</f>
        <v>Individuell</v>
      </c>
    </row>
    <row r="102" spans="1:5" s="4" customFormat="1" ht="39.950000000000003" customHeight="1">
      <c r="A102" s="6" t="s">
        <v>151</v>
      </c>
      <c r="B102" s="7" t="str">
        <f>HLOOKUP(Auswahl1HR,VergleichMatrixHR,169)</f>
        <v>-</v>
      </c>
      <c r="C102" s="7" t="str">
        <f>HLOOKUP(Auswahl2HR,VergleichMatrixHR,169)</f>
        <v>-</v>
      </c>
      <c r="D102" s="7" t="str">
        <f>HLOOKUP(Auswahl3HR,VergleichMatrixHR,169)</f>
        <v>-</v>
      </c>
      <c r="E102" s="96"/>
    </row>
    <row r="103" spans="1:5" ht="30" customHeight="1">
      <c r="A103" s="62" t="s">
        <v>8344</v>
      </c>
      <c r="B103" s="7" t="str">
        <f>HLOOKUP(Auswahl1HR,VergleichMatrixHR,171)</f>
        <v>-</v>
      </c>
      <c r="C103" s="7" t="str">
        <f>HLOOKUP(Auswahl2HR,VergleichMatrixHR,171)</f>
        <v>-</v>
      </c>
      <c r="D103" s="7" t="str">
        <f>HLOOKUP(Auswahl3HR,VergleichMatrixHR,171)</f>
        <v>-</v>
      </c>
      <c r="E103" s="96"/>
    </row>
    <row r="104" spans="1:5" ht="39.950000000000003" customHeight="1">
      <c r="A104" s="62" t="s">
        <v>6622</v>
      </c>
      <c r="B104" s="7" t="str">
        <f>HLOOKUP(Auswahl1HR,VergleichMatrixHR,173)</f>
        <v>-</v>
      </c>
      <c r="C104" s="7" t="str">
        <f>HLOOKUP(Auswahl2HR,VergleichMatrixHR,173)</f>
        <v>-</v>
      </c>
      <c r="D104" s="7" t="str">
        <f>HLOOKUP(Auswahl3HR,VergleichMatrixHR,173)</f>
        <v>-</v>
      </c>
      <c r="E104" s="96"/>
    </row>
    <row r="105" spans="1:5" ht="5.0999999999999996" customHeight="1">
      <c r="A105" s="63"/>
      <c r="B105" s="21"/>
      <c r="C105" s="21"/>
      <c r="D105" s="21"/>
      <c r="E105" s="280"/>
    </row>
    <row r="106" spans="1:5" ht="20.100000000000001" customHeight="1">
      <c r="A106" s="257" t="s">
        <v>6624</v>
      </c>
      <c r="B106" s="255" t="str">
        <f>Auswahl1HR</f>
        <v>keine</v>
      </c>
      <c r="C106" s="255" t="str">
        <f>Auswahl2HR</f>
        <v>keine</v>
      </c>
      <c r="D106" s="255" t="str">
        <f>Auswahl3HR</f>
        <v>keine</v>
      </c>
      <c r="E106" s="255" t="str">
        <f>E4</f>
        <v>Individuell</v>
      </c>
    </row>
    <row r="107" spans="1:5" ht="20.100000000000001" customHeight="1">
      <c r="A107" s="290" t="s">
        <v>6787</v>
      </c>
      <c r="B107" s="239"/>
      <c r="C107" s="239"/>
      <c r="D107" s="239"/>
      <c r="E107" s="239"/>
    </row>
    <row r="108" spans="1:5" ht="20.100000000000001" customHeight="1">
      <c r="A108" s="62" t="s">
        <v>8918</v>
      </c>
      <c r="B108" s="7" t="str">
        <f>HLOOKUP(Auswahl1HR,VergleichMatrixHR,178)</f>
        <v>-</v>
      </c>
      <c r="C108" s="7" t="str">
        <f>HLOOKUP(Auswahl2HR,VergleichMatrixHR,178)</f>
        <v>-</v>
      </c>
      <c r="D108" s="7" t="str">
        <f>HLOOKUP(Auswahl3HR,VergleichMatrixHR,178)</f>
        <v>-</v>
      </c>
      <c r="E108" s="96"/>
    </row>
    <row r="109" spans="1:5" ht="30" customHeight="1">
      <c r="A109" s="62" t="s">
        <v>8919</v>
      </c>
      <c r="B109" s="7" t="str">
        <f>HLOOKUP(Auswahl1HR,VergleichMatrixHR,180)</f>
        <v>-</v>
      </c>
      <c r="C109" s="7" t="str">
        <f>HLOOKUP(Auswahl2HR,VergleichMatrixHR,180)</f>
        <v>-</v>
      </c>
      <c r="D109" s="7" t="str">
        <f>HLOOKUP(Auswahl3HR,VergleichMatrixHR,180)</f>
        <v>-</v>
      </c>
      <c r="E109" s="96"/>
    </row>
    <row r="110" spans="1:5" ht="20.100000000000001" customHeight="1">
      <c r="A110" s="6" t="s">
        <v>6788</v>
      </c>
      <c r="B110" s="7" t="str">
        <f>HLOOKUP(Auswahl1HR,VergleichMatrixHR,182)</f>
        <v>-</v>
      </c>
      <c r="C110" s="7" t="str">
        <f>HLOOKUP(Auswahl2HR,VergleichMatrixHR,182)</f>
        <v>-</v>
      </c>
      <c r="D110" s="7" t="str">
        <f>HLOOKUP(Auswahl3HR,VergleichMatrixHR,182)</f>
        <v>-</v>
      </c>
      <c r="E110" s="96"/>
    </row>
    <row r="111" spans="1:5" ht="20.100000000000001" customHeight="1">
      <c r="A111" s="62" t="s">
        <v>6799</v>
      </c>
      <c r="B111" s="7" t="str">
        <f>HLOOKUP(Auswahl1HR,VergleichMatrixHR,184)</f>
        <v>-</v>
      </c>
      <c r="C111" s="7" t="str">
        <f>HLOOKUP(Auswahl2HR,VergleichMatrixHR,184)</f>
        <v>-</v>
      </c>
      <c r="D111" s="7" t="str">
        <f>HLOOKUP(Auswahl3HR,VergleichMatrixHR,184)</f>
        <v>-</v>
      </c>
      <c r="E111" s="96"/>
    </row>
    <row r="112" spans="1:5" ht="20.100000000000001" customHeight="1">
      <c r="A112" s="62" t="s">
        <v>6800</v>
      </c>
      <c r="B112" s="7" t="str">
        <f>HLOOKUP(Auswahl1HR,VergleichMatrixHR,186)</f>
        <v>-</v>
      </c>
      <c r="C112" s="7" t="str">
        <f>HLOOKUP(Auswahl2HR,VergleichMatrixHR,186)</f>
        <v>-</v>
      </c>
      <c r="D112" s="7" t="str">
        <f>HLOOKUP(Auswahl3HR,VergleichMatrixHR,186)</f>
        <v>-</v>
      </c>
      <c r="E112" s="96"/>
    </row>
    <row r="113" spans="1:5" ht="20.100000000000001" customHeight="1">
      <c r="A113" s="62" t="s">
        <v>7622</v>
      </c>
      <c r="B113" s="7" t="str">
        <f>HLOOKUP(Auswahl1HR,VergleichMatrixHR,188)</f>
        <v>-</v>
      </c>
      <c r="C113" s="7" t="str">
        <f>HLOOKUP(Auswahl2HR,VergleichMatrixHR,188)</f>
        <v>-</v>
      </c>
      <c r="D113" s="7" t="str">
        <f>HLOOKUP(Auswahl3HR,VergleichMatrixHR,188)</f>
        <v>-</v>
      </c>
      <c r="E113" s="96"/>
    </row>
    <row r="114" spans="1:5" ht="20.100000000000001" customHeight="1">
      <c r="A114" s="62" t="s">
        <v>7237</v>
      </c>
      <c r="B114" s="7" t="str">
        <f>HLOOKUP(Auswahl1HR,VergleichMatrixHR,190)</f>
        <v>-</v>
      </c>
      <c r="C114" s="7" t="str">
        <f>HLOOKUP(Auswahl2HR,VergleichMatrixHR,190)</f>
        <v>-</v>
      </c>
      <c r="D114" s="7" t="str">
        <f>HLOOKUP(Auswahl3HR,VergleichMatrixHR,190)</f>
        <v>-</v>
      </c>
      <c r="E114" s="96"/>
    </row>
    <row r="115" spans="1:5" ht="20.100000000000001" hidden="1" customHeight="1">
      <c r="A115" s="62" t="s">
        <v>7239</v>
      </c>
      <c r="B115" s="7" t="str">
        <f>HLOOKUP(Auswahl1HR,VergleichMatrixHR,192)</f>
        <v>-</v>
      </c>
      <c r="C115" s="7" t="str">
        <f>HLOOKUP(Auswahl2HR,VergleichMatrixHR,192)</f>
        <v>-</v>
      </c>
      <c r="D115" s="7" t="str">
        <f>HLOOKUP(Auswahl3HR,VergleichMatrixHR,192)</f>
        <v>-</v>
      </c>
      <c r="E115" s="96"/>
    </row>
    <row r="116" spans="1:5" ht="20.100000000000001" customHeight="1">
      <c r="A116" s="6" t="s">
        <v>154</v>
      </c>
      <c r="B116" s="7" t="str">
        <f>HLOOKUP(Auswahl1HR,VergleichMatrixHR,194)</f>
        <v>-</v>
      </c>
      <c r="C116" s="7" t="str">
        <f>HLOOKUP(Auswahl2HR,VergleichMatrixHR,194)</f>
        <v>-</v>
      </c>
      <c r="D116" s="7" t="str">
        <f>HLOOKUP(Auswahl3HR,VergleichMatrixHR,194)</f>
        <v>-</v>
      </c>
      <c r="E116" s="96"/>
    </row>
    <row r="117" spans="1:5" ht="30" customHeight="1">
      <c r="A117" s="6" t="s">
        <v>157</v>
      </c>
      <c r="B117" s="7" t="str">
        <f>HLOOKUP(Auswahl1HR,VergleichMatrixHR,196)</f>
        <v>-</v>
      </c>
      <c r="C117" s="7" t="str">
        <f>HLOOKUP(Auswahl2HR,VergleichMatrixHR,196)</f>
        <v>-</v>
      </c>
      <c r="D117" s="7" t="str">
        <f>HLOOKUP(Auswahl3HR,VergleichMatrixHR,196)</f>
        <v>-</v>
      </c>
      <c r="E117" s="96"/>
    </row>
    <row r="118" spans="1:5" ht="30" customHeight="1">
      <c r="A118" s="6" t="s">
        <v>5489</v>
      </c>
      <c r="B118" s="7" t="str">
        <f>HLOOKUP(Auswahl1HR,VergleichMatrixHR,198)</f>
        <v>-</v>
      </c>
      <c r="C118" s="7" t="str">
        <f>HLOOKUP(Auswahl2HR,VergleichMatrixHR,198)</f>
        <v>-</v>
      </c>
      <c r="D118" s="7" t="str">
        <f>HLOOKUP(Auswahl3HR,VergleichMatrixHR,198)</f>
        <v>-</v>
      </c>
      <c r="E118" s="96"/>
    </row>
    <row r="119" spans="1:5" ht="65.099999999999994" customHeight="1">
      <c r="A119" s="62" t="s">
        <v>8895</v>
      </c>
      <c r="B119" s="7" t="str">
        <f>HLOOKUP(Auswahl1HR,VergleichMatrixHR,200)</f>
        <v>-</v>
      </c>
      <c r="C119" s="7" t="str">
        <f>HLOOKUP(Auswahl2HR,VergleichMatrixHR,200)</f>
        <v>-</v>
      </c>
      <c r="D119" s="7" t="str">
        <f>HLOOKUP(Auswahl3HR,VergleichMatrixHR,200)</f>
        <v>-</v>
      </c>
      <c r="E119" s="96"/>
    </row>
    <row r="120" spans="1:5" ht="50.1" customHeight="1">
      <c r="A120" s="89" t="s">
        <v>162</v>
      </c>
      <c r="B120" s="7" t="str">
        <f>HLOOKUP(Auswahl1HR,VergleichMatrixHR,202)</f>
        <v>-</v>
      </c>
      <c r="C120" s="7" t="str">
        <f>HLOOKUP(Auswahl2HR,VergleichMatrixHR,202)</f>
        <v>-</v>
      </c>
      <c r="D120" s="7" t="str">
        <f>HLOOKUP(Auswahl3HR,VergleichMatrixHR,202)</f>
        <v>-</v>
      </c>
      <c r="E120" s="96"/>
    </row>
    <row r="121" spans="1:5" ht="50.1" customHeight="1">
      <c r="A121" s="89" t="s">
        <v>163</v>
      </c>
      <c r="B121" s="7" t="str">
        <f>HLOOKUP(Auswahl1HR,VergleichMatrixHR,204)</f>
        <v>-</v>
      </c>
      <c r="C121" s="7" t="str">
        <f>HLOOKUP(Auswahl2HR,VergleichMatrixHR,204)</f>
        <v>-</v>
      </c>
      <c r="D121" s="7" t="str">
        <f>HLOOKUP(Auswahl3HR,VergleichMatrixHR,204)</f>
        <v>-</v>
      </c>
      <c r="E121" s="96"/>
    </row>
    <row r="122" spans="1:5" ht="5.0999999999999996" customHeight="1">
      <c r="A122" s="63"/>
      <c r="B122" s="21"/>
      <c r="C122" s="21"/>
      <c r="D122" s="21"/>
      <c r="E122" s="280"/>
    </row>
    <row r="123" spans="1:5" ht="20.100000000000001" customHeight="1">
      <c r="A123" s="257" t="s">
        <v>6624</v>
      </c>
      <c r="B123" s="255" t="str">
        <f>Auswahl1HR</f>
        <v>keine</v>
      </c>
      <c r="C123" s="255" t="str">
        <f>Auswahl2HR</f>
        <v>keine</v>
      </c>
      <c r="D123" s="255" t="str">
        <f>Auswahl3HR</f>
        <v>keine</v>
      </c>
      <c r="E123" s="255" t="str">
        <f>E4</f>
        <v>Individuell</v>
      </c>
    </row>
    <row r="124" spans="1:5" ht="20.100000000000001" customHeight="1">
      <c r="A124" s="297" t="s">
        <v>6625</v>
      </c>
      <c r="B124" s="296"/>
      <c r="C124" s="296"/>
      <c r="D124" s="296"/>
      <c r="E124" s="296"/>
    </row>
    <row r="125" spans="1:5" ht="95.1" customHeight="1">
      <c r="A125" s="6" t="s">
        <v>6712</v>
      </c>
      <c r="B125" s="7" t="str">
        <f>HLOOKUP(Auswahl1HR,VergleichMatrixHR,207)</f>
        <v>-</v>
      </c>
      <c r="C125" s="7" t="str">
        <f>HLOOKUP(Auswahl2HR,VergleichMatrixHR,207)</f>
        <v>-</v>
      </c>
      <c r="D125" s="7" t="str">
        <f>HLOOKUP(Auswahl3HR,VergleichMatrixHR,207)</f>
        <v>-</v>
      </c>
      <c r="E125" s="96"/>
    </row>
    <row r="126" spans="1:5" s="4" customFormat="1" ht="65.099999999999994" customHeight="1">
      <c r="A126" s="6" t="s">
        <v>6963</v>
      </c>
      <c r="B126" s="7" t="str">
        <f>HLOOKUP(Auswahl1HR,VergleichMatrixHR,209)</f>
        <v>-</v>
      </c>
      <c r="C126" s="7" t="str">
        <f>HLOOKUP(Auswahl2HR,VergleichMatrixHR,209)</f>
        <v>-</v>
      </c>
      <c r="D126" s="7" t="str">
        <f>HLOOKUP(Auswahl3HR,VergleichMatrixHR,209)</f>
        <v>-</v>
      </c>
      <c r="E126" s="96"/>
    </row>
    <row r="127" spans="1:5" ht="30" customHeight="1">
      <c r="A127" s="6" t="s">
        <v>8</v>
      </c>
      <c r="B127" s="7" t="str">
        <f>HLOOKUP(Auswahl1HR,VergleichMatrixHR,211)</f>
        <v>-</v>
      </c>
      <c r="C127" s="7" t="str">
        <f>HLOOKUP(Auswahl2HR,VergleichMatrixHR,211)</f>
        <v>-</v>
      </c>
      <c r="D127" s="7" t="str">
        <f>HLOOKUP(Auswahl3HR,VergleichMatrixHR,211)</f>
        <v>-</v>
      </c>
      <c r="E127" s="96"/>
    </row>
    <row r="128" spans="1:5" ht="30" customHeight="1">
      <c r="A128" s="6" t="s">
        <v>158</v>
      </c>
      <c r="B128" s="7" t="str">
        <f>HLOOKUP(Auswahl1HR,VergleichMatrixHR,213)</f>
        <v>-</v>
      </c>
      <c r="C128" s="7" t="str">
        <f>HLOOKUP(Auswahl2HR,VergleichMatrixHR,213)</f>
        <v>-</v>
      </c>
      <c r="D128" s="7" t="str">
        <f>HLOOKUP(Auswahl3HR,VergleichMatrixHR,213)</f>
        <v>-</v>
      </c>
      <c r="E128" s="96"/>
    </row>
    <row r="129" spans="1:5" ht="30" customHeight="1">
      <c r="A129" s="6" t="s">
        <v>206</v>
      </c>
      <c r="B129" s="7" t="str">
        <f>HLOOKUP(Auswahl1HR,VergleichMatrixHR,215)</f>
        <v>-</v>
      </c>
      <c r="C129" s="7" t="str">
        <f>HLOOKUP(Auswahl2HR,VergleichMatrixHR,215)</f>
        <v>-</v>
      </c>
      <c r="D129" s="7" t="str">
        <f>HLOOKUP(Auswahl3HR,VergleichMatrixHR,215)</f>
        <v>-</v>
      </c>
      <c r="E129" s="96"/>
    </row>
    <row r="130" spans="1:5" ht="50.1" customHeight="1">
      <c r="A130" s="6" t="s">
        <v>6714</v>
      </c>
      <c r="B130" s="7" t="str">
        <f>HLOOKUP(Auswahl1HR,VergleichMatrixHR,217)</f>
        <v>-</v>
      </c>
      <c r="C130" s="7" t="str">
        <f>HLOOKUP(Auswahl2HR,VergleichMatrixHR,217)</f>
        <v>-</v>
      </c>
      <c r="D130" s="7" t="str">
        <f>HLOOKUP(Auswahl3HR,VergleichMatrixHR,217)</f>
        <v>-</v>
      </c>
      <c r="E130" s="96"/>
    </row>
    <row r="131" spans="1:5" ht="50.1" customHeight="1">
      <c r="A131" s="6" t="s">
        <v>165</v>
      </c>
      <c r="B131" s="7" t="str">
        <f>HLOOKUP(Auswahl1HR,VergleichMatrixHR,219)</f>
        <v>-</v>
      </c>
      <c r="C131" s="7" t="str">
        <f>HLOOKUP(Auswahl2HR,VergleichMatrixHR,219)</f>
        <v>-</v>
      </c>
      <c r="D131" s="7" t="str">
        <f>HLOOKUP(Auswahl3HR,VergleichMatrixHR,219)</f>
        <v>-</v>
      </c>
      <c r="E131" s="96"/>
    </row>
    <row r="132" spans="1:5" ht="39.950000000000003" customHeight="1">
      <c r="A132" s="62" t="s">
        <v>10</v>
      </c>
      <c r="B132" s="7" t="str">
        <f>HLOOKUP(Auswahl1HR,VergleichMatrixHR,221)</f>
        <v>-</v>
      </c>
      <c r="C132" s="7" t="str">
        <f>HLOOKUP(Auswahl2HR,VergleichMatrixHR,221)</f>
        <v>-</v>
      </c>
      <c r="D132" s="7" t="str">
        <f>HLOOKUP(Auswahl3HR,VergleichMatrixHR,221)</f>
        <v>-</v>
      </c>
      <c r="E132" s="96"/>
    </row>
    <row r="133" spans="1:5" ht="5.0999999999999996" customHeight="1">
      <c r="A133" s="63"/>
      <c r="B133" s="21"/>
      <c r="C133" s="21"/>
      <c r="D133" s="21"/>
      <c r="E133" s="280"/>
    </row>
    <row r="134" spans="1:5" ht="20.100000000000001" customHeight="1">
      <c r="A134" s="257" t="s">
        <v>9109</v>
      </c>
      <c r="B134" s="255" t="str">
        <f>Auswahl1HR</f>
        <v>keine</v>
      </c>
      <c r="C134" s="255" t="str">
        <f>Auswahl2HR</f>
        <v>keine</v>
      </c>
      <c r="D134" s="255" t="str">
        <f>Auswahl3HR</f>
        <v>keine</v>
      </c>
      <c r="E134" s="255" t="str">
        <f>E4</f>
        <v>Individuell</v>
      </c>
    </row>
    <row r="135" spans="1:5" ht="65.099999999999994" customHeight="1">
      <c r="A135" s="62" t="s">
        <v>164</v>
      </c>
      <c r="B135" s="7" t="str">
        <f>HLOOKUP(Auswahl1HR,VergleichMatrixHR,223)</f>
        <v>-</v>
      </c>
      <c r="C135" s="7" t="str">
        <f>HLOOKUP(Auswahl2HR,VergleichMatrixHR,223)</f>
        <v>-</v>
      </c>
      <c r="D135" s="7" t="str">
        <f>HLOOKUP(Auswahl3HR,VergleichMatrixHR,223)</f>
        <v>-</v>
      </c>
      <c r="E135" s="96"/>
    </row>
    <row r="136" spans="1:5" ht="50.1" customHeight="1">
      <c r="A136" s="62" t="s">
        <v>169</v>
      </c>
      <c r="B136" s="7" t="str">
        <f>HLOOKUP(Auswahl1HR,VergleichMatrixHR,225)</f>
        <v>-</v>
      </c>
      <c r="C136" s="7" t="str">
        <f>HLOOKUP(Auswahl2HR,VergleichMatrixHR,225)</f>
        <v>-</v>
      </c>
      <c r="D136" s="7" t="str">
        <f>HLOOKUP(Auswahl3HR,VergleichMatrixHR,225)</f>
        <v>-</v>
      </c>
      <c r="E136" s="96"/>
    </row>
    <row r="137" spans="1:5" ht="30" customHeight="1">
      <c r="A137" s="62" t="s">
        <v>9</v>
      </c>
      <c r="B137" s="7" t="str">
        <f>HLOOKUP(Auswahl1HR,VergleichMatrixHR,227)</f>
        <v>-</v>
      </c>
      <c r="C137" s="7" t="str">
        <f>HLOOKUP(Auswahl2HR,VergleichMatrixHR,227)</f>
        <v>-</v>
      </c>
      <c r="D137" s="7" t="str">
        <f>HLOOKUP(Auswahl3HR,VergleichMatrixHR,227)</f>
        <v>-</v>
      </c>
      <c r="E137" s="96"/>
    </row>
    <row r="138" spans="1:5" ht="39.950000000000003" customHeight="1">
      <c r="A138" s="62" t="s">
        <v>9058</v>
      </c>
      <c r="B138" s="7" t="str">
        <f>HLOOKUP(Auswahl1HR,VergleichMatrixHR,229)</f>
        <v>-</v>
      </c>
      <c r="C138" s="7" t="str">
        <f>HLOOKUP(Auswahl2HR,VergleichMatrixHR,229)</f>
        <v>-</v>
      </c>
      <c r="D138" s="7" t="str">
        <f>HLOOKUP(Auswahl3HR,VergleichMatrixHR,229)</f>
        <v>-</v>
      </c>
      <c r="E138" s="96"/>
    </row>
    <row r="139" spans="1:5" ht="75" hidden="1" customHeight="1">
      <c r="A139" s="62"/>
      <c r="B139" s="7" t="str">
        <f>HLOOKUP(Auswahl1HR,VergleichMatrixHR,231)</f>
        <v>-</v>
      </c>
      <c r="C139" s="7" t="str">
        <f>HLOOKUP(Auswahl2HR,VergleichMatrixHR,231)</f>
        <v>-</v>
      </c>
      <c r="D139" s="7" t="str">
        <f>HLOOKUP(Auswahl3HR,VergleichMatrixHR,231)</f>
        <v>-</v>
      </c>
      <c r="E139" s="96"/>
    </row>
    <row r="140" spans="1:5" ht="30" customHeight="1">
      <c r="A140" s="6" t="s">
        <v>4</v>
      </c>
      <c r="B140" s="7" t="str">
        <f>HLOOKUP(Auswahl1HR,VergleichMatrixHR,233)</f>
        <v>-</v>
      </c>
      <c r="C140" s="7" t="str">
        <f>HLOOKUP(Auswahl2HR,VergleichMatrixHR,233)</f>
        <v>-</v>
      </c>
      <c r="D140" s="7" t="str">
        <f>HLOOKUP(Auswahl3HR,VergleichMatrixHR,233)</f>
        <v>-</v>
      </c>
      <c r="E140" s="96"/>
    </row>
    <row r="141" spans="1:5" ht="50.1" customHeight="1">
      <c r="A141" s="6" t="s">
        <v>167</v>
      </c>
      <c r="B141" s="7" t="str">
        <f>HLOOKUP(Auswahl1HR,VergleichMatrixHR,235)</f>
        <v>-</v>
      </c>
      <c r="C141" s="7" t="str">
        <f>HLOOKUP(Auswahl2HR,VergleichMatrixHR,235)</f>
        <v>-</v>
      </c>
      <c r="D141" s="7" t="str">
        <f>HLOOKUP(Auswahl3HR,VergleichMatrixHR,235)</f>
        <v>-</v>
      </c>
      <c r="E141" s="96"/>
    </row>
    <row r="142" spans="1:5" ht="50.1" customHeight="1">
      <c r="A142" s="6" t="s">
        <v>31</v>
      </c>
      <c r="B142" s="7" t="str">
        <f>HLOOKUP(Auswahl1HR,VergleichMatrixHR,237)</f>
        <v>-</v>
      </c>
      <c r="C142" s="7" t="str">
        <f>HLOOKUP(Auswahl2HR,VergleichMatrixHR,237)</f>
        <v>-</v>
      </c>
      <c r="D142" s="7" t="str">
        <f>HLOOKUP(Auswahl3HR,VergleichMatrixHR,237)</f>
        <v>-</v>
      </c>
      <c r="E142" s="96"/>
    </row>
    <row r="143" spans="1:5" ht="50.1" customHeight="1">
      <c r="A143" s="6" t="s">
        <v>6716</v>
      </c>
      <c r="B143" s="7" t="str">
        <f>HLOOKUP(Auswahl1HR,VergleichMatrixHR,239)</f>
        <v>-</v>
      </c>
      <c r="C143" s="7" t="str">
        <f>HLOOKUP(Auswahl2HR,VergleichMatrixHR,239)</f>
        <v>-</v>
      </c>
      <c r="D143" s="7" t="str">
        <f>HLOOKUP(Auswahl3HR,VergleichMatrixHR,239)</f>
        <v>-</v>
      </c>
      <c r="E143" s="96"/>
    </row>
    <row r="144" spans="1:5" ht="30" customHeight="1">
      <c r="A144" s="62" t="s">
        <v>184</v>
      </c>
      <c r="B144" s="7" t="str">
        <f>HLOOKUP(Auswahl1HR,VergleichMatrixHR,241)</f>
        <v>-</v>
      </c>
      <c r="C144" s="7" t="str">
        <f>HLOOKUP(Auswahl2HR,VergleichMatrixHR,241)</f>
        <v>-</v>
      </c>
      <c r="D144" s="7" t="str">
        <f>HLOOKUP(Auswahl3HR,VergleichMatrixHR,241)</f>
        <v>-</v>
      </c>
      <c r="E144" s="96"/>
    </row>
    <row r="145" spans="1:5" ht="20.100000000000001" customHeight="1">
      <c r="A145" s="6" t="s">
        <v>207</v>
      </c>
      <c r="B145" s="7" t="str">
        <f>HLOOKUP(Auswahl1HR,VergleichMatrixHR,243)</f>
        <v>-</v>
      </c>
      <c r="C145" s="7" t="str">
        <f>HLOOKUP(Auswahl2HR,VergleichMatrixHR,243)</f>
        <v>-</v>
      </c>
      <c r="D145" s="7" t="str">
        <f>HLOOKUP(Auswahl3HR,VergleichMatrixHR,243)</f>
        <v>-</v>
      </c>
      <c r="E145" s="96"/>
    </row>
    <row r="146" spans="1:5" ht="20.100000000000001" customHeight="1">
      <c r="A146" s="62" t="s">
        <v>5221</v>
      </c>
      <c r="B146" s="7" t="str">
        <f>HLOOKUP(Auswahl1HR,VergleichMatrixHR,245)</f>
        <v>-</v>
      </c>
      <c r="C146" s="7" t="str">
        <f>HLOOKUP(Auswahl2HR,VergleichMatrixHR,245)</f>
        <v>-</v>
      </c>
      <c r="D146" s="7" t="str">
        <f>HLOOKUP(Auswahl3HR,VergleichMatrixHR,245)</f>
        <v>-</v>
      </c>
      <c r="E146" s="96"/>
    </row>
    <row r="147" spans="1:5" ht="5.0999999999999996" customHeight="1">
      <c r="A147" s="63"/>
      <c r="B147" s="21"/>
      <c r="C147" s="21"/>
      <c r="D147" s="21"/>
      <c r="E147" s="280"/>
    </row>
    <row r="148" spans="1:5" ht="20.100000000000001" customHeight="1">
      <c r="A148" s="257" t="s">
        <v>6623</v>
      </c>
      <c r="B148" s="255" t="str">
        <f>Auswahl1HR</f>
        <v>keine</v>
      </c>
      <c r="C148" s="255" t="str">
        <f>Auswahl2HR</f>
        <v>keine</v>
      </c>
      <c r="D148" s="255" t="str">
        <f>Auswahl3HR</f>
        <v>keine</v>
      </c>
      <c r="E148" s="255" t="str">
        <f>E4</f>
        <v>Individuell</v>
      </c>
    </row>
    <row r="149" spans="1:5" ht="39.950000000000003" customHeight="1">
      <c r="A149" s="62" t="s">
        <v>6715</v>
      </c>
      <c r="B149" s="7" t="str">
        <f>HLOOKUP(Auswahl1HR,VergleichMatrixHR,249)</f>
        <v>-</v>
      </c>
      <c r="C149" s="7" t="str">
        <f>HLOOKUP(Auswahl2HR,VergleichMatrixHR,249)</f>
        <v>-</v>
      </c>
      <c r="D149" s="7" t="str">
        <f>HLOOKUP(Auswahl3HR,VergleichMatrixHR,249)</f>
        <v>-</v>
      </c>
      <c r="E149" s="96"/>
    </row>
    <row r="150" spans="1:5" ht="30" customHeight="1">
      <c r="A150" s="62" t="s">
        <v>6720</v>
      </c>
      <c r="B150" s="7" t="str">
        <f>HLOOKUP(Auswahl1HR,VergleichMatrixHR,251)</f>
        <v>-</v>
      </c>
      <c r="C150" s="7" t="str">
        <f>HLOOKUP(Auswahl2HR,VergleichMatrixHR,251)</f>
        <v>-</v>
      </c>
      <c r="D150" s="7" t="str">
        <f>HLOOKUP(Auswahl3HR,VergleichMatrixHR,251)</f>
        <v>-</v>
      </c>
      <c r="E150" s="96"/>
    </row>
    <row r="151" spans="1:5" ht="20.100000000000001" customHeight="1">
      <c r="A151" s="62" t="s">
        <v>25</v>
      </c>
      <c r="B151" s="7" t="str">
        <f>HLOOKUP(Auswahl1HR,VergleichMatrixHR,253)</f>
        <v>-</v>
      </c>
      <c r="C151" s="7" t="str">
        <f>HLOOKUP(Auswahl2HR,VergleichMatrixHR,253)</f>
        <v>-</v>
      </c>
      <c r="D151" s="7" t="str">
        <f>HLOOKUP(Auswahl3HR,VergleichMatrixHR,253)</f>
        <v>-</v>
      </c>
      <c r="E151" s="96"/>
    </row>
    <row r="152" spans="1:5" ht="54.95" customHeight="1">
      <c r="A152" s="62" t="s">
        <v>9767</v>
      </c>
      <c r="B152" s="7" t="str">
        <f>HLOOKUP(Auswahl1HR,VergleichMatrixHR,255)</f>
        <v>-</v>
      </c>
      <c r="C152" s="7" t="str">
        <f>HLOOKUP(Auswahl2HR,VergleichMatrixHR,255)</f>
        <v>-</v>
      </c>
      <c r="D152" s="7" t="str">
        <f>HLOOKUP(Auswahl3HR,VergleichMatrixHR,255)</f>
        <v>-</v>
      </c>
      <c r="E152" s="96"/>
    </row>
    <row r="153" spans="1:5" ht="60.75" hidden="1" customHeight="1">
      <c r="A153" s="82" t="s">
        <v>8902</v>
      </c>
      <c r="B153" s="7" t="str">
        <f>HLOOKUP(Auswahl1HR,VergleichMatrixHR,257)</f>
        <v>-</v>
      </c>
      <c r="C153" s="7" t="str">
        <f>HLOOKUP(Auswahl2HR,VergleichMatrixHR,257)</f>
        <v>-</v>
      </c>
      <c r="D153" s="7" t="str">
        <f>HLOOKUP(Auswahl3HR,VergleichMatrixHR,257)</f>
        <v>-</v>
      </c>
      <c r="E153" s="96"/>
    </row>
    <row r="154" spans="1:5" ht="57.75" hidden="1" customHeight="1">
      <c r="A154" s="82" t="s">
        <v>8903</v>
      </c>
      <c r="B154" s="7" t="str">
        <f>HLOOKUP(Auswahl1HR,VergleichMatrixHR,259)</f>
        <v>-</v>
      </c>
      <c r="C154" s="7" t="str">
        <f>HLOOKUP(Auswahl2HR,VergleichMatrixHR,259)</f>
        <v>-</v>
      </c>
      <c r="D154" s="7" t="str">
        <f>HLOOKUP(Auswahl3HR,VergleichMatrixHR,259)</f>
        <v>-</v>
      </c>
      <c r="E154" s="96"/>
    </row>
    <row r="155" spans="1:5" ht="195" hidden="1" customHeight="1">
      <c r="A155" s="62" t="s">
        <v>6946</v>
      </c>
      <c r="B155" s="7" t="str">
        <f>HLOOKUP(Auswahl1HR,VergleichMatrixHR,261)</f>
        <v>-</v>
      </c>
      <c r="C155" s="7" t="str">
        <f>HLOOKUP(Auswahl2HR,VergleichMatrixHR,261)</f>
        <v>-</v>
      </c>
      <c r="D155" s="7" t="str">
        <f>HLOOKUP(Auswahl3HR,VergleichMatrixHR,261)</f>
        <v>-</v>
      </c>
      <c r="E155" s="96"/>
    </row>
    <row r="156" spans="1:5" ht="129.94999999999999" customHeight="1">
      <c r="A156" s="62" t="s">
        <v>6664</v>
      </c>
      <c r="B156" s="7" t="str">
        <f>HLOOKUP(Auswahl1HR,VergleichMatrixHR,263)</f>
        <v>-</v>
      </c>
      <c r="C156" s="7" t="str">
        <f>HLOOKUP(Auswahl2HR,VergleichMatrixHR,263)</f>
        <v>-</v>
      </c>
      <c r="D156" s="7" t="str">
        <f>HLOOKUP(Auswahl3HR,VergleichMatrixHR,263)</f>
        <v>-</v>
      </c>
      <c r="E156" s="96"/>
    </row>
    <row r="157" spans="1:5" ht="60" customHeight="1">
      <c r="A157" s="6" t="s">
        <v>6901</v>
      </c>
      <c r="B157" s="7" t="str">
        <f>HLOOKUP(Auswahl1HR,VergleichMatrixHR,265)</f>
        <v>-</v>
      </c>
      <c r="C157" s="7" t="str">
        <f>HLOOKUP(Auswahl2HR,VergleichMatrixHR,265)</f>
        <v>-</v>
      </c>
      <c r="D157" s="7" t="str">
        <f>HLOOKUP(Auswahl3HR,VergleichMatrixHR,265)</f>
        <v>-</v>
      </c>
      <c r="E157" s="96"/>
    </row>
    <row r="158" spans="1:5" ht="50.1" customHeight="1">
      <c r="A158" s="6" t="s">
        <v>6902</v>
      </c>
      <c r="B158" s="7" t="str">
        <f>HLOOKUP(Auswahl1HR,VergleichMatrixHR,267)</f>
        <v>-</v>
      </c>
      <c r="C158" s="7" t="str">
        <f>HLOOKUP(Auswahl2HR,VergleichMatrixHR,267)</f>
        <v>-</v>
      </c>
      <c r="D158" s="7" t="str">
        <f>HLOOKUP(Auswahl3HR,VergleichMatrixHR,267)</f>
        <v>-</v>
      </c>
      <c r="E158" s="96"/>
    </row>
    <row r="159" spans="1:5" ht="5.0999999999999996" customHeight="1">
      <c r="A159" s="5"/>
      <c r="B159" s="5"/>
      <c r="C159" s="5"/>
      <c r="D159" s="5"/>
      <c r="E159" s="43"/>
    </row>
    <row r="160" spans="1:5" ht="20.100000000000001" customHeight="1">
      <c r="A160" s="22" t="s">
        <v>15</v>
      </c>
      <c r="B160" s="255" t="str">
        <f>Auswahl1HR</f>
        <v>keine</v>
      </c>
      <c r="C160" s="255" t="str">
        <f>Auswahl2HR</f>
        <v>keine</v>
      </c>
      <c r="D160" s="255" t="str">
        <f>Auswahl3HR</f>
        <v>keine</v>
      </c>
      <c r="E160" s="255" t="str">
        <f>E4</f>
        <v>Individuell</v>
      </c>
    </row>
    <row r="161" spans="1:5" ht="20.100000000000001" customHeight="1">
      <c r="A161" s="62" t="s">
        <v>8920</v>
      </c>
      <c r="B161" s="7" t="str">
        <f>HLOOKUP(Auswahl1HR,VergleichMatrixHR,271)</f>
        <v>-</v>
      </c>
      <c r="C161" s="7" t="str">
        <f>HLOOKUP(Auswahl2HR,VergleichMatrixHR,271)</f>
        <v>-</v>
      </c>
      <c r="D161" s="7" t="str">
        <f>HLOOKUP(Auswahl3HR,VergleichMatrixHR,271)</f>
        <v>-</v>
      </c>
      <c r="E161" s="96"/>
    </row>
    <row r="162" spans="1:5" ht="50.1" customHeight="1">
      <c r="A162" s="62" t="s">
        <v>6815</v>
      </c>
      <c r="B162" s="7" t="str">
        <f>HLOOKUP(Auswahl1HR,VergleichMatrixHR,273)</f>
        <v>-</v>
      </c>
      <c r="C162" s="7" t="str">
        <f>HLOOKUP(Auswahl2HR,VergleichMatrixHR,273)</f>
        <v>-</v>
      </c>
      <c r="D162" s="7" t="str">
        <f>HLOOKUP(Auswahl3HR,VergleichMatrixHR,273)</f>
        <v>-</v>
      </c>
      <c r="E162" s="96"/>
    </row>
    <row r="163" spans="1:5" ht="30" customHeight="1">
      <c r="A163" s="62" t="s">
        <v>6814</v>
      </c>
      <c r="B163" s="7" t="str">
        <f>HLOOKUP(Auswahl1HR,VergleichMatrixHR,275)</f>
        <v>-</v>
      </c>
      <c r="C163" s="7" t="str">
        <f>HLOOKUP(Auswahl2HR,VergleichMatrixHR,275)</f>
        <v>-</v>
      </c>
      <c r="D163" s="7" t="str">
        <f>HLOOKUP(Auswahl3HR,VergleichMatrixHR,275)</f>
        <v>-</v>
      </c>
      <c r="E163" s="96"/>
    </row>
    <row r="164" spans="1:5" ht="20.100000000000001" customHeight="1">
      <c r="A164" s="62" t="s">
        <v>6819</v>
      </c>
      <c r="B164" s="7" t="str">
        <f>HLOOKUP(Auswahl1HR,VergleichMatrixHR,277)</f>
        <v>-</v>
      </c>
      <c r="C164" s="7" t="str">
        <f>HLOOKUP(Auswahl2HR,VergleichMatrixHR,277)</f>
        <v>-</v>
      </c>
      <c r="D164" s="7" t="str">
        <f>HLOOKUP(Auswahl3HR,VergleichMatrixHR,277)</f>
        <v>-</v>
      </c>
      <c r="E164" s="96"/>
    </row>
    <row r="165" spans="1:5" ht="20.100000000000001" customHeight="1">
      <c r="A165" s="62" t="s">
        <v>6822</v>
      </c>
      <c r="B165" s="7" t="str">
        <f>HLOOKUP(Auswahl1HR,VergleichMatrixHR,279)</f>
        <v>-</v>
      </c>
      <c r="C165" s="7" t="str">
        <f>HLOOKUP(Auswahl2HR,VergleichMatrixHR,279)</f>
        <v>-</v>
      </c>
      <c r="D165" s="7" t="str">
        <f>HLOOKUP(Auswahl3HR,VergleichMatrixHR,279)</f>
        <v>-</v>
      </c>
      <c r="E165" s="96"/>
    </row>
    <row r="166" spans="1:5" ht="20.100000000000001" customHeight="1">
      <c r="A166" s="62" t="s">
        <v>42</v>
      </c>
      <c r="B166" s="7" t="str">
        <f>HLOOKUP(Auswahl1HR,VergleichMatrixHR,281)</f>
        <v>-</v>
      </c>
      <c r="C166" s="7" t="str">
        <f>HLOOKUP(Auswahl2HR,VergleichMatrixHR,281)</f>
        <v>-</v>
      </c>
      <c r="D166" s="7" t="str">
        <f>HLOOKUP(Auswahl3HR,VergleichMatrixHR,281)</f>
        <v>-</v>
      </c>
      <c r="E166" s="96"/>
    </row>
    <row r="167" spans="1:5" ht="20.100000000000001" customHeight="1">
      <c r="A167" s="62" t="s">
        <v>38</v>
      </c>
      <c r="B167" s="7" t="str">
        <f>HLOOKUP(Auswahl1HR,VergleichMatrixHR,283)</f>
        <v>-</v>
      </c>
      <c r="C167" s="7" t="str">
        <f>HLOOKUP(Auswahl2HR,VergleichMatrixHR,283)</f>
        <v>-</v>
      </c>
      <c r="D167" s="7" t="str">
        <f>HLOOKUP(Auswahl3HR,VergleichMatrixHR,283)</f>
        <v>-</v>
      </c>
      <c r="E167" s="96"/>
    </row>
    <row r="168" spans="1:5" ht="20.100000000000001" customHeight="1">
      <c r="A168" s="62" t="s">
        <v>6824</v>
      </c>
      <c r="B168" s="7" t="str">
        <f>HLOOKUP(Auswahl1HR,VergleichMatrixHR,285)</f>
        <v>-</v>
      </c>
      <c r="C168" s="7" t="str">
        <f>HLOOKUP(Auswahl2HR,VergleichMatrixHR,285)</f>
        <v>-</v>
      </c>
      <c r="D168" s="7" t="str">
        <f>HLOOKUP(Auswahl3HR,VergleichMatrixHR,285)</f>
        <v>-</v>
      </c>
      <c r="E168" s="96"/>
    </row>
    <row r="169" spans="1:5" ht="30" customHeight="1">
      <c r="A169" s="62" t="s">
        <v>7071</v>
      </c>
      <c r="B169" s="7" t="str">
        <f>HLOOKUP(Auswahl1HR,VergleichMatrixHR,287)</f>
        <v>-</v>
      </c>
      <c r="C169" s="7" t="str">
        <f>HLOOKUP(Auswahl2HR,VergleichMatrixHR,287)</f>
        <v>-</v>
      </c>
      <c r="D169" s="7" t="str">
        <f>HLOOKUP(Auswahl3HR,VergleichMatrixHR,287)</f>
        <v>-</v>
      </c>
      <c r="E169" s="96"/>
    </row>
    <row r="170" spans="1:5" ht="20.100000000000001" customHeight="1">
      <c r="A170" s="62" t="s">
        <v>6938</v>
      </c>
      <c r="B170" s="7" t="str">
        <f>HLOOKUP(Auswahl1HR,VergleichMatrixHR,289)</f>
        <v>-</v>
      </c>
      <c r="C170" s="7" t="str">
        <f>HLOOKUP(Auswahl2HR,VergleichMatrixHR,289)</f>
        <v>-</v>
      </c>
      <c r="D170" s="7" t="str">
        <f>HLOOKUP(Auswahl3HR,VergleichMatrixHR,289)</f>
        <v>-</v>
      </c>
      <c r="E170" s="96"/>
    </row>
    <row r="171" spans="1:5" ht="39.950000000000003" customHeight="1">
      <c r="A171" s="6" t="s">
        <v>3076</v>
      </c>
      <c r="B171" s="7" t="str">
        <f>HLOOKUP(Auswahl1HR,VergleichMatrixHR,291)</f>
        <v>-</v>
      </c>
      <c r="C171" s="7" t="str">
        <f>HLOOKUP(Auswahl2HR,VergleichMatrixHR,291)</f>
        <v>-</v>
      </c>
      <c r="D171" s="7" t="str">
        <f>HLOOKUP(Auswahl3HR,VergleichMatrixHR,291)</f>
        <v>-</v>
      </c>
      <c r="E171" s="96"/>
    </row>
    <row r="172" spans="1:5" ht="30" customHeight="1">
      <c r="A172" s="62" t="s">
        <v>176</v>
      </c>
      <c r="B172" s="7" t="str">
        <f>HLOOKUP(Auswahl1HR,VergleichMatrixHR,293)</f>
        <v>-</v>
      </c>
      <c r="C172" s="7" t="str">
        <f>HLOOKUP(Auswahl2HR,VergleichMatrixHR,293)</f>
        <v>-</v>
      </c>
      <c r="D172" s="7" t="str">
        <f>HLOOKUP(Auswahl3HR,VergleichMatrixHR,283)</f>
        <v>-</v>
      </c>
      <c r="E172" s="96"/>
    </row>
    <row r="173" spans="1:5" ht="20.100000000000001" customHeight="1">
      <c r="A173" s="62" t="s">
        <v>9009</v>
      </c>
      <c r="B173" s="7" t="str">
        <f>HLOOKUP(Auswahl1HR,VergleichMatrixHR,295)</f>
        <v>-</v>
      </c>
      <c r="C173" s="7" t="str">
        <f>HLOOKUP(Auswahl2HR,VergleichMatrixHR,295)</f>
        <v>-</v>
      </c>
      <c r="D173" s="7" t="str">
        <f>HLOOKUP(Auswahl3HR,VergleichMatrixHR,295)</f>
        <v>-</v>
      </c>
      <c r="E173" s="96"/>
    </row>
    <row r="174" spans="1:5" ht="39.950000000000003" customHeight="1">
      <c r="A174" s="6" t="s">
        <v>3075</v>
      </c>
      <c r="B174" s="7" t="str">
        <f>HLOOKUP(Auswahl1HR,VergleichMatrixHR,297)</f>
        <v>-</v>
      </c>
      <c r="C174" s="7" t="str">
        <f>HLOOKUP(Auswahl2HR,VergleichMatrixHR,297)</f>
        <v>-</v>
      </c>
      <c r="D174" s="7" t="str">
        <f>HLOOKUP(Auswahl3HR,VergleichMatrixHR,297)</f>
        <v>-</v>
      </c>
      <c r="E174" s="96"/>
    </row>
    <row r="175" spans="1:5" ht="20.100000000000001" customHeight="1">
      <c r="A175" s="6" t="s">
        <v>49</v>
      </c>
      <c r="B175" s="7" t="str">
        <f>HLOOKUP(Auswahl1HR,VergleichMatrixHR,299)</f>
        <v>-</v>
      </c>
      <c r="C175" s="7" t="str">
        <f>HLOOKUP(Auswahl2HR,VergleichMatrixHR,299)</f>
        <v>-</v>
      </c>
      <c r="D175" s="7" t="str">
        <f>HLOOKUP(Auswahl3HR,VergleichMatrixHR,299)</f>
        <v>-</v>
      </c>
      <c r="E175" s="96"/>
    </row>
    <row r="176" spans="1:5" ht="5.0999999999999996" customHeight="1">
      <c r="A176" s="5"/>
      <c r="B176" s="5"/>
      <c r="C176" s="5"/>
      <c r="D176" s="5"/>
      <c r="E176" s="43"/>
    </row>
    <row r="177" spans="1:5" ht="20.100000000000001" customHeight="1">
      <c r="A177" s="22" t="s">
        <v>9115</v>
      </c>
      <c r="B177" s="255" t="str">
        <f>Auswahl1HR</f>
        <v>keine</v>
      </c>
      <c r="C177" s="255" t="str">
        <f>Auswahl2HR</f>
        <v>keine</v>
      </c>
      <c r="D177" s="255" t="str">
        <f>Auswahl3HR</f>
        <v>keine</v>
      </c>
      <c r="E177" s="255" t="str">
        <f>E4</f>
        <v>Individuell</v>
      </c>
    </row>
    <row r="178" spans="1:5" ht="30" customHeight="1">
      <c r="A178" s="62" t="s">
        <v>174</v>
      </c>
      <c r="B178" s="7" t="str">
        <f>HLOOKUP(Auswahl1HR,VergleichMatrixHR,301)</f>
        <v>-</v>
      </c>
      <c r="C178" s="7" t="str">
        <f>HLOOKUP(Auswahl2HR,VergleichMatrixHR,301)</f>
        <v>-</v>
      </c>
      <c r="D178" s="7" t="str">
        <f>HLOOKUP(Auswahl3HR,VergleichMatrixHR,301)</f>
        <v>-</v>
      </c>
      <c r="E178" s="96"/>
    </row>
    <row r="179" spans="1:5" ht="30" customHeight="1">
      <c r="A179" s="6" t="s">
        <v>33</v>
      </c>
      <c r="B179" s="7" t="str">
        <f>HLOOKUP(Auswahl1HR,VergleichMatrixHR,303)</f>
        <v>-</v>
      </c>
      <c r="C179" s="7" t="str">
        <f>HLOOKUP(Auswahl2HR,VergleichMatrixHR,303)</f>
        <v>-</v>
      </c>
      <c r="D179" s="7" t="str">
        <f>HLOOKUP(Auswahl3HR,VergleichMatrixHR,303)</f>
        <v>-</v>
      </c>
      <c r="E179" s="96"/>
    </row>
    <row r="180" spans="1:5" ht="20.100000000000001" customHeight="1">
      <c r="A180" s="6" t="s">
        <v>34</v>
      </c>
      <c r="B180" s="7" t="str">
        <f>HLOOKUP(Auswahl1HR,VergleichMatrixHR,305)</f>
        <v>-</v>
      </c>
      <c r="C180" s="7" t="str">
        <f>HLOOKUP(Auswahl2HR,VergleichMatrixHR,305)</f>
        <v>-</v>
      </c>
      <c r="D180" s="7" t="str">
        <f>HLOOKUP(Auswahl3HR,VergleichMatrixHR,305)</f>
        <v>-</v>
      </c>
      <c r="E180" s="96"/>
    </row>
    <row r="181" spans="1:5" ht="20.100000000000001" customHeight="1">
      <c r="A181" s="62" t="s">
        <v>183</v>
      </c>
      <c r="B181" s="7" t="str">
        <f>HLOOKUP(Auswahl1HR,VergleichMatrixHR,307)</f>
        <v>-</v>
      </c>
      <c r="C181" s="7" t="str">
        <f>HLOOKUP(Auswahl2HR,VergleichMatrixHR,307)</f>
        <v>-</v>
      </c>
      <c r="D181" s="7" t="str">
        <f>HLOOKUP(Auswahl3HR,VergleichMatrixHR,307)</f>
        <v>-</v>
      </c>
      <c r="E181" s="96"/>
    </row>
    <row r="182" spans="1:5" ht="5.0999999999999996" customHeight="1">
      <c r="A182" s="31"/>
      <c r="B182" s="21"/>
      <c r="C182" s="21"/>
      <c r="D182" s="21"/>
      <c r="E182" s="43"/>
    </row>
    <row r="183" spans="1:5" ht="20.100000000000001" customHeight="1">
      <c r="A183" s="257" t="s">
        <v>6708</v>
      </c>
      <c r="B183" s="255" t="str">
        <f>Auswahl1HR</f>
        <v>keine</v>
      </c>
      <c r="C183" s="255" t="str">
        <f>Auswahl2HR</f>
        <v>keine</v>
      </c>
      <c r="D183" s="255" t="str">
        <f>Auswahl3HR</f>
        <v>keine</v>
      </c>
      <c r="E183" s="255" t="str">
        <f>E4</f>
        <v>Individuell</v>
      </c>
    </row>
    <row r="184" spans="1:5" ht="20.100000000000001" customHeight="1">
      <c r="A184" s="62" t="s">
        <v>21</v>
      </c>
      <c r="B184" s="7" t="str">
        <f>HLOOKUP(Auswahl1HR,VergleichMatrixHR,311)</f>
        <v>-</v>
      </c>
      <c r="C184" s="7" t="str">
        <f>HLOOKUP(Auswahl2HR,VergleichMatrixHR,311)</f>
        <v>-</v>
      </c>
      <c r="D184" s="7" t="str">
        <f>HLOOKUP(Auswahl3HR,VergleichMatrixHR,311)</f>
        <v>-</v>
      </c>
      <c r="E184" s="96"/>
    </row>
    <row r="185" spans="1:5" ht="20.100000000000001" customHeight="1">
      <c r="A185" s="62" t="s">
        <v>109</v>
      </c>
      <c r="B185" s="7" t="str">
        <f>HLOOKUP(Auswahl1HR,VergleichMatrixHR,313)</f>
        <v>-</v>
      </c>
      <c r="C185" s="7" t="str">
        <f>HLOOKUP(Auswahl2HR,VergleichMatrixHR,313)</f>
        <v>-</v>
      </c>
      <c r="D185" s="7" t="str">
        <f>HLOOKUP(Auswahl3HR,VergleichMatrixHR,313)</f>
        <v>-</v>
      </c>
      <c r="E185" s="96"/>
    </row>
    <row r="186" spans="1:5" ht="20.100000000000001" customHeight="1">
      <c r="A186" s="6" t="s">
        <v>5</v>
      </c>
      <c r="B186" s="7" t="str">
        <f>HLOOKUP(Auswahl1HR,VergleichMatrixHR,315)</f>
        <v>-</v>
      </c>
      <c r="C186" s="7" t="str">
        <f>HLOOKUP(Auswahl2HR,VergleichMatrixHR,315)</f>
        <v>-</v>
      </c>
      <c r="D186" s="7" t="str">
        <f>HLOOKUP(Auswahl3HR,VergleichMatrixHR,315)</f>
        <v>-</v>
      </c>
      <c r="E186" s="96"/>
    </row>
    <row r="187" spans="1:5" ht="20.100000000000001" customHeight="1">
      <c r="A187" s="62" t="s">
        <v>6665</v>
      </c>
      <c r="B187" s="7" t="str">
        <f>HLOOKUP(Auswahl1HR,VergleichMatrixHR,317)</f>
        <v>-</v>
      </c>
      <c r="C187" s="7" t="str">
        <f>HLOOKUP(Auswahl2HR,VergleichMatrixHR,317)</f>
        <v>-</v>
      </c>
      <c r="D187" s="7" t="str">
        <f>HLOOKUP(Auswahl3HR,VergleichMatrixHR,317)</f>
        <v>-</v>
      </c>
      <c r="E187" s="96"/>
    </row>
    <row r="188" spans="1:5" ht="20.100000000000001" customHeight="1">
      <c r="A188" s="62" t="s">
        <v>6707</v>
      </c>
      <c r="B188" s="7" t="str">
        <f>HLOOKUP(Auswahl1HR,VergleichMatrixHR,319)</f>
        <v>-</v>
      </c>
      <c r="C188" s="7" t="str">
        <f>HLOOKUP(Auswahl2HR,VergleichMatrixHR,319)</f>
        <v>-</v>
      </c>
      <c r="D188" s="7" t="str">
        <f>HLOOKUP(Auswahl3HR,VergleichMatrixHR,319)</f>
        <v>-</v>
      </c>
      <c r="E188" s="96"/>
    </row>
    <row r="189" spans="1:5" ht="5.0999999999999996" customHeight="1">
      <c r="A189" s="31"/>
    </row>
    <row r="190" spans="1:5" ht="20.100000000000001" customHeight="1">
      <c r="A190" s="257" t="s">
        <v>186</v>
      </c>
      <c r="B190" s="255" t="str">
        <f>Auswahl1HR</f>
        <v>keine</v>
      </c>
      <c r="C190" s="255" t="str">
        <f>Auswahl2HR</f>
        <v>keine</v>
      </c>
      <c r="D190" s="255" t="str">
        <f>Auswahl3HR</f>
        <v>keine</v>
      </c>
      <c r="E190" s="255" t="str">
        <f>E4</f>
        <v>Individuell</v>
      </c>
    </row>
    <row r="191" spans="1:5" ht="91.5" customHeight="1">
      <c r="A191" s="62" t="s">
        <v>7134</v>
      </c>
      <c r="B191" s="7" t="str">
        <f>HLOOKUP(Auswahl1HR,VergleichMatrixHR,323)</f>
        <v>-</v>
      </c>
      <c r="C191" s="7" t="str">
        <f>HLOOKUP(Auswahl2HR,VergleichMatrixHR,323)</f>
        <v>-</v>
      </c>
      <c r="D191" s="7" t="str">
        <f>HLOOKUP(Auswahl3HR,VergleichMatrixHR,323)</f>
        <v>-</v>
      </c>
      <c r="E191" s="96"/>
    </row>
    <row r="192" spans="1:5" ht="5.0999999999999996" customHeight="1">
      <c r="A192" s="196"/>
    </row>
    <row r="193" spans="1:5" ht="20.100000000000001" customHeight="1">
      <c r="A193" s="312" t="s">
        <v>6709</v>
      </c>
      <c r="B193" s="255" t="str">
        <f>Auswahl1HR</f>
        <v>keine</v>
      </c>
      <c r="C193" s="255" t="str">
        <f>Auswahl2HR</f>
        <v>keine</v>
      </c>
      <c r="D193" s="255" t="str">
        <f>Auswahl3HR</f>
        <v>keine</v>
      </c>
      <c r="E193" s="255" t="str">
        <f>E4</f>
        <v>Individuell</v>
      </c>
    </row>
    <row r="194" spans="1:5" ht="39.950000000000003" customHeight="1">
      <c r="A194" s="62" t="s">
        <v>8706</v>
      </c>
      <c r="B194" s="7" t="str">
        <f>HLOOKUP(Auswahl1HR,VergleichMatrixHR,327)</f>
        <v>-</v>
      </c>
      <c r="C194" s="7" t="str">
        <f>HLOOKUP(Auswahl2HR,VergleichMatrixHR,327)</f>
        <v>-</v>
      </c>
      <c r="D194" s="7" t="str">
        <f>HLOOKUP(Auswahl3HR,VergleichMatrixHR,327)</f>
        <v>-</v>
      </c>
      <c r="E194" s="96"/>
    </row>
    <row r="195" spans="1:5" ht="20.100000000000001" customHeight="1">
      <c r="A195" s="62" t="s">
        <v>8914</v>
      </c>
      <c r="B195" s="7" t="str">
        <f>HLOOKUP(Auswahl1HR,VergleichMatrixHR,329)</f>
        <v>-</v>
      </c>
      <c r="C195" s="7" t="str">
        <f>HLOOKUP(Auswahl2HR,VergleichMatrixHR,329)</f>
        <v>-</v>
      </c>
      <c r="D195" s="7" t="str">
        <f>HLOOKUP(Auswahl3HR,VergleichMatrixHR,329)</f>
        <v>-</v>
      </c>
      <c r="E195" s="96"/>
    </row>
    <row r="196" spans="1:5" ht="20.100000000000001" customHeight="1">
      <c r="A196" s="62" t="s">
        <v>6711</v>
      </c>
      <c r="B196" s="7" t="str">
        <f>HLOOKUP(Auswahl1HR,VergleichMatrixHR,331)</f>
        <v>-</v>
      </c>
      <c r="C196" s="7" t="str">
        <f>HLOOKUP(Auswahl2HR,VergleichMatrixHR,331)</f>
        <v>-</v>
      </c>
      <c r="D196" s="7" t="str">
        <f>HLOOKUP(Auswahl3HR,VergleichMatrixHR,331)</f>
        <v>-</v>
      </c>
      <c r="E196" s="96"/>
    </row>
    <row r="197" spans="1:5" ht="39.950000000000003" customHeight="1">
      <c r="A197" s="62" t="s">
        <v>8915</v>
      </c>
      <c r="B197" s="7" t="str">
        <f>HLOOKUP(Auswahl1HR,VergleichMatrixHR,333)</f>
        <v>-</v>
      </c>
      <c r="C197" s="7" t="str">
        <f>HLOOKUP(Auswahl2HR,VergleichMatrixHR,333)</f>
        <v>-</v>
      </c>
      <c r="D197" s="7" t="str">
        <f>HLOOKUP(Auswahl3HR,VergleichMatrixHR,333)</f>
        <v>-</v>
      </c>
      <c r="E197" s="96"/>
    </row>
    <row r="198" spans="1:5" ht="5.0999999999999996" customHeight="1">
      <c r="A198" s="23"/>
    </row>
    <row r="199" spans="1:5" ht="20.100000000000001" customHeight="1">
      <c r="A199" s="10" t="s">
        <v>267</v>
      </c>
      <c r="B199" s="255" t="str">
        <f>Auswahl1HR</f>
        <v>keine</v>
      </c>
      <c r="C199" s="255" t="str">
        <f>Auswahl2HR</f>
        <v>keine</v>
      </c>
      <c r="D199" s="255" t="str">
        <f>Auswahl3HR</f>
        <v>keine</v>
      </c>
      <c r="E199" s="255" t="str">
        <f>E4</f>
        <v>Individuell</v>
      </c>
    </row>
    <row r="200" spans="1:5" ht="369.95" customHeight="1">
      <c r="A200" s="90"/>
      <c r="B200" s="7" t="str">
        <f>HLOOKUP(Auswahl1HR,VergleichMatrixHR,337)</f>
        <v>-</v>
      </c>
      <c r="C200" s="7" t="str">
        <f>HLOOKUP(Auswahl2HR,VergleichMatrixHR,337)</f>
        <v>-</v>
      </c>
      <c r="D200" s="7" t="str">
        <f>HLOOKUP(Auswahl3HR,VergleichMatrixHR,337)</f>
        <v>-</v>
      </c>
      <c r="E200" s="96"/>
    </row>
    <row r="201" spans="1:5" ht="99.95" customHeight="1">
      <c r="A201" s="90"/>
      <c r="B201" s="7" t="str">
        <f>HLOOKUP(Auswahl1HR,VergleichMatrixHR,339)</f>
        <v>-</v>
      </c>
      <c r="C201" s="7" t="str">
        <f>HLOOKUP(Auswahl2HR,VergleichMatrixHR,339)</f>
        <v>-</v>
      </c>
      <c r="D201" s="7" t="str">
        <f>HLOOKUP(Auswahl3HR,VergleichMatrixHR,339)</f>
        <v>-</v>
      </c>
      <c r="E201" s="96"/>
    </row>
    <row r="202" spans="1:5" ht="99.95" customHeight="1">
      <c r="A202" s="90"/>
      <c r="B202" s="7" t="str">
        <f>HLOOKUP(Auswahl1HR,VergleichMatrixHR,341)</f>
        <v>-</v>
      </c>
      <c r="C202" s="7" t="str">
        <f>HLOOKUP(Auswahl2HR,VergleichMatrixHR,341)</f>
        <v>-</v>
      </c>
      <c r="D202" s="7" t="str">
        <f>HLOOKUP(Auswahl3HR,VergleichMatrixHR,341)</f>
        <v>-</v>
      </c>
      <c r="E202" s="96"/>
    </row>
    <row r="203" spans="1:5" ht="5.0999999999999996" customHeight="1">
      <c r="A203" s="31"/>
    </row>
    <row r="204" spans="1:5" ht="20.100000000000001" customHeight="1">
      <c r="A204" s="22" t="s">
        <v>70</v>
      </c>
      <c r="B204" s="255" t="str">
        <f>Auswahl1HR</f>
        <v>keine</v>
      </c>
      <c r="C204" s="255" t="str">
        <f>Auswahl2HR</f>
        <v>keine</v>
      </c>
      <c r="D204" s="255" t="str">
        <f>Auswahl3HR</f>
        <v>keine</v>
      </c>
      <c r="E204" s="255" t="str">
        <f>E4</f>
        <v>Individuell</v>
      </c>
    </row>
    <row r="205" spans="1:5" ht="18" customHeight="1">
      <c r="A205" s="6"/>
      <c r="B205" s="7" t="str">
        <f>HLOOKUP(Auswahl1HR,VergleichMatrixHR,345)</f>
        <v>-</v>
      </c>
      <c r="C205" s="7" t="str">
        <f>HLOOKUP(Auswahl2HR,VergleichMatrixHR,345)</f>
        <v>-</v>
      </c>
      <c r="D205" s="7" t="str">
        <f>HLOOKUP(Auswahl3HR,VergleichMatrixHR,345)</f>
        <v>-</v>
      </c>
      <c r="E205" s="96"/>
    </row>
    <row r="206" spans="1:5" ht="390" customHeight="1"/>
    <row r="207" spans="1:5" ht="9" customHeight="1"/>
    <row r="208" spans="1:5" ht="18" customHeight="1"/>
    <row r="209" ht="19.5" customHeight="1"/>
    <row r="210" ht="12" customHeight="1"/>
  </sheetData>
  <sheetProtection password="98DB" sheet="1" objects="1" scenarios="1"/>
  <customSheetViews>
    <customSheetView guid="{7F75E596-18F6-4BB0-8B05-898440E130DF}" showGridLines="0">
      <selection activeCell="H5" sqref="H5"/>
      <rowBreaks count="10" manualBreakCount="10">
        <brk id="23" max="4" man="1"/>
        <brk id="39" max="4" man="1"/>
        <brk id="56" max="4" man="1"/>
        <brk id="79" max="4" man="1"/>
        <brk id="101" max="4" man="1"/>
        <brk id="122" max="4" man="1"/>
        <brk id="141" max="4" man="1"/>
        <brk id="164" max="4" man="1"/>
        <brk id="175" max="4" man="1"/>
        <brk id="180" max="4" man="1"/>
      </rowBreaks>
      <pageMargins left="0.78740157480314965" right="0.78740157480314965" top="0.98425196850393704" bottom="0.78740157480314965" header="0.51181102362204722" footer="0.51181102362204722"/>
      <printOptions horizontalCentered="1"/>
      <pageSetup paperSize="9" orientation="landscape" verticalDpi="1200" r:id="rId1"/>
      <headerFooter alignWithMargins="0">
        <oddHeader>&amp;L&amp;"Arial,Fett"&amp;16Leistungsvergleich Hausratversicherung&amp;R&amp;G</oddHeader>
        <oddFooter>&amp;L&amp;8Seite &amp;P von &amp;N&amp;C&amp;8Bei den Deckungsinhalten handelt es sich nur um Stichworte. Die detaillierten Deckungsumfänge sind den jeweiligen Bedingungen zu entnehmen.&amp;R&amp;8Stand 01-2014</oddFooter>
      </headerFooter>
    </customSheetView>
  </customSheetViews>
  <mergeCells count="1">
    <mergeCell ref="B2:C2"/>
  </mergeCells>
  <phoneticPr fontId="1" type="noConversion"/>
  <printOptions horizontalCentered="1"/>
  <pageMargins left="0.39370078740157483" right="0.39370078740157483" top="0.98425196850393704" bottom="0.59055118110236227" header="0.51181102362204722" footer="0.31496062992125984"/>
  <pageSetup paperSize="9" orientation="landscape" verticalDpi="1200" r:id="rId2"/>
  <headerFooter alignWithMargins="0">
    <oddHeader>&amp;L&amp;"Arial,Fett"&amp;16Leistungsvergleich Hausratversicherung&amp;R&amp;G</oddHeader>
    <oddFooter>&amp;L&amp;8Seite &amp;P von &amp;N&amp;C&amp;8Bei den Deckungsinhalten handelt es sich nur um Stichworte. Die detaillierten Deckungsumfänge sind den jeweiligen Bedingungen zu entnehmen.&amp;R&amp;8Stand 2020-01</oddFooter>
  </headerFooter>
  <rowBreaks count="14" manualBreakCount="14">
    <brk id="16" max="16383" man="1"/>
    <brk id="28" max="16383" man="1"/>
    <brk id="41" max="16383" man="1"/>
    <brk id="56" max="16383" man="1"/>
    <brk id="69" max="16383" man="1"/>
    <brk id="85" max="16383" man="1"/>
    <brk id="104" max="16383" man="1"/>
    <brk id="121" max="16383" man="1"/>
    <brk id="132" max="16383" man="1"/>
    <brk id="146" max="16383" man="1"/>
    <brk id="158" max="16383" man="1"/>
    <brk id="175" max="16383" man="1"/>
    <brk id="191" max="16383" man="1"/>
    <brk id="197" max="16383" man="1"/>
  </rowBreaks>
  <colBreaks count="1" manualBreakCount="1">
    <brk id="5" max="104857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5121" r:id="rId6" name="Drop Down 1">
              <controlPr defaultSize="0" print="0" autoLine="0" autoPict="0">
                <anchor moveWithCells="1">
                  <from>
                    <xdr:col>1</xdr:col>
                    <xdr:colOff>28575</xdr:colOff>
                    <xdr:row>2</xdr:row>
                    <xdr:rowOff>28575</xdr:rowOff>
                  </from>
                  <to>
                    <xdr:col>1</xdr:col>
                    <xdr:colOff>1428750</xdr:colOff>
                    <xdr:row>2</xdr:row>
                    <xdr:rowOff>257175</xdr:rowOff>
                  </to>
                </anchor>
              </controlPr>
            </control>
          </mc:Choice>
        </mc:AlternateContent>
        <mc:AlternateContent xmlns:mc="http://schemas.openxmlformats.org/markup-compatibility/2006">
          <mc:Choice Requires="x14">
            <control shapeId="5122" r:id="rId7" name="Drop Down 2">
              <controlPr defaultSize="0" print="0" autoLine="0" autoPict="0">
                <anchor moveWithCells="1">
                  <from>
                    <xdr:col>2</xdr:col>
                    <xdr:colOff>28575</xdr:colOff>
                    <xdr:row>2</xdr:row>
                    <xdr:rowOff>28575</xdr:rowOff>
                  </from>
                  <to>
                    <xdr:col>2</xdr:col>
                    <xdr:colOff>1428750</xdr:colOff>
                    <xdr:row>2</xdr:row>
                    <xdr:rowOff>257175</xdr:rowOff>
                  </to>
                </anchor>
              </controlPr>
            </control>
          </mc:Choice>
        </mc:AlternateContent>
        <mc:AlternateContent xmlns:mc="http://schemas.openxmlformats.org/markup-compatibility/2006">
          <mc:Choice Requires="x14">
            <control shapeId="5123" r:id="rId8" name="Drop Down 3">
              <controlPr defaultSize="0" print="0" autoLine="0" autoPict="0">
                <anchor moveWithCells="1">
                  <from>
                    <xdr:col>3</xdr:col>
                    <xdr:colOff>28575</xdr:colOff>
                    <xdr:row>2</xdr:row>
                    <xdr:rowOff>28575</xdr:rowOff>
                  </from>
                  <to>
                    <xdr:col>3</xdr:col>
                    <xdr:colOff>1428750</xdr:colOff>
                    <xdr:row>2</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S360"/>
  <sheetViews>
    <sheetView zoomScaleNormal="100" workbookViewId="0">
      <pane xSplit="1" ySplit="1" topLeftCell="AC2" activePane="bottomRight" state="frozen"/>
      <selection pane="topRight" activeCell="B1" sqref="B1"/>
      <selection pane="bottomLeft" activeCell="A3" sqref="A3"/>
      <selection pane="bottomRight" activeCell="AF31" sqref="AF31"/>
    </sheetView>
  </sheetViews>
  <sheetFormatPr baseColWidth="10" defaultRowHeight="9"/>
  <cols>
    <col min="1" max="1" width="39.7109375" style="5" customWidth="1"/>
    <col min="2" max="28" width="24.28515625" style="5" customWidth="1"/>
    <col min="29" max="29" width="21.7109375" style="5" customWidth="1"/>
    <col min="30" max="30" width="24.28515625" style="5" customWidth="1"/>
    <col min="31" max="31" width="11.42578125" style="167"/>
    <col min="32" max="32" width="11.42578125" style="5"/>
    <col min="33" max="33" width="21.7109375" style="311" customWidth="1"/>
    <col min="34" max="35" width="11.42578125" style="5"/>
    <col min="36" max="38" width="16.7109375" style="5" customWidth="1"/>
    <col min="39" max="16384" width="11.42578125" style="5"/>
  </cols>
  <sheetData>
    <row r="1" spans="1:41" ht="20.100000000000001" customHeight="1">
      <c r="A1" s="281" t="s">
        <v>8913</v>
      </c>
      <c r="B1" s="282" t="s">
        <v>3738</v>
      </c>
      <c r="C1" s="282" t="s">
        <v>6727</v>
      </c>
      <c r="D1" s="282" t="s">
        <v>6726</v>
      </c>
      <c r="E1" s="282" t="s">
        <v>8147</v>
      </c>
      <c r="F1" s="282" t="s">
        <v>5031</v>
      </c>
      <c r="G1" s="283" t="s">
        <v>500</v>
      </c>
      <c r="H1" s="282" t="s">
        <v>8148</v>
      </c>
      <c r="I1" s="283" t="s">
        <v>468</v>
      </c>
      <c r="J1" s="283" t="s">
        <v>486</v>
      </c>
      <c r="K1" s="283" t="s">
        <v>5966</v>
      </c>
      <c r="L1" s="283" t="s">
        <v>6979</v>
      </c>
      <c r="M1" s="283" t="s">
        <v>5965</v>
      </c>
      <c r="N1" s="283" t="s">
        <v>7917</v>
      </c>
      <c r="O1" s="283" t="s">
        <v>7918</v>
      </c>
      <c r="P1" s="283" t="s">
        <v>7919</v>
      </c>
      <c r="Q1" s="283" t="s">
        <v>9340</v>
      </c>
      <c r="R1" s="283" t="s">
        <v>9342</v>
      </c>
      <c r="S1" s="283" t="s">
        <v>3466</v>
      </c>
      <c r="T1" s="283" t="s">
        <v>3467</v>
      </c>
      <c r="U1" s="283" t="s">
        <v>3468</v>
      </c>
      <c r="V1" s="283" t="s">
        <v>9486</v>
      </c>
      <c r="W1" s="319" t="s">
        <v>9731</v>
      </c>
      <c r="X1" s="319" t="s">
        <v>9666</v>
      </c>
      <c r="Y1" s="319" t="s">
        <v>9551</v>
      </c>
      <c r="Z1" s="319" t="s">
        <v>9485</v>
      </c>
      <c r="AA1" s="283" t="s">
        <v>55</v>
      </c>
      <c r="AB1" s="313" t="s">
        <v>8890</v>
      </c>
      <c r="AC1" s="313" t="s">
        <v>8891</v>
      </c>
      <c r="AD1" s="313" t="s">
        <v>8892</v>
      </c>
      <c r="AF1" s="311">
        <v>1</v>
      </c>
      <c r="AG1" s="306" t="s">
        <v>153</v>
      </c>
      <c r="AJ1" s="5">
        <v>1</v>
      </c>
      <c r="AK1" s="5">
        <v>1</v>
      </c>
      <c r="AL1" s="5">
        <v>1</v>
      </c>
    </row>
    <row r="2" spans="1:41" s="40" customFormat="1" ht="20.100000000000001" customHeight="1">
      <c r="A2" s="62" t="s">
        <v>6846</v>
      </c>
      <c r="B2" s="36" t="s">
        <v>6847</v>
      </c>
      <c r="C2" s="36" t="s">
        <v>402</v>
      </c>
      <c r="D2" s="36" t="s">
        <v>6848</v>
      </c>
      <c r="E2" s="36" t="s">
        <v>6847</v>
      </c>
      <c r="F2" s="36" t="s">
        <v>6847</v>
      </c>
      <c r="G2" s="36" t="s">
        <v>6847</v>
      </c>
      <c r="H2" s="36" t="s">
        <v>6847</v>
      </c>
      <c r="I2" s="36" t="s">
        <v>8073</v>
      </c>
      <c r="J2" s="36" t="s">
        <v>6848</v>
      </c>
      <c r="K2" s="36" t="s">
        <v>8940</v>
      </c>
      <c r="L2" s="36" t="s">
        <v>8940</v>
      </c>
      <c r="M2" s="36" t="s">
        <v>8940</v>
      </c>
      <c r="N2" s="36" t="s">
        <v>6847</v>
      </c>
      <c r="O2" s="36" t="s">
        <v>6847</v>
      </c>
      <c r="P2" s="36" t="s">
        <v>8073</v>
      </c>
      <c r="Q2" s="159" t="s">
        <v>9312</v>
      </c>
      <c r="R2" s="159" t="s">
        <v>9312</v>
      </c>
      <c r="S2" s="36" t="s">
        <v>6847</v>
      </c>
      <c r="T2" s="36" t="s">
        <v>6847</v>
      </c>
      <c r="U2" s="36" t="s">
        <v>8759</v>
      </c>
      <c r="V2" s="36" t="s">
        <v>6848</v>
      </c>
      <c r="W2" s="36" t="s">
        <v>7767</v>
      </c>
      <c r="X2" s="36" t="s">
        <v>9693</v>
      </c>
      <c r="Y2" s="36" t="s">
        <v>9637</v>
      </c>
      <c r="Z2" s="36" t="s">
        <v>8073</v>
      </c>
      <c r="AA2" s="36" t="s">
        <v>0</v>
      </c>
      <c r="AB2" s="36" t="s">
        <v>8764</v>
      </c>
      <c r="AC2" s="36" t="s">
        <v>8073</v>
      </c>
      <c r="AD2" s="36" t="s">
        <v>8073</v>
      </c>
      <c r="AE2" s="169"/>
      <c r="AF2" s="40">
        <v>2</v>
      </c>
      <c r="AG2" s="307" t="s">
        <v>3738</v>
      </c>
      <c r="AJ2" s="40" t="str">
        <f>VLOOKUP(AJ1,AuswMatrixHR,2)</f>
        <v>keine</v>
      </c>
      <c r="AK2" s="40" t="str">
        <f>VLOOKUP(AK1,AuswMatrixHR,2)</f>
        <v>keine</v>
      </c>
      <c r="AL2" s="40" t="str">
        <f>VLOOKUP(AL1,AuswMatrixHR,2)</f>
        <v>keine</v>
      </c>
      <c r="AO2" s="330"/>
    </row>
    <row r="3" spans="1:41">
      <c r="A3" s="51" t="s">
        <v>935</v>
      </c>
      <c r="B3" s="52" t="s">
        <v>6849</v>
      </c>
      <c r="C3" s="52" t="s">
        <v>6918</v>
      </c>
      <c r="D3" s="52" t="s">
        <v>6849</v>
      </c>
      <c r="E3" s="52" t="s">
        <v>8217</v>
      </c>
      <c r="F3" s="52" t="s">
        <v>8217</v>
      </c>
      <c r="G3" s="52" t="s">
        <v>8217</v>
      </c>
      <c r="H3" s="52" t="s">
        <v>8217</v>
      </c>
      <c r="I3" s="52" t="s">
        <v>8217</v>
      </c>
      <c r="J3" s="52" t="s">
        <v>8217</v>
      </c>
      <c r="K3" s="52" t="s">
        <v>8941</v>
      </c>
      <c r="L3" s="52" t="s">
        <v>8941</v>
      </c>
      <c r="M3" s="52" t="s">
        <v>8941</v>
      </c>
      <c r="N3" s="52" t="s">
        <v>8065</v>
      </c>
      <c r="O3" s="52" t="s">
        <v>8065</v>
      </c>
      <c r="P3" s="52" t="s">
        <v>8065</v>
      </c>
      <c r="Q3" s="52" t="s">
        <v>9273</v>
      </c>
      <c r="R3" s="52" t="s">
        <v>9273</v>
      </c>
      <c r="S3" s="52" t="s">
        <v>7272</v>
      </c>
      <c r="T3" s="52" t="s">
        <v>7299</v>
      </c>
      <c r="U3" s="52" t="s">
        <v>7410</v>
      </c>
      <c r="V3" s="52" t="s">
        <v>9473</v>
      </c>
      <c r="W3" s="52" t="s">
        <v>9687</v>
      </c>
      <c r="X3" s="52" t="s">
        <v>9694</v>
      </c>
      <c r="Y3" s="52" t="s">
        <v>9544</v>
      </c>
      <c r="Z3" s="52" t="s">
        <v>9726</v>
      </c>
      <c r="AA3" s="52" t="s">
        <v>0</v>
      </c>
      <c r="AB3" s="52" t="s">
        <v>8847</v>
      </c>
      <c r="AC3" s="52" t="s">
        <v>8848</v>
      </c>
      <c r="AD3" s="52" t="s">
        <v>8848</v>
      </c>
      <c r="AE3" s="169"/>
      <c r="AF3" s="5">
        <v>3</v>
      </c>
      <c r="AG3" s="307" t="s">
        <v>6727</v>
      </c>
      <c r="AO3" s="330"/>
    </row>
    <row r="4" spans="1:41" s="40" customFormat="1" ht="20.100000000000001" customHeight="1">
      <c r="A4" s="62" t="s">
        <v>6513</v>
      </c>
      <c r="B4" s="36" t="s">
        <v>6845</v>
      </c>
      <c r="C4" s="36" t="s">
        <v>402</v>
      </c>
      <c r="D4" s="36" t="s">
        <v>6845</v>
      </c>
      <c r="E4" s="36" t="s">
        <v>6845</v>
      </c>
      <c r="F4" s="36" t="s">
        <v>6845</v>
      </c>
      <c r="G4" s="36" t="s">
        <v>6845</v>
      </c>
      <c r="H4" s="36" t="s">
        <v>6845</v>
      </c>
      <c r="I4" s="36" t="s">
        <v>6845</v>
      </c>
      <c r="J4" s="36" t="s">
        <v>6845</v>
      </c>
      <c r="K4" s="7" t="s">
        <v>7768</v>
      </c>
      <c r="L4" s="7" t="s">
        <v>7768</v>
      </c>
      <c r="M4" s="7" t="s">
        <v>7768</v>
      </c>
      <c r="N4" s="7" t="s">
        <v>8071</v>
      </c>
      <c r="O4" s="7" t="s">
        <v>8071</v>
      </c>
      <c r="P4" s="7" t="s">
        <v>8072</v>
      </c>
      <c r="Q4" s="7" t="s">
        <v>8071</v>
      </c>
      <c r="R4" s="7" t="s">
        <v>8071</v>
      </c>
      <c r="S4" s="36" t="s">
        <v>6845</v>
      </c>
      <c r="T4" s="36" t="s">
        <v>6845</v>
      </c>
      <c r="U4" s="7" t="s">
        <v>1782</v>
      </c>
      <c r="V4" s="7" t="s">
        <v>8072</v>
      </c>
      <c r="W4" s="7" t="s">
        <v>7768</v>
      </c>
      <c r="X4" s="7" t="s">
        <v>7768</v>
      </c>
      <c r="Y4" s="7" t="s">
        <v>8072</v>
      </c>
      <c r="Z4" s="7" t="s">
        <v>8072</v>
      </c>
      <c r="AA4" s="38" t="s">
        <v>0</v>
      </c>
      <c r="AB4" s="36" t="s">
        <v>6845</v>
      </c>
      <c r="AC4" s="36" t="s">
        <v>6845</v>
      </c>
      <c r="AD4" s="36" t="s">
        <v>6845</v>
      </c>
      <c r="AE4" s="169"/>
      <c r="AF4" s="40">
        <v>4</v>
      </c>
      <c r="AG4" s="307" t="s">
        <v>6726</v>
      </c>
      <c r="AO4" s="330"/>
    </row>
    <row r="5" spans="1:41">
      <c r="A5" s="51" t="s">
        <v>935</v>
      </c>
      <c r="B5" s="52" t="s">
        <v>6728</v>
      </c>
      <c r="C5" s="52" t="s">
        <v>6918</v>
      </c>
      <c r="D5" s="52" t="s">
        <v>6728</v>
      </c>
      <c r="E5" s="52" t="s">
        <v>8216</v>
      </c>
      <c r="F5" s="52" t="s">
        <v>8216</v>
      </c>
      <c r="G5" s="52" t="s">
        <v>8216</v>
      </c>
      <c r="H5" s="52" t="s">
        <v>8216</v>
      </c>
      <c r="I5" s="52" t="s">
        <v>8216</v>
      </c>
      <c r="J5" s="52" t="s">
        <v>8216</v>
      </c>
      <c r="K5" s="52" t="s">
        <v>8941</v>
      </c>
      <c r="L5" s="52" t="s">
        <v>8941</v>
      </c>
      <c r="M5" s="52" t="s">
        <v>8941</v>
      </c>
      <c r="N5" s="52" t="s">
        <v>8074</v>
      </c>
      <c r="O5" s="52" t="s">
        <v>8074</v>
      </c>
      <c r="P5" s="52" t="s">
        <v>8074</v>
      </c>
      <c r="Q5" s="52" t="s">
        <v>9186</v>
      </c>
      <c r="R5" s="52" t="s">
        <v>9186</v>
      </c>
      <c r="S5" s="52" t="s">
        <v>7302</v>
      </c>
      <c r="T5" s="52" t="s">
        <v>7301</v>
      </c>
      <c r="U5" s="52" t="s">
        <v>7413</v>
      </c>
      <c r="V5" s="52" t="s">
        <v>9472</v>
      </c>
      <c r="W5" s="52" t="s">
        <v>9689</v>
      </c>
      <c r="X5" s="52" t="s">
        <v>9689</v>
      </c>
      <c r="Y5" s="52" t="s">
        <v>9472</v>
      </c>
      <c r="Z5" s="52" t="s">
        <v>9472</v>
      </c>
      <c r="AA5" s="52" t="s">
        <v>0</v>
      </c>
      <c r="AB5" s="52" t="s">
        <v>8074</v>
      </c>
      <c r="AC5" s="52" t="s">
        <v>8074</v>
      </c>
      <c r="AD5" s="52" t="s">
        <v>8074</v>
      </c>
      <c r="AE5" s="169"/>
      <c r="AF5" s="40">
        <v>5</v>
      </c>
      <c r="AG5" s="307" t="s">
        <v>8147</v>
      </c>
      <c r="AO5" s="330"/>
    </row>
    <row r="6" spans="1:41" s="40" customFormat="1" ht="20.100000000000001" customHeight="1">
      <c r="A6" s="6" t="s">
        <v>6514</v>
      </c>
      <c r="B6" s="36" t="s">
        <v>214</v>
      </c>
      <c r="C6" s="36" t="s">
        <v>6936</v>
      </c>
      <c r="D6" s="36" t="s">
        <v>6844</v>
      </c>
      <c r="E6" s="36" t="s">
        <v>214</v>
      </c>
      <c r="F6" s="36" t="s">
        <v>214</v>
      </c>
      <c r="G6" s="36" t="s">
        <v>214</v>
      </c>
      <c r="H6" s="36" t="s">
        <v>214</v>
      </c>
      <c r="I6" s="36" t="s">
        <v>5498</v>
      </c>
      <c r="J6" s="36" t="s">
        <v>215</v>
      </c>
      <c r="K6" s="7" t="s">
        <v>7768</v>
      </c>
      <c r="L6" s="7" t="s">
        <v>7768</v>
      </c>
      <c r="M6" s="7" t="s">
        <v>7768</v>
      </c>
      <c r="N6" s="38" t="s">
        <v>13</v>
      </c>
      <c r="O6" s="38" t="s">
        <v>13</v>
      </c>
      <c r="P6" s="38" t="s">
        <v>192</v>
      </c>
      <c r="Q6" s="38" t="s">
        <v>192</v>
      </c>
      <c r="R6" s="38" t="s">
        <v>192</v>
      </c>
      <c r="S6" s="36" t="s">
        <v>13</v>
      </c>
      <c r="T6" s="36" t="s">
        <v>13</v>
      </c>
      <c r="U6" s="36" t="s">
        <v>7411</v>
      </c>
      <c r="V6" s="38" t="s">
        <v>13</v>
      </c>
      <c r="W6" s="36" t="s">
        <v>9690</v>
      </c>
      <c r="X6" s="36" t="s">
        <v>9690</v>
      </c>
      <c r="Y6" s="38" t="s">
        <v>5498</v>
      </c>
      <c r="Z6" s="38" t="s">
        <v>215</v>
      </c>
      <c r="AA6" s="38" t="s">
        <v>0</v>
      </c>
      <c r="AB6" s="38" t="s">
        <v>8762</v>
      </c>
      <c r="AC6" s="38" t="s">
        <v>8846</v>
      </c>
      <c r="AD6" s="38" t="s">
        <v>8846</v>
      </c>
      <c r="AE6" s="170"/>
      <c r="AF6" s="40">
        <v>6</v>
      </c>
      <c r="AG6" s="307" t="s">
        <v>5031</v>
      </c>
      <c r="AI6" s="166"/>
      <c r="AO6" s="330"/>
    </row>
    <row r="7" spans="1:41">
      <c r="A7" s="51" t="s">
        <v>935</v>
      </c>
      <c r="B7" s="52" t="s">
        <v>6728</v>
      </c>
      <c r="C7" s="52" t="s">
        <v>6937</v>
      </c>
      <c r="D7" s="52" t="s">
        <v>6728</v>
      </c>
      <c r="E7" s="52" t="s">
        <v>8218</v>
      </c>
      <c r="F7" s="52" t="s">
        <v>8218</v>
      </c>
      <c r="G7" s="52" t="s">
        <v>8218</v>
      </c>
      <c r="H7" s="52" t="s">
        <v>8218</v>
      </c>
      <c r="I7" s="52" t="s">
        <v>8642</v>
      </c>
      <c r="J7" s="52" t="s">
        <v>8572</v>
      </c>
      <c r="K7" s="52" t="s">
        <v>8942</v>
      </c>
      <c r="L7" s="52" t="s">
        <v>8942</v>
      </c>
      <c r="M7" s="52" t="s">
        <v>8942</v>
      </c>
      <c r="N7" s="52" t="s">
        <v>8066</v>
      </c>
      <c r="O7" s="52" t="s">
        <v>8066</v>
      </c>
      <c r="P7" s="52" t="s">
        <v>8066</v>
      </c>
      <c r="Q7" s="52" t="s">
        <v>9311</v>
      </c>
      <c r="R7" s="52" t="s">
        <v>9311</v>
      </c>
      <c r="S7" s="52" t="s">
        <v>7273</v>
      </c>
      <c r="T7" s="52" t="s">
        <v>7300</v>
      </c>
      <c r="U7" s="52" t="s">
        <v>7412</v>
      </c>
      <c r="V7" s="52" t="s">
        <v>9469</v>
      </c>
      <c r="W7" s="52" t="s">
        <v>9689</v>
      </c>
      <c r="X7" s="52" t="s">
        <v>9689</v>
      </c>
      <c r="Y7" s="52" t="s">
        <v>9541</v>
      </c>
      <c r="Z7" s="52" t="s">
        <v>9724</v>
      </c>
      <c r="AA7" s="52" t="s">
        <v>0</v>
      </c>
      <c r="AB7" s="52" t="s">
        <v>8763</v>
      </c>
      <c r="AC7" s="52" t="s">
        <v>8849</v>
      </c>
      <c r="AD7" s="52" t="s">
        <v>8849</v>
      </c>
      <c r="AE7" s="170"/>
      <c r="AF7" s="40">
        <v>7</v>
      </c>
      <c r="AG7" s="308" t="s">
        <v>500</v>
      </c>
      <c r="AO7" s="331"/>
    </row>
    <row r="8" spans="1:41" s="40" customFormat="1" ht="30" customHeight="1">
      <c r="A8" s="6" t="s">
        <v>6718</v>
      </c>
      <c r="B8" s="7" t="s">
        <v>22</v>
      </c>
      <c r="C8" s="36" t="s">
        <v>6919</v>
      </c>
      <c r="D8" s="7" t="s">
        <v>22</v>
      </c>
      <c r="E8" s="38" t="s">
        <v>22</v>
      </c>
      <c r="F8" s="38" t="s">
        <v>22</v>
      </c>
      <c r="G8" s="36" t="s">
        <v>8484</v>
      </c>
      <c r="H8" s="38" t="s">
        <v>22</v>
      </c>
      <c r="I8" s="36" t="s">
        <v>8484</v>
      </c>
      <c r="J8" s="36" t="s">
        <v>8484</v>
      </c>
      <c r="K8" s="36" t="s">
        <v>9036</v>
      </c>
      <c r="L8" s="36" t="s">
        <v>6919</v>
      </c>
      <c r="M8" s="36" t="s">
        <v>9039</v>
      </c>
      <c r="N8" s="7" t="s">
        <v>22</v>
      </c>
      <c r="O8" s="7" t="s">
        <v>22</v>
      </c>
      <c r="P8" s="7" t="s">
        <v>22</v>
      </c>
      <c r="Q8" s="7" t="s">
        <v>22</v>
      </c>
      <c r="R8" s="7" t="s">
        <v>22</v>
      </c>
      <c r="S8" s="38" t="s">
        <v>263</v>
      </c>
      <c r="T8" s="38" t="s">
        <v>263</v>
      </c>
      <c r="U8" s="36" t="s">
        <v>5745</v>
      </c>
      <c r="V8" s="36" t="s">
        <v>9629</v>
      </c>
      <c r="W8" s="36" t="s">
        <v>9686</v>
      </c>
      <c r="X8" s="114" t="s">
        <v>9695</v>
      </c>
      <c r="Y8" s="36" t="s">
        <v>9627</v>
      </c>
      <c r="Z8" s="36" t="s">
        <v>9628</v>
      </c>
      <c r="AA8" s="38" t="s">
        <v>0</v>
      </c>
      <c r="AB8" s="7" t="s">
        <v>22</v>
      </c>
      <c r="AC8" s="7" t="s">
        <v>22</v>
      </c>
      <c r="AD8" s="7" t="s">
        <v>22</v>
      </c>
      <c r="AE8" s="170"/>
      <c r="AF8" s="40">
        <v>8</v>
      </c>
      <c r="AG8" s="307" t="s">
        <v>8148</v>
      </c>
      <c r="AO8" s="330"/>
    </row>
    <row r="9" spans="1:41" ht="18">
      <c r="A9" s="51" t="s">
        <v>935</v>
      </c>
      <c r="B9" s="52" t="s">
        <v>6729</v>
      </c>
      <c r="C9" s="52" t="s">
        <v>6920</v>
      </c>
      <c r="D9" s="52" t="s">
        <v>6729</v>
      </c>
      <c r="E9" s="52" t="s">
        <v>8219</v>
      </c>
      <c r="F9" s="52" t="s">
        <v>8219</v>
      </c>
      <c r="G9" s="84" t="s">
        <v>8485</v>
      </c>
      <c r="H9" s="52" t="s">
        <v>8219</v>
      </c>
      <c r="I9" s="84" t="s">
        <v>8643</v>
      </c>
      <c r="J9" s="84" t="s">
        <v>8567</v>
      </c>
      <c r="K9" s="186" t="s">
        <v>9038</v>
      </c>
      <c r="L9" s="52" t="s">
        <v>9037</v>
      </c>
      <c r="M9" s="186" t="s">
        <v>9040</v>
      </c>
      <c r="N9" s="52" t="s">
        <v>8067</v>
      </c>
      <c r="O9" s="52" t="s">
        <v>8067</v>
      </c>
      <c r="P9" s="52" t="s">
        <v>8133</v>
      </c>
      <c r="Q9" s="52" t="s">
        <v>9274</v>
      </c>
      <c r="R9" s="52" t="s">
        <v>9274</v>
      </c>
      <c r="S9" s="52" t="s">
        <v>7281</v>
      </c>
      <c r="T9" s="52" t="s">
        <v>7303</v>
      </c>
      <c r="U9" s="52" t="s">
        <v>7414</v>
      </c>
      <c r="V9" s="317" t="s">
        <v>9542</v>
      </c>
      <c r="W9" s="317" t="s">
        <v>9543</v>
      </c>
      <c r="X9" s="317" t="s">
        <v>9696</v>
      </c>
      <c r="Y9" s="317" t="s">
        <v>9626</v>
      </c>
      <c r="Z9" s="317" t="s">
        <v>9725</v>
      </c>
      <c r="AA9" s="52" t="s">
        <v>0</v>
      </c>
      <c r="AB9" s="52" t="s">
        <v>8765</v>
      </c>
      <c r="AC9" s="52" t="s">
        <v>8765</v>
      </c>
      <c r="AD9" s="52" t="s">
        <v>8765</v>
      </c>
      <c r="AE9" s="170"/>
      <c r="AF9" s="40">
        <v>9</v>
      </c>
      <c r="AG9" s="308" t="s">
        <v>468</v>
      </c>
      <c r="AO9" s="331"/>
    </row>
    <row r="10" spans="1:41" s="40" customFormat="1" ht="20.100000000000001" customHeight="1">
      <c r="A10" s="62" t="s">
        <v>6515</v>
      </c>
      <c r="B10" s="38" t="s">
        <v>0</v>
      </c>
      <c r="C10" s="38" t="s">
        <v>0</v>
      </c>
      <c r="D10" s="38" t="s">
        <v>0</v>
      </c>
      <c r="E10" s="38" t="s">
        <v>0</v>
      </c>
      <c r="F10" s="159" t="s">
        <v>8687</v>
      </c>
      <c r="G10" s="159" t="s">
        <v>8687</v>
      </c>
      <c r="H10" s="159" t="s">
        <v>8306</v>
      </c>
      <c r="I10" s="159" t="s">
        <v>8687</v>
      </c>
      <c r="J10" s="159" t="s">
        <v>8687</v>
      </c>
      <c r="K10" s="159" t="s">
        <v>8943</v>
      </c>
      <c r="L10" s="159" t="s">
        <v>8943</v>
      </c>
      <c r="M10" s="159" t="s">
        <v>8943</v>
      </c>
      <c r="N10" s="36" t="s">
        <v>0</v>
      </c>
      <c r="O10" s="159" t="s">
        <v>8130</v>
      </c>
      <c r="P10" s="159" t="s">
        <v>8130</v>
      </c>
      <c r="Q10" s="159" t="s">
        <v>9275</v>
      </c>
      <c r="R10" s="159" t="s">
        <v>9275</v>
      </c>
      <c r="S10" s="159" t="s">
        <v>6983</v>
      </c>
      <c r="T10" s="159" t="s">
        <v>6983</v>
      </c>
      <c r="U10" s="159" t="s">
        <v>6983</v>
      </c>
      <c r="V10" s="159" t="s">
        <v>9413</v>
      </c>
      <c r="W10" s="159" t="s">
        <v>9413</v>
      </c>
      <c r="X10" s="159" t="s">
        <v>9413</v>
      </c>
      <c r="Y10" s="159" t="s">
        <v>9413</v>
      </c>
      <c r="Z10" s="159" t="s">
        <v>9413</v>
      </c>
      <c r="AA10" s="38" t="s">
        <v>0</v>
      </c>
      <c r="AB10" s="159" t="s">
        <v>8766</v>
      </c>
      <c r="AC10" s="159" t="s">
        <v>8766</v>
      </c>
      <c r="AD10" s="159" t="s">
        <v>8766</v>
      </c>
      <c r="AE10" s="170"/>
      <c r="AF10" s="40">
        <v>10</v>
      </c>
      <c r="AG10" s="308" t="s">
        <v>486</v>
      </c>
      <c r="AO10" s="331"/>
    </row>
    <row r="11" spans="1:41">
      <c r="A11" s="51" t="s">
        <v>935</v>
      </c>
      <c r="B11" s="52" t="s">
        <v>0</v>
      </c>
      <c r="C11" s="52" t="s">
        <v>0</v>
      </c>
      <c r="D11" s="52" t="s">
        <v>0</v>
      </c>
      <c r="E11" s="52" t="s">
        <v>5680</v>
      </c>
      <c r="F11" s="52" t="s">
        <v>8391</v>
      </c>
      <c r="G11" s="52" t="s">
        <v>8486</v>
      </c>
      <c r="H11" s="52" t="s">
        <v>8307</v>
      </c>
      <c r="I11" s="52" t="s">
        <v>9756</v>
      </c>
      <c r="J11" s="52" t="s">
        <v>8568</v>
      </c>
      <c r="K11" s="186" t="s">
        <v>8944</v>
      </c>
      <c r="L11" s="186" t="s">
        <v>8944</v>
      </c>
      <c r="M11" s="186" t="s">
        <v>8944</v>
      </c>
      <c r="N11" s="52" t="s">
        <v>8131</v>
      </c>
      <c r="O11" s="52" t="s">
        <v>8131</v>
      </c>
      <c r="P11" s="52" t="s">
        <v>8131</v>
      </c>
      <c r="Q11" s="52" t="s">
        <v>9164</v>
      </c>
      <c r="R11" s="52" t="s">
        <v>9164</v>
      </c>
      <c r="S11" s="186" t="s">
        <v>7208</v>
      </c>
      <c r="T11" s="186" t="s">
        <v>7208</v>
      </c>
      <c r="U11" s="186" t="s">
        <v>7208</v>
      </c>
      <c r="V11" s="186" t="s">
        <v>9414</v>
      </c>
      <c r="W11" s="186" t="s">
        <v>9414</v>
      </c>
      <c r="X11" s="186" t="s">
        <v>9635</v>
      </c>
      <c r="Y11" s="186" t="s">
        <v>9635</v>
      </c>
      <c r="Z11" s="186" t="s">
        <v>9414</v>
      </c>
      <c r="AA11" s="52" t="s">
        <v>0</v>
      </c>
      <c r="AB11" s="52" t="s">
        <v>8767</v>
      </c>
      <c r="AC11" s="52" t="s">
        <v>8767</v>
      </c>
      <c r="AD11" s="52" t="s">
        <v>8767</v>
      </c>
      <c r="AE11" s="170"/>
      <c r="AF11" s="40">
        <v>11</v>
      </c>
      <c r="AG11" s="308" t="s">
        <v>5966</v>
      </c>
      <c r="AO11" s="331"/>
    </row>
    <row r="12" spans="1:41" s="40" customFormat="1" ht="30" customHeight="1">
      <c r="A12" s="6" t="s">
        <v>6980</v>
      </c>
      <c r="B12" s="36" t="s">
        <v>8220</v>
      </c>
      <c r="C12" s="36" t="s">
        <v>8220</v>
      </c>
      <c r="D12" s="36" t="s">
        <v>8220</v>
      </c>
      <c r="E12" s="36" t="s">
        <v>0</v>
      </c>
      <c r="F12" s="36" t="s">
        <v>57</v>
      </c>
      <c r="G12" s="36" t="s">
        <v>57</v>
      </c>
      <c r="H12" s="36" t="s">
        <v>57</v>
      </c>
      <c r="I12" s="36" t="s">
        <v>57</v>
      </c>
      <c r="J12" s="36" t="s">
        <v>57</v>
      </c>
      <c r="K12" s="36" t="s">
        <v>57</v>
      </c>
      <c r="L12" s="36" t="s">
        <v>57</v>
      </c>
      <c r="M12" s="36" t="s">
        <v>57</v>
      </c>
      <c r="N12" s="36" t="s">
        <v>57</v>
      </c>
      <c r="O12" s="36" t="s">
        <v>57</v>
      </c>
      <c r="P12" s="36" t="s">
        <v>57</v>
      </c>
      <c r="Q12" s="36" t="s">
        <v>57</v>
      </c>
      <c r="R12" s="36" t="s">
        <v>57</v>
      </c>
      <c r="S12" s="36" t="s">
        <v>57</v>
      </c>
      <c r="T12" s="36" t="s">
        <v>57</v>
      </c>
      <c r="U12" s="36" t="s">
        <v>57</v>
      </c>
      <c r="V12" s="36" t="s">
        <v>57</v>
      </c>
      <c r="W12" s="36" t="s">
        <v>57</v>
      </c>
      <c r="X12" s="36" t="s">
        <v>57</v>
      </c>
      <c r="Y12" s="36" t="s">
        <v>57</v>
      </c>
      <c r="Z12" s="36" t="s">
        <v>57</v>
      </c>
      <c r="AA12" s="38" t="s">
        <v>0</v>
      </c>
      <c r="AB12" s="36" t="s">
        <v>57</v>
      </c>
      <c r="AC12" s="36" t="s">
        <v>57</v>
      </c>
      <c r="AD12" s="36" t="s">
        <v>57</v>
      </c>
      <c r="AE12" s="170"/>
      <c r="AF12" s="85">
        <v>12</v>
      </c>
      <c r="AG12" s="308" t="s">
        <v>6979</v>
      </c>
      <c r="AI12" s="308"/>
      <c r="AO12" s="331"/>
    </row>
    <row r="13" spans="1:41" ht="18">
      <c r="A13" s="51" t="s">
        <v>935</v>
      </c>
      <c r="B13" s="84" t="s">
        <v>6730</v>
      </c>
      <c r="C13" s="84" t="s">
        <v>6730</v>
      </c>
      <c r="D13" s="84" t="s">
        <v>6730</v>
      </c>
      <c r="E13" s="84" t="s">
        <v>5680</v>
      </c>
      <c r="F13" s="52" t="s">
        <v>8392</v>
      </c>
      <c r="G13" s="84" t="s">
        <v>8487</v>
      </c>
      <c r="H13" s="52" t="s">
        <v>8308</v>
      </c>
      <c r="I13" s="84" t="s">
        <v>9757</v>
      </c>
      <c r="J13" s="84" t="s">
        <v>8569</v>
      </c>
      <c r="K13" s="186" t="s">
        <v>8945</v>
      </c>
      <c r="L13" s="186" t="s">
        <v>8945</v>
      </c>
      <c r="M13" s="186" t="s">
        <v>8945</v>
      </c>
      <c r="N13" s="52" t="s">
        <v>8131</v>
      </c>
      <c r="O13" s="52" t="s">
        <v>8131</v>
      </c>
      <c r="P13" s="52" t="s">
        <v>8131</v>
      </c>
      <c r="Q13" s="52" t="s">
        <v>9165</v>
      </c>
      <c r="R13" s="52" t="s">
        <v>9165</v>
      </c>
      <c r="S13" s="186" t="s">
        <v>7209</v>
      </c>
      <c r="T13" s="186" t="s">
        <v>7209</v>
      </c>
      <c r="U13" s="186" t="s">
        <v>7209</v>
      </c>
      <c r="V13" s="186" t="s">
        <v>9412</v>
      </c>
      <c r="W13" s="186" t="s">
        <v>9412</v>
      </c>
      <c r="X13" s="186" t="s">
        <v>9636</v>
      </c>
      <c r="Y13" s="186" t="s">
        <v>9636</v>
      </c>
      <c r="Z13" s="186" t="s">
        <v>9412</v>
      </c>
      <c r="AA13" s="52" t="s">
        <v>0</v>
      </c>
      <c r="AB13" s="52" t="s">
        <v>8767</v>
      </c>
      <c r="AC13" s="52" t="s">
        <v>8767</v>
      </c>
      <c r="AD13" s="52" t="s">
        <v>8767</v>
      </c>
      <c r="AE13" s="170"/>
      <c r="AF13" s="41">
        <v>13</v>
      </c>
      <c r="AG13" s="308" t="s">
        <v>5965</v>
      </c>
      <c r="AO13" s="331"/>
    </row>
    <row r="14" spans="1:41" s="40" customFormat="1" ht="39.950000000000003" customHeight="1">
      <c r="A14" s="316" t="s">
        <v>9752</v>
      </c>
      <c r="B14" s="38" t="s">
        <v>0</v>
      </c>
      <c r="C14" s="38" t="s">
        <v>0</v>
      </c>
      <c r="D14" s="38" t="s">
        <v>0</v>
      </c>
      <c r="E14" s="38" t="s">
        <v>0</v>
      </c>
      <c r="F14" s="38" t="s">
        <v>0</v>
      </c>
      <c r="G14" s="38" t="s">
        <v>0</v>
      </c>
      <c r="H14" s="38" t="s">
        <v>0</v>
      </c>
      <c r="I14" s="36" t="s">
        <v>9754</v>
      </c>
      <c r="J14" s="38" t="s">
        <v>0</v>
      </c>
      <c r="K14" s="38" t="s">
        <v>0</v>
      </c>
      <c r="L14" s="38" t="s">
        <v>0</v>
      </c>
      <c r="M14" s="36" t="s">
        <v>8948</v>
      </c>
      <c r="N14" s="38" t="s">
        <v>0</v>
      </c>
      <c r="O14" s="38" t="s">
        <v>0</v>
      </c>
      <c r="P14" s="38" t="s">
        <v>0</v>
      </c>
      <c r="Q14" s="38" t="s">
        <v>0</v>
      </c>
      <c r="R14" s="315" t="s">
        <v>9753</v>
      </c>
      <c r="S14" s="38" t="s">
        <v>0</v>
      </c>
      <c r="T14" s="38" t="s">
        <v>0</v>
      </c>
      <c r="U14" s="38" t="s">
        <v>0</v>
      </c>
      <c r="V14" s="38" t="s">
        <v>0</v>
      </c>
      <c r="W14" s="38" t="s">
        <v>0</v>
      </c>
      <c r="X14" s="36" t="s">
        <v>9697</v>
      </c>
      <c r="Y14" s="36" t="s">
        <v>9697</v>
      </c>
      <c r="Z14" s="38" t="s">
        <v>0</v>
      </c>
      <c r="AA14" s="38" t="s">
        <v>0</v>
      </c>
      <c r="AB14" s="38" t="s">
        <v>0</v>
      </c>
      <c r="AC14" s="36" t="s">
        <v>0</v>
      </c>
      <c r="AD14" s="36" t="s">
        <v>8893</v>
      </c>
      <c r="AE14" s="169"/>
      <c r="AF14" s="85">
        <v>14</v>
      </c>
      <c r="AG14" s="308" t="s">
        <v>7917</v>
      </c>
      <c r="AI14" s="308"/>
      <c r="AO14" s="331"/>
    </row>
    <row r="15" spans="1:41" ht="18">
      <c r="A15" s="51" t="s">
        <v>935</v>
      </c>
      <c r="B15" s="52" t="s">
        <v>0</v>
      </c>
      <c r="C15" s="52" t="s">
        <v>0</v>
      </c>
      <c r="D15" s="52" t="s">
        <v>0</v>
      </c>
      <c r="E15" s="52" t="s">
        <v>5680</v>
      </c>
      <c r="F15" s="52" t="s">
        <v>5680</v>
      </c>
      <c r="G15" s="52" t="s">
        <v>5680</v>
      </c>
      <c r="H15" s="52" t="s">
        <v>5680</v>
      </c>
      <c r="I15" s="84" t="s">
        <v>9755</v>
      </c>
      <c r="J15" s="52" t="s">
        <v>5680</v>
      </c>
      <c r="K15" s="52" t="s">
        <v>5680</v>
      </c>
      <c r="L15" s="52" t="s">
        <v>5680</v>
      </c>
      <c r="M15" s="52" t="s">
        <v>8949</v>
      </c>
      <c r="N15" s="52" t="s">
        <v>0</v>
      </c>
      <c r="O15" s="52" t="s">
        <v>0</v>
      </c>
      <c r="P15" s="52" t="s">
        <v>0</v>
      </c>
      <c r="Q15" s="52" t="s">
        <v>0</v>
      </c>
      <c r="R15" s="52" t="s">
        <v>9276</v>
      </c>
      <c r="S15" s="52" t="s">
        <v>0</v>
      </c>
      <c r="T15" s="52" t="s">
        <v>0</v>
      </c>
      <c r="U15" s="52" t="s">
        <v>0</v>
      </c>
      <c r="V15" s="52" t="s">
        <v>0</v>
      </c>
      <c r="W15" s="52" t="s">
        <v>0</v>
      </c>
      <c r="X15" s="52" t="s">
        <v>9632</v>
      </c>
      <c r="Y15" s="52" t="s">
        <v>9632</v>
      </c>
      <c r="Z15" s="52" t="s">
        <v>0</v>
      </c>
      <c r="AA15" s="52" t="s">
        <v>0</v>
      </c>
      <c r="AB15" s="52" t="s">
        <v>0</v>
      </c>
      <c r="AC15" s="52" t="s">
        <v>0</v>
      </c>
      <c r="AD15" s="52" t="s">
        <v>8850</v>
      </c>
      <c r="AE15" s="170"/>
      <c r="AF15" s="41">
        <v>15</v>
      </c>
      <c r="AG15" s="308" t="s">
        <v>7918</v>
      </c>
      <c r="AI15" s="308"/>
      <c r="AO15" s="331"/>
    </row>
    <row r="16" spans="1:41" ht="30" customHeight="1">
      <c r="A16" s="62" t="s">
        <v>6516</v>
      </c>
      <c r="B16" s="38" t="s">
        <v>0</v>
      </c>
      <c r="C16" s="38" t="s">
        <v>0</v>
      </c>
      <c r="D16" s="38" t="s">
        <v>0</v>
      </c>
      <c r="E16" s="38" t="s">
        <v>0</v>
      </c>
      <c r="F16" s="38" t="s">
        <v>0</v>
      </c>
      <c r="G16" s="38" t="s">
        <v>0</v>
      </c>
      <c r="H16" s="38" t="s">
        <v>0</v>
      </c>
      <c r="I16" s="36" t="s">
        <v>9128</v>
      </c>
      <c r="J16" s="38" t="s">
        <v>0</v>
      </c>
      <c r="K16" s="38" t="s">
        <v>0</v>
      </c>
      <c r="L16" s="38" t="s">
        <v>0</v>
      </c>
      <c r="M16" s="36" t="s">
        <v>9633</v>
      </c>
      <c r="N16" s="38" t="s">
        <v>0</v>
      </c>
      <c r="O16" s="38" t="s">
        <v>0</v>
      </c>
      <c r="P16" s="38" t="s">
        <v>0</v>
      </c>
      <c r="Q16" s="38" t="s">
        <v>0</v>
      </c>
      <c r="R16" s="36" t="s">
        <v>9277</v>
      </c>
      <c r="S16" s="38" t="s">
        <v>0</v>
      </c>
      <c r="T16" s="38" t="s">
        <v>0</v>
      </c>
      <c r="U16" s="38" t="s">
        <v>0</v>
      </c>
      <c r="V16" s="38" t="s">
        <v>0</v>
      </c>
      <c r="W16" s="38" t="s">
        <v>0</v>
      </c>
      <c r="X16" s="36" t="s">
        <v>9698</v>
      </c>
      <c r="Y16" s="36" t="s">
        <v>9698</v>
      </c>
      <c r="Z16" s="38" t="s">
        <v>0</v>
      </c>
      <c r="AA16" s="38" t="s">
        <v>0</v>
      </c>
      <c r="AB16" s="38" t="s">
        <v>0</v>
      </c>
      <c r="AC16" s="38" t="s">
        <v>0</v>
      </c>
      <c r="AD16" s="38" t="s">
        <v>0</v>
      </c>
      <c r="AE16" s="170"/>
      <c r="AF16" s="85">
        <v>16</v>
      </c>
      <c r="AG16" s="308" t="s">
        <v>7919</v>
      </c>
      <c r="AI16" s="308"/>
      <c r="AO16" s="331"/>
    </row>
    <row r="17" spans="1:41">
      <c r="A17" s="51" t="s">
        <v>935</v>
      </c>
      <c r="B17" s="52" t="s">
        <v>0</v>
      </c>
      <c r="C17" s="52" t="s">
        <v>0</v>
      </c>
      <c r="D17" s="52" t="s">
        <v>0</v>
      </c>
      <c r="E17" s="52" t="s">
        <v>5680</v>
      </c>
      <c r="F17" s="52" t="s">
        <v>5680</v>
      </c>
      <c r="G17" s="52" t="s">
        <v>5680</v>
      </c>
      <c r="H17" s="52" t="s">
        <v>5680</v>
      </c>
      <c r="I17" s="84" t="s">
        <v>9129</v>
      </c>
      <c r="J17" s="52" t="s">
        <v>5680</v>
      </c>
      <c r="K17" s="52" t="s">
        <v>0</v>
      </c>
      <c r="L17" s="52" t="s">
        <v>0</v>
      </c>
      <c r="M17" s="52" t="s">
        <v>8946</v>
      </c>
      <c r="N17" s="52" t="s">
        <v>0</v>
      </c>
      <c r="O17" s="52" t="s">
        <v>0</v>
      </c>
      <c r="P17" s="52" t="s">
        <v>0</v>
      </c>
      <c r="Q17" s="52" t="s">
        <v>0</v>
      </c>
      <c r="R17" s="52" t="s">
        <v>9166</v>
      </c>
      <c r="S17" s="52" t="s">
        <v>0</v>
      </c>
      <c r="T17" s="52" t="s">
        <v>0</v>
      </c>
      <c r="U17" s="52" t="s">
        <v>0</v>
      </c>
      <c r="V17" s="52" t="s">
        <v>0</v>
      </c>
      <c r="W17" s="52" t="s">
        <v>0</v>
      </c>
      <c r="X17" s="52" t="s">
        <v>9634</v>
      </c>
      <c r="Y17" s="52" t="s">
        <v>9634</v>
      </c>
      <c r="Z17" s="52" t="s">
        <v>0</v>
      </c>
      <c r="AA17" s="52" t="s">
        <v>0</v>
      </c>
      <c r="AB17" s="52" t="s">
        <v>0</v>
      </c>
      <c r="AC17" s="52" t="s">
        <v>0</v>
      </c>
      <c r="AD17" s="52" t="s">
        <v>0</v>
      </c>
      <c r="AE17" s="170"/>
      <c r="AF17" s="41">
        <v>17</v>
      </c>
      <c r="AG17" s="308" t="s">
        <v>9340</v>
      </c>
      <c r="AI17" s="308"/>
      <c r="AO17" s="331"/>
    </row>
    <row r="18" spans="1:41" s="40" customFormat="1">
      <c r="A18" s="20"/>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170"/>
      <c r="AF18" s="85">
        <v>18</v>
      </c>
      <c r="AG18" s="308" t="s">
        <v>9341</v>
      </c>
      <c r="AI18" s="308"/>
      <c r="AO18" s="331"/>
    </row>
    <row r="19" spans="1:41" ht="20.100000000000001" customHeight="1">
      <c r="A19" s="257" t="s">
        <v>1</v>
      </c>
      <c r="B19" s="255" t="str">
        <f t="shared" ref="B19:AD19" si="0">B1</f>
        <v>Allianz</v>
      </c>
      <c r="C19" s="255" t="str">
        <f t="shared" si="0"/>
        <v>Allianz SicherheitBest</v>
      </c>
      <c r="D19" s="255" t="str">
        <f t="shared" si="0"/>
        <v>Allianz SicherheitPlus</v>
      </c>
      <c r="E19" s="255" t="str">
        <f t="shared" si="0"/>
        <v>Ammerländer Basic</v>
      </c>
      <c r="F19" s="255" t="str">
        <f t="shared" si="0"/>
        <v>Ammerländer Classic</v>
      </c>
      <c r="G19" s="255" t="str">
        <f t="shared" si="0"/>
        <v>Ammerländer Comfort</v>
      </c>
      <c r="H19" s="255" t="str">
        <f t="shared" si="0"/>
        <v>Ammerländer Economic</v>
      </c>
      <c r="I19" s="255" t="str">
        <f t="shared" si="0"/>
        <v>Ammerländer Excellent</v>
      </c>
      <c r="J19" s="255" t="str">
        <f t="shared" si="0"/>
        <v>Ammerländer Exclusiv</v>
      </c>
      <c r="K19" s="255" t="str">
        <f t="shared" si="0"/>
        <v>Domcura Komfort</v>
      </c>
      <c r="L19" s="255" t="str">
        <f t="shared" si="0"/>
        <v>Domcura Standard</v>
      </c>
      <c r="M19" s="255" t="str">
        <f t="shared" si="0"/>
        <v>Domcura Top</v>
      </c>
      <c r="N19" s="255" t="str">
        <f t="shared" si="0"/>
        <v>Gothaer Basis</v>
      </c>
      <c r="O19" s="255" t="str">
        <f t="shared" si="0"/>
        <v>Gothaer Plus</v>
      </c>
      <c r="P19" s="255" t="str">
        <f t="shared" si="0"/>
        <v>Gothaer Premium</v>
      </c>
      <c r="Q19" s="255" t="str">
        <f t="shared" si="0"/>
        <v>HK Darmstadt Einfach Besser</v>
      </c>
      <c r="R19" s="255" t="str">
        <f t="shared" si="0"/>
        <v>HK Darmstadt Eindach Komplett</v>
      </c>
      <c r="S19" s="255" t="str">
        <f t="shared" si="0"/>
        <v>InterRisk L</v>
      </c>
      <c r="T19" s="255" t="str">
        <f t="shared" si="0"/>
        <v>InterRisk XL</v>
      </c>
      <c r="U19" s="255" t="str">
        <f t="shared" si="0"/>
        <v>InterRisk XXL</v>
      </c>
      <c r="V19" s="255" t="str">
        <f t="shared" si="0"/>
        <v>ITL Classic VS</v>
      </c>
      <c r="W19" s="255" t="str">
        <f t="shared" si="0"/>
        <v>ITL Eurosecure Plus QM afm</v>
      </c>
      <c r="X19" s="255" t="str">
        <f t="shared" si="0"/>
        <v>ITL Infinitus QM</v>
      </c>
      <c r="Y19" s="255" t="str">
        <f t="shared" si="0"/>
        <v>ITL Infinitus VS</v>
      </c>
      <c r="Z19" s="255" t="str">
        <f t="shared" si="0"/>
        <v>ITL Protect Plus VS</v>
      </c>
      <c r="AA19" s="255" t="str">
        <f t="shared" si="0"/>
        <v>Keine</v>
      </c>
      <c r="AB19" s="255" t="str">
        <f t="shared" si="0"/>
        <v>VHV Kl. Garant</v>
      </c>
      <c r="AC19" s="255" t="str">
        <f t="shared" si="0"/>
        <v>VHV Kl. Garant Exkl.</v>
      </c>
      <c r="AD19" s="255" t="str">
        <f t="shared" si="0"/>
        <v>VHV Kl. Garant Exkl.BEST</v>
      </c>
      <c r="AE19" s="170"/>
      <c r="AF19" s="41">
        <v>19</v>
      </c>
      <c r="AG19" s="308" t="s">
        <v>3466</v>
      </c>
      <c r="AI19" s="308"/>
      <c r="AO19" s="331"/>
    </row>
    <row r="20" spans="1:41" s="85" customFormat="1" ht="20.100000000000001" customHeight="1">
      <c r="A20" s="62" t="s">
        <v>85</v>
      </c>
      <c r="B20" s="36" t="s">
        <v>57</v>
      </c>
      <c r="C20" s="36" t="s">
        <v>57</v>
      </c>
      <c r="D20" s="36" t="s">
        <v>57</v>
      </c>
      <c r="E20" s="36" t="s">
        <v>57</v>
      </c>
      <c r="F20" s="36" t="s">
        <v>57</v>
      </c>
      <c r="G20" s="36" t="s">
        <v>57</v>
      </c>
      <c r="H20" s="36" t="s">
        <v>57</v>
      </c>
      <c r="I20" s="36" t="s">
        <v>57</v>
      </c>
      <c r="J20" s="36" t="s">
        <v>57</v>
      </c>
      <c r="K20" s="36" t="s">
        <v>57</v>
      </c>
      <c r="L20" s="36" t="s">
        <v>57</v>
      </c>
      <c r="M20" s="36" t="s">
        <v>57</v>
      </c>
      <c r="N20" s="36" t="s">
        <v>57</v>
      </c>
      <c r="O20" s="36" t="s">
        <v>57</v>
      </c>
      <c r="P20" s="36" t="s">
        <v>57</v>
      </c>
      <c r="Q20" s="36" t="s">
        <v>57</v>
      </c>
      <c r="R20" s="36" t="s">
        <v>57</v>
      </c>
      <c r="S20" s="36" t="s">
        <v>57</v>
      </c>
      <c r="T20" s="36" t="s">
        <v>57</v>
      </c>
      <c r="U20" s="36" t="s">
        <v>57</v>
      </c>
      <c r="V20" s="36" t="s">
        <v>57</v>
      </c>
      <c r="W20" s="36" t="s">
        <v>57</v>
      </c>
      <c r="X20" s="36" t="s">
        <v>57</v>
      </c>
      <c r="Y20" s="36" t="s">
        <v>57</v>
      </c>
      <c r="Z20" s="36" t="s">
        <v>57</v>
      </c>
      <c r="AA20" s="36" t="s">
        <v>0</v>
      </c>
      <c r="AB20" s="36" t="s">
        <v>57</v>
      </c>
      <c r="AC20" s="36" t="s">
        <v>57</v>
      </c>
      <c r="AD20" s="36" t="s">
        <v>57</v>
      </c>
      <c r="AE20" s="171"/>
      <c r="AF20" s="85">
        <v>20</v>
      </c>
      <c r="AG20" s="308" t="s">
        <v>3467</v>
      </c>
      <c r="AI20" s="308"/>
      <c r="AO20" s="331"/>
    </row>
    <row r="21" spans="1:41">
      <c r="A21" s="51" t="s">
        <v>935</v>
      </c>
      <c r="B21" s="52" t="s">
        <v>6731</v>
      </c>
      <c r="C21" s="52" t="s">
        <v>6731</v>
      </c>
      <c r="D21" s="52" t="s">
        <v>6731</v>
      </c>
      <c r="E21" s="52" t="s">
        <v>8193</v>
      </c>
      <c r="F21" s="52" t="s">
        <v>8193</v>
      </c>
      <c r="G21" s="52" t="s">
        <v>8193</v>
      </c>
      <c r="H21" s="52" t="s">
        <v>8193</v>
      </c>
      <c r="I21" s="52" t="s">
        <v>8193</v>
      </c>
      <c r="J21" s="52" t="s">
        <v>8193</v>
      </c>
      <c r="K21" s="186" t="s">
        <v>7050</v>
      </c>
      <c r="L21" s="186" t="s">
        <v>7050</v>
      </c>
      <c r="M21" s="186" t="s">
        <v>7050</v>
      </c>
      <c r="N21" s="52" t="s">
        <v>7984</v>
      </c>
      <c r="O21" s="52" t="s">
        <v>7984</v>
      </c>
      <c r="P21" s="52" t="s">
        <v>7984</v>
      </c>
      <c r="Q21" s="52" t="s">
        <v>9200</v>
      </c>
      <c r="R21" s="52" t="s">
        <v>9200</v>
      </c>
      <c r="S21" s="52" t="s">
        <v>7210</v>
      </c>
      <c r="T21" s="52" t="s">
        <v>7304</v>
      </c>
      <c r="U21" s="52" t="s">
        <v>7415</v>
      </c>
      <c r="V21" s="52" t="s">
        <v>9458</v>
      </c>
      <c r="W21" s="52" t="s">
        <v>9458</v>
      </c>
      <c r="X21" s="52" t="s">
        <v>9458</v>
      </c>
      <c r="Y21" s="52" t="s">
        <v>9458</v>
      </c>
      <c r="Z21" s="52" t="s">
        <v>9458</v>
      </c>
      <c r="AA21" s="52" t="s">
        <v>0</v>
      </c>
      <c r="AB21" s="52" t="s">
        <v>8743</v>
      </c>
      <c r="AC21" s="52" t="s">
        <v>8743</v>
      </c>
      <c r="AD21" s="52" t="s">
        <v>8743</v>
      </c>
      <c r="AE21" s="171"/>
      <c r="AF21" s="41">
        <v>21</v>
      </c>
      <c r="AG21" s="308" t="s">
        <v>3468</v>
      </c>
      <c r="AO21" s="331"/>
    </row>
    <row r="22" spans="1:41" s="40" customFormat="1" ht="20.100000000000001" customHeight="1">
      <c r="A22" s="249" t="s">
        <v>86</v>
      </c>
      <c r="B22" s="36" t="s">
        <v>57</v>
      </c>
      <c r="C22" s="36" t="s">
        <v>57</v>
      </c>
      <c r="D22" s="36" t="s">
        <v>57</v>
      </c>
      <c r="E22" s="36" t="s">
        <v>57</v>
      </c>
      <c r="F22" s="36" t="s">
        <v>57</v>
      </c>
      <c r="G22" s="36" t="s">
        <v>57</v>
      </c>
      <c r="H22" s="36" t="s">
        <v>57</v>
      </c>
      <c r="I22" s="36" t="s">
        <v>57</v>
      </c>
      <c r="J22" s="36" t="s">
        <v>57</v>
      </c>
      <c r="K22" s="36" t="s">
        <v>57</v>
      </c>
      <c r="L22" s="36" t="s">
        <v>57</v>
      </c>
      <c r="M22" s="36" t="s">
        <v>57</v>
      </c>
      <c r="N22" s="36" t="s">
        <v>57</v>
      </c>
      <c r="O22" s="36" t="s">
        <v>57</v>
      </c>
      <c r="P22" s="36" t="s">
        <v>57</v>
      </c>
      <c r="Q22" s="36" t="s">
        <v>57</v>
      </c>
      <c r="R22" s="36" t="s">
        <v>57</v>
      </c>
      <c r="S22" s="36" t="s">
        <v>57</v>
      </c>
      <c r="T22" s="36" t="s">
        <v>57</v>
      </c>
      <c r="U22" s="36" t="s">
        <v>57</v>
      </c>
      <c r="V22" s="36" t="s">
        <v>57</v>
      </c>
      <c r="W22" s="36" t="s">
        <v>57</v>
      </c>
      <c r="X22" s="36" t="s">
        <v>57</v>
      </c>
      <c r="Y22" s="36" t="s">
        <v>57</v>
      </c>
      <c r="Z22" s="36" t="s">
        <v>57</v>
      </c>
      <c r="AA22" s="36" t="s">
        <v>0</v>
      </c>
      <c r="AB22" s="36" t="s">
        <v>57</v>
      </c>
      <c r="AC22" s="36" t="s">
        <v>57</v>
      </c>
      <c r="AD22" s="36" t="s">
        <v>57</v>
      </c>
      <c r="AE22" s="171"/>
      <c r="AF22" s="85">
        <v>22</v>
      </c>
      <c r="AG22" s="308" t="s">
        <v>9486</v>
      </c>
      <c r="AO22" s="331"/>
    </row>
    <row r="23" spans="1:41">
      <c r="A23" s="51" t="s">
        <v>935</v>
      </c>
      <c r="B23" s="52" t="s">
        <v>6732</v>
      </c>
      <c r="C23" s="52" t="s">
        <v>6732</v>
      </c>
      <c r="D23" s="52" t="s">
        <v>6732</v>
      </c>
      <c r="E23" s="52" t="s">
        <v>8194</v>
      </c>
      <c r="F23" s="52" t="s">
        <v>8194</v>
      </c>
      <c r="G23" s="52" t="s">
        <v>8194</v>
      </c>
      <c r="H23" s="52" t="s">
        <v>8194</v>
      </c>
      <c r="I23" s="52" t="s">
        <v>8194</v>
      </c>
      <c r="J23" s="52" t="s">
        <v>8194</v>
      </c>
      <c r="K23" s="186" t="s">
        <v>7058</v>
      </c>
      <c r="L23" s="186" t="s">
        <v>7058</v>
      </c>
      <c r="M23" s="186" t="s">
        <v>7058</v>
      </c>
      <c r="N23" s="52" t="s">
        <v>7985</v>
      </c>
      <c r="O23" s="52" t="s">
        <v>7985</v>
      </c>
      <c r="P23" s="52" t="s">
        <v>7985</v>
      </c>
      <c r="Q23" s="52" t="s">
        <v>9202</v>
      </c>
      <c r="R23" s="52" t="s">
        <v>9202</v>
      </c>
      <c r="S23" s="52" t="s">
        <v>7211</v>
      </c>
      <c r="T23" s="52" t="s">
        <v>7305</v>
      </c>
      <c r="U23" s="52" t="s">
        <v>7416</v>
      </c>
      <c r="V23" s="52" t="s">
        <v>9459</v>
      </c>
      <c r="W23" s="52" t="s">
        <v>9459</v>
      </c>
      <c r="X23" s="52" t="s">
        <v>9459</v>
      </c>
      <c r="Y23" s="52" t="s">
        <v>9459</v>
      </c>
      <c r="Z23" s="52" t="s">
        <v>9459</v>
      </c>
      <c r="AA23" s="52" t="s">
        <v>0</v>
      </c>
      <c r="AB23" s="52" t="s">
        <v>8744</v>
      </c>
      <c r="AC23" s="52" t="s">
        <v>8744</v>
      </c>
      <c r="AD23" s="52" t="s">
        <v>8744</v>
      </c>
      <c r="AE23" s="170"/>
      <c r="AF23" s="41">
        <v>23</v>
      </c>
      <c r="AG23" s="308" t="s">
        <v>9731</v>
      </c>
      <c r="AO23" s="328"/>
    </row>
    <row r="24" spans="1:41" s="40" customFormat="1" ht="20.100000000000001" customHeight="1">
      <c r="A24" s="6" t="s">
        <v>87</v>
      </c>
      <c r="B24" s="36" t="s">
        <v>57</v>
      </c>
      <c r="C24" s="36" t="s">
        <v>57</v>
      </c>
      <c r="D24" s="36" t="s">
        <v>57</v>
      </c>
      <c r="E24" s="36" t="s">
        <v>57</v>
      </c>
      <c r="F24" s="36" t="s">
        <v>57</v>
      </c>
      <c r="G24" s="36" t="s">
        <v>57</v>
      </c>
      <c r="H24" s="36" t="s">
        <v>57</v>
      </c>
      <c r="I24" s="36" t="s">
        <v>57</v>
      </c>
      <c r="J24" s="36" t="s">
        <v>57</v>
      </c>
      <c r="K24" s="36" t="s">
        <v>57</v>
      </c>
      <c r="L24" s="36" t="s">
        <v>57</v>
      </c>
      <c r="M24" s="36" t="s">
        <v>57</v>
      </c>
      <c r="N24" s="36" t="s">
        <v>57</v>
      </c>
      <c r="O24" s="36" t="s">
        <v>57</v>
      </c>
      <c r="P24" s="36" t="s">
        <v>57</v>
      </c>
      <c r="Q24" s="36" t="s">
        <v>57</v>
      </c>
      <c r="R24" s="36" t="s">
        <v>57</v>
      </c>
      <c r="S24" s="36" t="s">
        <v>57</v>
      </c>
      <c r="T24" s="36" t="s">
        <v>57</v>
      </c>
      <c r="U24" s="36" t="s">
        <v>57</v>
      </c>
      <c r="V24" s="36" t="s">
        <v>57</v>
      </c>
      <c r="W24" s="36" t="s">
        <v>57</v>
      </c>
      <c r="X24" s="36" t="s">
        <v>57</v>
      </c>
      <c r="Y24" s="36" t="s">
        <v>57</v>
      </c>
      <c r="Z24" s="36" t="s">
        <v>57</v>
      </c>
      <c r="AA24" s="36" t="s">
        <v>0</v>
      </c>
      <c r="AB24" s="36" t="s">
        <v>57</v>
      </c>
      <c r="AC24" s="36" t="s">
        <v>57</v>
      </c>
      <c r="AD24" s="36" t="s">
        <v>57</v>
      </c>
      <c r="AE24" s="170"/>
      <c r="AF24" s="85">
        <v>24</v>
      </c>
      <c r="AG24" s="329" t="s">
        <v>9666</v>
      </c>
      <c r="AO24" s="328"/>
    </row>
    <row r="25" spans="1:41">
      <c r="A25" s="51" t="s">
        <v>935</v>
      </c>
      <c r="B25" s="52" t="s">
        <v>6731</v>
      </c>
      <c r="C25" s="52" t="s">
        <v>6731</v>
      </c>
      <c r="D25" s="52" t="s">
        <v>6731</v>
      </c>
      <c r="E25" s="52" t="s">
        <v>8195</v>
      </c>
      <c r="F25" s="52" t="s">
        <v>8195</v>
      </c>
      <c r="G25" s="52" t="s">
        <v>8195</v>
      </c>
      <c r="H25" s="52" t="s">
        <v>8195</v>
      </c>
      <c r="I25" s="52" t="s">
        <v>8195</v>
      </c>
      <c r="J25" s="52" t="s">
        <v>8195</v>
      </c>
      <c r="K25" s="186" t="s">
        <v>7057</v>
      </c>
      <c r="L25" s="186" t="s">
        <v>7057</v>
      </c>
      <c r="M25" s="186" t="s">
        <v>7057</v>
      </c>
      <c r="N25" s="52" t="s">
        <v>7986</v>
      </c>
      <c r="O25" s="52" t="s">
        <v>7986</v>
      </c>
      <c r="P25" s="52" t="s">
        <v>7986</v>
      </c>
      <c r="Q25" s="52" t="s">
        <v>9201</v>
      </c>
      <c r="R25" s="52" t="s">
        <v>9201</v>
      </c>
      <c r="S25" s="52" t="s">
        <v>7212</v>
      </c>
      <c r="T25" s="52" t="s">
        <v>7306</v>
      </c>
      <c r="U25" s="52" t="s">
        <v>7417</v>
      </c>
      <c r="V25" s="52" t="s">
        <v>9460</v>
      </c>
      <c r="W25" s="52" t="s">
        <v>9460</v>
      </c>
      <c r="X25" s="52" t="s">
        <v>9460</v>
      </c>
      <c r="Y25" s="52" t="s">
        <v>9460</v>
      </c>
      <c r="Z25" s="52" t="s">
        <v>9460</v>
      </c>
      <c r="AA25" s="52" t="s">
        <v>0</v>
      </c>
      <c r="AB25" s="52" t="s">
        <v>8745</v>
      </c>
      <c r="AC25" s="52" t="s">
        <v>8745</v>
      </c>
      <c r="AD25" s="52" t="s">
        <v>8745</v>
      </c>
      <c r="AE25" s="170"/>
      <c r="AF25" s="41">
        <v>25</v>
      </c>
      <c r="AG25" s="329" t="s">
        <v>9551</v>
      </c>
      <c r="AO25" s="328"/>
    </row>
    <row r="26" spans="1:41" s="40" customFormat="1" ht="30" customHeight="1">
      <c r="A26" s="62" t="s">
        <v>403</v>
      </c>
      <c r="B26" s="36" t="s">
        <v>5498</v>
      </c>
      <c r="C26" s="36" t="s">
        <v>6962</v>
      </c>
      <c r="D26" s="36" t="s">
        <v>6961</v>
      </c>
      <c r="E26" s="36" t="s">
        <v>192</v>
      </c>
      <c r="F26" s="36" t="s">
        <v>8389</v>
      </c>
      <c r="G26" s="36" t="s">
        <v>8482</v>
      </c>
      <c r="H26" s="36" t="s">
        <v>8296</v>
      </c>
      <c r="I26" s="36" t="s">
        <v>8482</v>
      </c>
      <c r="J26" s="36" t="s">
        <v>8482</v>
      </c>
      <c r="K26" s="36" t="s">
        <v>9042</v>
      </c>
      <c r="L26" s="36" t="s">
        <v>7130</v>
      </c>
      <c r="M26" s="36" t="s">
        <v>8012</v>
      </c>
      <c r="N26" s="36" t="s">
        <v>215</v>
      </c>
      <c r="O26" s="36" t="s">
        <v>5498</v>
      </c>
      <c r="P26" s="36" t="s">
        <v>8121</v>
      </c>
      <c r="Q26" s="36" t="s">
        <v>9279</v>
      </c>
      <c r="R26" s="36" t="s">
        <v>9320</v>
      </c>
      <c r="S26" s="36" t="s">
        <v>215</v>
      </c>
      <c r="T26" s="36" t="s">
        <v>5498</v>
      </c>
      <c r="U26" s="36" t="s">
        <v>7418</v>
      </c>
      <c r="V26" s="36" t="s">
        <v>215</v>
      </c>
      <c r="W26" s="36" t="s">
        <v>8012</v>
      </c>
      <c r="X26" s="36" t="s">
        <v>9667</v>
      </c>
      <c r="Y26" s="36" t="s">
        <v>7768</v>
      </c>
      <c r="Z26" s="36" t="s">
        <v>5498</v>
      </c>
      <c r="AA26" s="36" t="s">
        <v>0</v>
      </c>
      <c r="AB26" s="36" t="s">
        <v>5498</v>
      </c>
      <c r="AC26" s="36" t="s">
        <v>7418</v>
      </c>
      <c r="AD26" s="36" t="s">
        <v>7418</v>
      </c>
      <c r="AE26" s="170"/>
      <c r="AF26" s="41">
        <v>26</v>
      </c>
      <c r="AG26" s="329" t="s">
        <v>9485</v>
      </c>
      <c r="AH26" s="5"/>
      <c r="AO26" s="328"/>
    </row>
    <row r="27" spans="1:41" ht="18">
      <c r="A27" s="51" t="s">
        <v>935</v>
      </c>
      <c r="B27" s="52" t="s">
        <v>6733</v>
      </c>
      <c r="C27" s="52" t="s">
        <v>6966</v>
      </c>
      <c r="D27" s="52" t="s">
        <v>6966</v>
      </c>
      <c r="E27" s="84" t="s">
        <v>8298</v>
      </c>
      <c r="F27" s="84" t="s">
        <v>8390</v>
      </c>
      <c r="G27" s="84" t="s">
        <v>8483</v>
      </c>
      <c r="H27" s="84" t="s">
        <v>8297</v>
      </c>
      <c r="I27" s="84" t="s">
        <v>8657</v>
      </c>
      <c r="J27" s="84" t="s">
        <v>8559</v>
      </c>
      <c r="K27" s="186" t="s">
        <v>9041</v>
      </c>
      <c r="L27" s="186" t="s">
        <v>9017</v>
      </c>
      <c r="M27" s="186" t="s">
        <v>9068</v>
      </c>
      <c r="N27" s="52" t="s">
        <v>7987</v>
      </c>
      <c r="O27" s="52" t="s">
        <v>7987</v>
      </c>
      <c r="P27" s="52" t="s">
        <v>8120</v>
      </c>
      <c r="Q27" s="52" t="s">
        <v>9278</v>
      </c>
      <c r="R27" s="52" t="s">
        <v>9319</v>
      </c>
      <c r="S27" s="52" t="s">
        <v>7213</v>
      </c>
      <c r="T27" s="52" t="s">
        <v>7307</v>
      </c>
      <c r="U27" s="52" t="s">
        <v>7419</v>
      </c>
      <c r="V27" s="52" t="s">
        <v>9474</v>
      </c>
      <c r="W27" s="52" t="s">
        <v>9474</v>
      </c>
      <c r="X27" s="52" t="s">
        <v>9523</v>
      </c>
      <c r="Y27" s="52" t="s">
        <v>9523</v>
      </c>
      <c r="Z27" s="52" t="s">
        <v>9523</v>
      </c>
      <c r="AA27" s="52" t="s">
        <v>0</v>
      </c>
      <c r="AB27" s="52" t="s">
        <v>8748</v>
      </c>
      <c r="AC27" s="52" t="s">
        <v>8842</v>
      </c>
      <c r="AD27" s="52" t="s">
        <v>8842</v>
      </c>
      <c r="AE27" s="170"/>
      <c r="AF27" s="41">
        <v>27</v>
      </c>
      <c r="AG27" s="308" t="s">
        <v>8890</v>
      </c>
      <c r="AO27" s="331"/>
    </row>
    <row r="28" spans="1:41" s="40" customFormat="1" ht="54.95" customHeight="1">
      <c r="A28" s="258" t="s">
        <v>52</v>
      </c>
      <c r="B28" s="36" t="s">
        <v>7012</v>
      </c>
      <c r="C28" s="36" t="s">
        <v>7012</v>
      </c>
      <c r="D28" s="36" t="s">
        <v>7012</v>
      </c>
      <c r="E28" s="36" t="s">
        <v>8225</v>
      </c>
      <c r="F28" s="36" t="s">
        <v>8387</v>
      </c>
      <c r="G28" s="36" t="s">
        <v>8480</v>
      </c>
      <c r="H28" s="36" t="s">
        <v>8299</v>
      </c>
      <c r="I28" s="36" t="s">
        <v>8659</v>
      </c>
      <c r="J28" s="36" t="s">
        <v>8480</v>
      </c>
      <c r="K28" s="36" t="s">
        <v>7129</v>
      </c>
      <c r="L28" s="36" t="s">
        <v>6987</v>
      </c>
      <c r="M28" s="36" t="s">
        <v>9069</v>
      </c>
      <c r="N28" s="36" t="s">
        <v>7989</v>
      </c>
      <c r="O28" s="36" t="s">
        <v>7990</v>
      </c>
      <c r="P28" s="36" t="s">
        <v>8129</v>
      </c>
      <c r="Q28" s="36" t="s">
        <v>9318</v>
      </c>
      <c r="R28" s="36" t="s">
        <v>9317</v>
      </c>
      <c r="S28" s="36" t="s">
        <v>7215</v>
      </c>
      <c r="T28" s="36" t="s">
        <v>3596</v>
      </c>
      <c r="U28" s="36" t="s">
        <v>7420</v>
      </c>
      <c r="V28" s="36" t="s">
        <v>7988</v>
      </c>
      <c r="W28" s="36" t="s">
        <v>9729</v>
      </c>
      <c r="X28" s="36" t="s">
        <v>9606</v>
      </c>
      <c r="Y28" s="36" t="s">
        <v>9606</v>
      </c>
      <c r="Z28" s="36" t="s">
        <v>7988</v>
      </c>
      <c r="AA28" s="36" t="s">
        <v>0</v>
      </c>
      <c r="AB28" s="36" t="s">
        <v>8747</v>
      </c>
      <c r="AC28" s="36" t="s">
        <v>8747</v>
      </c>
      <c r="AD28" s="36" t="s">
        <v>8747</v>
      </c>
      <c r="AE28" s="170"/>
      <c r="AF28" s="85">
        <v>28</v>
      </c>
      <c r="AG28" s="308" t="s">
        <v>8891</v>
      </c>
      <c r="AO28" s="331"/>
    </row>
    <row r="29" spans="1:41" ht="18">
      <c r="A29" s="51" t="s">
        <v>935</v>
      </c>
      <c r="B29" s="52" t="s">
        <v>6737</v>
      </c>
      <c r="C29" s="52" t="s">
        <v>6737</v>
      </c>
      <c r="D29" s="52" t="s">
        <v>6737</v>
      </c>
      <c r="E29" s="52" t="s">
        <v>8224</v>
      </c>
      <c r="F29" s="84" t="s">
        <v>8388</v>
      </c>
      <c r="G29" s="84" t="s">
        <v>8481</v>
      </c>
      <c r="H29" s="84" t="s">
        <v>8300</v>
      </c>
      <c r="I29" s="84" t="s">
        <v>8658</v>
      </c>
      <c r="J29" s="84" t="s">
        <v>8560</v>
      </c>
      <c r="K29" s="186" t="s">
        <v>7128</v>
      </c>
      <c r="L29" s="186" t="s">
        <v>9018</v>
      </c>
      <c r="M29" s="186" t="s">
        <v>7180</v>
      </c>
      <c r="N29" s="52" t="s">
        <v>7991</v>
      </c>
      <c r="O29" s="52" t="s">
        <v>7991</v>
      </c>
      <c r="P29" s="84" t="s">
        <v>8096</v>
      </c>
      <c r="Q29" s="52" t="s">
        <v>9278</v>
      </c>
      <c r="R29" s="52" t="s">
        <v>9319</v>
      </c>
      <c r="S29" s="52" t="s">
        <v>7214</v>
      </c>
      <c r="T29" s="52" t="s">
        <v>7308</v>
      </c>
      <c r="U29" s="52" t="s">
        <v>7421</v>
      </c>
      <c r="V29" s="52" t="s">
        <v>9475</v>
      </c>
      <c r="W29" s="52" t="s">
        <v>9730</v>
      </c>
      <c r="X29" s="52" t="s">
        <v>9607</v>
      </c>
      <c r="Y29" s="52" t="s">
        <v>9607</v>
      </c>
      <c r="Z29" s="52" t="s">
        <v>9475</v>
      </c>
      <c r="AA29" s="52" t="s">
        <v>0</v>
      </c>
      <c r="AB29" s="52" t="s">
        <v>8746</v>
      </c>
      <c r="AC29" s="52" t="s">
        <v>8746</v>
      </c>
      <c r="AD29" s="52" t="s">
        <v>8746</v>
      </c>
      <c r="AE29" s="170"/>
      <c r="AF29" s="41">
        <v>29</v>
      </c>
      <c r="AG29" s="308" t="s">
        <v>8892</v>
      </c>
      <c r="AO29" s="331"/>
    </row>
    <row r="30" spans="1:41" s="40" customFormat="1" ht="95.1" customHeight="1">
      <c r="A30" s="62" t="s">
        <v>89</v>
      </c>
      <c r="B30" s="36" t="s">
        <v>7010</v>
      </c>
      <c r="C30" s="36" t="s">
        <v>7309</v>
      </c>
      <c r="D30" s="36" t="s">
        <v>7009</v>
      </c>
      <c r="E30" s="36" t="s">
        <v>8228</v>
      </c>
      <c r="F30" s="36" t="s">
        <v>8385</v>
      </c>
      <c r="G30" s="36" t="s">
        <v>8479</v>
      </c>
      <c r="H30" s="36" t="s">
        <v>8301</v>
      </c>
      <c r="I30" s="36" t="s">
        <v>8479</v>
      </c>
      <c r="J30" s="36" t="s">
        <v>8479</v>
      </c>
      <c r="K30" s="7" t="s">
        <v>7008</v>
      </c>
      <c r="L30" s="7" t="s">
        <v>7008</v>
      </c>
      <c r="M30" s="7" t="s">
        <v>7008</v>
      </c>
      <c r="N30" s="36" t="s">
        <v>8000</v>
      </c>
      <c r="O30" s="36" t="s">
        <v>8002</v>
      </c>
      <c r="P30" s="36" t="s">
        <v>8002</v>
      </c>
      <c r="Q30" s="36" t="s">
        <v>8002</v>
      </c>
      <c r="R30" s="36" t="s">
        <v>8002</v>
      </c>
      <c r="S30" s="36" t="s">
        <v>7310</v>
      </c>
      <c r="T30" s="36" t="s">
        <v>7309</v>
      </c>
      <c r="U30" s="36" t="s">
        <v>7423</v>
      </c>
      <c r="V30" s="36" t="s">
        <v>7309</v>
      </c>
      <c r="W30" s="36" t="s">
        <v>7309</v>
      </c>
      <c r="X30" s="36" t="s">
        <v>7309</v>
      </c>
      <c r="Y30" s="36" t="s">
        <v>7309</v>
      </c>
      <c r="Z30" s="36" t="s">
        <v>7309</v>
      </c>
      <c r="AA30" s="36" t="s">
        <v>0</v>
      </c>
      <c r="AB30" s="36" t="s">
        <v>8002</v>
      </c>
      <c r="AC30" s="36" t="s">
        <v>8002</v>
      </c>
      <c r="AD30" s="36" t="s">
        <v>8002</v>
      </c>
      <c r="AE30" s="170"/>
      <c r="AF30" s="85">
        <v>30</v>
      </c>
      <c r="AG30" s="308"/>
      <c r="AO30" s="331"/>
    </row>
    <row r="31" spans="1:41" ht="18">
      <c r="A31" s="51" t="s">
        <v>935</v>
      </c>
      <c r="B31" s="52" t="s">
        <v>6928</v>
      </c>
      <c r="C31" s="52" t="s">
        <v>6927</v>
      </c>
      <c r="D31" s="52" t="s">
        <v>6927</v>
      </c>
      <c r="E31" s="84" t="s">
        <v>8229</v>
      </c>
      <c r="F31" s="84" t="s">
        <v>8386</v>
      </c>
      <c r="G31" s="84" t="s">
        <v>8478</v>
      </c>
      <c r="H31" s="84" t="s">
        <v>8302</v>
      </c>
      <c r="I31" s="84" t="s">
        <v>8674</v>
      </c>
      <c r="J31" s="84" t="s">
        <v>8570</v>
      </c>
      <c r="K31" s="186" t="s">
        <v>7054</v>
      </c>
      <c r="L31" s="186" t="s">
        <v>7054</v>
      </c>
      <c r="M31" s="186" t="s">
        <v>7054</v>
      </c>
      <c r="N31" s="84" t="s">
        <v>8001</v>
      </c>
      <c r="O31" s="84" t="s">
        <v>8001</v>
      </c>
      <c r="P31" s="84" t="s">
        <v>8001</v>
      </c>
      <c r="Q31" s="52" t="s">
        <v>9306</v>
      </c>
      <c r="R31" s="52" t="s">
        <v>9306</v>
      </c>
      <c r="S31" s="84" t="s">
        <v>7311</v>
      </c>
      <c r="T31" s="84" t="s">
        <v>7422</v>
      </c>
      <c r="U31" s="84" t="s">
        <v>7424</v>
      </c>
      <c r="V31" s="84" t="s">
        <v>9513</v>
      </c>
      <c r="W31" s="84" t="s">
        <v>9513</v>
      </c>
      <c r="X31" s="84" t="s">
        <v>9513</v>
      </c>
      <c r="Y31" s="84" t="s">
        <v>9513</v>
      </c>
      <c r="Z31" s="84" t="s">
        <v>9513</v>
      </c>
      <c r="AA31" s="52" t="s">
        <v>0</v>
      </c>
      <c r="AB31" s="84" t="s">
        <v>8797</v>
      </c>
      <c r="AC31" s="84" t="s">
        <v>8797</v>
      </c>
      <c r="AD31" s="84" t="s">
        <v>8797</v>
      </c>
      <c r="AE31" s="171"/>
      <c r="AF31" s="41"/>
      <c r="AG31" s="308"/>
    </row>
    <row r="32" spans="1:41" s="40" customFormat="1" ht="20.100000000000001" customHeight="1">
      <c r="A32" s="62" t="s">
        <v>6851</v>
      </c>
      <c r="B32" s="36" t="s">
        <v>57</v>
      </c>
      <c r="C32" s="36" t="s">
        <v>57</v>
      </c>
      <c r="D32" s="36" t="s">
        <v>57</v>
      </c>
      <c r="E32" s="36" t="s">
        <v>57</v>
      </c>
      <c r="F32" s="36" t="s">
        <v>57</v>
      </c>
      <c r="G32" s="36" t="s">
        <v>57</v>
      </c>
      <c r="H32" s="36" t="s">
        <v>57</v>
      </c>
      <c r="I32" s="36" t="s">
        <v>57</v>
      </c>
      <c r="J32" s="36" t="s">
        <v>57</v>
      </c>
      <c r="K32" s="36" t="s">
        <v>57</v>
      </c>
      <c r="L32" s="36" t="s">
        <v>57</v>
      </c>
      <c r="M32" s="36" t="s">
        <v>57</v>
      </c>
      <c r="N32" s="36" t="s">
        <v>57</v>
      </c>
      <c r="O32" s="36" t="s">
        <v>57</v>
      </c>
      <c r="P32" s="36" t="s">
        <v>57</v>
      </c>
      <c r="Q32" s="36" t="s">
        <v>57</v>
      </c>
      <c r="R32" s="36" t="s">
        <v>57</v>
      </c>
      <c r="S32" s="36" t="s">
        <v>57</v>
      </c>
      <c r="T32" s="36" t="s">
        <v>57</v>
      </c>
      <c r="U32" s="36" t="s">
        <v>57</v>
      </c>
      <c r="V32" s="36" t="s">
        <v>57</v>
      </c>
      <c r="W32" s="36" t="s">
        <v>57</v>
      </c>
      <c r="X32" s="36" t="s">
        <v>57</v>
      </c>
      <c r="Y32" s="36" t="s">
        <v>57</v>
      </c>
      <c r="Z32" s="36" t="s">
        <v>57</v>
      </c>
      <c r="AA32" s="36" t="s">
        <v>0</v>
      </c>
      <c r="AB32" s="36" t="s">
        <v>8832</v>
      </c>
      <c r="AC32" s="36" t="s">
        <v>8802</v>
      </c>
      <c r="AD32" s="36" t="s">
        <v>8802</v>
      </c>
      <c r="AE32" s="171"/>
      <c r="AG32" s="306"/>
    </row>
    <row r="33" spans="1:33">
      <c r="A33" s="51" t="s">
        <v>935</v>
      </c>
      <c r="B33" s="52" t="s">
        <v>6740</v>
      </c>
      <c r="C33" s="52" t="s">
        <v>6740</v>
      </c>
      <c r="D33" s="52" t="s">
        <v>6740</v>
      </c>
      <c r="E33" s="52" t="s">
        <v>8200</v>
      </c>
      <c r="F33" s="52" t="s">
        <v>8200</v>
      </c>
      <c r="G33" s="52" t="s">
        <v>8200</v>
      </c>
      <c r="H33" s="52" t="s">
        <v>8200</v>
      </c>
      <c r="I33" s="52" t="s">
        <v>8200</v>
      </c>
      <c r="J33" s="52" t="s">
        <v>8200</v>
      </c>
      <c r="K33" s="186" t="s">
        <v>7053</v>
      </c>
      <c r="L33" s="186" t="s">
        <v>7053</v>
      </c>
      <c r="M33" s="186" t="s">
        <v>7053</v>
      </c>
      <c r="N33" s="52" t="s">
        <v>7996</v>
      </c>
      <c r="O33" s="52" t="s">
        <v>7996</v>
      </c>
      <c r="P33" s="52" t="s">
        <v>7996</v>
      </c>
      <c r="Q33" s="52" t="s">
        <v>9210</v>
      </c>
      <c r="R33" s="52" t="s">
        <v>9210</v>
      </c>
      <c r="S33" s="52" t="s">
        <v>7218</v>
      </c>
      <c r="T33" s="52" t="s">
        <v>7312</v>
      </c>
      <c r="U33" s="52" t="s">
        <v>7425</v>
      </c>
      <c r="V33" s="52" t="s">
        <v>9465</v>
      </c>
      <c r="W33" s="52" t="s">
        <v>9465</v>
      </c>
      <c r="X33" s="52" t="s">
        <v>9465</v>
      </c>
      <c r="Y33" s="52" t="s">
        <v>9465</v>
      </c>
      <c r="Z33" s="52" t="s">
        <v>9465</v>
      </c>
      <c r="AA33" s="52" t="s">
        <v>0</v>
      </c>
      <c r="AB33" s="84" t="s">
        <v>8801</v>
      </c>
      <c r="AC33" s="84" t="s">
        <v>8801</v>
      </c>
      <c r="AD33" s="84" t="s">
        <v>8801</v>
      </c>
      <c r="AE33" s="170"/>
      <c r="AG33" s="306"/>
    </row>
    <row r="34" spans="1:33" s="40" customFormat="1" ht="20.100000000000001" customHeight="1">
      <c r="A34" s="6" t="s">
        <v>91</v>
      </c>
      <c r="B34" s="36" t="s">
        <v>0</v>
      </c>
      <c r="C34" s="36" t="s">
        <v>2742</v>
      </c>
      <c r="D34" s="36" t="s">
        <v>2742</v>
      </c>
      <c r="E34" s="36" t="s">
        <v>859</v>
      </c>
      <c r="F34" s="36" t="s">
        <v>5529</v>
      </c>
      <c r="G34" s="36" t="s">
        <v>8474</v>
      </c>
      <c r="H34" s="36" t="s">
        <v>5509</v>
      </c>
      <c r="I34" s="36" t="s">
        <v>8566</v>
      </c>
      <c r="J34" s="36" t="s">
        <v>8566</v>
      </c>
      <c r="K34" s="36" t="s">
        <v>5529</v>
      </c>
      <c r="L34" s="36" t="s">
        <v>0</v>
      </c>
      <c r="M34" s="36" t="s">
        <v>8566</v>
      </c>
      <c r="N34" s="36" t="s">
        <v>0</v>
      </c>
      <c r="O34" s="36" t="s">
        <v>0</v>
      </c>
      <c r="P34" s="36" t="s">
        <v>5529</v>
      </c>
      <c r="Q34" s="36" t="s">
        <v>0</v>
      </c>
      <c r="R34" s="36" t="s">
        <v>0</v>
      </c>
      <c r="S34" s="36" t="s">
        <v>0</v>
      </c>
      <c r="T34" s="36" t="s">
        <v>5512</v>
      </c>
      <c r="U34" s="36" t="s">
        <v>4488</v>
      </c>
      <c r="V34" s="36" t="s">
        <v>0</v>
      </c>
      <c r="W34" s="36" t="s">
        <v>0</v>
      </c>
      <c r="X34" s="36" t="s">
        <v>7130</v>
      </c>
      <c r="Y34" s="36" t="s">
        <v>7130</v>
      </c>
      <c r="Z34" s="36" t="s">
        <v>6991</v>
      </c>
      <c r="AA34" s="36" t="s">
        <v>0</v>
      </c>
      <c r="AB34" s="36" t="s">
        <v>0</v>
      </c>
      <c r="AC34" s="36" t="s">
        <v>57</v>
      </c>
      <c r="AD34" s="36" t="s">
        <v>57</v>
      </c>
      <c r="AE34" s="170"/>
      <c r="AF34" s="5"/>
      <c r="AG34" s="306"/>
    </row>
    <row r="35" spans="1:33" ht="18">
      <c r="A35" s="51" t="s">
        <v>935</v>
      </c>
      <c r="B35" s="52" t="s">
        <v>6739</v>
      </c>
      <c r="C35" s="52" t="s">
        <v>6739</v>
      </c>
      <c r="D35" s="52" t="s">
        <v>6739</v>
      </c>
      <c r="E35" s="52" t="s">
        <v>8227</v>
      </c>
      <c r="F35" s="84" t="s">
        <v>8384</v>
      </c>
      <c r="G35" s="84" t="s">
        <v>8475</v>
      </c>
      <c r="H35" s="84" t="s">
        <v>8303</v>
      </c>
      <c r="I35" s="84" t="s">
        <v>8673</v>
      </c>
      <c r="J35" s="84" t="s">
        <v>8565</v>
      </c>
      <c r="K35" s="186" t="s">
        <v>7116</v>
      </c>
      <c r="L35" s="186" t="s">
        <v>7052</v>
      </c>
      <c r="M35" s="186" t="s">
        <v>7157</v>
      </c>
      <c r="N35" s="52" t="s">
        <v>7997</v>
      </c>
      <c r="O35" s="52" t="s">
        <v>7997</v>
      </c>
      <c r="P35" s="52" t="s">
        <v>7997</v>
      </c>
      <c r="Q35" s="52" t="s">
        <v>9210</v>
      </c>
      <c r="R35" s="52" t="s">
        <v>9210</v>
      </c>
      <c r="S35" s="52" t="s">
        <v>7218</v>
      </c>
      <c r="T35" s="52" t="s">
        <v>7312</v>
      </c>
      <c r="U35" s="52" t="s">
        <v>7425</v>
      </c>
      <c r="V35" s="52" t="s">
        <v>9465</v>
      </c>
      <c r="W35" s="52" t="s">
        <v>0</v>
      </c>
      <c r="X35" s="52" t="s">
        <v>9524</v>
      </c>
      <c r="Y35" s="52" t="s">
        <v>9524</v>
      </c>
      <c r="Z35" s="52" t="s">
        <v>9524</v>
      </c>
      <c r="AA35" s="52" t="s">
        <v>0</v>
      </c>
      <c r="AB35" s="52" t="s">
        <v>0</v>
      </c>
      <c r="AC35" s="52" t="s">
        <v>8757</v>
      </c>
      <c r="AD35" s="52" t="s">
        <v>8757</v>
      </c>
      <c r="AE35" s="170"/>
      <c r="AG35" s="309"/>
    </row>
    <row r="36" spans="1:33" s="40" customFormat="1" ht="20.100000000000001" customHeight="1">
      <c r="A36" s="6" t="s">
        <v>92</v>
      </c>
      <c r="B36" s="36" t="s">
        <v>57</v>
      </c>
      <c r="C36" s="36" t="s">
        <v>57</v>
      </c>
      <c r="D36" s="36" t="s">
        <v>57</v>
      </c>
      <c r="E36" s="36" t="s">
        <v>57</v>
      </c>
      <c r="F36" s="36" t="s">
        <v>57</v>
      </c>
      <c r="G36" s="36" t="s">
        <v>57</v>
      </c>
      <c r="H36" s="36" t="s">
        <v>57</v>
      </c>
      <c r="I36" s="36" t="s">
        <v>57</v>
      </c>
      <c r="J36" s="36" t="s">
        <v>57</v>
      </c>
      <c r="K36" s="36" t="s">
        <v>57</v>
      </c>
      <c r="L36" s="36" t="s">
        <v>57</v>
      </c>
      <c r="M36" s="36" t="s">
        <v>57</v>
      </c>
      <c r="N36" s="36" t="s">
        <v>57</v>
      </c>
      <c r="O36" s="36" t="s">
        <v>57</v>
      </c>
      <c r="P36" s="36" t="s">
        <v>57</v>
      </c>
      <c r="Q36" s="36" t="s">
        <v>57</v>
      </c>
      <c r="R36" s="36" t="s">
        <v>57</v>
      </c>
      <c r="S36" s="36" t="s">
        <v>57</v>
      </c>
      <c r="T36" s="36" t="s">
        <v>57</v>
      </c>
      <c r="U36" s="36" t="s">
        <v>57</v>
      </c>
      <c r="V36" s="36" t="s">
        <v>57</v>
      </c>
      <c r="W36" s="36" t="s">
        <v>57</v>
      </c>
      <c r="X36" s="36" t="s">
        <v>57</v>
      </c>
      <c r="Y36" s="36" t="s">
        <v>57</v>
      </c>
      <c r="Z36" s="36" t="s">
        <v>57</v>
      </c>
      <c r="AA36" s="36" t="s">
        <v>0</v>
      </c>
      <c r="AB36" s="36" t="s">
        <v>57</v>
      </c>
      <c r="AC36" s="36" t="s">
        <v>57</v>
      </c>
      <c r="AD36" s="36" t="s">
        <v>57</v>
      </c>
      <c r="AE36" s="170"/>
      <c r="AG36" s="310"/>
    </row>
    <row r="37" spans="1:33">
      <c r="A37" s="51" t="s">
        <v>935</v>
      </c>
      <c r="B37" s="52" t="s">
        <v>6741</v>
      </c>
      <c r="C37" s="52" t="s">
        <v>6741</v>
      </c>
      <c r="D37" s="52" t="s">
        <v>6741</v>
      </c>
      <c r="E37" s="52" t="s">
        <v>8199</v>
      </c>
      <c r="F37" s="52" t="s">
        <v>8199</v>
      </c>
      <c r="G37" s="52" t="s">
        <v>8199</v>
      </c>
      <c r="H37" s="52" t="s">
        <v>8199</v>
      </c>
      <c r="I37" s="52" t="s">
        <v>8199</v>
      </c>
      <c r="J37" s="52" t="s">
        <v>8199</v>
      </c>
      <c r="K37" s="186" t="s">
        <v>7051</v>
      </c>
      <c r="L37" s="186" t="s">
        <v>7051</v>
      </c>
      <c r="M37" s="186" t="s">
        <v>7051</v>
      </c>
      <c r="N37" s="52" t="s">
        <v>7998</v>
      </c>
      <c r="O37" s="52" t="s">
        <v>7998</v>
      </c>
      <c r="P37" s="52" t="s">
        <v>7998</v>
      </c>
      <c r="Q37" s="52" t="s">
        <v>9211</v>
      </c>
      <c r="R37" s="52" t="s">
        <v>9211</v>
      </c>
      <c r="S37" s="52" t="s">
        <v>7220</v>
      </c>
      <c r="T37" s="52" t="s">
        <v>7313</v>
      </c>
      <c r="U37" s="52" t="s">
        <v>7427</v>
      </c>
      <c r="V37" s="52" t="s">
        <v>9466</v>
      </c>
      <c r="W37" s="52" t="s">
        <v>9466</v>
      </c>
      <c r="X37" s="52" t="s">
        <v>9466</v>
      </c>
      <c r="Y37" s="52" t="s">
        <v>9466</v>
      </c>
      <c r="Z37" s="52" t="s">
        <v>9466</v>
      </c>
      <c r="AA37" s="52" t="s">
        <v>0</v>
      </c>
      <c r="AB37" s="84" t="s">
        <v>8752</v>
      </c>
      <c r="AC37" s="84" t="s">
        <v>8752</v>
      </c>
      <c r="AD37" s="84" t="s">
        <v>8752</v>
      </c>
      <c r="AE37" s="171"/>
    </row>
    <row r="38" spans="1:33" s="40" customFormat="1" ht="39.950000000000003" customHeight="1">
      <c r="A38" s="249" t="s">
        <v>8916</v>
      </c>
      <c r="B38" s="36" t="s">
        <v>57</v>
      </c>
      <c r="C38" s="36" t="s">
        <v>57</v>
      </c>
      <c r="D38" s="36" t="s">
        <v>57</v>
      </c>
      <c r="E38" s="36" t="s">
        <v>7576</v>
      </c>
      <c r="F38" s="36" t="s">
        <v>7576</v>
      </c>
      <c r="G38" s="36" t="s">
        <v>7576</v>
      </c>
      <c r="H38" s="36" t="s">
        <v>7576</v>
      </c>
      <c r="I38" s="36" t="s">
        <v>7576</v>
      </c>
      <c r="J38" s="36" t="s">
        <v>7576</v>
      </c>
      <c r="K38" s="36" t="s">
        <v>57</v>
      </c>
      <c r="L38" s="36" t="s">
        <v>57</v>
      </c>
      <c r="M38" s="36" t="s">
        <v>57</v>
      </c>
      <c r="N38" s="36" t="s">
        <v>57</v>
      </c>
      <c r="O38" s="36" t="s">
        <v>57</v>
      </c>
      <c r="P38" s="36" t="s">
        <v>57</v>
      </c>
      <c r="Q38" s="36" t="s">
        <v>9327</v>
      </c>
      <c r="R38" s="36" t="s">
        <v>9327</v>
      </c>
      <c r="S38" s="36" t="s">
        <v>57</v>
      </c>
      <c r="T38" s="36" t="s">
        <v>57</v>
      </c>
      <c r="U38" s="36" t="s">
        <v>57</v>
      </c>
      <c r="V38" s="36" t="s">
        <v>9327</v>
      </c>
      <c r="W38" s="36" t="s">
        <v>9327</v>
      </c>
      <c r="X38" s="36" t="s">
        <v>9327</v>
      </c>
      <c r="Y38" s="36" t="s">
        <v>9327</v>
      </c>
      <c r="Z38" s="36" t="s">
        <v>9327</v>
      </c>
      <c r="AA38" s="36" t="s">
        <v>0</v>
      </c>
      <c r="AB38" s="36" t="s">
        <v>8755</v>
      </c>
      <c r="AC38" s="36" t="s">
        <v>8755</v>
      </c>
      <c r="AD38" s="36" t="s">
        <v>8755</v>
      </c>
      <c r="AE38" s="171"/>
      <c r="AG38" s="310"/>
    </row>
    <row r="39" spans="1:33">
      <c r="A39" s="51" t="s">
        <v>935</v>
      </c>
      <c r="B39" s="52" t="s">
        <v>6731</v>
      </c>
      <c r="C39" s="52" t="s">
        <v>6731</v>
      </c>
      <c r="D39" s="52" t="s">
        <v>6731</v>
      </c>
      <c r="E39" s="52" t="s">
        <v>8201</v>
      </c>
      <c r="F39" s="52" t="s">
        <v>8201</v>
      </c>
      <c r="G39" s="52" t="s">
        <v>8201</v>
      </c>
      <c r="H39" s="52" t="s">
        <v>8201</v>
      </c>
      <c r="I39" s="52" t="s">
        <v>8201</v>
      </c>
      <c r="J39" s="52" t="s">
        <v>8201</v>
      </c>
      <c r="K39" s="186" t="s">
        <v>8951</v>
      </c>
      <c r="L39" s="186" t="s">
        <v>8951</v>
      </c>
      <c r="M39" s="186" t="s">
        <v>8951</v>
      </c>
      <c r="N39" s="52" t="s">
        <v>7984</v>
      </c>
      <c r="O39" s="52" t="s">
        <v>7984</v>
      </c>
      <c r="P39" s="52" t="s">
        <v>7984</v>
      </c>
      <c r="Q39" s="52" t="s">
        <v>9326</v>
      </c>
      <c r="R39" s="52" t="s">
        <v>9326</v>
      </c>
      <c r="S39" s="52" t="s">
        <v>7221</v>
      </c>
      <c r="T39" s="52" t="s">
        <v>7314</v>
      </c>
      <c r="U39" s="52" t="s">
        <v>7428</v>
      </c>
      <c r="V39" s="52" t="s">
        <v>9389</v>
      </c>
      <c r="W39" s="52" t="s">
        <v>9389</v>
      </c>
      <c r="X39" s="52" t="s">
        <v>9389</v>
      </c>
      <c r="Y39" s="52" t="s">
        <v>9389</v>
      </c>
      <c r="Z39" s="52" t="s">
        <v>9389</v>
      </c>
      <c r="AA39" s="52" t="s">
        <v>0</v>
      </c>
      <c r="AB39" s="52" t="s">
        <v>8756</v>
      </c>
      <c r="AC39" s="52" t="s">
        <v>8756</v>
      </c>
      <c r="AD39" s="52" t="s">
        <v>8756</v>
      </c>
      <c r="AE39" s="171"/>
    </row>
    <row r="40" spans="1:33" s="40" customFormat="1" ht="20.100000000000001" customHeight="1">
      <c r="A40" s="6" t="s">
        <v>6852</v>
      </c>
      <c r="B40" s="36" t="s">
        <v>57</v>
      </c>
      <c r="C40" s="36" t="s">
        <v>57</v>
      </c>
      <c r="D40" s="36" t="s">
        <v>57</v>
      </c>
      <c r="E40" s="36" t="s">
        <v>57</v>
      </c>
      <c r="F40" s="36" t="s">
        <v>57</v>
      </c>
      <c r="G40" s="36" t="s">
        <v>57</v>
      </c>
      <c r="H40" s="36" t="s">
        <v>57</v>
      </c>
      <c r="I40" s="36" t="s">
        <v>57</v>
      </c>
      <c r="J40" s="36" t="s">
        <v>57</v>
      </c>
      <c r="K40" s="36" t="s">
        <v>57</v>
      </c>
      <c r="L40" s="36" t="s">
        <v>57</v>
      </c>
      <c r="M40" s="36" t="s">
        <v>57</v>
      </c>
      <c r="N40" s="36" t="s">
        <v>57</v>
      </c>
      <c r="O40" s="36" t="s">
        <v>57</v>
      </c>
      <c r="P40" s="36" t="s">
        <v>57</v>
      </c>
      <c r="Q40" s="36" t="s">
        <v>57</v>
      </c>
      <c r="R40" s="36" t="s">
        <v>57</v>
      </c>
      <c r="S40" s="36" t="s">
        <v>57</v>
      </c>
      <c r="T40" s="36" t="s">
        <v>57</v>
      </c>
      <c r="U40" s="36" t="s">
        <v>57</v>
      </c>
      <c r="V40" s="36" t="s">
        <v>57</v>
      </c>
      <c r="W40" s="36" t="s">
        <v>57</v>
      </c>
      <c r="X40" s="36" t="s">
        <v>57</v>
      </c>
      <c r="Y40" s="36" t="s">
        <v>57</v>
      </c>
      <c r="Z40" s="36" t="s">
        <v>57</v>
      </c>
      <c r="AA40" s="36" t="s">
        <v>0</v>
      </c>
      <c r="AB40" s="36" t="s">
        <v>57</v>
      </c>
      <c r="AC40" s="36" t="s">
        <v>57</v>
      </c>
      <c r="AD40" s="36" t="s">
        <v>57</v>
      </c>
      <c r="AE40" s="171"/>
      <c r="AG40" s="310"/>
    </row>
    <row r="41" spans="1:33">
      <c r="A41" s="51" t="s">
        <v>935</v>
      </c>
      <c r="B41" s="52" t="s">
        <v>6731</v>
      </c>
      <c r="C41" s="52" t="s">
        <v>6731</v>
      </c>
      <c r="D41" s="52" t="s">
        <v>6731</v>
      </c>
      <c r="E41" s="52" t="s">
        <v>8193</v>
      </c>
      <c r="F41" s="52" t="s">
        <v>8193</v>
      </c>
      <c r="G41" s="52" t="s">
        <v>8193</v>
      </c>
      <c r="H41" s="52" t="s">
        <v>8193</v>
      </c>
      <c r="I41" s="52" t="s">
        <v>8193</v>
      </c>
      <c r="J41" s="52" t="s">
        <v>8193</v>
      </c>
      <c r="K41" s="186" t="s">
        <v>7050</v>
      </c>
      <c r="L41" s="186" t="s">
        <v>7050</v>
      </c>
      <c r="M41" s="186" t="s">
        <v>7050</v>
      </c>
      <c r="N41" s="52" t="s">
        <v>7984</v>
      </c>
      <c r="O41" s="52" t="s">
        <v>7984</v>
      </c>
      <c r="P41" s="52" t="s">
        <v>7984</v>
      </c>
      <c r="Q41" s="52" t="s">
        <v>9200</v>
      </c>
      <c r="R41" s="52" t="s">
        <v>9200</v>
      </c>
      <c r="S41" s="52" t="s">
        <v>7210</v>
      </c>
      <c r="T41" s="52" t="s">
        <v>7304</v>
      </c>
      <c r="U41" s="52" t="s">
        <v>7415</v>
      </c>
      <c r="V41" s="52" t="s">
        <v>9390</v>
      </c>
      <c r="W41" s="52" t="s">
        <v>9390</v>
      </c>
      <c r="X41" s="52" t="s">
        <v>9390</v>
      </c>
      <c r="Y41" s="52" t="s">
        <v>9390</v>
      </c>
      <c r="Z41" s="52" t="s">
        <v>9390</v>
      </c>
      <c r="AA41" s="52" t="s">
        <v>0</v>
      </c>
      <c r="AB41" s="52" t="s">
        <v>8743</v>
      </c>
      <c r="AC41" s="52" t="s">
        <v>8743</v>
      </c>
      <c r="AD41" s="52" t="s">
        <v>8743</v>
      </c>
      <c r="AE41" s="170"/>
      <c r="AF41" s="40"/>
    </row>
    <row r="42" spans="1:33" s="40" customFormat="1" ht="20.100000000000001" customHeight="1">
      <c r="A42" s="6" t="s">
        <v>9206</v>
      </c>
      <c r="B42" s="36" t="s">
        <v>6743</v>
      </c>
      <c r="C42" s="36" t="s">
        <v>6743</v>
      </c>
      <c r="D42" s="36" t="s">
        <v>6743</v>
      </c>
      <c r="E42" s="36" t="s">
        <v>6743</v>
      </c>
      <c r="F42" s="36" t="s">
        <v>6743</v>
      </c>
      <c r="G42" s="36" t="s">
        <v>6743</v>
      </c>
      <c r="H42" s="36" t="s">
        <v>6743</v>
      </c>
      <c r="I42" s="36" t="s">
        <v>6743</v>
      </c>
      <c r="J42" s="36" t="s">
        <v>6743</v>
      </c>
      <c r="K42" s="36" t="s">
        <v>6986</v>
      </c>
      <c r="L42" s="36" t="s">
        <v>6986</v>
      </c>
      <c r="M42" s="36" t="s">
        <v>6986</v>
      </c>
      <c r="N42" s="36" t="s">
        <v>7993</v>
      </c>
      <c r="O42" s="36" t="s">
        <v>7993</v>
      </c>
      <c r="P42" s="36" t="s">
        <v>7993</v>
      </c>
      <c r="Q42" s="36" t="s">
        <v>7993</v>
      </c>
      <c r="R42" s="36" t="s">
        <v>7993</v>
      </c>
      <c r="S42" s="36" t="s">
        <v>6743</v>
      </c>
      <c r="T42" s="36" t="s">
        <v>6743</v>
      </c>
      <c r="U42" s="36" t="s">
        <v>6743</v>
      </c>
      <c r="V42" s="36" t="s">
        <v>7993</v>
      </c>
      <c r="W42" s="36" t="s">
        <v>7993</v>
      </c>
      <c r="X42" s="36" t="s">
        <v>7993</v>
      </c>
      <c r="Y42" s="36" t="s">
        <v>7993</v>
      </c>
      <c r="Z42" s="36" t="s">
        <v>7993</v>
      </c>
      <c r="AA42" s="36" t="s">
        <v>0</v>
      </c>
      <c r="AB42" s="36" t="s">
        <v>7993</v>
      </c>
      <c r="AC42" s="36" t="s">
        <v>7993</v>
      </c>
      <c r="AD42" s="36" t="s">
        <v>7993</v>
      </c>
      <c r="AE42" s="170"/>
      <c r="AG42" s="310"/>
    </row>
    <row r="43" spans="1:33">
      <c r="A43" s="51" t="s">
        <v>935</v>
      </c>
      <c r="B43" s="52" t="s">
        <v>6742</v>
      </c>
      <c r="C43" s="52" t="s">
        <v>6742</v>
      </c>
      <c r="D43" s="52" t="s">
        <v>6742</v>
      </c>
      <c r="E43" s="52" t="s">
        <v>8196</v>
      </c>
      <c r="F43" s="52" t="s">
        <v>8196</v>
      </c>
      <c r="G43" s="52" t="s">
        <v>8196</v>
      </c>
      <c r="H43" s="52" t="s">
        <v>8196</v>
      </c>
      <c r="I43" s="52" t="s">
        <v>8196</v>
      </c>
      <c r="J43" s="52" t="s">
        <v>8196</v>
      </c>
      <c r="K43" s="186" t="s">
        <v>7049</v>
      </c>
      <c r="L43" s="186" t="s">
        <v>7049</v>
      </c>
      <c r="M43" s="186" t="s">
        <v>7049</v>
      </c>
      <c r="N43" s="52" t="s">
        <v>7992</v>
      </c>
      <c r="O43" s="52" t="s">
        <v>7992</v>
      </c>
      <c r="P43" s="52" t="s">
        <v>7992</v>
      </c>
      <c r="Q43" s="52" t="s">
        <v>9205</v>
      </c>
      <c r="R43" s="52" t="s">
        <v>9205</v>
      </c>
      <c r="S43" s="52" t="s">
        <v>7222</v>
      </c>
      <c r="T43" s="52" t="s">
        <v>7315</v>
      </c>
      <c r="U43" s="52" t="s">
        <v>7429</v>
      </c>
      <c r="V43" s="52" t="s">
        <v>9461</v>
      </c>
      <c r="W43" s="52" t="s">
        <v>9461</v>
      </c>
      <c r="X43" s="52" t="s">
        <v>9461</v>
      </c>
      <c r="Y43" s="52" t="s">
        <v>9461</v>
      </c>
      <c r="Z43" s="52" t="s">
        <v>9461</v>
      </c>
      <c r="AA43" s="52" t="s">
        <v>0</v>
      </c>
      <c r="AB43" s="52" t="s">
        <v>8749</v>
      </c>
      <c r="AC43" s="52" t="s">
        <v>8749</v>
      </c>
      <c r="AD43" s="52" t="s">
        <v>8749</v>
      </c>
      <c r="AE43" s="170"/>
      <c r="AF43" s="40"/>
      <c r="AG43" s="310"/>
    </row>
    <row r="44" spans="1:33" s="40" customFormat="1" ht="20.100000000000001" customHeight="1">
      <c r="A44" s="6" t="s">
        <v>582</v>
      </c>
      <c r="B44" s="36" t="s">
        <v>57</v>
      </c>
      <c r="C44" s="36" t="s">
        <v>57</v>
      </c>
      <c r="D44" s="36" t="s">
        <v>57</v>
      </c>
      <c r="E44" s="36" t="s">
        <v>57</v>
      </c>
      <c r="F44" s="36" t="s">
        <v>57</v>
      </c>
      <c r="G44" s="36" t="s">
        <v>57</v>
      </c>
      <c r="H44" s="36" t="s">
        <v>57</v>
      </c>
      <c r="I44" s="36" t="s">
        <v>57</v>
      </c>
      <c r="J44" s="36" t="s">
        <v>57</v>
      </c>
      <c r="K44" s="36" t="s">
        <v>57</v>
      </c>
      <c r="L44" s="36" t="s">
        <v>57</v>
      </c>
      <c r="M44" s="36" t="s">
        <v>57</v>
      </c>
      <c r="N44" s="36" t="s">
        <v>57</v>
      </c>
      <c r="O44" s="36" t="s">
        <v>57</v>
      </c>
      <c r="P44" s="36" t="s">
        <v>57</v>
      </c>
      <c r="Q44" s="36" t="s">
        <v>57</v>
      </c>
      <c r="R44" s="36" t="s">
        <v>57</v>
      </c>
      <c r="S44" s="36" t="s">
        <v>7223</v>
      </c>
      <c r="T44" s="36" t="s">
        <v>7223</v>
      </c>
      <c r="U44" s="36" t="s">
        <v>7223</v>
      </c>
      <c r="V44" s="36" t="s">
        <v>57</v>
      </c>
      <c r="W44" s="36" t="s">
        <v>57</v>
      </c>
      <c r="X44" s="36" t="s">
        <v>57</v>
      </c>
      <c r="Y44" s="36" t="s">
        <v>57</v>
      </c>
      <c r="Z44" s="36" t="s">
        <v>57</v>
      </c>
      <c r="AA44" s="36" t="s">
        <v>0</v>
      </c>
      <c r="AB44" s="36" t="s">
        <v>57</v>
      </c>
      <c r="AC44" s="36" t="s">
        <v>57</v>
      </c>
      <c r="AD44" s="36" t="s">
        <v>57</v>
      </c>
      <c r="AE44" s="171"/>
      <c r="AF44" s="5"/>
      <c r="AG44" s="310"/>
    </row>
    <row r="45" spans="1:33">
      <c r="A45" s="51" t="s">
        <v>935</v>
      </c>
      <c r="B45" s="52" t="s">
        <v>6742</v>
      </c>
      <c r="C45" s="52" t="s">
        <v>6742</v>
      </c>
      <c r="D45" s="52" t="s">
        <v>6742</v>
      </c>
      <c r="E45" s="52" t="s">
        <v>8196</v>
      </c>
      <c r="F45" s="52" t="s">
        <v>8196</v>
      </c>
      <c r="G45" s="52" t="s">
        <v>8196</v>
      </c>
      <c r="H45" s="52" t="s">
        <v>8196</v>
      </c>
      <c r="I45" s="52" t="s">
        <v>8196</v>
      </c>
      <c r="J45" s="52" t="s">
        <v>8196</v>
      </c>
      <c r="K45" s="186" t="s">
        <v>7049</v>
      </c>
      <c r="L45" s="186" t="s">
        <v>7049</v>
      </c>
      <c r="M45" s="186" t="s">
        <v>7049</v>
      </c>
      <c r="N45" s="52" t="s">
        <v>7992</v>
      </c>
      <c r="O45" s="52" t="s">
        <v>7992</v>
      </c>
      <c r="P45" s="52" t="s">
        <v>7992</v>
      </c>
      <c r="Q45" s="52" t="s">
        <v>9205</v>
      </c>
      <c r="R45" s="52" t="s">
        <v>9205</v>
      </c>
      <c r="S45" s="52" t="s">
        <v>7222</v>
      </c>
      <c r="T45" s="52" t="s">
        <v>7315</v>
      </c>
      <c r="U45" s="52" t="s">
        <v>7429</v>
      </c>
      <c r="V45" s="52" t="s">
        <v>9461</v>
      </c>
      <c r="W45" s="52" t="s">
        <v>9461</v>
      </c>
      <c r="X45" s="52" t="s">
        <v>9461</v>
      </c>
      <c r="Y45" s="52" t="s">
        <v>9461</v>
      </c>
      <c r="Z45" s="52" t="s">
        <v>9461</v>
      </c>
      <c r="AA45" s="52" t="s">
        <v>0</v>
      </c>
      <c r="AB45" s="52" t="s">
        <v>8749</v>
      </c>
      <c r="AC45" s="52" t="s">
        <v>8749</v>
      </c>
      <c r="AD45" s="52" t="s">
        <v>8749</v>
      </c>
      <c r="AE45" s="171"/>
      <c r="AF45" s="40"/>
      <c r="AG45" s="310"/>
    </row>
    <row r="46" spans="1:33" s="40" customFormat="1" ht="20.100000000000001" customHeight="1">
      <c r="A46" s="6" t="s">
        <v>4406</v>
      </c>
      <c r="B46" s="36" t="s">
        <v>57</v>
      </c>
      <c r="C46" s="36" t="s">
        <v>57</v>
      </c>
      <c r="D46" s="36" t="s">
        <v>57</v>
      </c>
      <c r="E46" s="36" t="s">
        <v>57</v>
      </c>
      <c r="F46" s="36" t="s">
        <v>57</v>
      </c>
      <c r="G46" s="36" t="s">
        <v>57</v>
      </c>
      <c r="H46" s="36" t="s">
        <v>57</v>
      </c>
      <c r="I46" s="36" t="s">
        <v>57</v>
      </c>
      <c r="J46" s="36" t="s">
        <v>57</v>
      </c>
      <c r="K46" s="36" t="s">
        <v>57</v>
      </c>
      <c r="L46" s="36" t="s">
        <v>57</v>
      </c>
      <c r="M46" s="36" t="s">
        <v>57</v>
      </c>
      <c r="N46" s="36" t="s">
        <v>57</v>
      </c>
      <c r="O46" s="36" t="s">
        <v>57</v>
      </c>
      <c r="P46" s="36" t="s">
        <v>57</v>
      </c>
      <c r="Q46" s="36" t="s">
        <v>57</v>
      </c>
      <c r="R46" s="36" t="s">
        <v>57</v>
      </c>
      <c r="S46" s="36" t="s">
        <v>57</v>
      </c>
      <c r="T46" s="36" t="s">
        <v>57</v>
      </c>
      <c r="U46" s="36" t="s">
        <v>57</v>
      </c>
      <c r="V46" s="36" t="s">
        <v>57</v>
      </c>
      <c r="W46" s="36" t="s">
        <v>57</v>
      </c>
      <c r="X46" s="36" t="s">
        <v>57</v>
      </c>
      <c r="Y46" s="36" t="s">
        <v>57</v>
      </c>
      <c r="Z46" s="36" t="s">
        <v>57</v>
      </c>
      <c r="AA46" s="36" t="s">
        <v>0</v>
      </c>
      <c r="AB46" s="36" t="s">
        <v>57</v>
      </c>
      <c r="AC46" s="36" t="s">
        <v>57</v>
      </c>
      <c r="AD46" s="36" t="s">
        <v>57</v>
      </c>
      <c r="AE46" s="171"/>
      <c r="AF46" s="5"/>
      <c r="AG46" s="311"/>
    </row>
    <row r="47" spans="1:33">
      <c r="A47" s="51" t="s">
        <v>935</v>
      </c>
      <c r="B47" s="52" t="s">
        <v>6742</v>
      </c>
      <c r="C47" s="52" t="s">
        <v>6742</v>
      </c>
      <c r="D47" s="52" t="s">
        <v>6742</v>
      </c>
      <c r="E47" s="52" t="s">
        <v>8196</v>
      </c>
      <c r="F47" s="52" t="s">
        <v>8196</v>
      </c>
      <c r="G47" s="52" t="s">
        <v>8196</v>
      </c>
      <c r="H47" s="52" t="s">
        <v>8196</v>
      </c>
      <c r="I47" s="52" t="s">
        <v>8196</v>
      </c>
      <c r="J47" s="52" t="s">
        <v>8196</v>
      </c>
      <c r="K47" s="186" t="s">
        <v>7049</v>
      </c>
      <c r="L47" s="186" t="s">
        <v>7049</v>
      </c>
      <c r="M47" s="186" t="s">
        <v>7049</v>
      </c>
      <c r="N47" s="52" t="s">
        <v>7992</v>
      </c>
      <c r="O47" s="52" t="s">
        <v>7992</v>
      </c>
      <c r="P47" s="52" t="s">
        <v>7992</v>
      </c>
      <c r="Q47" s="52" t="s">
        <v>9205</v>
      </c>
      <c r="R47" s="52" t="s">
        <v>9205</v>
      </c>
      <c r="S47" s="52" t="s">
        <v>7222</v>
      </c>
      <c r="T47" s="52" t="s">
        <v>7315</v>
      </c>
      <c r="U47" s="52" t="s">
        <v>7429</v>
      </c>
      <c r="V47" s="52" t="s">
        <v>9461</v>
      </c>
      <c r="W47" s="52" t="s">
        <v>9461</v>
      </c>
      <c r="X47" s="52" t="s">
        <v>9461</v>
      </c>
      <c r="Y47" s="52" t="s">
        <v>9461</v>
      </c>
      <c r="Z47" s="52" t="s">
        <v>9461</v>
      </c>
      <c r="AA47" s="52" t="s">
        <v>0</v>
      </c>
      <c r="AB47" s="52" t="s">
        <v>8749</v>
      </c>
      <c r="AC47" s="52" t="s">
        <v>8749</v>
      </c>
      <c r="AD47" s="52" t="s">
        <v>8749</v>
      </c>
      <c r="AE47" s="171"/>
      <c r="AF47" s="40"/>
      <c r="AG47" s="310"/>
    </row>
    <row r="48" spans="1:33" s="40" customFormat="1" ht="30" customHeight="1">
      <c r="A48" s="62" t="s">
        <v>95</v>
      </c>
      <c r="B48" s="36" t="s">
        <v>0</v>
      </c>
      <c r="C48" s="36" t="s">
        <v>0</v>
      </c>
      <c r="D48" s="36" t="s">
        <v>0</v>
      </c>
      <c r="E48" s="36" t="s">
        <v>0</v>
      </c>
      <c r="F48" s="36" t="s">
        <v>0</v>
      </c>
      <c r="G48" s="36" t="s">
        <v>0</v>
      </c>
      <c r="H48" s="36" t="s">
        <v>0</v>
      </c>
      <c r="I48" s="36" t="s">
        <v>0</v>
      </c>
      <c r="J48" s="36" t="s">
        <v>0</v>
      </c>
      <c r="K48" s="36" t="s">
        <v>0</v>
      </c>
      <c r="L48" s="36" t="s">
        <v>0</v>
      </c>
      <c r="M48" s="36" t="s">
        <v>0</v>
      </c>
      <c r="N48" s="36" t="s">
        <v>0</v>
      </c>
      <c r="O48" s="36" t="s">
        <v>0</v>
      </c>
      <c r="P48" s="36" t="s">
        <v>0</v>
      </c>
      <c r="Q48" s="36" t="s">
        <v>0</v>
      </c>
      <c r="R48" s="36" t="s">
        <v>0</v>
      </c>
      <c r="S48" s="36" t="s">
        <v>0</v>
      </c>
      <c r="T48" s="36" t="s">
        <v>0</v>
      </c>
      <c r="U48" s="36" t="s">
        <v>57</v>
      </c>
      <c r="V48" s="36" t="s">
        <v>0</v>
      </c>
      <c r="W48" s="36" t="s">
        <v>0</v>
      </c>
      <c r="X48" s="36" t="s">
        <v>0</v>
      </c>
      <c r="Y48" s="36" t="s">
        <v>0</v>
      </c>
      <c r="Z48" s="36" t="s">
        <v>0</v>
      </c>
      <c r="AA48" s="36" t="s">
        <v>0</v>
      </c>
      <c r="AB48" s="36" t="s">
        <v>0</v>
      </c>
      <c r="AC48" s="36" t="s">
        <v>0</v>
      </c>
      <c r="AD48" s="36" t="s">
        <v>0</v>
      </c>
      <c r="AE48" s="171"/>
      <c r="AF48" s="5"/>
      <c r="AG48" s="311"/>
    </row>
    <row r="49" spans="1:34">
      <c r="A49" s="51" t="s">
        <v>935</v>
      </c>
      <c r="B49" s="52" t="s">
        <v>6742</v>
      </c>
      <c r="C49" s="52" t="s">
        <v>6742</v>
      </c>
      <c r="D49" s="52" t="s">
        <v>6742</v>
      </c>
      <c r="E49" s="52" t="s">
        <v>0</v>
      </c>
      <c r="F49" s="52" t="s">
        <v>0</v>
      </c>
      <c r="G49" s="52" t="s">
        <v>0</v>
      </c>
      <c r="H49" s="52" t="s">
        <v>0</v>
      </c>
      <c r="I49" s="52" t="s">
        <v>0</v>
      </c>
      <c r="J49" s="52" t="s">
        <v>0</v>
      </c>
      <c r="K49" s="186" t="s">
        <v>7049</v>
      </c>
      <c r="L49" s="186" t="s">
        <v>7049</v>
      </c>
      <c r="M49" s="186" t="s">
        <v>7049</v>
      </c>
      <c r="N49" s="52" t="s">
        <v>0</v>
      </c>
      <c r="O49" s="52" t="s">
        <v>0</v>
      </c>
      <c r="P49" s="52" t="s">
        <v>0</v>
      </c>
      <c r="Q49" s="52" t="s">
        <v>9245</v>
      </c>
      <c r="R49" s="52" t="s">
        <v>9245</v>
      </c>
      <c r="S49" s="52" t="s">
        <v>3676</v>
      </c>
      <c r="T49" s="52" t="s">
        <v>3591</v>
      </c>
      <c r="U49" s="52" t="s">
        <v>7429</v>
      </c>
      <c r="V49" s="52" t="s">
        <v>9468</v>
      </c>
      <c r="W49" s="52" t="s">
        <v>9468</v>
      </c>
      <c r="X49" s="52" t="s">
        <v>9468</v>
      </c>
      <c r="Y49" s="52" t="s">
        <v>9468</v>
      </c>
      <c r="Z49" s="52" t="s">
        <v>9468</v>
      </c>
      <c r="AA49" s="52" t="s">
        <v>0</v>
      </c>
      <c r="AB49" s="52" t="s">
        <v>8768</v>
      </c>
      <c r="AC49" s="52" t="s">
        <v>8768</v>
      </c>
      <c r="AD49" s="52" t="s">
        <v>8768</v>
      </c>
      <c r="AE49" s="171"/>
      <c r="AF49" s="40"/>
      <c r="AG49" s="310"/>
    </row>
    <row r="50" spans="1:34" s="40" customFormat="1" ht="20.100000000000001" customHeight="1">
      <c r="A50" s="6" t="s">
        <v>96</v>
      </c>
      <c r="B50" s="36" t="s">
        <v>57</v>
      </c>
      <c r="C50" s="36" t="s">
        <v>57</v>
      </c>
      <c r="D50" s="36" t="s">
        <v>57</v>
      </c>
      <c r="E50" s="36" t="s">
        <v>57</v>
      </c>
      <c r="F50" s="36" t="s">
        <v>57</v>
      </c>
      <c r="G50" s="36" t="s">
        <v>57</v>
      </c>
      <c r="H50" s="36" t="s">
        <v>57</v>
      </c>
      <c r="I50" s="36" t="s">
        <v>57</v>
      </c>
      <c r="J50" s="36" t="s">
        <v>57</v>
      </c>
      <c r="K50" s="36" t="s">
        <v>57</v>
      </c>
      <c r="L50" s="36" t="s">
        <v>57</v>
      </c>
      <c r="M50" s="36" t="s">
        <v>57</v>
      </c>
      <c r="N50" s="36" t="s">
        <v>57</v>
      </c>
      <c r="O50" s="36" t="s">
        <v>57</v>
      </c>
      <c r="P50" s="36" t="s">
        <v>57</v>
      </c>
      <c r="Q50" s="36" t="s">
        <v>57</v>
      </c>
      <c r="R50" s="36" t="s">
        <v>57</v>
      </c>
      <c r="S50" s="36" t="s">
        <v>57</v>
      </c>
      <c r="T50" s="36" t="s">
        <v>57</v>
      </c>
      <c r="U50" s="36" t="s">
        <v>57</v>
      </c>
      <c r="V50" s="36" t="s">
        <v>57</v>
      </c>
      <c r="W50" s="36" t="s">
        <v>57</v>
      </c>
      <c r="X50" s="36" t="s">
        <v>57</v>
      </c>
      <c r="Y50" s="36" t="s">
        <v>57</v>
      </c>
      <c r="Z50" s="36" t="s">
        <v>57</v>
      </c>
      <c r="AA50" s="36" t="s">
        <v>0</v>
      </c>
      <c r="AB50" s="36" t="s">
        <v>57</v>
      </c>
      <c r="AC50" s="36" t="s">
        <v>57</v>
      </c>
      <c r="AD50" s="36" t="s">
        <v>57</v>
      </c>
      <c r="AE50" s="171"/>
      <c r="AF50" s="5"/>
      <c r="AG50" s="311"/>
    </row>
    <row r="51" spans="1:34">
      <c r="A51" s="51" t="s">
        <v>935</v>
      </c>
      <c r="B51" s="52" t="s">
        <v>6744</v>
      </c>
      <c r="C51" s="52" t="s">
        <v>6744</v>
      </c>
      <c r="D51" s="52" t="s">
        <v>6744</v>
      </c>
      <c r="E51" s="52" t="s">
        <v>8197</v>
      </c>
      <c r="F51" s="52" t="s">
        <v>8197</v>
      </c>
      <c r="G51" s="52" t="s">
        <v>8197</v>
      </c>
      <c r="H51" s="52" t="s">
        <v>8197</v>
      </c>
      <c r="I51" s="52" t="s">
        <v>8197</v>
      </c>
      <c r="J51" s="52" t="s">
        <v>8197</v>
      </c>
      <c r="K51" s="186" t="s">
        <v>7048</v>
      </c>
      <c r="L51" s="186" t="s">
        <v>7048</v>
      </c>
      <c r="M51" s="186" t="s">
        <v>7048</v>
      </c>
      <c r="N51" s="52" t="s">
        <v>7994</v>
      </c>
      <c r="O51" s="52" t="s">
        <v>7994</v>
      </c>
      <c r="P51" s="52" t="s">
        <v>7994</v>
      </c>
      <c r="Q51" s="52" t="s">
        <v>9207</v>
      </c>
      <c r="R51" s="52" t="s">
        <v>9207</v>
      </c>
      <c r="S51" s="52" t="s">
        <v>7224</v>
      </c>
      <c r="T51" s="52" t="s">
        <v>7316</v>
      </c>
      <c r="U51" s="52" t="s">
        <v>7430</v>
      </c>
      <c r="V51" s="52" t="s">
        <v>9462</v>
      </c>
      <c r="W51" s="52" t="s">
        <v>9462</v>
      </c>
      <c r="X51" s="52" t="s">
        <v>9462</v>
      </c>
      <c r="Y51" s="52" t="s">
        <v>9462</v>
      </c>
      <c r="Z51" s="52" t="s">
        <v>9462</v>
      </c>
      <c r="AA51" s="52" t="s">
        <v>0</v>
      </c>
      <c r="AB51" s="52" t="s">
        <v>8750</v>
      </c>
      <c r="AC51" s="52" t="s">
        <v>8750</v>
      </c>
      <c r="AD51" s="52" t="s">
        <v>8750</v>
      </c>
      <c r="AE51" s="170"/>
      <c r="AF51" s="40"/>
      <c r="AG51" s="310"/>
    </row>
    <row r="52" spans="1:34" s="40" customFormat="1" ht="20.100000000000001" customHeight="1">
      <c r="A52" s="6" t="s">
        <v>97</v>
      </c>
      <c r="B52" s="36" t="s">
        <v>57</v>
      </c>
      <c r="C52" s="36" t="s">
        <v>57</v>
      </c>
      <c r="D52" s="36" t="s">
        <v>57</v>
      </c>
      <c r="E52" s="36" t="s">
        <v>57</v>
      </c>
      <c r="F52" s="36" t="s">
        <v>57</v>
      </c>
      <c r="G52" s="36" t="s">
        <v>57</v>
      </c>
      <c r="H52" s="36" t="s">
        <v>57</v>
      </c>
      <c r="I52" s="36" t="s">
        <v>57</v>
      </c>
      <c r="J52" s="36" t="s">
        <v>57</v>
      </c>
      <c r="K52" s="36" t="s">
        <v>57</v>
      </c>
      <c r="L52" s="36" t="s">
        <v>57</v>
      </c>
      <c r="M52" s="36" t="s">
        <v>57</v>
      </c>
      <c r="N52" s="36" t="s">
        <v>57</v>
      </c>
      <c r="O52" s="36" t="s">
        <v>57</v>
      </c>
      <c r="P52" s="36" t="s">
        <v>57</v>
      </c>
      <c r="Q52" s="36" t="s">
        <v>57</v>
      </c>
      <c r="R52" s="36" t="s">
        <v>57</v>
      </c>
      <c r="S52" s="36" t="s">
        <v>57</v>
      </c>
      <c r="T52" s="36" t="s">
        <v>57</v>
      </c>
      <c r="U52" s="36" t="s">
        <v>57</v>
      </c>
      <c r="V52" s="36" t="s">
        <v>57</v>
      </c>
      <c r="W52" s="36" t="s">
        <v>57</v>
      </c>
      <c r="X52" s="36" t="s">
        <v>57</v>
      </c>
      <c r="Y52" s="36" t="s">
        <v>57</v>
      </c>
      <c r="Z52" s="36" t="s">
        <v>57</v>
      </c>
      <c r="AA52" s="36" t="s">
        <v>0</v>
      </c>
      <c r="AB52" s="36" t="s">
        <v>57</v>
      </c>
      <c r="AC52" s="36" t="s">
        <v>57</v>
      </c>
      <c r="AD52" s="36" t="s">
        <v>57</v>
      </c>
      <c r="AE52" s="170"/>
      <c r="AF52" s="5"/>
      <c r="AG52" s="311"/>
    </row>
    <row r="53" spans="1:34">
      <c r="A53" s="51" t="s">
        <v>935</v>
      </c>
      <c r="B53" s="52" t="s">
        <v>6744</v>
      </c>
      <c r="C53" s="52" t="s">
        <v>6744</v>
      </c>
      <c r="D53" s="52" t="s">
        <v>6744</v>
      </c>
      <c r="E53" s="52" t="s">
        <v>8197</v>
      </c>
      <c r="F53" s="52" t="s">
        <v>8197</v>
      </c>
      <c r="G53" s="52" t="s">
        <v>8197</v>
      </c>
      <c r="H53" s="52" t="s">
        <v>8197</v>
      </c>
      <c r="I53" s="52" t="s">
        <v>8197</v>
      </c>
      <c r="J53" s="52" t="s">
        <v>8197</v>
      </c>
      <c r="K53" s="186" t="s">
        <v>7048</v>
      </c>
      <c r="L53" s="186" t="s">
        <v>7048</v>
      </c>
      <c r="M53" s="186" t="s">
        <v>7048</v>
      </c>
      <c r="N53" s="52" t="s">
        <v>7994</v>
      </c>
      <c r="O53" s="52" t="s">
        <v>7994</v>
      </c>
      <c r="P53" s="52" t="s">
        <v>7994</v>
      </c>
      <c r="Q53" s="52" t="s">
        <v>9207</v>
      </c>
      <c r="R53" s="52" t="s">
        <v>9207</v>
      </c>
      <c r="S53" s="52" t="s">
        <v>7224</v>
      </c>
      <c r="T53" s="52" t="s">
        <v>7316</v>
      </c>
      <c r="U53" s="52" t="s">
        <v>7430</v>
      </c>
      <c r="V53" s="52" t="s">
        <v>9462</v>
      </c>
      <c r="W53" s="52" t="s">
        <v>9462</v>
      </c>
      <c r="X53" s="52" t="s">
        <v>9462</v>
      </c>
      <c r="Y53" s="52" t="s">
        <v>9462</v>
      </c>
      <c r="Z53" s="52" t="s">
        <v>9462</v>
      </c>
      <c r="AA53" s="52" t="s">
        <v>0</v>
      </c>
      <c r="AB53" s="52" t="s">
        <v>8750</v>
      </c>
      <c r="AC53" s="52" t="s">
        <v>8750</v>
      </c>
      <c r="AD53" s="52" t="s">
        <v>8750</v>
      </c>
      <c r="AE53" s="170"/>
      <c r="AF53" s="40"/>
      <c r="AG53" s="310"/>
    </row>
    <row r="54" spans="1:34" s="40" customFormat="1" ht="20.100000000000001" customHeight="1">
      <c r="A54" s="6" t="s">
        <v>98</v>
      </c>
      <c r="B54" s="36" t="s">
        <v>57</v>
      </c>
      <c r="C54" s="36" t="s">
        <v>57</v>
      </c>
      <c r="D54" s="36" t="s">
        <v>57</v>
      </c>
      <c r="E54" s="36" t="s">
        <v>57</v>
      </c>
      <c r="F54" s="36" t="s">
        <v>57</v>
      </c>
      <c r="G54" s="36" t="s">
        <v>57</v>
      </c>
      <c r="H54" s="36" t="s">
        <v>57</v>
      </c>
      <c r="I54" s="36" t="s">
        <v>57</v>
      </c>
      <c r="J54" s="36" t="s">
        <v>57</v>
      </c>
      <c r="K54" s="36" t="s">
        <v>57</v>
      </c>
      <c r="L54" s="36" t="s">
        <v>57</v>
      </c>
      <c r="M54" s="36" t="s">
        <v>57</v>
      </c>
      <c r="N54" s="36" t="s">
        <v>57</v>
      </c>
      <c r="O54" s="36" t="s">
        <v>57</v>
      </c>
      <c r="P54" s="36" t="s">
        <v>57</v>
      </c>
      <c r="Q54" s="36" t="s">
        <v>57</v>
      </c>
      <c r="R54" s="36" t="s">
        <v>57</v>
      </c>
      <c r="S54" s="36" t="s">
        <v>57</v>
      </c>
      <c r="T54" s="36" t="s">
        <v>57</v>
      </c>
      <c r="U54" s="36" t="s">
        <v>57</v>
      </c>
      <c r="V54" s="36" t="s">
        <v>57</v>
      </c>
      <c r="W54" s="36" t="s">
        <v>57</v>
      </c>
      <c r="X54" s="36" t="s">
        <v>57</v>
      </c>
      <c r="Y54" s="36" t="s">
        <v>57</v>
      </c>
      <c r="Z54" s="36" t="s">
        <v>57</v>
      </c>
      <c r="AA54" s="36" t="s">
        <v>0</v>
      </c>
      <c r="AB54" s="36" t="s">
        <v>57</v>
      </c>
      <c r="AC54" s="36" t="s">
        <v>57</v>
      </c>
      <c r="AD54" s="36" t="s">
        <v>57</v>
      </c>
      <c r="AE54" s="170"/>
      <c r="AF54" s="5"/>
      <c r="AG54" s="311"/>
    </row>
    <row r="55" spans="1:34">
      <c r="A55" s="51" t="s">
        <v>935</v>
      </c>
      <c r="B55" s="52" t="s">
        <v>6744</v>
      </c>
      <c r="C55" s="52" t="s">
        <v>6744</v>
      </c>
      <c r="D55" s="52" t="s">
        <v>6744</v>
      </c>
      <c r="E55" s="52" t="s">
        <v>8197</v>
      </c>
      <c r="F55" s="52" t="s">
        <v>8197</v>
      </c>
      <c r="G55" s="52" t="s">
        <v>8197</v>
      </c>
      <c r="H55" s="52" t="s">
        <v>8197</v>
      </c>
      <c r="I55" s="52" t="s">
        <v>8197</v>
      </c>
      <c r="J55" s="52" t="s">
        <v>8197</v>
      </c>
      <c r="K55" s="186" t="s">
        <v>7048</v>
      </c>
      <c r="L55" s="186" t="s">
        <v>7048</v>
      </c>
      <c r="M55" s="186" t="s">
        <v>7048</v>
      </c>
      <c r="N55" s="52" t="s">
        <v>7994</v>
      </c>
      <c r="O55" s="52" t="s">
        <v>7994</v>
      </c>
      <c r="P55" s="52" t="s">
        <v>7994</v>
      </c>
      <c r="Q55" s="52" t="s">
        <v>9207</v>
      </c>
      <c r="R55" s="52" t="s">
        <v>9207</v>
      </c>
      <c r="S55" s="52" t="s">
        <v>7224</v>
      </c>
      <c r="T55" s="52" t="s">
        <v>7316</v>
      </c>
      <c r="U55" s="52" t="s">
        <v>7430</v>
      </c>
      <c r="V55" s="52" t="s">
        <v>9462</v>
      </c>
      <c r="W55" s="52" t="s">
        <v>9462</v>
      </c>
      <c r="X55" s="52" t="s">
        <v>9462</v>
      </c>
      <c r="Y55" s="52" t="s">
        <v>9462</v>
      </c>
      <c r="Z55" s="52" t="s">
        <v>9462</v>
      </c>
      <c r="AA55" s="52" t="s">
        <v>0</v>
      </c>
      <c r="AB55" s="52" t="s">
        <v>8750</v>
      </c>
      <c r="AC55" s="52" t="s">
        <v>8750</v>
      </c>
      <c r="AD55" s="52" t="s">
        <v>8750</v>
      </c>
      <c r="AE55" s="171"/>
      <c r="AF55" s="40"/>
      <c r="AG55" s="310"/>
    </row>
    <row r="56" spans="1:34" ht="20.100000000000001" customHeight="1">
      <c r="A56" s="6" t="s">
        <v>6284</v>
      </c>
      <c r="B56" s="36" t="s">
        <v>57</v>
      </c>
      <c r="C56" s="36" t="s">
        <v>57</v>
      </c>
      <c r="D56" s="36" t="s">
        <v>57</v>
      </c>
      <c r="E56" s="36" t="s">
        <v>57</v>
      </c>
      <c r="F56" s="36" t="s">
        <v>57</v>
      </c>
      <c r="G56" s="36" t="s">
        <v>57</v>
      </c>
      <c r="H56" s="36" t="s">
        <v>57</v>
      </c>
      <c r="I56" s="36" t="s">
        <v>57</v>
      </c>
      <c r="J56" s="36" t="s">
        <v>57</v>
      </c>
      <c r="K56" s="36" t="s">
        <v>57</v>
      </c>
      <c r="L56" s="36" t="s">
        <v>57</v>
      </c>
      <c r="M56" s="36" t="s">
        <v>57</v>
      </c>
      <c r="N56" s="36" t="s">
        <v>57</v>
      </c>
      <c r="O56" s="36" t="s">
        <v>57</v>
      </c>
      <c r="P56" s="36" t="s">
        <v>57</v>
      </c>
      <c r="Q56" s="36" t="s">
        <v>57</v>
      </c>
      <c r="R56" s="36" t="s">
        <v>57</v>
      </c>
      <c r="S56" s="36" t="s">
        <v>57</v>
      </c>
      <c r="T56" s="36" t="s">
        <v>57</v>
      </c>
      <c r="U56" s="36" t="s">
        <v>57</v>
      </c>
      <c r="V56" s="36" t="s">
        <v>57</v>
      </c>
      <c r="W56" s="36" t="s">
        <v>57</v>
      </c>
      <c r="X56" s="36" t="s">
        <v>57</v>
      </c>
      <c r="Y56" s="36" t="s">
        <v>57</v>
      </c>
      <c r="Z56" s="36" t="s">
        <v>57</v>
      </c>
      <c r="AA56" s="36" t="s">
        <v>0</v>
      </c>
      <c r="AB56" s="36" t="s">
        <v>57</v>
      </c>
      <c r="AC56" s="36" t="s">
        <v>57</v>
      </c>
      <c r="AD56" s="36" t="s">
        <v>57</v>
      </c>
      <c r="AE56" s="171"/>
      <c r="AH56" s="40"/>
    </row>
    <row r="57" spans="1:34">
      <c r="A57" s="51" t="s">
        <v>935</v>
      </c>
      <c r="B57" s="52" t="s">
        <v>6744</v>
      </c>
      <c r="C57" s="52" t="s">
        <v>6744</v>
      </c>
      <c r="D57" s="52" t="s">
        <v>6744</v>
      </c>
      <c r="E57" s="52" t="s">
        <v>8198</v>
      </c>
      <c r="F57" s="52" t="s">
        <v>8198</v>
      </c>
      <c r="G57" s="52" t="s">
        <v>8198</v>
      </c>
      <c r="H57" s="52" t="s">
        <v>8198</v>
      </c>
      <c r="I57" s="52" t="s">
        <v>8198</v>
      </c>
      <c r="J57" s="52" t="s">
        <v>8198</v>
      </c>
      <c r="K57" s="186" t="s">
        <v>7047</v>
      </c>
      <c r="L57" s="186" t="s">
        <v>7047</v>
      </c>
      <c r="M57" s="186" t="s">
        <v>7047</v>
      </c>
      <c r="N57" s="52" t="s">
        <v>7995</v>
      </c>
      <c r="O57" s="52" t="s">
        <v>7995</v>
      </c>
      <c r="P57" s="52" t="s">
        <v>7995</v>
      </c>
      <c r="Q57" s="52" t="s">
        <v>9208</v>
      </c>
      <c r="R57" s="52" t="s">
        <v>9208</v>
      </c>
      <c r="S57" s="52" t="s">
        <v>7225</v>
      </c>
      <c r="T57" s="52" t="s">
        <v>7317</v>
      </c>
      <c r="U57" s="52" t="s">
        <v>7431</v>
      </c>
      <c r="V57" s="52" t="s">
        <v>9463</v>
      </c>
      <c r="W57" s="52" t="s">
        <v>9463</v>
      </c>
      <c r="X57" s="52" t="s">
        <v>9463</v>
      </c>
      <c r="Y57" s="52" t="s">
        <v>9463</v>
      </c>
      <c r="Z57" s="52" t="s">
        <v>9463</v>
      </c>
      <c r="AA57" s="52" t="s">
        <v>0</v>
      </c>
      <c r="AB57" s="52" t="s">
        <v>8751</v>
      </c>
      <c r="AC57" s="52" t="s">
        <v>8751</v>
      </c>
      <c r="AD57" s="52" t="s">
        <v>8751</v>
      </c>
      <c r="AE57" s="171"/>
      <c r="AF57" s="40"/>
      <c r="AG57" s="310"/>
    </row>
    <row r="58" spans="1:34" s="40" customFormat="1" ht="20.100000000000001" customHeight="1">
      <c r="A58" s="6" t="s">
        <v>6285</v>
      </c>
      <c r="B58" s="114" t="s">
        <v>57</v>
      </c>
      <c r="C58" s="114" t="s">
        <v>57</v>
      </c>
      <c r="D58" s="114" t="s">
        <v>57</v>
      </c>
      <c r="E58" s="114" t="s">
        <v>57</v>
      </c>
      <c r="F58" s="114" t="s">
        <v>57</v>
      </c>
      <c r="G58" s="114" t="s">
        <v>57</v>
      </c>
      <c r="H58" s="114" t="s">
        <v>57</v>
      </c>
      <c r="I58" s="114" t="s">
        <v>57</v>
      </c>
      <c r="J58" s="114" t="s">
        <v>57</v>
      </c>
      <c r="K58" s="36" t="s">
        <v>57</v>
      </c>
      <c r="L58" s="36" t="s">
        <v>57</v>
      </c>
      <c r="M58" s="36" t="s">
        <v>57</v>
      </c>
      <c r="N58" s="114" t="s">
        <v>57</v>
      </c>
      <c r="O58" s="114" t="s">
        <v>57</v>
      </c>
      <c r="P58" s="114" t="s">
        <v>57</v>
      </c>
      <c r="Q58" s="36" t="s">
        <v>9209</v>
      </c>
      <c r="R58" s="36" t="s">
        <v>9209</v>
      </c>
      <c r="S58" s="114" t="s">
        <v>57</v>
      </c>
      <c r="T58" s="114" t="s">
        <v>57</v>
      </c>
      <c r="U58" s="114" t="s">
        <v>57</v>
      </c>
      <c r="V58" s="36" t="s">
        <v>9464</v>
      </c>
      <c r="W58" s="36" t="s">
        <v>9464</v>
      </c>
      <c r="X58" s="36" t="s">
        <v>9464</v>
      </c>
      <c r="Y58" s="36" t="s">
        <v>9464</v>
      </c>
      <c r="Z58" s="36" t="s">
        <v>9464</v>
      </c>
      <c r="AA58" s="36" t="s">
        <v>0</v>
      </c>
      <c r="AB58" s="36" t="s">
        <v>8753</v>
      </c>
      <c r="AC58" s="36" t="s">
        <v>8753</v>
      </c>
      <c r="AD58" s="36" t="s">
        <v>8753</v>
      </c>
      <c r="AE58" s="171"/>
      <c r="AF58" s="5"/>
      <c r="AG58" s="311"/>
      <c r="AH58" s="5"/>
    </row>
    <row r="59" spans="1:34">
      <c r="A59" s="51" t="s">
        <v>935</v>
      </c>
      <c r="B59" s="52" t="s">
        <v>6744</v>
      </c>
      <c r="C59" s="52" t="s">
        <v>6744</v>
      </c>
      <c r="D59" s="52" t="s">
        <v>6744</v>
      </c>
      <c r="E59" s="52" t="s">
        <v>8198</v>
      </c>
      <c r="F59" s="52" t="s">
        <v>8198</v>
      </c>
      <c r="G59" s="52" t="s">
        <v>8198</v>
      </c>
      <c r="H59" s="52" t="s">
        <v>8198</v>
      </c>
      <c r="I59" s="52" t="s">
        <v>8198</v>
      </c>
      <c r="J59" s="52" t="s">
        <v>8198</v>
      </c>
      <c r="K59" s="186" t="s">
        <v>7047</v>
      </c>
      <c r="L59" s="186" t="s">
        <v>7047</v>
      </c>
      <c r="M59" s="186" t="s">
        <v>7047</v>
      </c>
      <c r="N59" s="52" t="s">
        <v>7995</v>
      </c>
      <c r="O59" s="52" t="s">
        <v>7995</v>
      </c>
      <c r="P59" s="52" t="s">
        <v>7995</v>
      </c>
      <c r="Q59" s="52" t="s">
        <v>9208</v>
      </c>
      <c r="R59" s="52" t="s">
        <v>9208</v>
      </c>
      <c r="S59" s="52" t="s">
        <v>7225</v>
      </c>
      <c r="T59" s="52" t="s">
        <v>7317</v>
      </c>
      <c r="U59" s="52" t="s">
        <v>7431</v>
      </c>
      <c r="V59" s="52" t="s">
        <v>9463</v>
      </c>
      <c r="W59" s="52" t="s">
        <v>9463</v>
      </c>
      <c r="X59" s="52" t="s">
        <v>9463</v>
      </c>
      <c r="Y59" s="52" t="s">
        <v>9463</v>
      </c>
      <c r="Z59" s="52" t="s">
        <v>9463</v>
      </c>
      <c r="AA59" s="52" t="s">
        <v>0</v>
      </c>
      <c r="AB59" s="52" t="s">
        <v>8751</v>
      </c>
      <c r="AC59" s="52" t="s">
        <v>8751</v>
      </c>
      <c r="AD59" s="52" t="s">
        <v>8751</v>
      </c>
      <c r="AE59" s="171"/>
      <c r="AF59" s="40"/>
      <c r="AG59" s="310"/>
    </row>
    <row r="60" spans="1:34" s="40" customFormat="1" ht="30" customHeight="1">
      <c r="A60" s="6" t="s">
        <v>7792</v>
      </c>
      <c r="B60" s="36" t="s">
        <v>57</v>
      </c>
      <c r="C60" s="36" t="s">
        <v>57</v>
      </c>
      <c r="D60" s="36" t="s">
        <v>57</v>
      </c>
      <c r="E60" s="36" t="s">
        <v>8230</v>
      </c>
      <c r="F60" s="36" t="s">
        <v>8230</v>
      </c>
      <c r="G60" s="36" t="s">
        <v>8230</v>
      </c>
      <c r="H60" s="36" t="s">
        <v>8230</v>
      </c>
      <c r="I60" s="36" t="s">
        <v>8230</v>
      </c>
      <c r="J60" s="36" t="s">
        <v>8230</v>
      </c>
      <c r="K60" s="36" t="s">
        <v>57</v>
      </c>
      <c r="L60" s="36" t="s">
        <v>57</v>
      </c>
      <c r="M60" s="36" t="s">
        <v>57</v>
      </c>
      <c r="N60" s="36" t="s">
        <v>57</v>
      </c>
      <c r="O60" s="36" t="s">
        <v>57</v>
      </c>
      <c r="P60" s="36" t="s">
        <v>57</v>
      </c>
      <c r="Q60" s="36" t="s">
        <v>9204</v>
      </c>
      <c r="R60" s="36" t="s">
        <v>9204</v>
      </c>
      <c r="S60" s="36" t="s">
        <v>57</v>
      </c>
      <c r="T60" s="36" t="s">
        <v>57</v>
      </c>
      <c r="U60" s="36" t="s">
        <v>57</v>
      </c>
      <c r="V60" s="36" t="s">
        <v>57</v>
      </c>
      <c r="W60" s="36" t="s">
        <v>57</v>
      </c>
      <c r="X60" s="36" t="s">
        <v>57</v>
      </c>
      <c r="Y60" s="36" t="s">
        <v>57</v>
      </c>
      <c r="Z60" s="36" t="s">
        <v>57</v>
      </c>
      <c r="AA60" s="36" t="s">
        <v>0</v>
      </c>
      <c r="AB60" s="36" t="s">
        <v>57</v>
      </c>
      <c r="AC60" s="36" t="s">
        <v>57</v>
      </c>
      <c r="AD60" s="36" t="s">
        <v>57</v>
      </c>
      <c r="AE60" s="171"/>
      <c r="AF60" s="5"/>
      <c r="AG60" s="311"/>
    </row>
    <row r="61" spans="1:34" ht="18">
      <c r="A61" s="51" t="s">
        <v>935</v>
      </c>
      <c r="B61" s="52" t="s">
        <v>6746</v>
      </c>
      <c r="C61" s="52" t="s">
        <v>6746</v>
      </c>
      <c r="D61" s="52" t="s">
        <v>6746</v>
      </c>
      <c r="E61" s="84" t="s">
        <v>8305</v>
      </c>
      <c r="F61" s="84" t="s">
        <v>8383</v>
      </c>
      <c r="G61" s="84" t="s">
        <v>8473</v>
      </c>
      <c r="H61" s="84" t="s">
        <v>8304</v>
      </c>
      <c r="I61" s="84" t="s">
        <v>8672</v>
      </c>
      <c r="J61" s="84" t="s">
        <v>8571</v>
      </c>
      <c r="K61" s="186" t="s">
        <v>7046</v>
      </c>
      <c r="L61" s="186" t="s">
        <v>7046</v>
      </c>
      <c r="M61" s="186" t="s">
        <v>7046</v>
      </c>
      <c r="N61" s="52" t="s">
        <v>8003</v>
      </c>
      <c r="O61" s="52" t="s">
        <v>8003</v>
      </c>
      <c r="P61" s="52" t="s">
        <v>8003</v>
      </c>
      <c r="Q61" s="52" t="s">
        <v>9203</v>
      </c>
      <c r="R61" s="52" t="s">
        <v>9203</v>
      </c>
      <c r="S61" s="52" t="s">
        <v>7219</v>
      </c>
      <c r="T61" s="52" t="s">
        <v>7318</v>
      </c>
      <c r="U61" s="52" t="s">
        <v>7426</v>
      </c>
      <c r="V61" s="52" t="s">
        <v>9467</v>
      </c>
      <c r="W61" s="52" t="s">
        <v>9467</v>
      </c>
      <c r="X61" s="52" t="s">
        <v>9467</v>
      </c>
      <c r="Y61" s="52" t="s">
        <v>9467</v>
      </c>
      <c r="Z61" s="52" t="s">
        <v>9467</v>
      </c>
      <c r="AA61" s="52" t="s">
        <v>0</v>
      </c>
      <c r="AB61" s="52" t="s">
        <v>8754</v>
      </c>
      <c r="AC61" s="52" t="s">
        <v>8754</v>
      </c>
      <c r="AD61" s="52" t="s">
        <v>8754</v>
      </c>
      <c r="AE61" s="171"/>
      <c r="AF61" s="40"/>
      <c r="AG61" s="310"/>
    </row>
    <row r="62" spans="1:34" s="40" customFormat="1">
      <c r="A62" s="8"/>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171"/>
      <c r="AF62" s="5"/>
      <c r="AG62" s="311"/>
    </row>
    <row r="63" spans="1:34" ht="20.100000000000001" customHeight="1">
      <c r="A63" s="257" t="s">
        <v>101</v>
      </c>
      <c r="B63" s="255" t="str">
        <f t="shared" ref="B63:AD63" si="1">B1</f>
        <v>Allianz</v>
      </c>
      <c r="C63" s="255" t="str">
        <f t="shared" si="1"/>
        <v>Allianz SicherheitBest</v>
      </c>
      <c r="D63" s="255" t="str">
        <f t="shared" si="1"/>
        <v>Allianz SicherheitPlus</v>
      </c>
      <c r="E63" s="255" t="str">
        <f t="shared" si="1"/>
        <v>Ammerländer Basic</v>
      </c>
      <c r="F63" s="255" t="str">
        <f t="shared" si="1"/>
        <v>Ammerländer Classic</v>
      </c>
      <c r="G63" s="255" t="str">
        <f t="shared" si="1"/>
        <v>Ammerländer Comfort</v>
      </c>
      <c r="H63" s="255" t="str">
        <f t="shared" si="1"/>
        <v>Ammerländer Economic</v>
      </c>
      <c r="I63" s="255" t="str">
        <f t="shared" si="1"/>
        <v>Ammerländer Excellent</v>
      </c>
      <c r="J63" s="255" t="str">
        <f t="shared" si="1"/>
        <v>Ammerländer Exclusiv</v>
      </c>
      <c r="K63" s="255" t="str">
        <f t="shared" si="1"/>
        <v>Domcura Komfort</v>
      </c>
      <c r="L63" s="255" t="str">
        <f t="shared" si="1"/>
        <v>Domcura Standard</v>
      </c>
      <c r="M63" s="255" t="str">
        <f t="shared" si="1"/>
        <v>Domcura Top</v>
      </c>
      <c r="N63" s="255" t="str">
        <f t="shared" si="1"/>
        <v>Gothaer Basis</v>
      </c>
      <c r="O63" s="255" t="str">
        <f t="shared" si="1"/>
        <v>Gothaer Plus</v>
      </c>
      <c r="P63" s="255" t="str">
        <f t="shared" si="1"/>
        <v>Gothaer Premium</v>
      </c>
      <c r="Q63" s="255" t="str">
        <f t="shared" si="1"/>
        <v>HK Darmstadt Einfach Besser</v>
      </c>
      <c r="R63" s="255" t="str">
        <f t="shared" si="1"/>
        <v>HK Darmstadt Eindach Komplett</v>
      </c>
      <c r="S63" s="255" t="str">
        <f t="shared" si="1"/>
        <v>InterRisk L</v>
      </c>
      <c r="T63" s="255" t="str">
        <f t="shared" si="1"/>
        <v>InterRisk XL</v>
      </c>
      <c r="U63" s="255" t="str">
        <f t="shared" si="1"/>
        <v>InterRisk XXL</v>
      </c>
      <c r="V63" s="255" t="str">
        <f t="shared" si="1"/>
        <v>ITL Classic VS</v>
      </c>
      <c r="W63" s="255" t="str">
        <f t="shared" si="1"/>
        <v>ITL Eurosecure Plus QM afm</v>
      </c>
      <c r="X63" s="255" t="str">
        <f t="shared" si="1"/>
        <v>ITL Infinitus QM</v>
      </c>
      <c r="Y63" s="255" t="str">
        <f t="shared" si="1"/>
        <v>ITL Infinitus VS</v>
      </c>
      <c r="Z63" s="255" t="str">
        <f t="shared" si="1"/>
        <v>ITL Protect Plus VS</v>
      </c>
      <c r="AA63" s="255" t="str">
        <f t="shared" si="1"/>
        <v>Keine</v>
      </c>
      <c r="AB63" s="255" t="str">
        <f t="shared" si="1"/>
        <v>VHV Kl. Garant</v>
      </c>
      <c r="AC63" s="255" t="str">
        <f t="shared" si="1"/>
        <v>VHV Kl. Garant Exkl.</v>
      </c>
      <c r="AD63" s="255" t="str">
        <f t="shared" si="1"/>
        <v>VHV Kl. Garant Exkl.BEST</v>
      </c>
      <c r="AE63" s="171"/>
      <c r="AF63" s="40"/>
      <c r="AG63" s="310"/>
    </row>
    <row r="64" spans="1:34" s="40" customFormat="1" ht="39.950000000000003" customHeight="1">
      <c r="A64" s="62" t="s">
        <v>102</v>
      </c>
      <c r="B64" s="36" t="s">
        <v>6748</v>
      </c>
      <c r="C64" s="36" t="s">
        <v>6748</v>
      </c>
      <c r="D64" s="36" t="s">
        <v>6748</v>
      </c>
      <c r="E64" s="36" t="s">
        <v>8189</v>
      </c>
      <c r="F64" s="36" t="s">
        <v>8380</v>
      </c>
      <c r="G64" s="36" t="s">
        <v>8467</v>
      </c>
      <c r="H64" s="36" t="s">
        <v>8281</v>
      </c>
      <c r="I64" s="36" t="s">
        <v>8671</v>
      </c>
      <c r="J64" s="36" t="s">
        <v>8535</v>
      </c>
      <c r="K64" s="36" t="s">
        <v>6988</v>
      </c>
      <c r="L64" s="36" t="s">
        <v>6988</v>
      </c>
      <c r="M64" s="36" t="s">
        <v>6988</v>
      </c>
      <c r="N64" s="36" t="s">
        <v>7581</v>
      </c>
      <c r="O64" s="36" t="s">
        <v>7581</v>
      </c>
      <c r="P64" s="36" t="s">
        <v>7581</v>
      </c>
      <c r="Q64" s="36" t="s">
        <v>9308</v>
      </c>
      <c r="R64" s="36" t="s">
        <v>9308</v>
      </c>
      <c r="S64" s="36" t="s">
        <v>8799</v>
      </c>
      <c r="T64" s="36" t="s">
        <v>8799</v>
      </c>
      <c r="U64" s="36" t="s">
        <v>6988</v>
      </c>
      <c r="V64" s="36" t="s">
        <v>57</v>
      </c>
      <c r="W64" s="36" t="s">
        <v>9526</v>
      </c>
      <c r="X64" s="36" t="s">
        <v>9608</v>
      </c>
      <c r="Y64" s="36" t="s">
        <v>9608</v>
      </c>
      <c r="Z64" s="36" t="s">
        <v>9526</v>
      </c>
      <c r="AA64" s="38" t="s">
        <v>0</v>
      </c>
      <c r="AB64" s="36" t="s">
        <v>8799</v>
      </c>
      <c r="AC64" s="36" t="s">
        <v>8799</v>
      </c>
      <c r="AD64" s="36" t="s">
        <v>8799</v>
      </c>
      <c r="AE64" s="171"/>
      <c r="AF64" s="5"/>
      <c r="AG64" s="311"/>
    </row>
    <row r="65" spans="1:34">
      <c r="A65" s="51" t="s">
        <v>935</v>
      </c>
      <c r="B65" s="52" t="s">
        <v>6754</v>
      </c>
      <c r="C65" s="52" t="s">
        <v>6855</v>
      </c>
      <c r="D65" s="52" t="s">
        <v>6855</v>
      </c>
      <c r="E65" s="52" t="s">
        <v>8190</v>
      </c>
      <c r="F65" s="52" t="s">
        <v>8381</v>
      </c>
      <c r="G65" s="52" t="s">
        <v>8468</v>
      </c>
      <c r="H65" s="52" t="s">
        <v>8282</v>
      </c>
      <c r="I65" s="52" t="s">
        <v>8670</v>
      </c>
      <c r="J65" s="52" t="s">
        <v>8534</v>
      </c>
      <c r="K65" s="186" t="s">
        <v>7045</v>
      </c>
      <c r="L65" s="186" t="s">
        <v>7045</v>
      </c>
      <c r="M65" s="186" t="s">
        <v>7045</v>
      </c>
      <c r="N65" s="52" t="s">
        <v>8009</v>
      </c>
      <c r="O65" s="52" t="s">
        <v>8009</v>
      </c>
      <c r="P65" s="52" t="s">
        <v>8009</v>
      </c>
      <c r="Q65" s="52" t="s">
        <v>9212</v>
      </c>
      <c r="R65" s="52" t="s">
        <v>9212</v>
      </c>
      <c r="S65" s="52" t="s">
        <v>7227</v>
      </c>
      <c r="T65" s="52" t="s">
        <v>7319</v>
      </c>
      <c r="U65" s="52" t="s">
        <v>7432</v>
      </c>
      <c r="V65" s="52" t="s">
        <v>9408</v>
      </c>
      <c r="W65" s="52" t="s">
        <v>9527</v>
      </c>
      <c r="X65" s="52" t="s">
        <v>9527</v>
      </c>
      <c r="Y65" s="52" t="s">
        <v>9527</v>
      </c>
      <c r="Z65" s="52" t="s">
        <v>9527</v>
      </c>
      <c r="AA65" s="52" t="s">
        <v>0</v>
      </c>
      <c r="AB65" s="52" t="s">
        <v>8800</v>
      </c>
      <c r="AC65" s="52" t="s">
        <v>8800</v>
      </c>
      <c r="AD65" s="52" t="s">
        <v>8800</v>
      </c>
      <c r="AE65" s="171"/>
      <c r="AF65" s="40"/>
      <c r="AG65" s="310"/>
    </row>
    <row r="66" spans="1:34" s="40" customFormat="1" ht="39.950000000000003" customHeight="1">
      <c r="A66" s="62" t="s">
        <v>7436</v>
      </c>
      <c r="B66" s="36" t="s">
        <v>0</v>
      </c>
      <c r="C66" s="36" t="s">
        <v>7437</v>
      </c>
      <c r="D66" s="36" t="s">
        <v>7437</v>
      </c>
      <c r="E66" s="36" t="s">
        <v>8283</v>
      </c>
      <c r="F66" s="36" t="s">
        <v>8283</v>
      </c>
      <c r="G66" s="36" t="s">
        <v>8283</v>
      </c>
      <c r="H66" s="36" t="s">
        <v>8283</v>
      </c>
      <c r="I66" s="36" t="s">
        <v>8283</v>
      </c>
      <c r="J66" s="36" t="s">
        <v>8283</v>
      </c>
      <c r="K66" s="36" t="s">
        <v>7437</v>
      </c>
      <c r="L66" s="36" t="s">
        <v>7437</v>
      </c>
      <c r="M66" s="36" t="s">
        <v>7437</v>
      </c>
      <c r="N66" s="36" t="s">
        <v>7437</v>
      </c>
      <c r="O66" s="36" t="s">
        <v>7437</v>
      </c>
      <c r="P66" s="36" t="s">
        <v>7437</v>
      </c>
      <c r="Q66" s="36" t="s">
        <v>9213</v>
      </c>
      <c r="R66" s="36" t="s">
        <v>9213</v>
      </c>
      <c r="S66" s="36" t="s">
        <v>57</v>
      </c>
      <c r="T66" s="36" t="s">
        <v>57</v>
      </c>
      <c r="U66" s="36" t="s">
        <v>7583</v>
      </c>
      <c r="V66" s="36" t="s">
        <v>9405</v>
      </c>
      <c r="W66" s="36" t="s">
        <v>9405</v>
      </c>
      <c r="X66" s="36" t="s">
        <v>9405</v>
      </c>
      <c r="Y66" s="36" t="s">
        <v>9405</v>
      </c>
      <c r="Z66" s="36" t="s">
        <v>9405</v>
      </c>
      <c r="AA66" s="38" t="s">
        <v>0</v>
      </c>
      <c r="AB66" s="36" t="s">
        <v>8804</v>
      </c>
      <c r="AC66" s="36" t="s">
        <v>8851</v>
      </c>
      <c r="AD66" s="36" t="s">
        <v>8851</v>
      </c>
      <c r="AE66" s="171"/>
      <c r="AF66" s="5"/>
      <c r="AG66" s="311"/>
    </row>
    <row r="67" spans="1:34" ht="18">
      <c r="A67" s="51" t="s">
        <v>935</v>
      </c>
      <c r="B67" s="52" t="s">
        <v>6747</v>
      </c>
      <c r="C67" s="52" t="s">
        <v>6747</v>
      </c>
      <c r="D67" s="52" t="s">
        <v>6747</v>
      </c>
      <c r="E67" s="52" t="s">
        <v>8192</v>
      </c>
      <c r="F67" s="52" t="s">
        <v>8382</v>
      </c>
      <c r="G67" s="52" t="s">
        <v>8469</v>
      </c>
      <c r="H67" s="52" t="s">
        <v>8284</v>
      </c>
      <c r="I67" s="52" t="s">
        <v>8669</v>
      </c>
      <c r="J67" s="52" t="s">
        <v>8536</v>
      </c>
      <c r="K67" s="186" t="s">
        <v>7044</v>
      </c>
      <c r="L67" s="186" t="s">
        <v>7044</v>
      </c>
      <c r="M67" s="186" t="s">
        <v>7044</v>
      </c>
      <c r="N67" s="52" t="s">
        <v>8007</v>
      </c>
      <c r="O67" s="52" t="s">
        <v>8007</v>
      </c>
      <c r="P67" s="52" t="s">
        <v>8007</v>
      </c>
      <c r="Q67" s="84" t="s">
        <v>9739</v>
      </c>
      <c r="R67" s="84" t="s">
        <v>9739</v>
      </c>
      <c r="S67" s="52" t="s">
        <v>7228</v>
      </c>
      <c r="T67" s="52" t="s">
        <v>7320</v>
      </c>
      <c r="U67" s="52" t="s">
        <v>7433</v>
      </c>
      <c r="V67" s="52" t="s">
        <v>9406</v>
      </c>
      <c r="W67" s="52" t="s">
        <v>9525</v>
      </c>
      <c r="X67" s="52" t="s">
        <v>9525</v>
      </c>
      <c r="Y67" s="52" t="s">
        <v>9525</v>
      </c>
      <c r="Z67" s="52" t="s">
        <v>9525</v>
      </c>
      <c r="AA67" s="52" t="s">
        <v>0</v>
      </c>
      <c r="AB67" s="52" t="s">
        <v>8803</v>
      </c>
      <c r="AC67" s="52" t="s">
        <v>8852</v>
      </c>
      <c r="AD67" s="52" t="s">
        <v>8852</v>
      </c>
      <c r="AE67" s="171"/>
      <c r="AG67" s="310"/>
    </row>
    <row r="68" spans="1:34" s="40" customFormat="1" ht="20.100000000000001" customHeight="1">
      <c r="A68" s="62" t="s">
        <v>7229</v>
      </c>
      <c r="B68" s="36" t="s">
        <v>6749</v>
      </c>
      <c r="C68" s="36" t="s">
        <v>6749</v>
      </c>
      <c r="D68" s="36" t="s">
        <v>6749</v>
      </c>
      <c r="E68" s="38" t="s">
        <v>57</v>
      </c>
      <c r="F68" s="38" t="s">
        <v>57</v>
      </c>
      <c r="G68" s="38" t="s">
        <v>57</v>
      </c>
      <c r="H68" s="38" t="s">
        <v>57</v>
      </c>
      <c r="I68" s="38" t="s">
        <v>57</v>
      </c>
      <c r="J68" s="38" t="s">
        <v>57</v>
      </c>
      <c r="K68" s="36" t="s">
        <v>8952</v>
      </c>
      <c r="L68" s="36" t="s">
        <v>8952</v>
      </c>
      <c r="M68" s="36" t="s">
        <v>8952</v>
      </c>
      <c r="N68" s="38" t="s">
        <v>57</v>
      </c>
      <c r="O68" s="38" t="s">
        <v>57</v>
      </c>
      <c r="P68" s="38" t="s">
        <v>57</v>
      </c>
      <c r="Q68" s="36" t="s">
        <v>9324</v>
      </c>
      <c r="R68" s="36" t="s">
        <v>9324</v>
      </c>
      <c r="S68" s="38" t="s">
        <v>57</v>
      </c>
      <c r="T68" s="38" t="s">
        <v>57</v>
      </c>
      <c r="U68" s="38" t="s">
        <v>57</v>
      </c>
      <c r="V68" s="38" t="s">
        <v>57</v>
      </c>
      <c r="W68" s="38" t="s">
        <v>57</v>
      </c>
      <c r="X68" s="38" t="s">
        <v>57</v>
      </c>
      <c r="Y68" s="38" t="s">
        <v>57</v>
      </c>
      <c r="Z68" s="38" t="s">
        <v>57</v>
      </c>
      <c r="AA68" s="38" t="s">
        <v>0</v>
      </c>
      <c r="AB68" s="36" t="s">
        <v>8795</v>
      </c>
      <c r="AC68" s="36" t="s">
        <v>8795</v>
      </c>
      <c r="AD68" s="36" t="s">
        <v>8795</v>
      </c>
      <c r="AE68" s="170"/>
      <c r="AF68" s="5"/>
      <c r="AG68" s="311"/>
    </row>
    <row r="69" spans="1:34">
      <c r="A69" s="51" t="s">
        <v>935</v>
      </c>
      <c r="B69" s="52" t="s">
        <v>6853</v>
      </c>
      <c r="C69" s="52" t="s">
        <v>6853</v>
      </c>
      <c r="D69" s="52" t="s">
        <v>6853</v>
      </c>
      <c r="E69" s="52" t="s">
        <v>8191</v>
      </c>
      <c r="F69" s="52" t="s">
        <v>8191</v>
      </c>
      <c r="G69" s="52" t="s">
        <v>8191</v>
      </c>
      <c r="H69" s="52" t="s">
        <v>8191</v>
      </c>
      <c r="I69" s="52" t="s">
        <v>8191</v>
      </c>
      <c r="J69" s="52" t="s">
        <v>8191</v>
      </c>
      <c r="K69" s="186" t="s">
        <v>7043</v>
      </c>
      <c r="L69" s="186" t="s">
        <v>7043</v>
      </c>
      <c r="M69" s="186" t="s">
        <v>7043</v>
      </c>
      <c r="N69" s="52" t="s">
        <v>8008</v>
      </c>
      <c r="O69" s="52" t="s">
        <v>8008</v>
      </c>
      <c r="P69" s="52" t="s">
        <v>8008</v>
      </c>
      <c r="Q69" s="52" t="s">
        <v>9323</v>
      </c>
      <c r="R69" s="52" t="s">
        <v>9323</v>
      </c>
      <c r="S69" s="52" t="s">
        <v>7232</v>
      </c>
      <c r="T69" s="52" t="s">
        <v>7321</v>
      </c>
      <c r="U69" s="52" t="s">
        <v>7434</v>
      </c>
      <c r="V69" s="52" t="s">
        <v>9407</v>
      </c>
      <c r="W69" s="52" t="s">
        <v>9407</v>
      </c>
      <c r="X69" s="52" t="s">
        <v>9407</v>
      </c>
      <c r="Y69" s="52" t="s">
        <v>9407</v>
      </c>
      <c r="Z69" s="52" t="s">
        <v>9407</v>
      </c>
      <c r="AA69" s="52" t="s">
        <v>0</v>
      </c>
      <c r="AB69" s="52" t="s">
        <v>8796</v>
      </c>
      <c r="AC69" s="52" t="s">
        <v>8829</v>
      </c>
      <c r="AD69" s="52" t="s">
        <v>8829</v>
      </c>
      <c r="AE69" s="171"/>
      <c r="AF69" s="40"/>
    </row>
    <row r="70" spans="1:34" s="40" customFormat="1" ht="30" customHeight="1">
      <c r="A70" s="62" t="s">
        <v>7</v>
      </c>
      <c r="B70" s="36" t="s">
        <v>6755</v>
      </c>
      <c r="C70" s="36" t="s">
        <v>6921</v>
      </c>
      <c r="D70" s="36" t="s">
        <v>6860</v>
      </c>
      <c r="E70" s="36" t="s">
        <v>8278</v>
      </c>
      <c r="F70" s="36" t="s">
        <v>8378</v>
      </c>
      <c r="G70" s="36" t="s">
        <v>8465</v>
      </c>
      <c r="H70" s="36" t="s">
        <v>8279</v>
      </c>
      <c r="I70" s="36" t="s">
        <v>8531</v>
      </c>
      <c r="J70" s="36" t="s">
        <v>8531</v>
      </c>
      <c r="K70" s="36" t="s">
        <v>9021</v>
      </c>
      <c r="L70" s="36" t="s">
        <v>7231</v>
      </c>
      <c r="M70" s="36" t="s">
        <v>9070</v>
      </c>
      <c r="N70" s="36" t="s">
        <v>8014</v>
      </c>
      <c r="O70" s="36" t="s">
        <v>8015</v>
      </c>
      <c r="P70" s="36" t="s">
        <v>8122</v>
      </c>
      <c r="Q70" s="36" t="s">
        <v>9214</v>
      </c>
      <c r="R70" s="36" t="s">
        <v>9214</v>
      </c>
      <c r="S70" s="36" t="s">
        <v>7231</v>
      </c>
      <c r="T70" s="36" t="s">
        <v>7322</v>
      </c>
      <c r="U70" s="36" t="s">
        <v>6860</v>
      </c>
      <c r="V70" s="36" t="s">
        <v>9611</v>
      </c>
      <c r="W70" s="36" t="s">
        <v>9610</v>
      </c>
      <c r="X70" s="36" t="s">
        <v>9609</v>
      </c>
      <c r="Y70" s="36" t="s">
        <v>9609</v>
      </c>
      <c r="Z70" s="36" t="s">
        <v>9610</v>
      </c>
      <c r="AA70" s="38" t="s">
        <v>0</v>
      </c>
      <c r="AB70" s="36" t="s">
        <v>8769</v>
      </c>
      <c r="AC70" s="36" t="s">
        <v>8837</v>
      </c>
      <c r="AD70" s="36" t="s">
        <v>8837</v>
      </c>
      <c r="AE70" s="167"/>
      <c r="AF70" s="5"/>
      <c r="AG70" s="311"/>
    </row>
    <row r="71" spans="1:34">
      <c r="A71" s="51" t="s">
        <v>935</v>
      </c>
      <c r="B71" s="52" t="s">
        <v>6756</v>
      </c>
      <c r="C71" s="52" t="s">
        <v>6859</v>
      </c>
      <c r="D71" s="52" t="s">
        <v>6859</v>
      </c>
      <c r="E71" s="52" t="s">
        <v>8205</v>
      </c>
      <c r="F71" s="52" t="s">
        <v>8379</v>
      </c>
      <c r="G71" s="52" t="s">
        <v>8464</v>
      </c>
      <c r="H71" s="52" t="s">
        <v>8280</v>
      </c>
      <c r="I71" s="52" t="s">
        <v>8668</v>
      </c>
      <c r="J71" s="52" t="s">
        <v>8532</v>
      </c>
      <c r="K71" s="186" t="s">
        <v>9022</v>
      </c>
      <c r="L71" s="186" t="s">
        <v>7042</v>
      </c>
      <c r="M71" s="186" t="s">
        <v>9071</v>
      </c>
      <c r="N71" s="84" t="s">
        <v>8013</v>
      </c>
      <c r="O71" s="84" t="s">
        <v>8013</v>
      </c>
      <c r="P71" s="84" t="s">
        <v>8123</v>
      </c>
      <c r="Q71" s="84" t="s">
        <v>9215</v>
      </c>
      <c r="R71" s="84" t="s">
        <v>9215</v>
      </c>
      <c r="S71" s="52" t="s">
        <v>7230</v>
      </c>
      <c r="T71" s="52" t="s">
        <v>7323</v>
      </c>
      <c r="U71" s="52" t="s">
        <v>7435</v>
      </c>
      <c r="V71" s="52" t="s">
        <v>9409</v>
      </c>
      <c r="W71" s="52" t="s">
        <v>9528</v>
      </c>
      <c r="X71" s="52" t="s">
        <v>9699</v>
      </c>
      <c r="Y71" s="52" t="s">
        <v>9528</v>
      </c>
      <c r="Z71" s="52" t="s">
        <v>9528</v>
      </c>
      <c r="AA71" s="52" t="s">
        <v>0</v>
      </c>
      <c r="AB71" s="84" t="s">
        <v>8770</v>
      </c>
      <c r="AC71" s="84" t="s">
        <v>8838</v>
      </c>
      <c r="AD71" s="84" t="s">
        <v>8838</v>
      </c>
      <c r="AF71" s="40"/>
      <c r="AG71" s="310"/>
    </row>
    <row r="72" spans="1:34" s="40" customFormat="1" ht="110.1" customHeight="1">
      <c r="A72" s="62" t="s">
        <v>6952</v>
      </c>
      <c r="B72" s="38" t="s">
        <v>0</v>
      </c>
      <c r="C72" s="36" t="s">
        <v>6969</v>
      </c>
      <c r="D72" s="36" t="s">
        <v>6969</v>
      </c>
      <c r="E72" s="36" t="s">
        <v>0</v>
      </c>
      <c r="F72" s="36" t="s">
        <v>0</v>
      </c>
      <c r="G72" s="36" t="s">
        <v>0</v>
      </c>
      <c r="H72" s="36" t="s">
        <v>0</v>
      </c>
      <c r="I72" s="36" t="s">
        <v>8666</v>
      </c>
      <c r="J72" s="36" t="s">
        <v>8574</v>
      </c>
      <c r="K72" s="36" t="s">
        <v>9023</v>
      </c>
      <c r="L72" s="36" t="s">
        <v>0</v>
      </c>
      <c r="M72" s="36" t="s">
        <v>9072</v>
      </c>
      <c r="N72" s="36" t="s">
        <v>0</v>
      </c>
      <c r="O72" s="36" t="s">
        <v>0</v>
      </c>
      <c r="P72" s="36" t="s">
        <v>8927</v>
      </c>
      <c r="Q72" s="36" t="s">
        <v>0</v>
      </c>
      <c r="R72" s="159" t="s">
        <v>0</v>
      </c>
      <c r="S72" s="36" t="s">
        <v>0</v>
      </c>
      <c r="T72" s="36" t="s">
        <v>7408</v>
      </c>
      <c r="U72" s="36" t="s">
        <v>7408</v>
      </c>
      <c r="V72" s="36" t="s">
        <v>9613</v>
      </c>
      <c r="W72" s="36" t="s">
        <v>9613</v>
      </c>
      <c r="X72" s="36" t="s">
        <v>9701</v>
      </c>
      <c r="Y72" s="36" t="s">
        <v>9700</v>
      </c>
      <c r="Z72" s="36" t="s">
        <v>9613</v>
      </c>
      <c r="AA72" s="38" t="s">
        <v>0</v>
      </c>
      <c r="AB72" s="36" t="s">
        <v>8771</v>
      </c>
      <c r="AC72" s="36" t="s">
        <v>8833</v>
      </c>
      <c r="AD72" s="36" t="s">
        <v>8833</v>
      </c>
      <c r="AE72" s="167"/>
      <c r="AF72" s="5"/>
      <c r="AG72" s="311"/>
    </row>
    <row r="73" spans="1:34" ht="18">
      <c r="A73" s="51" t="s">
        <v>935</v>
      </c>
      <c r="B73" s="84" t="s">
        <v>0</v>
      </c>
      <c r="C73" s="84" t="s">
        <v>6968</v>
      </c>
      <c r="D73" s="84" t="s">
        <v>6968</v>
      </c>
      <c r="E73" s="84" t="s">
        <v>0</v>
      </c>
      <c r="F73" s="84" t="s">
        <v>0</v>
      </c>
      <c r="G73" s="84" t="s">
        <v>0</v>
      </c>
      <c r="H73" s="84" t="s">
        <v>0</v>
      </c>
      <c r="I73" s="52" t="s">
        <v>8667</v>
      </c>
      <c r="J73" s="84" t="s">
        <v>8575</v>
      </c>
      <c r="K73" s="84" t="s">
        <v>7159</v>
      </c>
      <c r="L73" s="84" t="s">
        <v>0</v>
      </c>
      <c r="M73" s="84" t="s">
        <v>9073</v>
      </c>
      <c r="N73" s="84" t="s">
        <v>8089</v>
      </c>
      <c r="O73" s="84" t="s">
        <v>8021</v>
      </c>
      <c r="P73" s="84" t="s">
        <v>8128</v>
      </c>
      <c r="Q73" s="84" t="s">
        <v>0</v>
      </c>
      <c r="R73" s="84" t="s">
        <v>0</v>
      </c>
      <c r="S73" s="52" t="s">
        <v>0</v>
      </c>
      <c r="T73" s="52" t="s">
        <v>7409</v>
      </c>
      <c r="U73" s="52" t="s">
        <v>7438</v>
      </c>
      <c r="V73" s="52" t="s">
        <v>5680</v>
      </c>
      <c r="W73" s="52" t="s">
        <v>5680</v>
      </c>
      <c r="X73" s="52" t="s">
        <v>9612</v>
      </c>
      <c r="Y73" s="52" t="s">
        <v>9612</v>
      </c>
      <c r="Z73" s="52" t="s">
        <v>5680</v>
      </c>
      <c r="AA73" s="52" t="s">
        <v>0</v>
      </c>
      <c r="AB73" s="84" t="s">
        <v>8772</v>
      </c>
      <c r="AC73" s="84" t="s">
        <v>8834</v>
      </c>
      <c r="AD73" s="84" t="s">
        <v>8834</v>
      </c>
      <c r="AF73" s="40"/>
      <c r="AG73" s="310"/>
    </row>
    <row r="74" spans="1:34" s="40" customFormat="1" ht="50.1" customHeight="1">
      <c r="A74" s="62" t="s">
        <v>321</v>
      </c>
      <c r="B74" s="38" t="s">
        <v>0</v>
      </c>
      <c r="C74" s="36" t="s">
        <v>6886</v>
      </c>
      <c r="D74" s="36" t="s">
        <v>6886</v>
      </c>
      <c r="E74" s="36" t="s">
        <v>0</v>
      </c>
      <c r="F74" s="36" t="s">
        <v>8375</v>
      </c>
      <c r="G74" s="36" t="s">
        <v>8453</v>
      </c>
      <c r="H74" s="36" t="s">
        <v>8376</v>
      </c>
      <c r="I74" s="36" t="s">
        <v>8518</v>
      </c>
      <c r="J74" s="36" t="s">
        <v>8518</v>
      </c>
      <c r="K74" s="36" t="s">
        <v>7013</v>
      </c>
      <c r="L74" s="36" t="s">
        <v>7013</v>
      </c>
      <c r="M74" s="36" t="s">
        <v>7013</v>
      </c>
      <c r="N74" s="38" t="s">
        <v>0</v>
      </c>
      <c r="O74" s="36" t="s">
        <v>7959</v>
      </c>
      <c r="P74" s="36" t="s">
        <v>8099</v>
      </c>
      <c r="Q74" s="36" t="s">
        <v>9216</v>
      </c>
      <c r="R74" s="36" t="s">
        <v>9216</v>
      </c>
      <c r="S74" s="36" t="s">
        <v>0</v>
      </c>
      <c r="T74" s="36" t="s">
        <v>7378</v>
      </c>
      <c r="U74" s="36" t="s">
        <v>57</v>
      </c>
      <c r="V74" s="36" t="s">
        <v>57</v>
      </c>
      <c r="W74" s="38" t="s">
        <v>57</v>
      </c>
      <c r="X74" s="38" t="s">
        <v>57</v>
      </c>
      <c r="Y74" s="38" t="s">
        <v>57</v>
      </c>
      <c r="Z74" s="38" t="s">
        <v>57</v>
      </c>
      <c r="AA74" s="38" t="s">
        <v>0</v>
      </c>
      <c r="AB74" s="36" t="s">
        <v>8773</v>
      </c>
      <c r="AC74" s="36" t="s">
        <v>8773</v>
      </c>
      <c r="AD74" s="36" t="s">
        <v>8773</v>
      </c>
      <c r="AE74" s="167"/>
      <c r="AF74" s="5"/>
      <c r="AG74" s="311"/>
    </row>
    <row r="75" spans="1:34" ht="18">
      <c r="A75" s="51" t="s">
        <v>935</v>
      </c>
      <c r="B75" s="52" t="s">
        <v>6759</v>
      </c>
      <c r="C75" s="84" t="s">
        <v>6887</v>
      </c>
      <c r="D75" s="84" t="s">
        <v>6887</v>
      </c>
      <c r="E75" s="84" t="s">
        <v>0</v>
      </c>
      <c r="F75" s="84" t="s">
        <v>8377</v>
      </c>
      <c r="G75" s="84" t="s">
        <v>8452</v>
      </c>
      <c r="H75" s="84" t="s">
        <v>8269</v>
      </c>
      <c r="I75" s="52" t="s">
        <v>8665</v>
      </c>
      <c r="J75" s="52" t="s">
        <v>8519</v>
      </c>
      <c r="K75" s="186" t="s">
        <v>7041</v>
      </c>
      <c r="L75" s="186" t="s">
        <v>7041</v>
      </c>
      <c r="M75" s="186" t="s">
        <v>7041</v>
      </c>
      <c r="N75" s="52" t="s">
        <v>7958</v>
      </c>
      <c r="O75" s="52" t="s">
        <v>7958</v>
      </c>
      <c r="P75" s="52" t="s">
        <v>8100</v>
      </c>
      <c r="Q75" s="52" t="s">
        <v>9217</v>
      </c>
      <c r="R75" s="52" t="s">
        <v>9217</v>
      </c>
      <c r="S75" s="186" t="s">
        <v>0</v>
      </c>
      <c r="T75" s="52" t="s">
        <v>7379</v>
      </c>
      <c r="U75" s="52" t="s">
        <v>7439</v>
      </c>
      <c r="V75" s="52" t="s">
        <v>9377</v>
      </c>
      <c r="W75" s="52" t="s">
        <v>9377</v>
      </c>
      <c r="X75" s="52" t="s">
        <v>9378</v>
      </c>
      <c r="Y75" s="52" t="s">
        <v>9378</v>
      </c>
      <c r="Z75" s="52" t="s">
        <v>9377</v>
      </c>
      <c r="AA75" s="52" t="s">
        <v>0</v>
      </c>
      <c r="AB75" s="52" t="s">
        <v>8774</v>
      </c>
      <c r="AC75" s="52" t="s">
        <v>8774</v>
      </c>
      <c r="AD75" s="52" t="s">
        <v>8774</v>
      </c>
      <c r="AF75" s="40"/>
      <c r="AG75" s="310"/>
    </row>
    <row r="76" spans="1:34" s="40" customFormat="1" ht="20.100000000000001" customHeight="1">
      <c r="A76" s="62" t="s">
        <v>451</v>
      </c>
      <c r="B76" s="38" t="s">
        <v>201</v>
      </c>
      <c r="C76" s="36" t="s">
        <v>402</v>
      </c>
      <c r="D76" s="38" t="s">
        <v>701</v>
      </c>
      <c r="E76" s="36" t="s">
        <v>57</v>
      </c>
      <c r="F76" s="36" t="s">
        <v>57</v>
      </c>
      <c r="G76" s="36" t="s">
        <v>57</v>
      </c>
      <c r="H76" s="36" t="s">
        <v>57</v>
      </c>
      <c r="I76" s="36" t="s">
        <v>57</v>
      </c>
      <c r="J76" s="36" t="s">
        <v>57</v>
      </c>
      <c r="K76" s="36" t="s">
        <v>7130</v>
      </c>
      <c r="L76" s="36" t="s">
        <v>7130</v>
      </c>
      <c r="M76" s="36" t="s">
        <v>7130</v>
      </c>
      <c r="N76" s="38" t="s">
        <v>57</v>
      </c>
      <c r="O76" s="38" t="s">
        <v>57</v>
      </c>
      <c r="P76" s="38" t="s">
        <v>57</v>
      </c>
      <c r="Q76" s="38" t="s">
        <v>57</v>
      </c>
      <c r="R76" s="38" t="s">
        <v>57</v>
      </c>
      <c r="S76" s="36" t="s">
        <v>214</v>
      </c>
      <c r="T76" s="36" t="s">
        <v>214</v>
      </c>
      <c r="U76" s="36" t="s">
        <v>214</v>
      </c>
      <c r="V76" s="36" t="s">
        <v>57</v>
      </c>
      <c r="W76" s="36" t="s">
        <v>57</v>
      </c>
      <c r="X76" s="36" t="s">
        <v>57</v>
      </c>
      <c r="Y76" s="36" t="s">
        <v>57</v>
      </c>
      <c r="Z76" s="36" t="s">
        <v>57</v>
      </c>
      <c r="AA76" s="38" t="s">
        <v>0</v>
      </c>
      <c r="AB76" s="38" t="s">
        <v>57</v>
      </c>
      <c r="AC76" s="38" t="s">
        <v>57</v>
      </c>
      <c r="AD76" s="38" t="s">
        <v>57</v>
      </c>
      <c r="AE76" s="167"/>
      <c r="AF76" s="5"/>
      <c r="AG76" s="311"/>
    </row>
    <row r="77" spans="1:34">
      <c r="A77" s="51" t="s">
        <v>935</v>
      </c>
      <c r="B77" s="52" t="s">
        <v>6757</v>
      </c>
      <c r="C77" s="52" t="s">
        <v>6861</v>
      </c>
      <c r="D77" s="52" t="s">
        <v>6861</v>
      </c>
      <c r="E77" s="52" t="s">
        <v>8202</v>
      </c>
      <c r="F77" s="52" t="s">
        <v>8202</v>
      </c>
      <c r="G77" s="52" t="s">
        <v>8202</v>
      </c>
      <c r="H77" s="52" t="s">
        <v>8202</v>
      </c>
      <c r="I77" s="52" t="s">
        <v>8202</v>
      </c>
      <c r="J77" s="52" t="s">
        <v>8202</v>
      </c>
      <c r="K77" s="186" t="s">
        <v>7040</v>
      </c>
      <c r="L77" s="186" t="s">
        <v>7040</v>
      </c>
      <c r="M77" s="186" t="s">
        <v>7040</v>
      </c>
      <c r="N77" s="52" t="s">
        <v>8016</v>
      </c>
      <c r="O77" s="52" t="s">
        <v>8016</v>
      </c>
      <c r="P77" s="52" t="s">
        <v>8016</v>
      </c>
      <c r="Q77" s="52" t="s">
        <v>8202</v>
      </c>
      <c r="R77" s="52" t="s">
        <v>8202</v>
      </c>
      <c r="S77" s="52" t="s">
        <v>7233</v>
      </c>
      <c r="T77" s="52" t="s">
        <v>7324</v>
      </c>
      <c r="U77" s="52" t="s">
        <v>7440</v>
      </c>
      <c r="V77" s="52" t="s">
        <v>9411</v>
      </c>
      <c r="W77" s="52" t="s">
        <v>9411</v>
      </c>
      <c r="X77" s="52" t="s">
        <v>9411</v>
      </c>
      <c r="Y77" s="52" t="s">
        <v>9411</v>
      </c>
      <c r="Z77" s="52" t="s">
        <v>9411</v>
      </c>
      <c r="AA77" s="52" t="s">
        <v>0</v>
      </c>
      <c r="AB77" s="52" t="s">
        <v>8008</v>
      </c>
      <c r="AC77" s="52" t="s">
        <v>8008</v>
      </c>
      <c r="AD77" s="52" t="s">
        <v>8008</v>
      </c>
      <c r="AF77" s="40"/>
      <c r="AG77" s="310"/>
    </row>
    <row r="78" spans="1:34" ht="20.100000000000001" customHeight="1">
      <c r="A78" s="6" t="s">
        <v>63</v>
      </c>
      <c r="B78" s="38" t="s">
        <v>201</v>
      </c>
      <c r="C78" s="36" t="s">
        <v>402</v>
      </c>
      <c r="D78" s="38" t="s">
        <v>701</v>
      </c>
      <c r="E78" s="36" t="s">
        <v>0</v>
      </c>
      <c r="F78" s="36" t="s">
        <v>0</v>
      </c>
      <c r="G78" s="36" t="s">
        <v>0</v>
      </c>
      <c r="H78" s="36" t="s">
        <v>0</v>
      </c>
      <c r="I78" s="36" t="s">
        <v>0</v>
      </c>
      <c r="J78" s="36" t="s">
        <v>0</v>
      </c>
      <c r="K78" s="36" t="s">
        <v>7130</v>
      </c>
      <c r="L78" s="36" t="s">
        <v>7130</v>
      </c>
      <c r="M78" s="36" t="s">
        <v>7130</v>
      </c>
      <c r="N78" s="36" t="s">
        <v>0</v>
      </c>
      <c r="O78" s="36" t="s">
        <v>0</v>
      </c>
      <c r="P78" s="36" t="s">
        <v>0</v>
      </c>
      <c r="Q78" s="36"/>
      <c r="R78" s="36"/>
      <c r="S78" s="36" t="s">
        <v>7271</v>
      </c>
      <c r="T78" s="36" t="s">
        <v>7271</v>
      </c>
      <c r="U78" s="36" t="s">
        <v>7418</v>
      </c>
      <c r="V78" s="36" t="s">
        <v>0</v>
      </c>
      <c r="W78" s="36" t="s">
        <v>7587</v>
      </c>
      <c r="X78" s="36" t="s">
        <v>7587</v>
      </c>
      <c r="Y78" s="36" t="s">
        <v>7587</v>
      </c>
      <c r="Z78" s="36" t="s">
        <v>7587</v>
      </c>
      <c r="AA78" s="38" t="s">
        <v>0</v>
      </c>
      <c r="AB78" s="36" t="s">
        <v>8853</v>
      </c>
      <c r="AC78" s="36" t="s">
        <v>8853</v>
      </c>
      <c r="AD78" s="36" t="s">
        <v>8853</v>
      </c>
      <c r="AH78" s="40"/>
    </row>
    <row r="79" spans="1:34">
      <c r="A79" s="51" t="s">
        <v>935</v>
      </c>
      <c r="B79" s="52" t="s">
        <v>6760</v>
      </c>
      <c r="C79" s="52" t="s">
        <v>6862</v>
      </c>
      <c r="D79" s="52" t="s">
        <v>6862</v>
      </c>
      <c r="E79" s="52" t="s">
        <v>0</v>
      </c>
      <c r="F79" s="52" t="s">
        <v>0</v>
      </c>
      <c r="G79" s="52" t="s">
        <v>0</v>
      </c>
      <c r="H79" s="52" t="s">
        <v>0</v>
      </c>
      <c r="I79" s="52" t="s">
        <v>0</v>
      </c>
      <c r="J79" s="52" t="s">
        <v>0</v>
      </c>
      <c r="K79" s="186" t="s">
        <v>7040</v>
      </c>
      <c r="L79" s="186" t="s">
        <v>7040</v>
      </c>
      <c r="M79" s="186" t="s">
        <v>7040</v>
      </c>
      <c r="N79" s="52" t="s">
        <v>0</v>
      </c>
      <c r="O79" s="52" t="s">
        <v>0</v>
      </c>
      <c r="P79" s="52" t="s">
        <v>0</v>
      </c>
      <c r="Q79" s="52"/>
      <c r="R79" s="52"/>
      <c r="S79" s="52" t="s">
        <v>7233</v>
      </c>
      <c r="T79" s="52" t="s">
        <v>7324</v>
      </c>
      <c r="U79" s="52" t="s">
        <v>7440</v>
      </c>
      <c r="V79" s="52"/>
      <c r="W79" s="52" t="s">
        <v>4568</v>
      </c>
      <c r="X79" s="52" t="s">
        <v>4568</v>
      </c>
      <c r="Y79" s="52" t="s">
        <v>4568</v>
      </c>
      <c r="Z79" s="52" t="s">
        <v>4568</v>
      </c>
      <c r="AA79" s="52" t="s">
        <v>0</v>
      </c>
      <c r="AB79" s="52" t="s">
        <v>8775</v>
      </c>
      <c r="AC79" s="52" t="s">
        <v>8775</v>
      </c>
      <c r="AD79" s="52" t="s">
        <v>8775</v>
      </c>
      <c r="AF79" s="40"/>
      <c r="AG79" s="310"/>
    </row>
    <row r="80" spans="1:34" s="40" customFormat="1" ht="30" customHeight="1">
      <c r="A80" s="182" t="s">
        <v>6863</v>
      </c>
      <c r="B80" s="36" t="s">
        <v>0</v>
      </c>
      <c r="C80" s="36" t="s">
        <v>6864</v>
      </c>
      <c r="D80" s="36" t="s">
        <v>6864</v>
      </c>
      <c r="E80" s="36" t="s">
        <v>0</v>
      </c>
      <c r="F80" s="36" t="s">
        <v>0</v>
      </c>
      <c r="G80" s="36" t="s">
        <v>0</v>
      </c>
      <c r="H80" s="36" t="s">
        <v>0</v>
      </c>
      <c r="I80" s="36" t="s">
        <v>9133</v>
      </c>
      <c r="J80" s="36" t="s">
        <v>8573</v>
      </c>
      <c r="K80" s="36" t="s">
        <v>0</v>
      </c>
      <c r="L80" s="36" t="s">
        <v>0</v>
      </c>
      <c r="M80" s="36" t="s">
        <v>8953</v>
      </c>
      <c r="N80" s="37" t="s">
        <v>0</v>
      </c>
      <c r="O80" s="37" t="s">
        <v>8019</v>
      </c>
      <c r="P80" s="37" t="s">
        <v>8124</v>
      </c>
      <c r="Q80" s="37" t="s">
        <v>9309</v>
      </c>
      <c r="R80" s="37" t="s">
        <v>9309</v>
      </c>
      <c r="S80" s="37" t="s">
        <v>0</v>
      </c>
      <c r="T80" s="37" t="s">
        <v>0</v>
      </c>
      <c r="U80" s="37" t="s">
        <v>591</v>
      </c>
      <c r="V80" s="37" t="s">
        <v>0</v>
      </c>
      <c r="W80" s="37" t="s">
        <v>9723</v>
      </c>
      <c r="X80" s="37" t="s">
        <v>9625</v>
      </c>
      <c r="Y80" s="37" t="s">
        <v>9625</v>
      </c>
      <c r="Z80" s="37" t="s">
        <v>9723</v>
      </c>
      <c r="AA80" s="38" t="s">
        <v>0</v>
      </c>
      <c r="AB80" s="37" t="s">
        <v>0</v>
      </c>
      <c r="AC80" s="36" t="s">
        <v>8776</v>
      </c>
      <c r="AD80" s="36" t="s">
        <v>8776</v>
      </c>
      <c r="AE80" s="167"/>
      <c r="AF80" s="5"/>
      <c r="AG80" s="311"/>
      <c r="AH80" s="5"/>
    </row>
    <row r="81" spans="1:34">
      <c r="A81" s="51" t="s">
        <v>935</v>
      </c>
      <c r="B81" s="52" t="s">
        <v>0</v>
      </c>
      <c r="C81" s="52" t="s">
        <v>6865</v>
      </c>
      <c r="D81" s="52" t="s">
        <v>6865</v>
      </c>
      <c r="E81" s="52" t="s">
        <v>0</v>
      </c>
      <c r="F81" s="52" t="s">
        <v>0</v>
      </c>
      <c r="G81" s="52" t="s">
        <v>0</v>
      </c>
      <c r="H81" s="52" t="s">
        <v>0</v>
      </c>
      <c r="I81" s="52" t="s">
        <v>8665</v>
      </c>
      <c r="J81" s="52" t="s">
        <v>8663</v>
      </c>
      <c r="K81" s="52" t="s">
        <v>0</v>
      </c>
      <c r="L81" s="52" t="s">
        <v>0</v>
      </c>
      <c r="M81" s="52" t="s">
        <v>8954</v>
      </c>
      <c r="N81" s="52" t="s">
        <v>8018</v>
      </c>
      <c r="O81" s="52" t="s">
        <v>8018</v>
      </c>
      <c r="P81" s="52" t="s">
        <v>8125</v>
      </c>
      <c r="Q81" s="52" t="s">
        <v>9310</v>
      </c>
      <c r="R81" s="52" t="s">
        <v>9310</v>
      </c>
      <c r="S81" s="52" t="s">
        <v>0</v>
      </c>
      <c r="T81" s="52" t="s">
        <v>0</v>
      </c>
      <c r="U81" s="52" t="s">
        <v>7441</v>
      </c>
      <c r="V81" s="52" t="s">
        <v>0</v>
      </c>
      <c r="W81" s="52" t="s">
        <v>9702</v>
      </c>
      <c r="X81" s="52" t="s">
        <v>9702</v>
      </c>
      <c r="Y81" s="52" t="s">
        <v>9624</v>
      </c>
      <c r="Z81" s="52" t="s">
        <v>9702</v>
      </c>
      <c r="AA81" s="52" t="s">
        <v>0</v>
      </c>
      <c r="AB81" s="52" t="s">
        <v>0</v>
      </c>
      <c r="AC81" s="52" t="s">
        <v>8777</v>
      </c>
      <c r="AD81" s="52" t="s">
        <v>8777</v>
      </c>
      <c r="AF81" s="40"/>
      <c r="AG81" s="310"/>
    </row>
    <row r="82" spans="1:34" s="40" customFormat="1" ht="20.100000000000001" customHeight="1">
      <c r="A82" s="62" t="s">
        <v>107</v>
      </c>
      <c r="B82" s="38" t="s">
        <v>0</v>
      </c>
      <c r="C82" s="38" t="s">
        <v>6804</v>
      </c>
      <c r="D82" s="38" t="s">
        <v>6804</v>
      </c>
      <c r="E82" s="38" t="s">
        <v>0</v>
      </c>
      <c r="F82" s="38" t="s">
        <v>0</v>
      </c>
      <c r="G82" s="38" t="s">
        <v>5556</v>
      </c>
      <c r="H82" s="38" t="s">
        <v>0</v>
      </c>
      <c r="I82" s="38" t="s">
        <v>6991</v>
      </c>
      <c r="J82" s="38" t="s">
        <v>5529</v>
      </c>
      <c r="K82" s="36" t="s">
        <v>8955</v>
      </c>
      <c r="L82" s="38" t="s">
        <v>0</v>
      </c>
      <c r="M82" s="36" t="s">
        <v>8956</v>
      </c>
      <c r="N82" s="36" t="s">
        <v>0</v>
      </c>
      <c r="O82" s="36" t="s">
        <v>0</v>
      </c>
      <c r="P82" s="36" t="s">
        <v>8126</v>
      </c>
      <c r="Q82" s="36" t="s">
        <v>6991</v>
      </c>
      <c r="R82" s="36" t="s">
        <v>6991</v>
      </c>
      <c r="S82" s="37" t="s">
        <v>0</v>
      </c>
      <c r="T82" s="37" t="s">
        <v>0</v>
      </c>
      <c r="U82" s="36" t="s">
        <v>701</v>
      </c>
      <c r="V82" s="36" t="s">
        <v>0</v>
      </c>
      <c r="W82" s="36" t="s">
        <v>859</v>
      </c>
      <c r="X82" s="36" t="s">
        <v>6991</v>
      </c>
      <c r="Y82" s="36" t="s">
        <v>6991</v>
      </c>
      <c r="Z82" s="36" t="s">
        <v>859</v>
      </c>
      <c r="AA82" s="38" t="s">
        <v>0</v>
      </c>
      <c r="AB82" s="36" t="s">
        <v>0</v>
      </c>
      <c r="AC82" s="36" t="s">
        <v>8779</v>
      </c>
      <c r="AD82" s="36" t="s">
        <v>8779</v>
      </c>
      <c r="AE82" s="167"/>
      <c r="AF82" s="5"/>
      <c r="AG82" s="311"/>
    </row>
    <row r="83" spans="1:34">
      <c r="A83" s="51" t="s">
        <v>935</v>
      </c>
      <c r="B83" s="52" t="s">
        <v>6759</v>
      </c>
      <c r="C83" s="52" t="s">
        <v>6857</v>
      </c>
      <c r="D83" s="52" t="s">
        <v>6857</v>
      </c>
      <c r="E83" s="52" t="s">
        <v>0</v>
      </c>
      <c r="F83" s="52" t="s">
        <v>0</v>
      </c>
      <c r="G83" s="52" t="s">
        <v>8466</v>
      </c>
      <c r="H83" s="52" t="s">
        <v>0</v>
      </c>
      <c r="I83" s="52" t="s">
        <v>8662</v>
      </c>
      <c r="J83" s="52" t="s">
        <v>8533</v>
      </c>
      <c r="K83" s="186" t="s">
        <v>7119</v>
      </c>
      <c r="L83" s="52"/>
      <c r="M83" s="186" t="s">
        <v>7156</v>
      </c>
      <c r="N83" s="52" t="s">
        <v>8020</v>
      </c>
      <c r="O83" s="52" t="s">
        <v>8020</v>
      </c>
      <c r="P83" s="52" t="s">
        <v>8127</v>
      </c>
      <c r="Q83" s="52" t="s">
        <v>9167</v>
      </c>
      <c r="R83" s="52" t="s">
        <v>9167</v>
      </c>
      <c r="S83" s="52" t="s">
        <v>0</v>
      </c>
      <c r="T83" s="52" t="s">
        <v>0</v>
      </c>
      <c r="U83" s="52" t="s">
        <v>7442</v>
      </c>
      <c r="V83" s="52" t="s">
        <v>0</v>
      </c>
      <c r="W83" s="52" t="s">
        <v>9426</v>
      </c>
      <c r="X83" s="52" t="s">
        <v>9426</v>
      </c>
      <c r="Y83" s="52" t="s">
        <v>9426</v>
      </c>
      <c r="Z83" s="52" t="s">
        <v>9426</v>
      </c>
      <c r="AA83" s="52" t="s">
        <v>0</v>
      </c>
      <c r="AB83" s="52" t="s">
        <v>0</v>
      </c>
      <c r="AC83" s="52" t="s">
        <v>8778</v>
      </c>
      <c r="AD83" s="52" t="s">
        <v>8778</v>
      </c>
      <c r="AF83" s="40"/>
      <c r="AG83" s="310"/>
    </row>
    <row r="84" spans="1:34" s="40" customFormat="1" ht="20.100000000000001" customHeight="1">
      <c r="A84" s="247" t="s">
        <v>6858</v>
      </c>
      <c r="B84" s="36" t="s">
        <v>0</v>
      </c>
      <c r="C84" s="246" t="s">
        <v>6922</v>
      </c>
      <c r="D84" s="246">
        <v>20000</v>
      </c>
      <c r="E84" s="246" t="s">
        <v>192</v>
      </c>
      <c r="F84" s="246" t="s">
        <v>701</v>
      </c>
      <c r="G84" s="246" t="s">
        <v>8470</v>
      </c>
      <c r="H84" s="246" t="s">
        <v>201</v>
      </c>
      <c r="I84" s="246" t="s">
        <v>57</v>
      </c>
      <c r="J84" s="246" t="s">
        <v>57</v>
      </c>
      <c r="K84" s="36" t="s">
        <v>7130</v>
      </c>
      <c r="L84" s="36" t="s">
        <v>6991</v>
      </c>
      <c r="M84" s="36" t="s">
        <v>8012</v>
      </c>
      <c r="N84" s="36" t="s">
        <v>0</v>
      </c>
      <c r="O84" s="36" t="s">
        <v>8011</v>
      </c>
      <c r="P84" s="36" t="s">
        <v>8012</v>
      </c>
      <c r="Q84" s="36" t="s">
        <v>9307</v>
      </c>
      <c r="R84" s="36" t="s">
        <v>9307</v>
      </c>
      <c r="S84" s="36" t="s">
        <v>0</v>
      </c>
      <c r="T84" s="36" t="s">
        <v>198</v>
      </c>
      <c r="U84" s="36" t="s">
        <v>701</v>
      </c>
      <c r="V84" s="36" t="s">
        <v>9703</v>
      </c>
      <c r="W84" s="36" t="s">
        <v>9703</v>
      </c>
      <c r="X84" s="36" t="s">
        <v>9703</v>
      </c>
      <c r="Y84" s="36" t="s">
        <v>9703</v>
      </c>
      <c r="Z84" s="36" t="s">
        <v>9703</v>
      </c>
      <c r="AA84" s="38" t="s">
        <v>0</v>
      </c>
      <c r="AB84" s="36" t="s">
        <v>198</v>
      </c>
      <c r="AC84" s="36" t="s">
        <v>199</v>
      </c>
      <c r="AD84" s="36" t="s">
        <v>199</v>
      </c>
      <c r="AE84" s="167"/>
      <c r="AF84" s="5"/>
      <c r="AG84" s="311"/>
    </row>
    <row r="85" spans="1:34">
      <c r="A85" s="51" t="s">
        <v>935</v>
      </c>
      <c r="B85" s="52" t="s">
        <v>6759</v>
      </c>
      <c r="C85" s="52" t="s">
        <v>6854</v>
      </c>
      <c r="D85" s="52" t="s">
        <v>6854</v>
      </c>
      <c r="E85" s="52" t="s">
        <v>8226</v>
      </c>
      <c r="F85" s="52" t="s">
        <v>8471</v>
      </c>
      <c r="G85" s="52" t="s">
        <v>8472</v>
      </c>
      <c r="H85" s="84" t="s">
        <v>8311</v>
      </c>
      <c r="I85" s="52" t="s">
        <v>8660</v>
      </c>
      <c r="J85" s="52" t="s">
        <v>8537</v>
      </c>
      <c r="K85" s="186" t="s">
        <v>7128</v>
      </c>
      <c r="L85" s="186" t="s">
        <v>7039</v>
      </c>
      <c r="M85" s="186" t="s">
        <v>7180</v>
      </c>
      <c r="N85" s="52" t="s">
        <v>8010</v>
      </c>
      <c r="O85" s="52" t="s">
        <v>8010</v>
      </c>
      <c r="P85" s="52" t="s">
        <v>8010</v>
      </c>
      <c r="Q85" s="52" t="s">
        <v>9168</v>
      </c>
      <c r="R85" s="52" t="s">
        <v>9168</v>
      </c>
      <c r="S85" s="186" t="s">
        <v>0</v>
      </c>
      <c r="T85" s="52" t="s">
        <v>7325</v>
      </c>
      <c r="U85" s="52" t="s">
        <v>7443</v>
      </c>
      <c r="V85" s="52" t="s">
        <v>9410</v>
      </c>
      <c r="W85" s="52" t="s">
        <v>9428</v>
      </c>
      <c r="X85" s="52" t="s">
        <v>9429</v>
      </c>
      <c r="Y85" s="52" t="s">
        <v>9429</v>
      </c>
      <c r="Z85" s="52" t="s">
        <v>9428</v>
      </c>
      <c r="AA85" s="52" t="s">
        <v>0</v>
      </c>
      <c r="AB85" s="52" t="s">
        <v>8798</v>
      </c>
      <c r="AC85" s="52" t="s">
        <v>8854</v>
      </c>
      <c r="AD85" s="52" t="s">
        <v>8854</v>
      </c>
      <c r="AF85" s="40"/>
      <c r="AG85" s="310"/>
    </row>
    <row r="86" spans="1:34" ht="20.100000000000001" customHeight="1">
      <c r="A86" s="235" t="s">
        <v>6751</v>
      </c>
      <c r="B86" s="234" t="s">
        <v>6752</v>
      </c>
      <c r="C86" s="234" t="s">
        <v>6752</v>
      </c>
      <c r="D86" s="234" t="s">
        <v>6752</v>
      </c>
      <c r="E86" s="143" t="s">
        <v>7274</v>
      </c>
      <c r="F86" s="143" t="s">
        <v>7274</v>
      </c>
      <c r="G86" s="143" t="s">
        <v>8476</v>
      </c>
      <c r="H86" s="143" t="s">
        <v>7274</v>
      </c>
      <c r="I86" s="143" t="s">
        <v>8476</v>
      </c>
      <c r="J86" s="143" t="s">
        <v>8476</v>
      </c>
      <c r="K86" s="143" t="s">
        <v>6992</v>
      </c>
      <c r="L86" s="143" t="s">
        <v>6992</v>
      </c>
      <c r="M86" s="143" t="s">
        <v>9095</v>
      </c>
      <c r="N86" s="143" t="s">
        <v>6992</v>
      </c>
      <c r="O86" s="143" t="s">
        <v>6992</v>
      </c>
      <c r="P86" s="143" t="s">
        <v>6992</v>
      </c>
      <c r="Q86" s="143" t="s">
        <v>7274</v>
      </c>
      <c r="R86" s="143" t="s">
        <v>7274</v>
      </c>
      <c r="S86" s="143" t="s">
        <v>7274</v>
      </c>
      <c r="T86" s="143" t="s">
        <v>7274</v>
      </c>
      <c r="U86" s="143" t="s">
        <v>7274</v>
      </c>
      <c r="V86" s="143" t="s">
        <v>7274</v>
      </c>
      <c r="W86" s="143" t="s">
        <v>7274</v>
      </c>
      <c r="X86" s="143" t="s">
        <v>7274</v>
      </c>
      <c r="Y86" s="143" t="s">
        <v>7274</v>
      </c>
      <c r="Z86" s="143" t="s">
        <v>7274</v>
      </c>
      <c r="AA86" s="234" t="s">
        <v>0</v>
      </c>
      <c r="AB86" s="143" t="s">
        <v>7274</v>
      </c>
      <c r="AC86" s="143" t="s">
        <v>7274</v>
      </c>
      <c r="AD86" s="143" t="s">
        <v>7274</v>
      </c>
      <c r="AH86" s="40"/>
    </row>
    <row r="87" spans="1:34">
      <c r="A87" s="51" t="s">
        <v>935</v>
      </c>
      <c r="B87" s="52" t="s">
        <v>6867</v>
      </c>
      <c r="C87" s="52" t="s">
        <v>6867</v>
      </c>
      <c r="D87" s="52" t="s">
        <v>6867</v>
      </c>
      <c r="E87" s="52" t="s">
        <v>8221</v>
      </c>
      <c r="F87" s="52" t="s">
        <v>8221</v>
      </c>
      <c r="G87" s="52" t="s">
        <v>8477</v>
      </c>
      <c r="H87" s="52" t="s">
        <v>8221</v>
      </c>
      <c r="I87" s="52" t="s">
        <v>8661</v>
      </c>
      <c r="J87" s="52" t="s">
        <v>8538</v>
      </c>
      <c r="K87" s="186" t="s">
        <v>7038</v>
      </c>
      <c r="L87" s="186" t="s">
        <v>7038</v>
      </c>
      <c r="M87" s="186" t="s">
        <v>8957</v>
      </c>
      <c r="N87" s="52" t="s">
        <v>8068</v>
      </c>
      <c r="O87" s="52" t="s">
        <v>8068</v>
      </c>
      <c r="P87" s="52" t="s">
        <v>8068</v>
      </c>
      <c r="Q87" s="52" t="s">
        <v>9169</v>
      </c>
      <c r="R87" s="52" t="s">
        <v>9169</v>
      </c>
      <c r="S87" s="52" t="s">
        <v>7275</v>
      </c>
      <c r="T87" s="52" t="s">
        <v>7326</v>
      </c>
      <c r="U87" s="52" t="s">
        <v>7444</v>
      </c>
      <c r="V87" s="52" t="s">
        <v>9470</v>
      </c>
      <c r="W87" s="52" t="s">
        <v>9470</v>
      </c>
      <c r="X87" s="52" t="s">
        <v>9470</v>
      </c>
      <c r="Y87" s="52" t="s">
        <v>9470</v>
      </c>
      <c r="Z87" s="52" t="s">
        <v>9470</v>
      </c>
      <c r="AA87" s="52" t="s">
        <v>0</v>
      </c>
      <c r="AB87" s="52" t="s">
        <v>8855</v>
      </c>
      <c r="AC87" s="52" t="s">
        <v>8855</v>
      </c>
      <c r="AD87" s="52" t="s">
        <v>8855</v>
      </c>
      <c r="AF87" s="40"/>
      <c r="AG87" s="310"/>
    </row>
    <row r="88" spans="1:34" ht="20.100000000000001" customHeight="1">
      <c r="A88" s="235" t="s">
        <v>6868</v>
      </c>
      <c r="B88" s="36" t="s">
        <v>6864</v>
      </c>
      <c r="C88" s="36" t="s">
        <v>6864</v>
      </c>
      <c r="D88" s="36" t="s">
        <v>6864</v>
      </c>
      <c r="E88" s="36" t="s">
        <v>6993</v>
      </c>
      <c r="F88" s="36" t="s">
        <v>6993</v>
      </c>
      <c r="G88" s="36" t="s">
        <v>6993</v>
      </c>
      <c r="H88" s="36" t="s">
        <v>6993</v>
      </c>
      <c r="I88" s="36" t="s">
        <v>6993</v>
      </c>
      <c r="J88" s="36" t="s">
        <v>6993</v>
      </c>
      <c r="K88" s="36" t="s">
        <v>8958</v>
      </c>
      <c r="L88" s="36" t="s">
        <v>8958</v>
      </c>
      <c r="M88" s="36" t="s">
        <v>8958</v>
      </c>
      <c r="N88" s="36" t="s">
        <v>7648</v>
      </c>
      <c r="O88" s="36" t="s">
        <v>7648</v>
      </c>
      <c r="P88" s="36" t="s">
        <v>7648</v>
      </c>
      <c r="Q88" s="36" t="s">
        <v>7648</v>
      </c>
      <c r="R88" s="36" t="s">
        <v>7648</v>
      </c>
      <c r="S88" s="36" t="s">
        <v>7276</v>
      </c>
      <c r="T88" s="36" t="s">
        <v>7276</v>
      </c>
      <c r="U88" s="36" t="s">
        <v>7276</v>
      </c>
      <c r="V88" s="36" t="s">
        <v>7648</v>
      </c>
      <c r="W88" s="36" t="s">
        <v>7648</v>
      </c>
      <c r="X88" s="36" t="s">
        <v>7648</v>
      </c>
      <c r="Y88" s="36" t="s">
        <v>7648</v>
      </c>
      <c r="Z88" s="36" t="s">
        <v>7648</v>
      </c>
      <c r="AA88" s="234" t="s">
        <v>0</v>
      </c>
      <c r="AB88" s="36" t="s">
        <v>7648</v>
      </c>
      <c r="AC88" s="36" t="s">
        <v>7648</v>
      </c>
      <c r="AD88" s="36" t="s">
        <v>7648</v>
      </c>
    </row>
    <row r="89" spans="1:34" s="40" customFormat="1">
      <c r="A89" s="51" t="s">
        <v>935</v>
      </c>
      <c r="B89" s="52" t="s">
        <v>6869</v>
      </c>
      <c r="C89" s="52" t="s">
        <v>6869</v>
      </c>
      <c r="D89" s="52" t="s">
        <v>6869</v>
      </c>
      <c r="E89" s="52" t="s">
        <v>8222</v>
      </c>
      <c r="F89" s="52" t="s">
        <v>8222</v>
      </c>
      <c r="G89" s="52" t="s">
        <v>8222</v>
      </c>
      <c r="H89" s="52" t="s">
        <v>8222</v>
      </c>
      <c r="I89" s="52" t="s">
        <v>8222</v>
      </c>
      <c r="J89" s="52" t="s">
        <v>8222</v>
      </c>
      <c r="K89" s="186" t="s">
        <v>7037</v>
      </c>
      <c r="L89" s="186" t="s">
        <v>7037</v>
      </c>
      <c r="M89" s="186" t="s">
        <v>7037</v>
      </c>
      <c r="N89" s="52" t="s">
        <v>8069</v>
      </c>
      <c r="O89" s="52" t="s">
        <v>8069</v>
      </c>
      <c r="P89" s="52" t="s">
        <v>8069</v>
      </c>
      <c r="Q89" s="52" t="s">
        <v>9170</v>
      </c>
      <c r="R89" s="52" t="s">
        <v>9170</v>
      </c>
      <c r="S89" s="52" t="s">
        <v>7277</v>
      </c>
      <c r="T89" s="52" t="s">
        <v>7327</v>
      </c>
      <c r="U89" s="52" t="s">
        <v>7445</v>
      </c>
      <c r="V89" s="52" t="s">
        <v>9471</v>
      </c>
      <c r="W89" s="52" t="s">
        <v>9471</v>
      </c>
      <c r="X89" s="52" t="s">
        <v>9471</v>
      </c>
      <c r="Y89" s="52" t="s">
        <v>9471</v>
      </c>
      <c r="Z89" s="52" t="s">
        <v>9471</v>
      </c>
      <c r="AA89" s="52" t="s">
        <v>0</v>
      </c>
      <c r="AB89" s="52" t="s">
        <v>8856</v>
      </c>
      <c r="AC89" s="52" t="s">
        <v>8856</v>
      </c>
      <c r="AD89" s="52" t="s">
        <v>8856</v>
      </c>
      <c r="AE89" s="167"/>
      <c r="AG89" s="310"/>
      <c r="AH89" s="5"/>
    </row>
    <row r="90" spans="1:34">
      <c r="A90" s="2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row>
    <row r="91" spans="1:34" s="40" customFormat="1" ht="20.100000000000001" customHeight="1">
      <c r="A91" s="22" t="s">
        <v>6517</v>
      </c>
      <c r="B91" s="18" t="str">
        <f t="shared" ref="B91:AD91" si="2">B1</f>
        <v>Allianz</v>
      </c>
      <c r="C91" s="18" t="str">
        <f t="shared" si="2"/>
        <v>Allianz SicherheitBest</v>
      </c>
      <c r="D91" s="18" t="str">
        <f t="shared" si="2"/>
        <v>Allianz SicherheitPlus</v>
      </c>
      <c r="E91" s="18" t="str">
        <f t="shared" si="2"/>
        <v>Ammerländer Basic</v>
      </c>
      <c r="F91" s="18" t="str">
        <f t="shared" si="2"/>
        <v>Ammerländer Classic</v>
      </c>
      <c r="G91" s="18" t="str">
        <f t="shared" si="2"/>
        <v>Ammerländer Comfort</v>
      </c>
      <c r="H91" s="18" t="str">
        <f t="shared" si="2"/>
        <v>Ammerländer Economic</v>
      </c>
      <c r="I91" s="18" t="str">
        <f t="shared" si="2"/>
        <v>Ammerländer Excellent</v>
      </c>
      <c r="J91" s="18" t="str">
        <f t="shared" si="2"/>
        <v>Ammerländer Exclusiv</v>
      </c>
      <c r="K91" s="18" t="str">
        <f t="shared" si="2"/>
        <v>Domcura Komfort</v>
      </c>
      <c r="L91" s="18" t="str">
        <f t="shared" si="2"/>
        <v>Domcura Standard</v>
      </c>
      <c r="M91" s="18" t="str">
        <f t="shared" si="2"/>
        <v>Domcura Top</v>
      </c>
      <c r="N91" s="18" t="str">
        <f t="shared" si="2"/>
        <v>Gothaer Basis</v>
      </c>
      <c r="O91" s="18" t="str">
        <f t="shared" si="2"/>
        <v>Gothaer Plus</v>
      </c>
      <c r="P91" s="18" t="str">
        <f t="shared" si="2"/>
        <v>Gothaer Premium</v>
      </c>
      <c r="Q91" s="18" t="str">
        <f t="shared" si="2"/>
        <v>HK Darmstadt Einfach Besser</v>
      </c>
      <c r="R91" s="18" t="str">
        <f t="shared" si="2"/>
        <v>HK Darmstadt Eindach Komplett</v>
      </c>
      <c r="S91" s="18" t="str">
        <f t="shared" si="2"/>
        <v>InterRisk L</v>
      </c>
      <c r="T91" s="18" t="str">
        <f t="shared" si="2"/>
        <v>InterRisk XL</v>
      </c>
      <c r="U91" s="18" t="str">
        <f t="shared" si="2"/>
        <v>InterRisk XXL</v>
      </c>
      <c r="V91" s="18" t="str">
        <f t="shared" si="2"/>
        <v>ITL Classic VS</v>
      </c>
      <c r="W91" s="18" t="str">
        <f t="shared" si="2"/>
        <v>ITL Eurosecure Plus QM afm</v>
      </c>
      <c r="X91" s="18" t="str">
        <f t="shared" si="2"/>
        <v>ITL Infinitus QM</v>
      </c>
      <c r="Y91" s="18" t="str">
        <f t="shared" si="2"/>
        <v>ITL Infinitus VS</v>
      </c>
      <c r="Z91" s="18" t="str">
        <f t="shared" si="2"/>
        <v>ITL Protect Plus VS</v>
      </c>
      <c r="AA91" s="18" t="str">
        <f t="shared" si="2"/>
        <v>Keine</v>
      </c>
      <c r="AB91" s="18" t="str">
        <f t="shared" si="2"/>
        <v>VHV Kl. Garant</v>
      </c>
      <c r="AC91" s="18" t="str">
        <f t="shared" si="2"/>
        <v>VHV Kl. Garant Exkl.</v>
      </c>
      <c r="AD91" s="18" t="str">
        <f t="shared" si="2"/>
        <v>VHV Kl. Garant Exkl.BEST</v>
      </c>
      <c r="AE91" s="167"/>
      <c r="AG91" s="310"/>
    </row>
    <row r="92" spans="1:34" ht="20.100000000000001" customHeight="1">
      <c r="A92" s="183" t="s">
        <v>6518</v>
      </c>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row>
    <row r="93" spans="1:34" s="40" customFormat="1" ht="20.100000000000001" customHeight="1">
      <c r="A93" s="182" t="s">
        <v>6519</v>
      </c>
      <c r="B93" s="38" t="s">
        <v>6767</v>
      </c>
      <c r="C93" s="38" t="s">
        <v>6767</v>
      </c>
      <c r="D93" s="38" t="s">
        <v>6767</v>
      </c>
      <c r="E93" s="38" t="s">
        <v>57</v>
      </c>
      <c r="F93" s="38" t="s">
        <v>57</v>
      </c>
      <c r="G93" s="38" t="s">
        <v>57</v>
      </c>
      <c r="H93" s="38" t="s">
        <v>57</v>
      </c>
      <c r="I93" s="38" t="s">
        <v>57</v>
      </c>
      <c r="J93" s="38" t="s">
        <v>57</v>
      </c>
      <c r="K93" s="38" t="s">
        <v>57</v>
      </c>
      <c r="L93" s="38" t="s">
        <v>57</v>
      </c>
      <c r="M93" s="38" t="s">
        <v>57</v>
      </c>
      <c r="N93" s="38" t="s">
        <v>57</v>
      </c>
      <c r="O93" s="38" t="s">
        <v>57</v>
      </c>
      <c r="P93" s="38" t="s">
        <v>57</v>
      </c>
      <c r="Q93" s="38" t="s">
        <v>57</v>
      </c>
      <c r="R93" s="38" t="s">
        <v>57</v>
      </c>
      <c r="S93" s="38" t="s">
        <v>57</v>
      </c>
      <c r="T93" s="38" t="s">
        <v>57</v>
      </c>
      <c r="U93" s="38" t="s">
        <v>57</v>
      </c>
      <c r="V93" s="38" t="s">
        <v>57</v>
      </c>
      <c r="W93" s="38" t="s">
        <v>57</v>
      </c>
      <c r="X93" s="38" t="s">
        <v>57</v>
      </c>
      <c r="Y93" s="38" t="s">
        <v>57</v>
      </c>
      <c r="Z93" s="38" t="s">
        <v>57</v>
      </c>
      <c r="AA93" s="38" t="s">
        <v>0</v>
      </c>
      <c r="AB93" s="38" t="s">
        <v>57</v>
      </c>
      <c r="AC93" s="38" t="s">
        <v>57</v>
      </c>
      <c r="AD93" s="38" t="s">
        <v>57</v>
      </c>
      <c r="AE93" s="167"/>
      <c r="AG93" s="310"/>
    </row>
    <row r="94" spans="1:34">
      <c r="A94" s="51" t="s">
        <v>935</v>
      </c>
      <c r="B94" s="52" t="s">
        <v>6766</v>
      </c>
      <c r="C94" s="52" t="s">
        <v>6870</v>
      </c>
      <c r="D94" s="52" t="s">
        <v>6870</v>
      </c>
      <c r="E94" s="52" t="s">
        <v>8149</v>
      </c>
      <c r="F94" s="52" t="s">
        <v>8149</v>
      </c>
      <c r="G94" s="52" t="s">
        <v>8149</v>
      </c>
      <c r="H94" s="52" t="s">
        <v>8149</v>
      </c>
      <c r="I94" s="52" t="s">
        <v>8149</v>
      </c>
      <c r="J94" s="52" t="s">
        <v>8149</v>
      </c>
      <c r="K94" s="186" t="s">
        <v>6994</v>
      </c>
      <c r="L94" s="186" t="s">
        <v>6994</v>
      </c>
      <c r="M94" s="186" t="s">
        <v>6994</v>
      </c>
      <c r="N94" s="52" t="s">
        <v>7920</v>
      </c>
      <c r="O94" s="52" t="s">
        <v>7920</v>
      </c>
      <c r="P94" s="52" t="s">
        <v>7920</v>
      </c>
      <c r="Q94" s="52" t="s">
        <v>9218</v>
      </c>
      <c r="R94" s="52" t="s">
        <v>9218</v>
      </c>
      <c r="S94" s="52" t="s">
        <v>7242</v>
      </c>
      <c r="T94" s="52" t="s">
        <v>7328</v>
      </c>
      <c r="U94" s="52" t="s">
        <v>7446</v>
      </c>
      <c r="V94" s="52" t="s">
        <v>9366</v>
      </c>
      <c r="W94" s="52" t="s">
        <v>9366</v>
      </c>
      <c r="X94" s="52" t="s">
        <v>9366</v>
      </c>
      <c r="Y94" s="52" t="s">
        <v>9366</v>
      </c>
      <c r="Z94" s="52" t="s">
        <v>9366</v>
      </c>
      <c r="AA94" s="52" t="s">
        <v>0</v>
      </c>
      <c r="AB94" s="52" t="s">
        <v>7920</v>
      </c>
      <c r="AC94" s="52" t="s">
        <v>7920</v>
      </c>
      <c r="AD94" s="52" t="s">
        <v>7920</v>
      </c>
    </row>
    <row r="95" spans="1:34" s="40" customFormat="1" ht="20.100000000000001" customHeight="1">
      <c r="A95" s="6" t="s">
        <v>2</v>
      </c>
      <c r="B95" s="38" t="s">
        <v>57</v>
      </c>
      <c r="C95" s="38" t="s">
        <v>57</v>
      </c>
      <c r="D95" s="38" t="s">
        <v>57</v>
      </c>
      <c r="E95" s="38" t="s">
        <v>8152</v>
      </c>
      <c r="F95" s="36" t="s">
        <v>57</v>
      </c>
      <c r="G95" s="36" t="s">
        <v>57</v>
      </c>
      <c r="H95" s="38" t="s">
        <v>8152</v>
      </c>
      <c r="I95" s="36" t="s">
        <v>57</v>
      </c>
      <c r="J95" s="36" t="s">
        <v>57</v>
      </c>
      <c r="K95" s="38" t="s">
        <v>57</v>
      </c>
      <c r="L95" s="38" t="s">
        <v>57</v>
      </c>
      <c r="M95" s="38" t="s">
        <v>57</v>
      </c>
      <c r="N95" s="38" t="s">
        <v>57</v>
      </c>
      <c r="O95" s="38" t="s">
        <v>57</v>
      </c>
      <c r="P95" s="38" t="s">
        <v>57</v>
      </c>
      <c r="Q95" s="38" t="s">
        <v>57</v>
      </c>
      <c r="R95" s="38" t="s">
        <v>57</v>
      </c>
      <c r="S95" s="38" t="s">
        <v>0</v>
      </c>
      <c r="T95" s="38" t="s">
        <v>57</v>
      </c>
      <c r="U95" s="38" t="s">
        <v>57</v>
      </c>
      <c r="V95" s="38" t="s">
        <v>57</v>
      </c>
      <c r="W95" s="38" t="s">
        <v>57</v>
      </c>
      <c r="X95" s="38" t="s">
        <v>57</v>
      </c>
      <c r="Y95" s="38" t="s">
        <v>57</v>
      </c>
      <c r="Z95" s="38" t="s">
        <v>57</v>
      </c>
      <c r="AA95" s="38" t="s">
        <v>0</v>
      </c>
      <c r="AB95" s="38" t="s">
        <v>57</v>
      </c>
      <c r="AC95" s="38" t="s">
        <v>57</v>
      </c>
      <c r="AD95" s="38" t="s">
        <v>57</v>
      </c>
      <c r="AE95" s="167"/>
      <c r="AG95" s="310"/>
    </row>
    <row r="96" spans="1:34">
      <c r="A96" s="51" t="s">
        <v>935</v>
      </c>
      <c r="B96" s="52" t="s">
        <v>6761</v>
      </c>
      <c r="C96" s="52" t="s">
        <v>6761</v>
      </c>
      <c r="D96" s="52" t="s">
        <v>6761</v>
      </c>
      <c r="E96" s="52" t="s">
        <v>8153</v>
      </c>
      <c r="F96" s="52" t="s">
        <v>8400</v>
      </c>
      <c r="G96" s="52" t="s">
        <v>8401</v>
      </c>
      <c r="H96" s="52" t="s">
        <v>8253</v>
      </c>
      <c r="I96" s="52" t="s">
        <v>8496</v>
      </c>
      <c r="J96" s="52" t="s">
        <v>8496</v>
      </c>
      <c r="K96" s="186" t="s">
        <v>6995</v>
      </c>
      <c r="L96" s="186" t="s">
        <v>6995</v>
      </c>
      <c r="M96" s="186" t="s">
        <v>6995</v>
      </c>
      <c r="N96" s="52" t="s">
        <v>7921</v>
      </c>
      <c r="O96" s="52" t="s">
        <v>7921</v>
      </c>
      <c r="P96" s="52" t="s">
        <v>7921</v>
      </c>
      <c r="Q96" s="52" t="s">
        <v>9171</v>
      </c>
      <c r="R96" s="52" t="s">
        <v>9171</v>
      </c>
      <c r="S96" s="186" t="s">
        <v>0</v>
      </c>
      <c r="T96" s="52" t="s">
        <v>7329</v>
      </c>
      <c r="U96" s="52" t="s">
        <v>7447</v>
      </c>
      <c r="V96" s="52" t="s">
        <v>9367</v>
      </c>
      <c r="W96" s="52" t="s">
        <v>9367</v>
      </c>
      <c r="X96" s="52" t="s">
        <v>9367</v>
      </c>
      <c r="Y96" s="52" t="s">
        <v>9367</v>
      </c>
      <c r="Z96" s="52" t="s">
        <v>9367</v>
      </c>
      <c r="AA96" s="52" t="s">
        <v>0</v>
      </c>
      <c r="AB96" s="52" t="s">
        <v>8711</v>
      </c>
      <c r="AC96" s="52" t="s">
        <v>8711</v>
      </c>
      <c r="AD96" s="52" t="s">
        <v>8711</v>
      </c>
    </row>
    <row r="97" spans="1:33" s="40" customFormat="1" ht="20.100000000000001" customHeight="1">
      <c r="A97" s="62" t="s">
        <v>23</v>
      </c>
      <c r="B97" s="36" t="s">
        <v>0</v>
      </c>
      <c r="C97" s="36" t="s">
        <v>6874</v>
      </c>
      <c r="D97" s="36" t="s">
        <v>6874</v>
      </c>
      <c r="E97" s="36" t="s">
        <v>8250</v>
      </c>
      <c r="F97" s="36" t="s">
        <v>57</v>
      </c>
      <c r="G97" s="36" t="s">
        <v>57</v>
      </c>
      <c r="H97" s="36" t="s">
        <v>8250</v>
      </c>
      <c r="I97" s="36" t="s">
        <v>57</v>
      </c>
      <c r="J97" s="36" t="s">
        <v>57</v>
      </c>
      <c r="K97" s="38" t="s">
        <v>57</v>
      </c>
      <c r="L97" s="38" t="s">
        <v>57</v>
      </c>
      <c r="M97" s="38" t="s">
        <v>57</v>
      </c>
      <c r="N97" s="38" t="s">
        <v>0</v>
      </c>
      <c r="O97" s="36" t="s">
        <v>8249</v>
      </c>
      <c r="P97" s="36" t="s">
        <v>8249</v>
      </c>
      <c r="Q97" s="38" t="s">
        <v>57</v>
      </c>
      <c r="R97" s="38" t="s">
        <v>57</v>
      </c>
      <c r="S97" s="38" t="s">
        <v>0</v>
      </c>
      <c r="T97" s="36" t="s">
        <v>8249</v>
      </c>
      <c r="U97" s="36" t="s">
        <v>8251</v>
      </c>
      <c r="V97" s="36" t="s">
        <v>57</v>
      </c>
      <c r="W97" s="36" t="s">
        <v>57</v>
      </c>
      <c r="X97" s="36" t="s">
        <v>57</v>
      </c>
      <c r="Y97" s="36" t="s">
        <v>57</v>
      </c>
      <c r="Z97" s="36" t="s">
        <v>57</v>
      </c>
      <c r="AA97" s="38" t="s">
        <v>0</v>
      </c>
      <c r="AB97" s="36" t="s">
        <v>8249</v>
      </c>
      <c r="AC97" s="36" t="s">
        <v>8249</v>
      </c>
      <c r="AD97" s="36" t="s">
        <v>8249</v>
      </c>
      <c r="AE97" s="167"/>
      <c r="AG97" s="310"/>
    </row>
    <row r="98" spans="1:33">
      <c r="A98" s="51" t="s">
        <v>935</v>
      </c>
      <c r="B98" s="52" t="s">
        <v>0</v>
      </c>
      <c r="C98" s="52" t="s">
        <v>6871</v>
      </c>
      <c r="D98" s="52" t="s">
        <v>6871</v>
      </c>
      <c r="E98" s="52" t="s">
        <v>8153</v>
      </c>
      <c r="F98" s="52" t="s">
        <v>8317</v>
      </c>
      <c r="G98" s="52" t="s">
        <v>8399</v>
      </c>
      <c r="H98" s="52" t="s">
        <v>8254</v>
      </c>
      <c r="I98" s="52" t="s">
        <v>8585</v>
      </c>
      <c r="J98" s="52" t="s">
        <v>8496</v>
      </c>
      <c r="K98" s="186" t="s">
        <v>6996</v>
      </c>
      <c r="L98" s="186" t="s">
        <v>6996</v>
      </c>
      <c r="M98" s="186" t="s">
        <v>6996</v>
      </c>
      <c r="N98" s="52" t="s">
        <v>7922</v>
      </c>
      <c r="O98" s="52" t="s">
        <v>7922</v>
      </c>
      <c r="P98" s="52" t="s">
        <v>7922</v>
      </c>
      <c r="Q98" s="52" t="s">
        <v>9171</v>
      </c>
      <c r="R98" s="52" t="s">
        <v>9171</v>
      </c>
      <c r="S98" s="186" t="s">
        <v>0</v>
      </c>
      <c r="T98" s="52" t="s">
        <v>7330</v>
      </c>
      <c r="U98" s="52" t="s">
        <v>7448</v>
      </c>
      <c r="V98" s="52" t="s">
        <v>9359</v>
      </c>
      <c r="W98" s="52" t="s">
        <v>9359</v>
      </c>
      <c r="X98" s="52" t="s">
        <v>9359</v>
      </c>
      <c r="Y98" s="52" t="s">
        <v>9359</v>
      </c>
      <c r="Z98" s="52" t="s">
        <v>9359</v>
      </c>
      <c r="AA98" s="52" t="s">
        <v>0</v>
      </c>
      <c r="AB98" s="52" t="s">
        <v>8717</v>
      </c>
      <c r="AC98" s="52" t="s">
        <v>8717</v>
      </c>
      <c r="AD98" s="52" t="s">
        <v>8717</v>
      </c>
    </row>
    <row r="99" spans="1:33" s="40" customFormat="1" ht="30" customHeight="1">
      <c r="A99" s="62" t="s">
        <v>9360</v>
      </c>
      <c r="B99" s="38" t="s">
        <v>0</v>
      </c>
      <c r="C99" s="36" t="s">
        <v>6874</v>
      </c>
      <c r="D99" s="36" t="s">
        <v>6874</v>
      </c>
      <c r="E99" s="36" t="s">
        <v>0</v>
      </c>
      <c r="F99" s="36" t="s">
        <v>8315</v>
      </c>
      <c r="G99" s="36" t="s">
        <v>8397</v>
      </c>
      <c r="H99" s="36" t="s">
        <v>8247</v>
      </c>
      <c r="I99" s="36" t="s">
        <v>8583</v>
      </c>
      <c r="J99" s="36" t="s">
        <v>8397</v>
      </c>
      <c r="K99" s="36" t="s">
        <v>57</v>
      </c>
      <c r="L99" s="36" t="s">
        <v>57</v>
      </c>
      <c r="M99" s="36" t="s">
        <v>57</v>
      </c>
      <c r="N99" s="36" t="s">
        <v>0</v>
      </c>
      <c r="O99" s="36" t="s">
        <v>396</v>
      </c>
      <c r="P99" s="36" t="s">
        <v>396</v>
      </c>
      <c r="Q99" s="36" t="s">
        <v>9219</v>
      </c>
      <c r="R99" s="36" t="s">
        <v>9322</v>
      </c>
      <c r="S99" s="36" t="s">
        <v>0</v>
      </c>
      <c r="T99" s="38" t="s">
        <v>57</v>
      </c>
      <c r="U99" s="38" t="s">
        <v>57</v>
      </c>
      <c r="V99" s="38" t="s">
        <v>57</v>
      </c>
      <c r="W99" s="38" t="s">
        <v>57</v>
      </c>
      <c r="X99" s="38" t="s">
        <v>57</v>
      </c>
      <c r="Y99" s="38" t="s">
        <v>57</v>
      </c>
      <c r="Z99" s="38" t="s">
        <v>57</v>
      </c>
      <c r="AA99" s="38" t="s">
        <v>0</v>
      </c>
      <c r="AB99" s="36" t="s">
        <v>8715</v>
      </c>
      <c r="AC99" s="36" t="s">
        <v>8715</v>
      </c>
      <c r="AD99" s="36" t="s">
        <v>8715</v>
      </c>
      <c r="AE99" s="167"/>
      <c r="AF99" s="5"/>
      <c r="AG99" s="310"/>
    </row>
    <row r="100" spans="1:33">
      <c r="A100" s="51" t="s">
        <v>935</v>
      </c>
      <c r="B100" s="52" t="s">
        <v>0</v>
      </c>
      <c r="C100" s="52" t="s">
        <v>6871</v>
      </c>
      <c r="D100" s="52" t="s">
        <v>6871</v>
      </c>
      <c r="E100" s="52" t="s">
        <v>8154</v>
      </c>
      <c r="F100" s="52" t="s">
        <v>8316</v>
      </c>
      <c r="G100" s="52" t="s">
        <v>8398</v>
      </c>
      <c r="H100" s="52" t="s">
        <v>8246</v>
      </c>
      <c r="I100" s="52" t="s">
        <v>8584</v>
      </c>
      <c r="J100" s="52" t="s">
        <v>8495</v>
      </c>
      <c r="K100" s="186" t="s">
        <v>6997</v>
      </c>
      <c r="L100" s="186" t="s">
        <v>6997</v>
      </c>
      <c r="M100" s="186" t="s">
        <v>6997</v>
      </c>
      <c r="N100" s="52" t="s">
        <v>7923</v>
      </c>
      <c r="O100" s="52" t="s">
        <v>7923</v>
      </c>
      <c r="P100" s="52" t="s">
        <v>7923</v>
      </c>
      <c r="Q100" s="52" t="s">
        <v>9172</v>
      </c>
      <c r="R100" s="52" t="s">
        <v>9321</v>
      </c>
      <c r="S100" s="52" t="s">
        <v>7243</v>
      </c>
      <c r="T100" s="52" t="s">
        <v>7331</v>
      </c>
      <c r="U100" s="52" t="s">
        <v>7449</v>
      </c>
      <c r="V100" s="52" t="s">
        <v>9361</v>
      </c>
      <c r="W100" s="52" t="s">
        <v>9361</v>
      </c>
      <c r="X100" s="52" t="s">
        <v>9361</v>
      </c>
      <c r="Y100" s="52" t="s">
        <v>9361</v>
      </c>
      <c r="Z100" s="52" t="s">
        <v>9361</v>
      </c>
      <c r="AA100" s="52" t="s">
        <v>0</v>
      </c>
      <c r="AB100" s="52" t="s">
        <v>8716</v>
      </c>
      <c r="AC100" s="52" t="s">
        <v>8716</v>
      </c>
      <c r="AD100" s="52" t="s">
        <v>8716</v>
      </c>
    </row>
    <row r="101" spans="1:33" s="40" customFormat="1" ht="20.100000000000001" customHeight="1">
      <c r="A101" s="6" t="s">
        <v>120</v>
      </c>
      <c r="B101" s="38" t="s">
        <v>57</v>
      </c>
      <c r="C101" s="38" t="s">
        <v>57</v>
      </c>
      <c r="D101" s="38" t="s">
        <v>57</v>
      </c>
      <c r="E101" s="38" t="s">
        <v>57</v>
      </c>
      <c r="F101" s="38" t="s">
        <v>57</v>
      </c>
      <c r="G101" s="38" t="s">
        <v>57</v>
      </c>
      <c r="H101" s="38" t="s">
        <v>57</v>
      </c>
      <c r="I101" s="38" t="s">
        <v>57</v>
      </c>
      <c r="J101" s="38" t="s">
        <v>57</v>
      </c>
      <c r="K101" s="36" t="s">
        <v>57</v>
      </c>
      <c r="L101" s="36" t="s">
        <v>57</v>
      </c>
      <c r="M101" s="36" t="s">
        <v>57</v>
      </c>
      <c r="N101" s="36" t="s">
        <v>57</v>
      </c>
      <c r="O101" s="36" t="s">
        <v>57</v>
      </c>
      <c r="P101" s="36" t="s">
        <v>57</v>
      </c>
      <c r="Q101" s="36" t="s">
        <v>57</v>
      </c>
      <c r="R101" s="36" t="s">
        <v>57</v>
      </c>
      <c r="S101" s="36" t="s">
        <v>57</v>
      </c>
      <c r="T101" s="36" t="s">
        <v>57</v>
      </c>
      <c r="U101" s="36" t="s">
        <v>57</v>
      </c>
      <c r="V101" s="36" t="s">
        <v>57</v>
      </c>
      <c r="W101" s="36" t="s">
        <v>57</v>
      </c>
      <c r="X101" s="36" t="s">
        <v>57</v>
      </c>
      <c r="Y101" s="36" t="s">
        <v>57</v>
      </c>
      <c r="Z101" s="36" t="s">
        <v>57</v>
      </c>
      <c r="AA101" s="38" t="s">
        <v>0</v>
      </c>
      <c r="AB101" s="36" t="s">
        <v>57</v>
      </c>
      <c r="AC101" s="36" t="s">
        <v>57</v>
      </c>
      <c r="AD101" s="36" t="s">
        <v>57</v>
      </c>
      <c r="AE101" s="167"/>
      <c r="AF101" s="5"/>
      <c r="AG101" s="311"/>
    </row>
    <row r="102" spans="1:33">
      <c r="A102" s="51" t="s">
        <v>935</v>
      </c>
      <c r="B102" s="52" t="s">
        <v>6768</v>
      </c>
      <c r="C102" s="52" t="s">
        <v>6768</v>
      </c>
      <c r="D102" s="52" t="s">
        <v>6768</v>
      </c>
      <c r="E102" s="52" t="s">
        <v>8150</v>
      </c>
      <c r="F102" s="52" t="s">
        <v>8312</v>
      </c>
      <c r="G102" s="52" t="s">
        <v>8395</v>
      </c>
      <c r="H102" s="52" t="s">
        <v>8244</v>
      </c>
      <c r="I102" s="52" t="s">
        <v>8577</v>
      </c>
      <c r="J102" s="52" t="s">
        <v>8492</v>
      </c>
      <c r="K102" s="186" t="s">
        <v>6997</v>
      </c>
      <c r="L102" s="186" t="s">
        <v>6997</v>
      </c>
      <c r="M102" s="186" t="s">
        <v>6997</v>
      </c>
      <c r="N102" s="52" t="s">
        <v>7924</v>
      </c>
      <c r="O102" s="52" t="s">
        <v>7924</v>
      </c>
      <c r="P102" s="52" t="s">
        <v>7924</v>
      </c>
      <c r="Q102" s="52" t="s">
        <v>9173</v>
      </c>
      <c r="R102" s="52" t="s">
        <v>9173</v>
      </c>
      <c r="S102" s="52" t="s">
        <v>7244</v>
      </c>
      <c r="T102" s="52" t="s">
        <v>7332</v>
      </c>
      <c r="U102" s="52" t="s">
        <v>7450</v>
      </c>
      <c r="V102" s="52" t="s">
        <v>9358</v>
      </c>
      <c r="W102" s="52" t="s">
        <v>9358</v>
      </c>
      <c r="X102" s="52" t="s">
        <v>9358</v>
      </c>
      <c r="Y102" s="52" t="s">
        <v>9358</v>
      </c>
      <c r="Z102" s="52" t="s">
        <v>9358</v>
      </c>
      <c r="AA102" s="52" t="s">
        <v>0</v>
      </c>
      <c r="AB102" s="52" t="s">
        <v>8714</v>
      </c>
      <c r="AC102" s="52" t="s">
        <v>8714</v>
      </c>
      <c r="AD102" s="52" t="s">
        <v>8714</v>
      </c>
      <c r="AF102" s="40"/>
    </row>
    <row r="103" spans="1:33" s="40" customFormat="1" ht="30" customHeight="1">
      <c r="A103" s="181" t="s">
        <v>7453</v>
      </c>
      <c r="B103" s="36" t="s">
        <v>6771</v>
      </c>
      <c r="C103" s="36" t="s">
        <v>6873</v>
      </c>
      <c r="D103" s="36" t="s">
        <v>6873</v>
      </c>
      <c r="E103" s="36" t="s">
        <v>8155</v>
      </c>
      <c r="F103" s="36" t="s">
        <v>8313</v>
      </c>
      <c r="G103" s="36" t="s">
        <v>8313</v>
      </c>
      <c r="H103" s="36" t="s">
        <v>7454</v>
      </c>
      <c r="I103" s="36" t="s">
        <v>8582</v>
      </c>
      <c r="J103" s="36" t="s">
        <v>8494</v>
      </c>
      <c r="K103" s="36" t="s">
        <v>7454</v>
      </c>
      <c r="L103" s="36" t="s">
        <v>7454</v>
      </c>
      <c r="M103" s="36" t="s">
        <v>7454</v>
      </c>
      <c r="N103" s="36" t="s">
        <v>7925</v>
      </c>
      <c r="O103" s="36" t="s">
        <v>7454</v>
      </c>
      <c r="P103" s="36" t="s">
        <v>7454</v>
      </c>
      <c r="Q103" s="36" t="s">
        <v>7454</v>
      </c>
      <c r="R103" s="36" t="s">
        <v>7454</v>
      </c>
      <c r="S103" s="36" t="s">
        <v>859</v>
      </c>
      <c r="T103" s="36" t="s">
        <v>7454</v>
      </c>
      <c r="U103" s="36" t="s">
        <v>7454</v>
      </c>
      <c r="V103" s="36" t="s">
        <v>7454</v>
      </c>
      <c r="W103" s="36" t="s">
        <v>7454</v>
      </c>
      <c r="X103" s="36" t="s">
        <v>7454</v>
      </c>
      <c r="Y103" s="36" t="s">
        <v>7454</v>
      </c>
      <c r="Z103" s="36" t="s">
        <v>7454</v>
      </c>
      <c r="AA103" s="38" t="s">
        <v>0</v>
      </c>
      <c r="AB103" s="36" t="s">
        <v>7454</v>
      </c>
      <c r="AC103" s="36" t="s">
        <v>7454</v>
      </c>
      <c r="AD103" s="36" t="s">
        <v>7454</v>
      </c>
      <c r="AE103" s="167"/>
      <c r="AF103" s="5"/>
      <c r="AG103" s="311"/>
    </row>
    <row r="104" spans="1:33">
      <c r="A104" s="51" t="s">
        <v>935</v>
      </c>
      <c r="B104" s="52" t="s">
        <v>6770</v>
      </c>
      <c r="C104" s="52" t="s">
        <v>6872</v>
      </c>
      <c r="D104" s="52" t="s">
        <v>6872</v>
      </c>
      <c r="E104" s="52" t="s">
        <v>8151</v>
      </c>
      <c r="F104" s="52" t="s">
        <v>8314</v>
      </c>
      <c r="G104" s="52" t="s">
        <v>8396</v>
      </c>
      <c r="H104" s="52" t="s">
        <v>8245</v>
      </c>
      <c r="I104" s="52" t="s">
        <v>8578</v>
      </c>
      <c r="J104" s="52" t="s">
        <v>8493</v>
      </c>
      <c r="K104" s="186" t="s">
        <v>6998</v>
      </c>
      <c r="L104" s="186" t="s">
        <v>6998</v>
      </c>
      <c r="M104" s="186" t="s">
        <v>6998</v>
      </c>
      <c r="N104" s="52" t="s">
        <v>7926</v>
      </c>
      <c r="O104" s="52" t="s">
        <v>7926</v>
      </c>
      <c r="P104" s="52" t="s">
        <v>7926</v>
      </c>
      <c r="Q104" s="52" t="s">
        <v>9220</v>
      </c>
      <c r="R104" s="52" t="s">
        <v>9220</v>
      </c>
      <c r="S104" s="52" t="s">
        <v>7244</v>
      </c>
      <c r="T104" s="52" t="s">
        <v>7334</v>
      </c>
      <c r="U104" s="52" t="s">
        <v>7455</v>
      </c>
      <c r="V104" s="52" t="s">
        <v>9368</v>
      </c>
      <c r="W104" s="52" t="s">
        <v>9368</v>
      </c>
      <c r="X104" s="52" t="s">
        <v>9368</v>
      </c>
      <c r="Y104" s="52" t="s">
        <v>9368</v>
      </c>
      <c r="Z104" s="52" t="s">
        <v>9368</v>
      </c>
      <c r="AA104" s="52" t="s">
        <v>0</v>
      </c>
      <c r="AB104" s="52" t="s">
        <v>8710</v>
      </c>
      <c r="AC104" s="52" t="s">
        <v>8710</v>
      </c>
      <c r="AD104" s="52" t="s">
        <v>8710</v>
      </c>
      <c r="AF104" s="40"/>
      <c r="AG104" s="310"/>
    </row>
    <row r="105" spans="1:33" s="40" customFormat="1" ht="39.950000000000003" customHeight="1">
      <c r="A105" s="62" t="s">
        <v>7451</v>
      </c>
      <c r="B105" s="36" t="s">
        <v>0</v>
      </c>
      <c r="C105" s="36" t="s">
        <v>6874</v>
      </c>
      <c r="D105" s="36" t="s">
        <v>6874</v>
      </c>
      <c r="E105" s="36" t="s">
        <v>8587</v>
      </c>
      <c r="F105" s="36" t="s">
        <v>8589</v>
      </c>
      <c r="G105" s="36" t="s">
        <v>8589</v>
      </c>
      <c r="H105" s="36" t="s">
        <v>8588</v>
      </c>
      <c r="I105" s="36" t="s">
        <v>8320</v>
      </c>
      <c r="J105" s="36" t="s">
        <v>8589</v>
      </c>
      <c r="K105" s="36" t="s">
        <v>9045</v>
      </c>
      <c r="L105" s="36" t="s">
        <v>0</v>
      </c>
      <c r="M105" s="36" t="s">
        <v>9046</v>
      </c>
      <c r="N105" s="37" t="s">
        <v>0</v>
      </c>
      <c r="O105" s="37" t="s">
        <v>57</v>
      </c>
      <c r="P105" s="37" t="s">
        <v>57</v>
      </c>
      <c r="Q105" s="37" t="s">
        <v>9221</v>
      </c>
      <c r="R105" s="37" t="s">
        <v>9221</v>
      </c>
      <c r="S105" s="37" t="s">
        <v>0</v>
      </c>
      <c r="T105" s="37" t="s">
        <v>7452</v>
      </c>
      <c r="U105" s="37" t="s">
        <v>57</v>
      </c>
      <c r="V105" s="37" t="s">
        <v>0</v>
      </c>
      <c r="W105" s="36" t="s">
        <v>9487</v>
      </c>
      <c r="X105" s="36" t="s">
        <v>9722</v>
      </c>
      <c r="Y105" s="36" t="s">
        <v>9722</v>
      </c>
      <c r="Z105" s="36" t="s">
        <v>9487</v>
      </c>
      <c r="AA105" s="38" t="s">
        <v>0</v>
      </c>
      <c r="AB105" s="37" t="s">
        <v>9490</v>
      </c>
      <c r="AC105" s="37" t="s">
        <v>9490</v>
      </c>
      <c r="AD105" s="37" t="s">
        <v>9490</v>
      </c>
      <c r="AE105" s="167"/>
      <c r="AF105" s="5"/>
      <c r="AG105" s="311"/>
    </row>
    <row r="106" spans="1:33">
      <c r="A106" s="51" t="s">
        <v>935</v>
      </c>
      <c r="B106" s="52" t="s">
        <v>0</v>
      </c>
      <c r="C106" s="52" t="s">
        <v>6871</v>
      </c>
      <c r="D106" s="52" t="s">
        <v>6871</v>
      </c>
      <c r="E106" s="52" t="s">
        <v>8156</v>
      </c>
      <c r="F106" s="52" t="s">
        <v>8321</v>
      </c>
      <c r="G106" s="52" t="s">
        <v>8402</v>
      </c>
      <c r="H106" s="52" t="s">
        <v>8256</v>
      </c>
      <c r="I106" s="52" t="s">
        <v>8579</v>
      </c>
      <c r="J106" s="52" t="s">
        <v>8497</v>
      </c>
      <c r="K106" s="186" t="s">
        <v>9043</v>
      </c>
      <c r="L106" s="52" t="s">
        <v>0</v>
      </c>
      <c r="M106" s="186" t="s">
        <v>9047</v>
      </c>
      <c r="N106" s="52" t="s">
        <v>8058</v>
      </c>
      <c r="O106" s="52" t="s">
        <v>8058</v>
      </c>
      <c r="P106" s="52" t="s">
        <v>8058</v>
      </c>
      <c r="Q106" s="52" t="s">
        <v>9222</v>
      </c>
      <c r="R106" s="52" t="s">
        <v>9222</v>
      </c>
      <c r="S106" s="186" t="s">
        <v>0</v>
      </c>
      <c r="T106" s="52" t="s">
        <v>7333</v>
      </c>
      <c r="U106" s="52" t="s">
        <v>7456</v>
      </c>
      <c r="V106" s="52" t="s">
        <v>0</v>
      </c>
      <c r="W106" s="52" t="s">
        <v>9363</v>
      </c>
      <c r="X106" s="52" t="s">
        <v>9364</v>
      </c>
      <c r="Y106" s="52" t="s">
        <v>9364</v>
      </c>
      <c r="Z106" s="52" t="s">
        <v>9363</v>
      </c>
      <c r="AA106" s="52" t="s">
        <v>0</v>
      </c>
      <c r="AB106" s="52" t="s">
        <v>8713</v>
      </c>
      <c r="AC106" s="52" t="s">
        <v>8713</v>
      </c>
      <c r="AD106" s="52" t="s">
        <v>8713</v>
      </c>
      <c r="AF106" s="40"/>
      <c r="AG106" s="310"/>
    </row>
    <row r="107" spans="1:33" s="40" customFormat="1" ht="30" customHeight="1">
      <c r="A107" s="62" t="s">
        <v>124</v>
      </c>
      <c r="B107" s="36" t="s">
        <v>6765</v>
      </c>
      <c r="C107" s="36" t="s">
        <v>6765</v>
      </c>
      <c r="D107" s="36" t="s">
        <v>6765</v>
      </c>
      <c r="E107" s="36" t="s">
        <v>0</v>
      </c>
      <c r="F107" s="36" t="s">
        <v>6999</v>
      </c>
      <c r="G107" s="36" t="s">
        <v>6999</v>
      </c>
      <c r="H107" s="36" t="s">
        <v>0</v>
      </c>
      <c r="I107" s="36" t="s">
        <v>6999</v>
      </c>
      <c r="J107" s="36" t="s">
        <v>6999</v>
      </c>
      <c r="K107" s="36" t="s">
        <v>6999</v>
      </c>
      <c r="L107" s="36" t="s">
        <v>6999</v>
      </c>
      <c r="M107" s="36" t="s">
        <v>6999</v>
      </c>
      <c r="N107" s="38" t="s">
        <v>57</v>
      </c>
      <c r="O107" s="38" t="s">
        <v>57</v>
      </c>
      <c r="P107" s="38" t="s">
        <v>57</v>
      </c>
      <c r="Q107" s="36" t="s">
        <v>6999</v>
      </c>
      <c r="R107" s="36" t="s">
        <v>6999</v>
      </c>
      <c r="S107" s="36" t="s">
        <v>57</v>
      </c>
      <c r="T107" s="36" t="s">
        <v>57</v>
      </c>
      <c r="U107" s="36" t="s">
        <v>57</v>
      </c>
      <c r="V107" s="36" t="s">
        <v>9362</v>
      </c>
      <c r="W107" s="36" t="s">
        <v>9362</v>
      </c>
      <c r="X107" s="36" t="s">
        <v>9362</v>
      </c>
      <c r="Y107" s="36" t="s">
        <v>9362</v>
      </c>
      <c r="Z107" s="36" t="s">
        <v>9362</v>
      </c>
      <c r="AA107" s="38" t="s">
        <v>0</v>
      </c>
      <c r="AB107" s="36" t="s">
        <v>6999</v>
      </c>
      <c r="AC107" s="36" t="s">
        <v>6999</v>
      </c>
      <c r="AD107" s="36" t="s">
        <v>6999</v>
      </c>
      <c r="AE107" s="167"/>
      <c r="AF107" s="5"/>
      <c r="AG107" s="311"/>
    </row>
    <row r="108" spans="1:33">
      <c r="A108" s="51" t="s">
        <v>935</v>
      </c>
      <c r="B108" s="52" t="s">
        <v>6764</v>
      </c>
      <c r="C108" s="52" t="s">
        <v>6764</v>
      </c>
      <c r="D108" s="52" t="s">
        <v>6764</v>
      </c>
      <c r="E108" s="52" t="s">
        <v>8157</v>
      </c>
      <c r="F108" s="52" t="s">
        <v>8322</v>
      </c>
      <c r="G108" s="52" t="s">
        <v>8403</v>
      </c>
      <c r="H108" s="52" t="s">
        <v>8157</v>
      </c>
      <c r="I108" s="52" t="s">
        <v>8580</v>
      </c>
      <c r="J108" s="52" t="s">
        <v>8498</v>
      </c>
      <c r="K108" s="186" t="s">
        <v>7000</v>
      </c>
      <c r="L108" s="186" t="s">
        <v>7000</v>
      </c>
      <c r="M108" s="186" t="s">
        <v>7000</v>
      </c>
      <c r="N108" s="52" t="s">
        <v>7927</v>
      </c>
      <c r="O108" s="52" t="s">
        <v>7927</v>
      </c>
      <c r="P108" s="52" t="s">
        <v>7927</v>
      </c>
      <c r="Q108" s="52" t="s">
        <v>9174</v>
      </c>
      <c r="R108" s="52" t="s">
        <v>9174</v>
      </c>
      <c r="S108" s="52" t="s">
        <v>7287</v>
      </c>
      <c r="T108" s="52" t="s">
        <v>7335</v>
      </c>
      <c r="U108" s="52" t="s">
        <v>7457</v>
      </c>
      <c r="V108" s="52" t="s">
        <v>9363</v>
      </c>
      <c r="W108" s="52" t="s">
        <v>9364</v>
      </c>
      <c r="X108" s="52" t="s">
        <v>9491</v>
      </c>
      <c r="Y108" s="52" t="s">
        <v>9491</v>
      </c>
      <c r="Z108" s="52" t="s">
        <v>9364</v>
      </c>
      <c r="AA108" s="52" t="s">
        <v>0</v>
      </c>
      <c r="AB108" s="52" t="s">
        <v>7927</v>
      </c>
      <c r="AC108" s="52" t="s">
        <v>7927</v>
      </c>
      <c r="AD108" s="52" t="s">
        <v>7927</v>
      </c>
      <c r="AF108" s="40"/>
      <c r="AG108" s="310"/>
    </row>
    <row r="109" spans="1:33" s="40" customFormat="1" ht="20.100000000000001" customHeight="1">
      <c r="A109" s="62" t="s">
        <v>16</v>
      </c>
      <c r="B109" s="38" t="s">
        <v>0</v>
      </c>
      <c r="C109" s="36" t="s">
        <v>6874</v>
      </c>
      <c r="D109" s="36" t="s">
        <v>6874</v>
      </c>
      <c r="E109" s="36" t="s">
        <v>57</v>
      </c>
      <c r="F109" s="38" t="s">
        <v>57</v>
      </c>
      <c r="G109" s="38" t="s">
        <v>57</v>
      </c>
      <c r="H109" s="36" t="s">
        <v>57</v>
      </c>
      <c r="I109" s="38" t="s">
        <v>57</v>
      </c>
      <c r="J109" s="234" t="s">
        <v>57</v>
      </c>
      <c r="K109" s="36" t="s">
        <v>7001</v>
      </c>
      <c r="L109" s="36" t="s">
        <v>7001</v>
      </c>
      <c r="M109" s="36" t="s">
        <v>7001</v>
      </c>
      <c r="N109" s="38" t="s">
        <v>57</v>
      </c>
      <c r="O109" s="38" t="s">
        <v>57</v>
      </c>
      <c r="P109" s="38" t="s">
        <v>57</v>
      </c>
      <c r="Q109" s="38" t="s">
        <v>57</v>
      </c>
      <c r="R109" s="38" t="s">
        <v>57</v>
      </c>
      <c r="S109" s="36" t="s">
        <v>0</v>
      </c>
      <c r="T109" s="36" t="s">
        <v>57</v>
      </c>
      <c r="U109" s="36" t="s">
        <v>57</v>
      </c>
      <c r="V109" s="36" t="s">
        <v>57</v>
      </c>
      <c r="W109" s="36" t="s">
        <v>9704</v>
      </c>
      <c r="X109" s="36" t="s">
        <v>9704</v>
      </c>
      <c r="Y109" s="36" t="s">
        <v>9704</v>
      </c>
      <c r="Z109" s="36" t="s">
        <v>9704</v>
      </c>
      <c r="AA109" s="38" t="s">
        <v>0</v>
      </c>
      <c r="AB109" s="38" t="s">
        <v>57</v>
      </c>
      <c r="AC109" s="38" t="s">
        <v>57</v>
      </c>
      <c r="AD109" s="38" t="s">
        <v>57</v>
      </c>
      <c r="AE109" s="167"/>
      <c r="AF109" s="5"/>
      <c r="AG109" s="311"/>
    </row>
    <row r="110" spans="1:33">
      <c r="A110" s="51" t="s">
        <v>935</v>
      </c>
      <c r="B110" s="52" t="s">
        <v>0</v>
      </c>
      <c r="C110" s="52" t="s">
        <v>6871</v>
      </c>
      <c r="D110" s="52" t="s">
        <v>6871</v>
      </c>
      <c r="E110" s="52" t="s">
        <v>8158</v>
      </c>
      <c r="F110" s="52" t="s">
        <v>8318</v>
      </c>
      <c r="G110" s="52" t="s">
        <v>8405</v>
      </c>
      <c r="H110" s="52" t="s">
        <v>8255</v>
      </c>
      <c r="I110" s="52" t="s">
        <v>8581</v>
      </c>
      <c r="J110" s="52" t="s">
        <v>8499</v>
      </c>
      <c r="K110" s="186" t="s">
        <v>7002</v>
      </c>
      <c r="L110" s="186" t="s">
        <v>7002</v>
      </c>
      <c r="M110" s="186" t="s">
        <v>7002</v>
      </c>
      <c r="N110" s="52" t="s">
        <v>7928</v>
      </c>
      <c r="O110" s="52" t="s">
        <v>7928</v>
      </c>
      <c r="P110" s="52" t="s">
        <v>7928</v>
      </c>
      <c r="Q110" s="52" t="s">
        <v>9175</v>
      </c>
      <c r="R110" s="52" t="s">
        <v>9175</v>
      </c>
      <c r="S110" s="186" t="s">
        <v>0</v>
      </c>
      <c r="T110" s="52" t="s">
        <v>7336</v>
      </c>
      <c r="U110" s="52" t="s">
        <v>7458</v>
      </c>
      <c r="V110" s="52" t="s">
        <v>9364</v>
      </c>
      <c r="W110" s="52" t="s">
        <v>9492</v>
      </c>
      <c r="X110" s="52" t="s">
        <v>9554</v>
      </c>
      <c r="Y110" s="52" t="s">
        <v>9554</v>
      </c>
      <c r="Z110" s="52" t="s">
        <v>9492</v>
      </c>
      <c r="AA110" s="52" t="s">
        <v>0</v>
      </c>
      <c r="AB110" s="52" t="s">
        <v>8712</v>
      </c>
      <c r="AC110" s="52" t="s">
        <v>8712</v>
      </c>
      <c r="AD110" s="52" t="s">
        <v>8712</v>
      </c>
      <c r="AF110" s="40"/>
      <c r="AG110" s="310"/>
    </row>
    <row r="111" spans="1:33" s="40" customFormat="1" ht="39.950000000000003" customHeight="1">
      <c r="A111" s="62" t="s">
        <v>9224</v>
      </c>
      <c r="B111" s="36" t="s">
        <v>6762</v>
      </c>
      <c r="C111" s="36" t="s">
        <v>6875</v>
      </c>
      <c r="D111" s="36" t="s">
        <v>6875</v>
      </c>
      <c r="E111" s="36" t="s">
        <v>57</v>
      </c>
      <c r="F111" s="36" t="s">
        <v>57</v>
      </c>
      <c r="G111" s="36" t="s">
        <v>57</v>
      </c>
      <c r="H111" s="36" t="s">
        <v>57</v>
      </c>
      <c r="I111" s="38" t="s">
        <v>57</v>
      </c>
      <c r="J111" s="234" t="s">
        <v>57</v>
      </c>
      <c r="K111" s="36" t="s">
        <v>57</v>
      </c>
      <c r="L111" s="36" t="s">
        <v>57</v>
      </c>
      <c r="M111" s="36" t="s">
        <v>57</v>
      </c>
      <c r="N111" s="36" t="s">
        <v>7600</v>
      </c>
      <c r="O111" s="36" t="s">
        <v>7600</v>
      </c>
      <c r="P111" s="36" t="s">
        <v>7600</v>
      </c>
      <c r="Q111" s="36" t="s">
        <v>7600</v>
      </c>
      <c r="R111" s="36" t="s">
        <v>7600</v>
      </c>
      <c r="S111" s="36" t="s">
        <v>7338</v>
      </c>
      <c r="T111" s="36" t="s">
        <v>57</v>
      </c>
      <c r="U111" s="36" t="s">
        <v>57</v>
      </c>
      <c r="V111" s="36" t="s">
        <v>8160</v>
      </c>
      <c r="W111" s="36" t="s">
        <v>57</v>
      </c>
      <c r="X111" s="36" t="s">
        <v>57</v>
      </c>
      <c r="Y111" s="36" t="s">
        <v>57</v>
      </c>
      <c r="Z111" s="36" t="s">
        <v>57</v>
      </c>
      <c r="AA111" s="38" t="s">
        <v>0</v>
      </c>
      <c r="AB111" s="36" t="s">
        <v>8160</v>
      </c>
      <c r="AC111" s="36" t="s">
        <v>8160</v>
      </c>
      <c r="AD111" s="36" t="s">
        <v>8160</v>
      </c>
      <c r="AE111" s="167"/>
      <c r="AF111" s="5"/>
      <c r="AG111" s="311"/>
    </row>
    <row r="112" spans="1:33" ht="18">
      <c r="A112" s="51" t="s">
        <v>935</v>
      </c>
      <c r="B112" s="52" t="s">
        <v>6761</v>
      </c>
      <c r="C112" s="52" t="s">
        <v>6876</v>
      </c>
      <c r="D112" s="52" t="s">
        <v>6876</v>
      </c>
      <c r="E112" s="84" t="s">
        <v>8258</v>
      </c>
      <c r="F112" s="84" t="s">
        <v>8319</v>
      </c>
      <c r="G112" s="84" t="s">
        <v>8404</v>
      </c>
      <c r="H112" s="84" t="s">
        <v>8257</v>
      </c>
      <c r="I112" s="84" t="s">
        <v>8586</v>
      </c>
      <c r="J112" s="84" t="s">
        <v>8500</v>
      </c>
      <c r="K112" s="186" t="s">
        <v>7003</v>
      </c>
      <c r="L112" s="186" t="s">
        <v>7003</v>
      </c>
      <c r="M112" s="186" t="s">
        <v>7003</v>
      </c>
      <c r="N112" s="52" t="s">
        <v>7929</v>
      </c>
      <c r="O112" s="52" t="s">
        <v>7929</v>
      </c>
      <c r="P112" s="52" t="s">
        <v>7929</v>
      </c>
      <c r="Q112" s="52" t="s">
        <v>9223</v>
      </c>
      <c r="R112" s="52" t="s">
        <v>9223</v>
      </c>
      <c r="S112" s="84" t="s">
        <v>7339</v>
      </c>
      <c r="T112" s="84" t="s">
        <v>7337</v>
      </c>
      <c r="U112" s="84" t="s">
        <v>7459</v>
      </c>
      <c r="V112" s="84" t="s">
        <v>9365</v>
      </c>
      <c r="W112" s="84" t="s">
        <v>9556</v>
      </c>
      <c r="X112" s="84" t="s">
        <v>9555</v>
      </c>
      <c r="Y112" s="84" t="s">
        <v>9555</v>
      </c>
      <c r="Z112" s="84" t="s">
        <v>9556</v>
      </c>
      <c r="AA112" s="52" t="s">
        <v>0</v>
      </c>
      <c r="AB112" s="52" t="s">
        <v>8789</v>
      </c>
      <c r="AC112" s="52" t="s">
        <v>8789</v>
      </c>
      <c r="AD112" s="52" t="s">
        <v>8789</v>
      </c>
      <c r="AF112" s="40"/>
      <c r="AG112" s="310"/>
    </row>
    <row r="113" spans="1:34">
      <c r="AH113" s="40"/>
    </row>
    <row r="114" spans="1:34" ht="20.100000000000001" customHeight="1">
      <c r="A114" s="257" t="s">
        <v>6522</v>
      </c>
      <c r="B114" s="255" t="str">
        <f t="shared" ref="B114:AD114" si="3">B1</f>
        <v>Allianz</v>
      </c>
      <c r="C114" s="255" t="str">
        <f t="shared" si="3"/>
        <v>Allianz SicherheitBest</v>
      </c>
      <c r="D114" s="255" t="str">
        <f t="shared" si="3"/>
        <v>Allianz SicherheitPlus</v>
      </c>
      <c r="E114" s="255" t="str">
        <f t="shared" si="3"/>
        <v>Ammerländer Basic</v>
      </c>
      <c r="F114" s="255" t="str">
        <f t="shared" si="3"/>
        <v>Ammerländer Classic</v>
      </c>
      <c r="G114" s="255" t="str">
        <f t="shared" si="3"/>
        <v>Ammerländer Comfort</v>
      </c>
      <c r="H114" s="255" t="str">
        <f t="shared" si="3"/>
        <v>Ammerländer Economic</v>
      </c>
      <c r="I114" s="255" t="str">
        <f t="shared" si="3"/>
        <v>Ammerländer Excellent</v>
      </c>
      <c r="J114" s="255" t="str">
        <f t="shared" si="3"/>
        <v>Ammerländer Exclusiv</v>
      </c>
      <c r="K114" s="255" t="str">
        <f t="shared" si="3"/>
        <v>Domcura Komfort</v>
      </c>
      <c r="L114" s="255" t="str">
        <f t="shared" si="3"/>
        <v>Domcura Standard</v>
      </c>
      <c r="M114" s="255" t="str">
        <f t="shared" si="3"/>
        <v>Domcura Top</v>
      </c>
      <c r="N114" s="255" t="str">
        <f t="shared" si="3"/>
        <v>Gothaer Basis</v>
      </c>
      <c r="O114" s="255" t="str">
        <f t="shared" si="3"/>
        <v>Gothaer Plus</v>
      </c>
      <c r="P114" s="255" t="str">
        <f t="shared" si="3"/>
        <v>Gothaer Premium</v>
      </c>
      <c r="Q114" s="255" t="str">
        <f t="shared" si="3"/>
        <v>HK Darmstadt Einfach Besser</v>
      </c>
      <c r="R114" s="255" t="str">
        <f t="shared" si="3"/>
        <v>HK Darmstadt Eindach Komplett</v>
      </c>
      <c r="S114" s="255" t="str">
        <f t="shared" si="3"/>
        <v>InterRisk L</v>
      </c>
      <c r="T114" s="255" t="str">
        <f t="shared" si="3"/>
        <v>InterRisk XL</v>
      </c>
      <c r="U114" s="255" t="str">
        <f t="shared" si="3"/>
        <v>InterRisk XXL</v>
      </c>
      <c r="V114" s="255" t="str">
        <f t="shared" si="3"/>
        <v>ITL Classic VS</v>
      </c>
      <c r="W114" s="255" t="str">
        <f t="shared" si="3"/>
        <v>ITL Eurosecure Plus QM afm</v>
      </c>
      <c r="X114" s="255" t="str">
        <f t="shared" si="3"/>
        <v>ITL Infinitus QM</v>
      </c>
      <c r="Y114" s="255" t="str">
        <f t="shared" si="3"/>
        <v>ITL Infinitus VS</v>
      </c>
      <c r="Z114" s="255" t="str">
        <f t="shared" si="3"/>
        <v>ITL Protect Plus VS</v>
      </c>
      <c r="AA114" s="255" t="str">
        <f t="shared" si="3"/>
        <v>Keine</v>
      </c>
      <c r="AB114" s="255" t="str">
        <f t="shared" si="3"/>
        <v>VHV Kl. Garant</v>
      </c>
      <c r="AC114" s="255" t="str">
        <f t="shared" si="3"/>
        <v>VHV Kl. Garant Exkl.</v>
      </c>
      <c r="AD114" s="255" t="str">
        <f t="shared" si="3"/>
        <v>VHV Kl. Garant Exkl.BEST</v>
      </c>
      <c r="AF114" s="40"/>
      <c r="AG114" s="310"/>
    </row>
    <row r="115" spans="1:34" s="40" customFormat="1" ht="20.100000000000001" customHeight="1">
      <c r="A115" s="285" t="s">
        <v>8928</v>
      </c>
      <c r="B115" s="292"/>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c r="AA115" s="292"/>
      <c r="AB115" s="292"/>
      <c r="AC115" s="292"/>
      <c r="AD115" s="292"/>
      <c r="AE115" s="167"/>
      <c r="AF115" s="5"/>
      <c r="AG115" s="311"/>
      <c r="AH115" s="5"/>
    </row>
    <row r="116" spans="1:34" ht="30" customHeight="1">
      <c r="A116" s="29" t="s">
        <v>128</v>
      </c>
      <c r="B116" s="36" t="s">
        <v>6776</v>
      </c>
      <c r="C116" s="36" t="s">
        <v>6776</v>
      </c>
      <c r="D116" s="36" t="s">
        <v>6776</v>
      </c>
      <c r="E116" s="36" t="s">
        <v>5217</v>
      </c>
      <c r="F116" s="36" t="s">
        <v>5217</v>
      </c>
      <c r="G116" s="36" t="s">
        <v>5217</v>
      </c>
      <c r="H116" s="36" t="s">
        <v>5217</v>
      </c>
      <c r="I116" s="36" t="s">
        <v>5217</v>
      </c>
      <c r="J116" s="36" t="s">
        <v>5217</v>
      </c>
      <c r="K116" s="36" t="s">
        <v>6776</v>
      </c>
      <c r="L116" s="36" t="s">
        <v>6776</v>
      </c>
      <c r="M116" s="36" t="s">
        <v>6776</v>
      </c>
      <c r="N116" s="36" t="s">
        <v>644</v>
      </c>
      <c r="O116" s="36" t="s">
        <v>644</v>
      </c>
      <c r="P116" s="36" t="s">
        <v>644</v>
      </c>
      <c r="Q116" s="36" t="s">
        <v>9237</v>
      </c>
      <c r="R116" s="36" t="s">
        <v>9237</v>
      </c>
      <c r="S116" s="36" t="s">
        <v>6776</v>
      </c>
      <c r="T116" s="36" t="s">
        <v>6776</v>
      </c>
      <c r="U116" s="36" t="s">
        <v>600</v>
      </c>
      <c r="V116" s="36" t="s">
        <v>6776</v>
      </c>
      <c r="W116" s="36" t="s">
        <v>6776</v>
      </c>
      <c r="X116" s="36" t="s">
        <v>6776</v>
      </c>
      <c r="Y116" s="36" t="s">
        <v>6776</v>
      </c>
      <c r="Z116" s="36" t="s">
        <v>6776</v>
      </c>
      <c r="AA116" s="38" t="s">
        <v>0</v>
      </c>
      <c r="AB116" s="36" t="s">
        <v>8721</v>
      </c>
      <c r="AC116" s="36" t="s">
        <v>8721</v>
      </c>
      <c r="AD116" s="36" t="s">
        <v>8721</v>
      </c>
      <c r="AG116" s="310"/>
    </row>
    <row r="117" spans="1:34" s="40" customFormat="1">
      <c r="A117" s="51" t="s">
        <v>935</v>
      </c>
      <c r="B117" s="52" t="s">
        <v>6772</v>
      </c>
      <c r="C117" s="52" t="s">
        <v>6772</v>
      </c>
      <c r="D117" s="52" t="s">
        <v>6772</v>
      </c>
      <c r="E117" s="52" t="s">
        <v>8161</v>
      </c>
      <c r="F117" s="52" t="s">
        <v>8161</v>
      </c>
      <c r="G117" s="52" t="s">
        <v>8161</v>
      </c>
      <c r="H117" s="52" t="s">
        <v>8161</v>
      </c>
      <c r="I117" s="52" t="s">
        <v>8161</v>
      </c>
      <c r="J117" s="52" t="s">
        <v>8161</v>
      </c>
      <c r="K117" s="186" t="s">
        <v>7036</v>
      </c>
      <c r="L117" s="186" t="s">
        <v>7036</v>
      </c>
      <c r="M117" s="186" t="s">
        <v>7036</v>
      </c>
      <c r="N117" s="52" t="s">
        <v>7978</v>
      </c>
      <c r="O117" s="52" t="s">
        <v>7978</v>
      </c>
      <c r="P117" s="52" t="s">
        <v>7978</v>
      </c>
      <c r="Q117" s="52" t="s">
        <v>9176</v>
      </c>
      <c r="R117" s="52" t="s">
        <v>9176</v>
      </c>
      <c r="S117" s="52" t="s">
        <v>7245</v>
      </c>
      <c r="T117" s="52" t="s">
        <v>7340</v>
      </c>
      <c r="U117" s="52" t="s">
        <v>7460</v>
      </c>
      <c r="V117" s="52" t="s">
        <v>9445</v>
      </c>
      <c r="W117" s="52" t="s">
        <v>9445</v>
      </c>
      <c r="X117" s="52" t="s">
        <v>9445</v>
      </c>
      <c r="Y117" s="52" t="s">
        <v>9445</v>
      </c>
      <c r="Z117" s="52" t="s">
        <v>9445</v>
      </c>
      <c r="AA117" s="52" t="s">
        <v>0</v>
      </c>
      <c r="AB117" s="52" t="s">
        <v>8720</v>
      </c>
      <c r="AC117" s="52" t="s">
        <v>8720</v>
      </c>
      <c r="AD117" s="52" t="s">
        <v>8720</v>
      </c>
      <c r="AE117" s="167"/>
      <c r="AG117" s="311"/>
    </row>
    <row r="118" spans="1:34" ht="20.100000000000001" customHeight="1">
      <c r="A118" s="6" t="s">
        <v>130</v>
      </c>
      <c r="B118" s="38" t="s">
        <v>57</v>
      </c>
      <c r="C118" s="38" t="s">
        <v>57</v>
      </c>
      <c r="D118" s="38" t="s">
        <v>57</v>
      </c>
      <c r="E118" s="38" t="s">
        <v>57</v>
      </c>
      <c r="F118" s="38" t="s">
        <v>57</v>
      </c>
      <c r="G118" s="38" t="s">
        <v>57</v>
      </c>
      <c r="H118" s="38" t="s">
        <v>57</v>
      </c>
      <c r="I118" s="38" t="s">
        <v>57</v>
      </c>
      <c r="J118" s="38" t="s">
        <v>57</v>
      </c>
      <c r="K118" s="38" t="s">
        <v>57</v>
      </c>
      <c r="L118" s="38" t="s">
        <v>57</v>
      </c>
      <c r="M118" s="38" t="s">
        <v>57</v>
      </c>
      <c r="N118" s="38" t="s">
        <v>57</v>
      </c>
      <c r="O118" s="38" t="s">
        <v>57</v>
      </c>
      <c r="P118" s="38" t="s">
        <v>57</v>
      </c>
      <c r="Q118" s="38" t="s">
        <v>57</v>
      </c>
      <c r="R118" s="38" t="s">
        <v>57</v>
      </c>
      <c r="S118" s="38" t="s">
        <v>57</v>
      </c>
      <c r="T118" s="38" t="s">
        <v>57</v>
      </c>
      <c r="U118" s="38" t="s">
        <v>57</v>
      </c>
      <c r="V118" s="38" t="s">
        <v>57</v>
      </c>
      <c r="W118" s="38" t="s">
        <v>57</v>
      </c>
      <c r="X118" s="38" t="s">
        <v>57</v>
      </c>
      <c r="Y118" s="38" t="s">
        <v>57</v>
      </c>
      <c r="Z118" s="38" t="s">
        <v>57</v>
      </c>
      <c r="AA118" s="38" t="s">
        <v>0</v>
      </c>
      <c r="AB118" s="38" t="s">
        <v>57</v>
      </c>
      <c r="AC118" s="38" t="s">
        <v>57</v>
      </c>
      <c r="AD118" s="38" t="s">
        <v>57</v>
      </c>
    </row>
    <row r="119" spans="1:34" s="40" customFormat="1">
      <c r="A119" s="51" t="s">
        <v>935</v>
      </c>
      <c r="B119" s="52" t="s">
        <v>6772</v>
      </c>
      <c r="C119" s="52" t="s">
        <v>6772</v>
      </c>
      <c r="D119" s="52" t="s">
        <v>6772</v>
      </c>
      <c r="E119" s="52" t="s">
        <v>8161</v>
      </c>
      <c r="F119" s="52" t="s">
        <v>8161</v>
      </c>
      <c r="G119" s="52" t="s">
        <v>8161</v>
      </c>
      <c r="H119" s="52" t="s">
        <v>8161</v>
      </c>
      <c r="I119" s="52" t="s">
        <v>8161</v>
      </c>
      <c r="J119" s="52" t="s">
        <v>8161</v>
      </c>
      <c r="K119" s="186" t="s">
        <v>7035</v>
      </c>
      <c r="L119" s="186" t="s">
        <v>7035</v>
      </c>
      <c r="M119" s="186" t="s">
        <v>7035</v>
      </c>
      <c r="N119" s="52" t="s">
        <v>7962</v>
      </c>
      <c r="O119" s="52" t="s">
        <v>7962</v>
      </c>
      <c r="P119" s="52" t="s">
        <v>7962</v>
      </c>
      <c r="Q119" s="52" t="s">
        <v>9232</v>
      </c>
      <c r="R119" s="52" t="s">
        <v>9232</v>
      </c>
      <c r="S119" s="52" t="s">
        <v>7246</v>
      </c>
      <c r="T119" s="52" t="s">
        <v>7341</v>
      </c>
      <c r="U119" s="52" t="s">
        <v>7462</v>
      </c>
      <c r="V119" s="52" t="s">
        <v>9435</v>
      </c>
      <c r="W119" s="52" t="s">
        <v>9435</v>
      </c>
      <c r="X119" s="52" t="s">
        <v>9435</v>
      </c>
      <c r="Y119" s="52" t="s">
        <v>9435</v>
      </c>
      <c r="Z119" s="52" t="s">
        <v>9435</v>
      </c>
      <c r="AA119" s="52" t="s">
        <v>0</v>
      </c>
      <c r="AB119" s="52" t="s">
        <v>7962</v>
      </c>
      <c r="AC119" s="52" t="s">
        <v>7962</v>
      </c>
      <c r="AD119" s="52" t="s">
        <v>7962</v>
      </c>
      <c r="AE119" s="167"/>
      <c r="AG119" s="310"/>
    </row>
    <row r="120" spans="1:34" ht="20.100000000000001" customHeight="1">
      <c r="A120" s="181" t="s">
        <v>6773</v>
      </c>
      <c r="B120" s="38" t="s">
        <v>57</v>
      </c>
      <c r="C120" s="38" t="s">
        <v>57</v>
      </c>
      <c r="D120" s="38" t="s">
        <v>57</v>
      </c>
      <c r="E120" s="38" t="s">
        <v>57</v>
      </c>
      <c r="F120" s="38" t="s">
        <v>57</v>
      </c>
      <c r="G120" s="38" t="s">
        <v>57</v>
      </c>
      <c r="H120" s="38" t="s">
        <v>57</v>
      </c>
      <c r="I120" s="38" t="s">
        <v>57</v>
      </c>
      <c r="J120" s="38" t="s">
        <v>57</v>
      </c>
      <c r="K120" s="38" t="s">
        <v>57</v>
      </c>
      <c r="L120" s="38" t="s">
        <v>57</v>
      </c>
      <c r="M120" s="38" t="s">
        <v>57</v>
      </c>
      <c r="N120" s="38" t="s">
        <v>57</v>
      </c>
      <c r="O120" s="38" t="s">
        <v>57</v>
      </c>
      <c r="P120" s="38" t="s">
        <v>57</v>
      </c>
      <c r="Q120" s="38" t="s">
        <v>57</v>
      </c>
      <c r="R120" s="38" t="s">
        <v>57</v>
      </c>
      <c r="S120" s="38" t="s">
        <v>57</v>
      </c>
      <c r="T120" s="38" t="s">
        <v>57</v>
      </c>
      <c r="U120" s="38" t="s">
        <v>57</v>
      </c>
      <c r="V120" s="38" t="s">
        <v>4687</v>
      </c>
      <c r="W120" s="38" t="s">
        <v>4687</v>
      </c>
      <c r="X120" s="38" t="s">
        <v>4687</v>
      </c>
      <c r="Y120" s="38" t="s">
        <v>4687</v>
      </c>
      <c r="Z120" s="38" t="s">
        <v>4687</v>
      </c>
      <c r="AA120" s="38" t="s">
        <v>0</v>
      </c>
      <c r="AB120" s="38" t="s">
        <v>57</v>
      </c>
      <c r="AC120" s="38" t="s">
        <v>57</v>
      </c>
      <c r="AD120" s="38" t="s">
        <v>57</v>
      </c>
    </row>
    <row r="121" spans="1:34" s="40" customFormat="1">
      <c r="A121" s="51" t="s">
        <v>935</v>
      </c>
      <c r="B121" s="52" t="s">
        <v>6772</v>
      </c>
      <c r="C121" s="52" t="s">
        <v>6772</v>
      </c>
      <c r="D121" s="52" t="s">
        <v>6772</v>
      </c>
      <c r="E121" s="52" t="s">
        <v>8161</v>
      </c>
      <c r="F121" s="52" t="s">
        <v>8161</v>
      </c>
      <c r="G121" s="52" t="s">
        <v>8161</v>
      </c>
      <c r="H121" s="52" t="s">
        <v>8161</v>
      </c>
      <c r="I121" s="52" t="s">
        <v>8161</v>
      </c>
      <c r="J121" s="52" t="s">
        <v>8161</v>
      </c>
      <c r="K121" s="186" t="s">
        <v>7034</v>
      </c>
      <c r="L121" s="186" t="s">
        <v>7034</v>
      </c>
      <c r="M121" s="186" t="s">
        <v>7034</v>
      </c>
      <c r="N121" s="52" t="s">
        <v>7963</v>
      </c>
      <c r="O121" s="52" t="s">
        <v>7963</v>
      </c>
      <c r="P121" s="52" t="s">
        <v>7963</v>
      </c>
      <c r="Q121" s="52" t="s">
        <v>9232</v>
      </c>
      <c r="R121" s="52" t="s">
        <v>9232</v>
      </c>
      <c r="S121" s="52" t="s">
        <v>7247</v>
      </c>
      <c r="T121" s="52" t="s">
        <v>7342</v>
      </c>
      <c r="U121" s="52" t="s">
        <v>7461</v>
      </c>
      <c r="V121" s="52" t="s">
        <v>9436</v>
      </c>
      <c r="W121" s="52" t="s">
        <v>9436</v>
      </c>
      <c r="X121" s="52" t="s">
        <v>9436</v>
      </c>
      <c r="Y121" s="52" t="s">
        <v>9436</v>
      </c>
      <c r="Z121" s="52" t="s">
        <v>9436</v>
      </c>
      <c r="AA121" s="52" t="s">
        <v>0</v>
      </c>
      <c r="AB121" s="52" t="s">
        <v>7963</v>
      </c>
      <c r="AC121" s="52" t="s">
        <v>7963</v>
      </c>
      <c r="AD121" s="52" t="s">
        <v>7963</v>
      </c>
      <c r="AE121" s="167"/>
      <c r="AF121" s="5"/>
      <c r="AG121" s="310"/>
    </row>
    <row r="122" spans="1:34" ht="20.100000000000001" customHeight="1">
      <c r="A122" s="181" t="s">
        <v>6774</v>
      </c>
      <c r="B122" s="38" t="s">
        <v>57</v>
      </c>
      <c r="C122" s="38" t="s">
        <v>57</v>
      </c>
      <c r="D122" s="38" t="s">
        <v>57</v>
      </c>
      <c r="E122" s="38" t="s">
        <v>57</v>
      </c>
      <c r="F122" s="38" t="s">
        <v>57</v>
      </c>
      <c r="G122" s="38" t="s">
        <v>57</v>
      </c>
      <c r="H122" s="38" t="s">
        <v>57</v>
      </c>
      <c r="I122" s="38" t="s">
        <v>57</v>
      </c>
      <c r="J122" s="38" t="s">
        <v>57</v>
      </c>
      <c r="K122" s="38" t="s">
        <v>57</v>
      </c>
      <c r="L122" s="38" t="s">
        <v>57</v>
      </c>
      <c r="M122" s="38" t="s">
        <v>57</v>
      </c>
      <c r="N122" s="38" t="s">
        <v>866</v>
      </c>
      <c r="O122" s="38" t="s">
        <v>866</v>
      </c>
      <c r="P122" s="38" t="s">
        <v>866</v>
      </c>
      <c r="Q122" s="38" t="s">
        <v>57</v>
      </c>
      <c r="R122" s="38" t="s">
        <v>57</v>
      </c>
      <c r="S122" s="38" t="s">
        <v>57</v>
      </c>
      <c r="T122" s="38" t="s">
        <v>57</v>
      </c>
      <c r="U122" s="38" t="s">
        <v>57</v>
      </c>
      <c r="V122" s="38" t="s">
        <v>866</v>
      </c>
      <c r="W122" s="38" t="s">
        <v>866</v>
      </c>
      <c r="X122" s="38" t="s">
        <v>866</v>
      </c>
      <c r="Y122" s="38" t="s">
        <v>866</v>
      </c>
      <c r="Z122" s="38" t="s">
        <v>866</v>
      </c>
      <c r="AA122" s="38" t="s">
        <v>0</v>
      </c>
      <c r="AB122" s="38" t="s">
        <v>866</v>
      </c>
      <c r="AC122" s="38" t="s">
        <v>866</v>
      </c>
      <c r="AD122" s="38" t="s">
        <v>866</v>
      </c>
    </row>
    <row r="123" spans="1:34" s="40" customFormat="1">
      <c r="A123" s="51" t="s">
        <v>935</v>
      </c>
      <c r="B123" s="52" t="s">
        <v>6772</v>
      </c>
      <c r="C123" s="52" t="s">
        <v>6772</v>
      </c>
      <c r="D123" s="52" t="s">
        <v>6772</v>
      </c>
      <c r="E123" s="52" t="s">
        <v>8161</v>
      </c>
      <c r="F123" s="52" t="s">
        <v>8161</v>
      </c>
      <c r="G123" s="52" t="s">
        <v>8161</v>
      </c>
      <c r="H123" s="52" t="s">
        <v>8161</v>
      </c>
      <c r="I123" s="52" t="s">
        <v>8161</v>
      </c>
      <c r="J123" s="52" t="s">
        <v>8161</v>
      </c>
      <c r="K123" s="186" t="s">
        <v>7033</v>
      </c>
      <c r="L123" s="186" t="s">
        <v>7033</v>
      </c>
      <c r="M123" s="186" t="s">
        <v>7033</v>
      </c>
      <c r="N123" s="52" t="s">
        <v>7964</v>
      </c>
      <c r="O123" s="52" t="s">
        <v>7964</v>
      </c>
      <c r="P123" s="52" t="s">
        <v>7964</v>
      </c>
      <c r="Q123" s="52" t="s">
        <v>9232</v>
      </c>
      <c r="R123" s="52" t="s">
        <v>9232</v>
      </c>
      <c r="S123" s="52" t="s">
        <v>7248</v>
      </c>
      <c r="T123" s="52" t="s">
        <v>7343</v>
      </c>
      <c r="U123" s="52" t="s">
        <v>7463</v>
      </c>
      <c r="V123" s="52" t="s">
        <v>9437</v>
      </c>
      <c r="W123" s="52" t="s">
        <v>9437</v>
      </c>
      <c r="X123" s="52" t="s">
        <v>9437</v>
      </c>
      <c r="Y123" s="52" t="s">
        <v>9437</v>
      </c>
      <c r="Z123" s="52" t="s">
        <v>9437</v>
      </c>
      <c r="AA123" s="52" t="s">
        <v>0</v>
      </c>
      <c r="AB123" s="52" t="s">
        <v>7964</v>
      </c>
      <c r="AC123" s="52" t="s">
        <v>7964</v>
      </c>
      <c r="AD123" s="52" t="s">
        <v>7964</v>
      </c>
      <c r="AE123" s="167"/>
      <c r="AG123" s="311"/>
    </row>
    <row r="124" spans="1:34" ht="20.100000000000001" customHeight="1">
      <c r="A124" s="82" t="s">
        <v>6551</v>
      </c>
      <c r="B124" s="36" t="s">
        <v>6924</v>
      </c>
      <c r="C124" s="36" t="s">
        <v>6924</v>
      </c>
      <c r="D124" s="36" t="s">
        <v>6924</v>
      </c>
      <c r="E124" s="36" t="s">
        <v>6924</v>
      </c>
      <c r="F124" s="36" t="s">
        <v>6924</v>
      </c>
      <c r="G124" s="36" t="s">
        <v>6924</v>
      </c>
      <c r="H124" s="36" t="s">
        <v>6924</v>
      </c>
      <c r="I124" s="36" t="s">
        <v>6924</v>
      </c>
      <c r="J124" s="36" t="s">
        <v>6924</v>
      </c>
      <c r="K124" s="36" t="s">
        <v>6924</v>
      </c>
      <c r="L124" s="36" t="s">
        <v>6924</v>
      </c>
      <c r="M124" s="36" t="s">
        <v>6924</v>
      </c>
      <c r="N124" s="38" t="s">
        <v>866</v>
      </c>
      <c r="O124" s="38" t="s">
        <v>866</v>
      </c>
      <c r="P124" s="38" t="s">
        <v>866</v>
      </c>
      <c r="Q124" s="36" t="s">
        <v>6924</v>
      </c>
      <c r="R124" s="36" t="s">
        <v>6924</v>
      </c>
      <c r="S124" s="36" t="s">
        <v>6924</v>
      </c>
      <c r="T124" s="36" t="s">
        <v>6924</v>
      </c>
      <c r="U124" s="36" t="s">
        <v>6924</v>
      </c>
      <c r="V124" s="36" t="s">
        <v>6924</v>
      </c>
      <c r="W124" s="36" t="s">
        <v>6924</v>
      </c>
      <c r="X124" s="36" t="s">
        <v>6924</v>
      </c>
      <c r="Y124" s="36" t="s">
        <v>6924</v>
      </c>
      <c r="Z124" s="36" t="s">
        <v>6924</v>
      </c>
      <c r="AA124" s="38" t="s">
        <v>0</v>
      </c>
      <c r="AB124" s="36" t="s">
        <v>6924</v>
      </c>
      <c r="AC124" s="36" t="s">
        <v>6924</v>
      </c>
      <c r="AD124" s="36" t="s">
        <v>6924</v>
      </c>
    </row>
    <row r="125" spans="1:34" s="40" customFormat="1">
      <c r="A125" s="185" t="s">
        <v>935</v>
      </c>
      <c r="B125" s="52" t="s">
        <v>6923</v>
      </c>
      <c r="C125" s="52" t="s">
        <v>6923</v>
      </c>
      <c r="D125" s="52" t="s">
        <v>6923</v>
      </c>
      <c r="E125" s="52" t="s">
        <v>8161</v>
      </c>
      <c r="F125" s="52" t="s">
        <v>8161</v>
      </c>
      <c r="G125" s="52" t="s">
        <v>8161</v>
      </c>
      <c r="H125" s="52" t="s">
        <v>8161</v>
      </c>
      <c r="I125" s="52" t="s">
        <v>8161</v>
      </c>
      <c r="J125" s="52" t="s">
        <v>8161</v>
      </c>
      <c r="K125" s="186" t="s">
        <v>7033</v>
      </c>
      <c r="L125" s="186" t="s">
        <v>7033</v>
      </c>
      <c r="M125" s="186" t="s">
        <v>7033</v>
      </c>
      <c r="N125" s="52" t="s">
        <v>7964</v>
      </c>
      <c r="O125" s="52" t="s">
        <v>7964</v>
      </c>
      <c r="P125" s="52" t="s">
        <v>7964</v>
      </c>
      <c r="Q125" s="52" t="s">
        <v>9232</v>
      </c>
      <c r="R125" s="52" t="s">
        <v>9232</v>
      </c>
      <c r="S125" s="52" t="s">
        <v>7248</v>
      </c>
      <c r="T125" s="52" t="s">
        <v>7343</v>
      </c>
      <c r="U125" s="52" t="s">
        <v>7463</v>
      </c>
      <c r="V125" s="52" t="s">
        <v>9437</v>
      </c>
      <c r="W125" s="52" t="s">
        <v>9437</v>
      </c>
      <c r="X125" s="52" t="s">
        <v>9437</v>
      </c>
      <c r="Y125" s="52" t="s">
        <v>9437</v>
      </c>
      <c r="Z125" s="52" t="s">
        <v>9437</v>
      </c>
      <c r="AA125" s="186" t="s">
        <v>0</v>
      </c>
      <c r="AB125" s="52" t="s">
        <v>7964</v>
      </c>
      <c r="AC125" s="52" t="s">
        <v>7964</v>
      </c>
      <c r="AD125" s="52" t="s">
        <v>7964</v>
      </c>
      <c r="AE125" s="167"/>
      <c r="AF125" s="5"/>
      <c r="AG125" s="310"/>
    </row>
    <row r="126" spans="1:34" ht="20.100000000000001" customHeight="1">
      <c r="A126" s="82" t="s">
        <v>6775</v>
      </c>
      <c r="B126" s="38" t="s">
        <v>57</v>
      </c>
      <c r="C126" s="38" t="s">
        <v>57</v>
      </c>
      <c r="D126" s="38" t="s">
        <v>57</v>
      </c>
      <c r="E126" s="38" t="s">
        <v>57</v>
      </c>
      <c r="F126" s="38" t="s">
        <v>57</v>
      </c>
      <c r="G126" s="38" t="s">
        <v>57</v>
      </c>
      <c r="H126" s="38" t="s">
        <v>57</v>
      </c>
      <c r="I126" s="38" t="s">
        <v>57</v>
      </c>
      <c r="J126" s="38" t="s">
        <v>57</v>
      </c>
      <c r="K126" s="38" t="s">
        <v>57</v>
      </c>
      <c r="L126" s="38" t="s">
        <v>57</v>
      </c>
      <c r="M126" s="38" t="s">
        <v>57</v>
      </c>
      <c r="N126" s="38" t="s">
        <v>7960</v>
      </c>
      <c r="O126" s="38" t="s">
        <v>7960</v>
      </c>
      <c r="P126" s="38" t="s">
        <v>7960</v>
      </c>
      <c r="Q126" s="38" t="s">
        <v>57</v>
      </c>
      <c r="R126" s="38" t="s">
        <v>57</v>
      </c>
      <c r="S126" s="38" t="s">
        <v>57</v>
      </c>
      <c r="T126" s="38" t="s">
        <v>57</v>
      </c>
      <c r="U126" s="36" t="s">
        <v>7464</v>
      </c>
      <c r="V126" s="38" t="s">
        <v>7960</v>
      </c>
      <c r="W126" s="38" t="s">
        <v>7960</v>
      </c>
      <c r="X126" s="38" t="s">
        <v>7960</v>
      </c>
      <c r="Y126" s="38" t="s">
        <v>7960</v>
      </c>
      <c r="Z126" s="38" t="s">
        <v>7960</v>
      </c>
      <c r="AA126" s="38" t="s">
        <v>0</v>
      </c>
      <c r="AB126" s="38" t="s">
        <v>866</v>
      </c>
      <c r="AC126" s="38" t="s">
        <v>866</v>
      </c>
      <c r="AD126" s="38" t="s">
        <v>866</v>
      </c>
    </row>
    <row r="127" spans="1:34" s="40" customFormat="1">
      <c r="A127" s="185" t="s">
        <v>935</v>
      </c>
      <c r="B127" s="52" t="s">
        <v>6772</v>
      </c>
      <c r="C127" s="52" t="s">
        <v>6772</v>
      </c>
      <c r="D127" s="52" t="s">
        <v>6772</v>
      </c>
      <c r="E127" s="52" t="s">
        <v>8161</v>
      </c>
      <c r="F127" s="52" t="s">
        <v>8161</v>
      </c>
      <c r="G127" s="52" t="s">
        <v>8161</v>
      </c>
      <c r="H127" s="52" t="s">
        <v>8161</v>
      </c>
      <c r="I127" s="52" t="s">
        <v>8161</v>
      </c>
      <c r="J127" s="52" t="s">
        <v>8161</v>
      </c>
      <c r="K127" s="186" t="s">
        <v>7033</v>
      </c>
      <c r="L127" s="186" t="s">
        <v>7033</v>
      </c>
      <c r="M127" s="186" t="s">
        <v>7033</v>
      </c>
      <c r="N127" s="52" t="s">
        <v>7964</v>
      </c>
      <c r="O127" s="52" t="s">
        <v>7964</v>
      </c>
      <c r="P127" s="52" t="s">
        <v>7964</v>
      </c>
      <c r="Q127" s="52" t="s">
        <v>9232</v>
      </c>
      <c r="R127" s="52" t="s">
        <v>9232</v>
      </c>
      <c r="S127" s="52" t="s">
        <v>7248</v>
      </c>
      <c r="T127" s="52" t="s">
        <v>7343</v>
      </c>
      <c r="U127" s="52" t="s">
        <v>7465</v>
      </c>
      <c r="V127" s="52" t="s">
        <v>9437</v>
      </c>
      <c r="W127" s="52" t="s">
        <v>9437</v>
      </c>
      <c r="X127" s="52" t="s">
        <v>9437</v>
      </c>
      <c r="Y127" s="52" t="s">
        <v>9437</v>
      </c>
      <c r="Z127" s="52" t="s">
        <v>9437</v>
      </c>
      <c r="AA127" s="186" t="s">
        <v>0</v>
      </c>
      <c r="AB127" s="52" t="s">
        <v>7964</v>
      </c>
      <c r="AC127" s="52" t="s">
        <v>7964</v>
      </c>
      <c r="AD127" s="52" t="s">
        <v>7964</v>
      </c>
      <c r="AE127" s="167"/>
      <c r="AG127" s="311"/>
    </row>
    <row r="128" spans="1:34" ht="20.100000000000001" customHeight="1">
      <c r="A128" s="6" t="s">
        <v>133</v>
      </c>
      <c r="B128" s="36" t="s">
        <v>6924</v>
      </c>
      <c r="C128" s="36" t="s">
        <v>6924</v>
      </c>
      <c r="D128" s="36" t="s">
        <v>6924</v>
      </c>
      <c r="E128" s="38" t="s">
        <v>57</v>
      </c>
      <c r="F128" s="38" t="s">
        <v>57</v>
      </c>
      <c r="G128" s="38" t="s">
        <v>57</v>
      </c>
      <c r="H128" s="38" t="s">
        <v>57</v>
      </c>
      <c r="I128" s="38" t="s">
        <v>57</v>
      </c>
      <c r="J128" s="38" t="s">
        <v>57</v>
      </c>
      <c r="K128" s="38" t="s">
        <v>57</v>
      </c>
      <c r="L128" s="38" t="s">
        <v>57</v>
      </c>
      <c r="M128" s="38" t="s">
        <v>57</v>
      </c>
      <c r="N128" s="38" t="s">
        <v>57</v>
      </c>
      <c r="O128" s="38" t="s">
        <v>57</v>
      </c>
      <c r="P128" s="38" t="s">
        <v>57</v>
      </c>
      <c r="Q128" s="38" t="s">
        <v>57</v>
      </c>
      <c r="R128" s="38" t="s">
        <v>57</v>
      </c>
      <c r="S128" s="38" t="s">
        <v>57</v>
      </c>
      <c r="T128" s="38" t="s">
        <v>57</v>
      </c>
      <c r="U128" s="38" t="s">
        <v>57</v>
      </c>
      <c r="V128" s="38" t="s">
        <v>57</v>
      </c>
      <c r="W128" s="38" t="s">
        <v>57</v>
      </c>
      <c r="X128" s="38" t="s">
        <v>57</v>
      </c>
      <c r="Y128" s="38" t="s">
        <v>57</v>
      </c>
      <c r="Z128" s="38" t="s">
        <v>57</v>
      </c>
      <c r="AA128" s="38" t="s">
        <v>0</v>
      </c>
      <c r="AB128" s="38" t="s">
        <v>57</v>
      </c>
      <c r="AC128" s="38" t="s">
        <v>57</v>
      </c>
      <c r="AD128" s="38" t="s">
        <v>57</v>
      </c>
    </row>
    <row r="129" spans="1:33" s="40" customFormat="1">
      <c r="A129" s="51" t="s">
        <v>935</v>
      </c>
      <c r="B129" s="52" t="s">
        <v>6923</v>
      </c>
      <c r="C129" s="52" t="s">
        <v>6923</v>
      </c>
      <c r="D129" s="52" t="s">
        <v>6923</v>
      </c>
      <c r="E129" s="52" t="s">
        <v>8161</v>
      </c>
      <c r="F129" s="52" t="s">
        <v>8161</v>
      </c>
      <c r="G129" s="52" t="s">
        <v>8161</v>
      </c>
      <c r="H129" s="52" t="s">
        <v>8161</v>
      </c>
      <c r="I129" s="52" t="s">
        <v>8161</v>
      </c>
      <c r="J129" s="52" t="s">
        <v>8161</v>
      </c>
      <c r="K129" s="186" t="s">
        <v>7032</v>
      </c>
      <c r="L129" s="186" t="s">
        <v>7032</v>
      </c>
      <c r="M129" s="186" t="s">
        <v>7032</v>
      </c>
      <c r="N129" s="52" t="s">
        <v>7965</v>
      </c>
      <c r="O129" s="52" t="s">
        <v>7965</v>
      </c>
      <c r="P129" s="52" t="s">
        <v>7965</v>
      </c>
      <c r="Q129" s="52" t="s">
        <v>9232</v>
      </c>
      <c r="R129" s="52" t="s">
        <v>9232</v>
      </c>
      <c r="S129" s="52" t="s">
        <v>7248</v>
      </c>
      <c r="T129" s="52" t="s">
        <v>7343</v>
      </c>
      <c r="U129" s="52" t="s">
        <v>7466</v>
      </c>
      <c r="V129" s="52" t="s">
        <v>9438</v>
      </c>
      <c r="W129" s="52" t="s">
        <v>9438</v>
      </c>
      <c r="X129" s="52" t="s">
        <v>9438</v>
      </c>
      <c r="Y129" s="52" t="s">
        <v>9438</v>
      </c>
      <c r="Z129" s="52" t="s">
        <v>9438</v>
      </c>
      <c r="AA129" s="52" t="s">
        <v>0</v>
      </c>
      <c r="AB129" s="52" t="s">
        <v>7965</v>
      </c>
      <c r="AC129" s="52" t="s">
        <v>7965</v>
      </c>
      <c r="AD129" s="52" t="s">
        <v>7965</v>
      </c>
      <c r="AE129" s="167"/>
      <c r="AF129" s="5"/>
      <c r="AG129" s="310"/>
    </row>
    <row r="130" spans="1:33" ht="20.100000000000001" customHeight="1">
      <c r="A130" s="6" t="s">
        <v>134</v>
      </c>
      <c r="B130" s="38" t="s">
        <v>0</v>
      </c>
      <c r="C130" s="36" t="s">
        <v>6874</v>
      </c>
      <c r="D130" s="36" t="s">
        <v>6874</v>
      </c>
      <c r="E130" s="36" t="s">
        <v>0</v>
      </c>
      <c r="F130" s="36" t="s">
        <v>0</v>
      </c>
      <c r="G130" s="36" t="s">
        <v>0</v>
      </c>
      <c r="H130" s="36" t="s">
        <v>0</v>
      </c>
      <c r="I130" s="36" t="s">
        <v>0</v>
      </c>
      <c r="J130" s="36" t="s">
        <v>0</v>
      </c>
      <c r="K130" s="38" t="s">
        <v>7005</v>
      </c>
      <c r="L130" s="38" t="s">
        <v>7005</v>
      </c>
      <c r="M130" s="38" t="s">
        <v>7005</v>
      </c>
      <c r="N130" s="38" t="s">
        <v>0</v>
      </c>
      <c r="O130" s="38" t="s">
        <v>0</v>
      </c>
      <c r="P130" s="38" t="s">
        <v>0</v>
      </c>
      <c r="Q130" s="38" t="s">
        <v>9236</v>
      </c>
      <c r="R130" s="38" t="s">
        <v>9236</v>
      </c>
      <c r="S130" s="38" t="s">
        <v>0</v>
      </c>
      <c r="T130" s="38" t="s">
        <v>57</v>
      </c>
      <c r="U130" s="38" t="s">
        <v>57</v>
      </c>
      <c r="V130" s="38" t="s">
        <v>9443</v>
      </c>
      <c r="W130" s="38" t="s">
        <v>9443</v>
      </c>
      <c r="X130" s="38" t="s">
        <v>9443</v>
      </c>
      <c r="Y130" s="38" t="s">
        <v>9443</v>
      </c>
      <c r="Z130" s="38" t="s">
        <v>9443</v>
      </c>
      <c r="AA130" s="38" t="s">
        <v>0</v>
      </c>
      <c r="AB130" s="38" t="s">
        <v>0</v>
      </c>
      <c r="AC130" s="38" t="s">
        <v>0</v>
      </c>
      <c r="AD130" s="38" t="s">
        <v>0</v>
      </c>
    </row>
    <row r="131" spans="1:33" s="40" customFormat="1" ht="9" customHeight="1">
      <c r="A131" s="51" t="s">
        <v>935</v>
      </c>
      <c r="B131" s="52" t="s">
        <v>6923</v>
      </c>
      <c r="C131" s="52" t="s">
        <v>6871</v>
      </c>
      <c r="D131" s="52" t="s">
        <v>6871</v>
      </c>
      <c r="E131" s="52" t="s">
        <v>0</v>
      </c>
      <c r="F131" s="52" t="s">
        <v>0</v>
      </c>
      <c r="G131" s="52" t="s">
        <v>0</v>
      </c>
      <c r="H131" s="52" t="s">
        <v>0</v>
      </c>
      <c r="I131" s="52" t="s">
        <v>0</v>
      </c>
      <c r="J131" s="52" t="s">
        <v>0</v>
      </c>
      <c r="K131" s="186" t="s">
        <v>7031</v>
      </c>
      <c r="L131" s="186" t="s">
        <v>7031</v>
      </c>
      <c r="M131" s="186" t="s">
        <v>7031</v>
      </c>
      <c r="N131" s="52" t="s">
        <v>0</v>
      </c>
      <c r="O131" s="52" t="s">
        <v>0</v>
      </c>
      <c r="P131" s="52" t="s">
        <v>0</v>
      </c>
      <c r="Q131" s="52" t="s">
        <v>9233</v>
      </c>
      <c r="R131" s="52" t="s">
        <v>9233</v>
      </c>
      <c r="S131" s="186" t="s">
        <v>0</v>
      </c>
      <c r="T131" s="52" t="s">
        <v>7340</v>
      </c>
      <c r="U131" s="52" t="s">
        <v>7467</v>
      </c>
      <c r="V131" s="52" t="s">
        <v>9444</v>
      </c>
      <c r="W131" s="52" t="s">
        <v>9444</v>
      </c>
      <c r="X131" s="52" t="s">
        <v>9444</v>
      </c>
      <c r="Y131" s="52" t="s">
        <v>9444</v>
      </c>
      <c r="Z131" s="52" t="s">
        <v>9444</v>
      </c>
      <c r="AA131" s="52" t="s">
        <v>0</v>
      </c>
      <c r="AB131" s="52" t="s">
        <v>0</v>
      </c>
      <c r="AC131" s="52" t="s">
        <v>0</v>
      </c>
      <c r="AD131" s="52" t="s">
        <v>0</v>
      </c>
      <c r="AE131" s="167"/>
      <c r="AG131" s="311"/>
    </row>
    <row r="132" spans="1:33" ht="20.100000000000001" customHeight="1">
      <c r="A132" s="6" t="s">
        <v>135</v>
      </c>
      <c r="B132" s="38" t="s">
        <v>0</v>
      </c>
      <c r="C132" s="36" t="s">
        <v>57</v>
      </c>
      <c r="D132" s="36" t="s">
        <v>57</v>
      </c>
      <c r="E132" s="36" t="s">
        <v>0</v>
      </c>
      <c r="F132" s="36" t="s">
        <v>57</v>
      </c>
      <c r="G132" s="36" t="s">
        <v>57</v>
      </c>
      <c r="H132" s="36" t="s">
        <v>0</v>
      </c>
      <c r="I132" s="36" t="s">
        <v>57</v>
      </c>
      <c r="J132" s="36" t="s">
        <v>57</v>
      </c>
      <c r="K132" s="38" t="s">
        <v>7006</v>
      </c>
      <c r="L132" s="38" t="s">
        <v>7006</v>
      </c>
      <c r="M132" s="38" t="s">
        <v>7006</v>
      </c>
      <c r="N132" s="38" t="s">
        <v>0</v>
      </c>
      <c r="O132" s="38" t="s">
        <v>57</v>
      </c>
      <c r="P132" s="38" t="s">
        <v>57</v>
      </c>
      <c r="Q132" s="38" t="s">
        <v>9234</v>
      </c>
      <c r="R132" s="38" t="s">
        <v>9234</v>
      </c>
      <c r="S132" s="38" t="s">
        <v>0</v>
      </c>
      <c r="T132" s="38" t="s">
        <v>57</v>
      </c>
      <c r="U132" s="38" t="s">
        <v>57</v>
      </c>
      <c r="V132" s="38" t="s">
        <v>57</v>
      </c>
      <c r="W132" s="38" t="s">
        <v>57</v>
      </c>
      <c r="X132" s="38" t="s">
        <v>57</v>
      </c>
      <c r="Y132" s="38" t="s">
        <v>57</v>
      </c>
      <c r="Z132" s="38" t="s">
        <v>57</v>
      </c>
      <c r="AA132" s="38" t="s">
        <v>0</v>
      </c>
      <c r="AB132" s="38" t="s">
        <v>57</v>
      </c>
      <c r="AC132" s="38" t="s">
        <v>57</v>
      </c>
      <c r="AD132" s="38" t="s">
        <v>57</v>
      </c>
    </row>
    <row r="133" spans="1:33" s="40" customFormat="1">
      <c r="A133" s="51" t="s">
        <v>935</v>
      </c>
      <c r="B133" s="52" t="s">
        <v>6923</v>
      </c>
      <c r="C133" s="52" t="s">
        <v>6923</v>
      </c>
      <c r="D133" s="52" t="s">
        <v>6923</v>
      </c>
      <c r="E133" s="52" t="s">
        <v>0</v>
      </c>
      <c r="F133" s="52" t="s">
        <v>8340</v>
      </c>
      <c r="G133" s="52" t="s">
        <v>8455</v>
      </c>
      <c r="H133" s="52" t="s">
        <v>0</v>
      </c>
      <c r="I133" s="52" t="s">
        <v>8590</v>
      </c>
      <c r="J133" s="52" t="s">
        <v>8522</v>
      </c>
      <c r="K133" s="186" t="s">
        <v>7030</v>
      </c>
      <c r="L133" s="186" t="s">
        <v>7030</v>
      </c>
      <c r="M133" s="186" t="s">
        <v>7030</v>
      </c>
      <c r="N133" s="52" t="s">
        <v>7966</v>
      </c>
      <c r="O133" s="52" t="s">
        <v>7966</v>
      </c>
      <c r="P133" s="52" t="s">
        <v>7966</v>
      </c>
      <c r="Q133" s="52" t="s">
        <v>9233</v>
      </c>
      <c r="R133" s="52" t="s">
        <v>9233</v>
      </c>
      <c r="S133" s="186" t="s">
        <v>0</v>
      </c>
      <c r="T133" s="52" t="s">
        <v>7340</v>
      </c>
      <c r="U133" s="52" t="s">
        <v>7468</v>
      </c>
      <c r="V133" s="52" t="s">
        <v>9440</v>
      </c>
      <c r="W133" s="52" t="s">
        <v>9440</v>
      </c>
      <c r="X133" s="52" t="s">
        <v>9440</v>
      </c>
      <c r="Y133" s="52" t="s">
        <v>9440</v>
      </c>
      <c r="Z133" s="52" t="s">
        <v>9440</v>
      </c>
      <c r="AA133" s="52" t="s">
        <v>0</v>
      </c>
      <c r="AB133" s="52" t="s">
        <v>8727</v>
      </c>
      <c r="AC133" s="52" t="s">
        <v>8727</v>
      </c>
      <c r="AD133" s="52" t="s">
        <v>8727</v>
      </c>
      <c r="AE133" s="167"/>
      <c r="AG133" s="310"/>
    </row>
    <row r="134" spans="1:33" ht="30" customHeight="1">
      <c r="A134" s="6" t="s">
        <v>136</v>
      </c>
      <c r="B134" s="38" t="s">
        <v>0</v>
      </c>
      <c r="C134" s="36" t="s">
        <v>6874</v>
      </c>
      <c r="D134" s="36" t="s">
        <v>6874</v>
      </c>
      <c r="E134" s="36" t="s">
        <v>0</v>
      </c>
      <c r="F134" s="36" t="s">
        <v>0</v>
      </c>
      <c r="G134" s="36" t="s">
        <v>0</v>
      </c>
      <c r="H134" s="36" t="s">
        <v>0</v>
      </c>
      <c r="I134" s="36" t="s">
        <v>0</v>
      </c>
      <c r="J134" s="36" t="s">
        <v>0</v>
      </c>
      <c r="K134" s="36" t="s">
        <v>7007</v>
      </c>
      <c r="L134" s="36" t="s">
        <v>7007</v>
      </c>
      <c r="M134" s="36" t="s">
        <v>7007</v>
      </c>
      <c r="N134" s="38" t="s">
        <v>0</v>
      </c>
      <c r="O134" s="38" t="s">
        <v>0</v>
      </c>
      <c r="P134" s="38" t="s">
        <v>0</v>
      </c>
      <c r="Q134" s="38" t="s">
        <v>0</v>
      </c>
      <c r="R134" s="38" t="s">
        <v>0</v>
      </c>
      <c r="S134" s="36" t="s">
        <v>0</v>
      </c>
      <c r="T134" s="36" t="s">
        <v>0</v>
      </c>
      <c r="U134" s="38" t="s">
        <v>57</v>
      </c>
      <c r="V134" s="38" t="s">
        <v>57</v>
      </c>
      <c r="W134" s="38" t="s">
        <v>57</v>
      </c>
      <c r="X134" s="38" t="s">
        <v>57</v>
      </c>
      <c r="Y134" s="38" t="s">
        <v>57</v>
      </c>
      <c r="Z134" s="38" t="s">
        <v>57</v>
      </c>
      <c r="AA134" s="38" t="s">
        <v>0</v>
      </c>
      <c r="AB134" s="38" t="s">
        <v>0</v>
      </c>
      <c r="AC134" s="38" t="s">
        <v>0</v>
      </c>
      <c r="AD134" s="38" t="s">
        <v>0</v>
      </c>
    </row>
    <row r="135" spans="1:33" s="40" customFormat="1">
      <c r="A135" s="51" t="s">
        <v>935</v>
      </c>
      <c r="B135" s="52" t="s">
        <v>6923</v>
      </c>
      <c r="C135" s="52" t="s">
        <v>6871</v>
      </c>
      <c r="D135" s="52" t="s">
        <v>6871</v>
      </c>
      <c r="E135" s="52" t="s">
        <v>0</v>
      </c>
      <c r="F135" s="52" t="s">
        <v>0</v>
      </c>
      <c r="G135" s="52" t="s">
        <v>0</v>
      </c>
      <c r="H135" s="52" t="s">
        <v>0</v>
      </c>
      <c r="I135" s="52" t="s">
        <v>0</v>
      </c>
      <c r="J135" s="52" t="s">
        <v>0</v>
      </c>
      <c r="K135" s="186" t="s">
        <v>7029</v>
      </c>
      <c r="L135" s="186" t="s">
        <v>7029</v>
      </c>
      <c r="M135" s="186" t="s">
        <v>7029</v>
      </c>
      <c r="N135" s="52" t="s">
        <v>0</v>
      </c>
      <c r="O135" s="52" t="s">
        <v>0</v>
      </c>
      <c r="P135" s="52" t="s">
        <v>0</v>
      </c>
      <c r="Q135" s="52" t="s">
        <v>0</v>
      </c>
      <c r="R135" s="52" t="s">
        <v>0</v>
      </c>
      <c r="S135" s="186" t="s">
        <v>0</v>
      </c>
      <c r="T135" s="186" t="s">
        <v>0</v>
      </c>
      <c r="U135" s="52" t="s">
        <v>7468</v>
      </c>
      <c r="V135" s="52" t="s">
        <v>9440</v>
      </c>
      <c r="W135" s="52" t="s">
        <v>9440</v>
      </c>
      <c r="X135" s="52" t="s">
        <v>9440</v>
      </c>
      <c r="Y135" s="52" t="s">
        <v>9440</v>
      </c>
      <c r="Z135" s="52" t="s">
        <v>9440</v>
      </c>
      <c r="AA135" s="52" t="s">
        <v>0</v>
      </c>
      <c r="AB135" s="52" t="s">
        <v>0</v>
      </c>
      <c r="AC135" s="52" t="s">
        <v>0</v>
      </c>
      <c r="AD135" s="52" t="s">
        <v>0</v>
      </c>
      <c r="AE135" s="167"/>
      <c r="AG135" s="310"/>
    </row>
    <row r="136" spans="1:33" ht="30" customHeight="1">
      <c r="A136" s="181" t="s">
        <v>6552</v>
      </c>
      <c r="B136" s="38" t="s">
        <v>0</v>
      </c>
      <c r="C136" s="36" t="s">
        <v>6877</v>
      </c>
      <c r="D136" s="36" t="s">
        <v>6877</v>
      </c>
      <c r="E136" s="38" t="s">
        <v>137</v>
      </c>
      <c r="F136" s="36" t="s">
        <v>57</v>
      </c>
      <c r="G136" s="36" t="s">
        <v>57</v>
      </c>
      <c r="H136" s="36" t="s">
        <v>57</v>
      </c>
      <c r="I136" s="36" t="s">
        <v>57</v>
      </c>
      <c r="J136" s="36" t="s">
        <v>57</v>
      </c>
      <c r="K136" s="38" t="s">
        <v>57</v>
      </c>
      <c r="L136" s="38" t="s">
        <v>57</v>
      </c>
      <c r="M136" s="38" t="s">
        <v>57</v>
      </c>
      <c r="N136" s="38" t="s">
        <v>137</v>
      </c>
      <c r="O136" s="38" t="s">
        <v>57</v>
      </c>
      <c r="P136" s="38" t="s">
        <v>57</v>
      </c>
      <c r="Q136" s="38" t="s">
        <v>9235</v>
      </c>
      <c r="R136" s="38" t="s">
        <v>9235</v>
      </c>
      <c r="S136" s="38" t="s">
        <v>57</v>
      </c>
      <c r="T136" s="38" t="s">
        <v>57</v>
      </c>
      <c r="U136" s="38" t="s">
        <v>57</v>
      </c>
      <c r="V136" s="36" t="s">
        <v>614</v>
      </c>
      <c r="W136" s="36" t="s">
        <v>614</v>
      </c>
      <c r="X136" s="36" t="s">
        <v>614</v>
      </c>
      <c r="Y136" s="36" t="s">
        <v>614</v>
      </c>
      <c r="Z136" s="36" t="s">
        <v>614</v>
      </c>
      <c r="AA136" s="38" t="s">
        <v>0</v>
      </c>
      <c r="AB136" s="38" t="s">
        <v>137</v>
      </c>
      <c r="AC136" s="38" t="s">
        <v>137</v>
      </c>
      <c r="AD136" s="38" t="s">
        <v>137</v>
      </c>
    </row>
    <row r="137" spans="1:33" s="40" customFormat="1">
      <c r="A137" s="51" t="s">
        <v>935</v>
      </c>
      <c r="B137" s="52" t="s">
        <v>0</v>
      </c>
      <c r="C137" s="52" t="s">
        <v>6879</v>
      </c>
      <c r="D137" s="52" t="s">
        <v>6879</v>
      </c>
      <c r="E137" s="52" t="s">
        <v>8161</v>
      </c>
      <c r="F137" s="52" t="s">
        <v>8341</v>
      </c>
      <c r="G137" s="52" t="s">
        <v>8456</v>
      </c>
      <c r="H137" s="52" t="s">
        <v>8275</v>
      </c>
      <c r="I137" s="52" t="s">
        <v>8591</v>
      </c>
      <c r="J137" s="52" t="s">
        <v>8523</v>
      </c>
      <c r="K137" s="186" t="s">
        <v>7028</v>
      </c>
      <c r="L137" s="186" t="s">
        <v>7028</v>
      </c>
      <c r="M137" s="186" t="s">
        <v>7028</v>
      </c>
      <c r="N137" s="52" t="s">
        <v>7961</v>
      </c>
      <c r="O137" s="52" t="s">
        <v>7961</v>
      </c>
      <c r="P137" s="52" t="s">
        <v>7961</v>
      </c>
      <c r="Q137" s="52" t="s">
        <v>9233</v>
      </c>
      <c r="R137" s="52" t="s">
        <v>9233</v>
      </c>
      <c r="S137" s="52" t="s">
        <v>7249</v>
      </c>
      <c r="T137" s="52" t="s">
        <v>7344</v>
      </c>
      <c r="U137" s="52" t="s">
        <v>7469</v>
      </c>
      <c r="V137" s="52" t="s">
        <v>9439</v>
      </c>
      <c r="W137" s="52" t="s">
        <v>9439</v>
      </c>
      <c r="X137" s="52" t="s">
        <v>9439</v>
      </c>
      <c r="Y137" s="52" t="s">
        <v>9439</v>
      </c>
      <c r="Z137" s="52" t="s">
        <v>9439</v>
      </c>
      <c r="AA137" s="52" t="s">
        <v>0</v>
      </c>
      <c r="AB137" s="52" t="s">
        <v>8719</v>
      </c>
      <c r="AC137" s="52" t="s">
        <v>8719</v>
      </c>
      <c r="AD137" s="52" t="s">
        <v>8719</v>
      </c>
      <c r="AE137" s="167"/>
      <c r="AG137" s="310"/>
    </row>
    <row r="138" spans="1:33" ht="20.100000000000001" customHeight="1">
      <c r="A138" s="6" t="s">
        <v>139</v>
      </c>
      <c r="B138" s="38" t="s">
        <v>0</v>
      </c>
      <c r="C138" s="38" t="s">
        <v>0</v>
      </c>
      <c r="D138" s="38" t="s">
        <v>0</v>
      </c>
      <c r="E138" s="38" t="s">
        <v>0</v>
      </c>
      <c r="F138" s="38" t="s">
        <v>0</v>
      </c>
      <c r="G138" s="38" t="s">
        <v>0</v>
      </c>
      <c r="H138" s="38" t="s">
        <v>0</v>
      </c>
      <c r="I138" s="38" t="s">
        <v>0</v>
      </c>
      <c r="J138" s="38" t="s">
        <v>0</v>
      </c>
      <c r="K138" s="38" t="s">
        <v>57</v>
      </c>
      <c r="L138" s="38" t="s">
        <v>57</v>
      </c>
      <c r="M138" s="38" t="s">
        <v>57</v>
      </c>
      <c r="N138" s="38" t="s">
        <v>0</v>
      </c>
      <c r="O138" s="38" t="s">
        <v>0</v>
      </c>
      <c r="P138" s="38" t="s">
        <v>0</v>
      </c>
      <c r="Q138" s="38" t="s">
        <v>0</v>
      </c>
      <c r="R138" s="38" t="s">
        <v>0</v>
      </c>
      <c r="S138" s="38" t="s">
        <v>57</v>
      </c>
      <c r="T138" s="38" t="s">
        <v>57</v>
      </c>
      <c r="U138" s="38" t="s">
        <v>57</v>
      </c>
      <c r="V138" s="165" t="s">
        <v>9441</v>
      </c>
      <c r="W138" s="165" t="s">
        <v>9441</v>
      </c>
      <c r="X138" s="165" t="s">
        <v>9441</v>
      </c>
      <c r="Y138" s="165" t="s">
        <v>9441</v>
      </c>
      <c r="Z138" s="165" t="s">
        <v>9441</v>
      </c>
      <c r="AA138" s="38" t="s">
        <v>0</v>
      </c>
      <c r="AB138" s="38" t="s">
        <v>0</v>
      </c>
      <c r="AC138" s="38" t="s">
        <v>0</v>
      </c>
      <c r="AD138" s="38" t="s">
        <v>0</v>
      </c>
    </row>
    <row r="139" spans="1:33" s="40" customFormat="1">
      <c r="A139" s="51" t="s">
        <v>935</v>
      </c>
      <c r="B139" s="52" t="s">
        <v>0</v>
      </c>
      <c r="C139" s="52" t="s">
        <v>6878</v>
      </c>
      <c r="D139" s="52" t="s">
        <v>6878</v>
      </c>
      <c r="E139" s="52" t="s">
        <v>0</v>
      </c>
      <c r="F139" s="52" t="s">
        <v>0</v>
      </c>
      <c r="G139" s="52" t="s">
        <v>0</v>
      </c>
      <c r="H139" s="52" t="s">
        <v>0</v>
      </c>
      <c r="I139" s="52" t="s">
        <v>0</v>
      </c>
      <c r="J139" s="52" t="s">
        <v>0</v>
      </c>
      <c r="K139" s="186" t="s">
        <v>7027</v>
      </c>
      <c r="L139" s="186" t="s">
        <v>7027</v>
      </c>
      <c r="M139" s="186" t="s">
        <v>7027</v>
      </c>
      <c r="N139" s="52" t="s">
        <v>0</v>
      </c>
      <c r="O139" s="52" t="s">
        <v>0</v>
      </c>
      <c r="P139" s="52" t="s">
        <v>0</v>
      </c>
      <c r="Q139" s="52" t="s">
        <v>0</v>
      </c>
      <c r="R139" s="52" t="s">
        <v>0</v>
      </c>
      <c r="S139" s="52" t="s">
        <v>7249</v>
      </c>
      <c r="T139" s="52" t="s">
        <v>7344</v>
      </c>
      <c r="U139" s="52" t="s">
        <v>7469</v>
      </c>
      <c r="V139" s="52" t="s">
        <v>9442</v>
      </c>
      <c r="W139" s="52" t="s">
        <v>9442</v>
      </c>
      <c r="X139" s="52" t="s">
        <v>9442</v>
      </c>
      <c r="Y139" s="52" t="s">
        <v>9442</v>
      </c>
      <c r="Z139" s="52" t="s">
        <v>9442</v>
      </c>
      <c r="AA139" s="52" t="s">
        <v>0</v>
      </c>
      <c r="AB139" s="52" t="s">
        <v>0</v>
      </c>
      <c r="AC139" s="52" t="s">
        <v>0</v>
      </c>
      <c r="AD139" s="52" t="s">
        <v>0</v>
      </c>
      <c r="AE139" s="167"/>
      <c r="AG139" s="310"/>
    </row>
    <row r="140" spans="1:33" ht="20.100000000000001" customHeight="1">
      <c r="A140" s="6" t="s">
        <v>9706</v>
      </c>
      <c r="B140" s="38" t="s">
        <v>0</v>
      </c>
      <c r="C140" s="38" t="s">
        <v>0</v>
      </c>
      <c r="D140" s="38" t="s">
        <v>0</v>
      </c>
      <c r="E140" s="38" t="s">
        <v>0</v>
      </c>
      <c r="F140" s="38" t="s">
        <v>0</v>
      </c>
      <c r="G140" s="38" t="s">
        <v>0</v>
      </c>
      <c r="H140" s="38" t="s">
        <v>0</v>
      </c>
      <c r="I140" s="38" t="s">
        <v>0</v>
      </c>
      <c r="J140" s="38" t="s">
        <v>0</v>
      </c>
      <c r="K140" s="38" t="s">
        <v>0</v>
      </c>
      <c r="L140" s="38" t="s">
        <v>0</v>
      </c>
      <c r="M140" s="38" t="s">
        <v>0</v>
      </c>
      <c r="N140" s="38" t="s">
        <v>0</v>
      </c>
      <c r="O140" s="38" t="s">
        <v>0</v>
      </c>
      <c r="P140" s="38" t="s">
        <v>0</v>
      </c>
      <c r="Q140" s="38" t="s">
        <v>0</v>
      </c>
      <c r="R140" s="38" t="s">
        <v>0</v>
      </c>
      <c r="S140" s="38" t="s">
        <v>0</v>
      </c>
      <c r="T140" s="38" t="s">
        <v>0</v>
      </c>
      <c r="U140" s="38" t="s">
        <v>0</v>
      </c>
      <c r="V140" s="38" t="s">
        <v>0</v>
      </c>
      <c r="W140" s="38" t="s">
        <v>57</v>
      </c>
      <c r="X140" s="38" t="s">
        <v>57</v>
      </c>
      <c r="Y140" s="38" t="s">
        <v>57</v>
      </c>
      <c r="Z140" s="38" t="s">
        <v>57</v>
      </c>
      <c r="AA140" s="38" t="s">
        <v>0</v>
      </c>
      <c r="AB140" s="38" t="s">
        <v>0</v>
      </c>
      <c r="AC140" s="38" t="s">
        <v>0</v>
      </c>
      <c r="AD140" s="38" t="s">
        <v>0</v>
      </c>
    </row>
    <row r="141" spans="1:33" s="40" customFormat="1">
      <c r="A141" s="51" t="s">
        <v>935</v>
      </c>
      <c r="B141" s="52" t="s">
        <v>6834</v>
      </c>
      <c r="C141" s="52" t="s">
        <v>6878</v>
      </c>
      <c r="D141" s="52" t="s">
        <v>6878</v>
      </c>
      <c r="E141" s="52" t="s">
        <v>8162</v>
      </c>
      <c r="F141" s="52" t="s">
        <v>8162</v>
      </c>
      <c r="G141" s="52" t="s">
        <v>8162</v>
      </c>
      <c r="H141" s="52" t="s">
        <v>8162</v>
      </c>
      <c r="I141" s="52" t="s">
        <v>8162</v>
      </c>
      <c r="J141" s="52" t="s">
        <v>8162</v>
      </c>
      <c r="K141" s="186" t="s">
        <v>7026</v>
      </c>
      <c r="L141" s="186" t="s">
        <v>7026</v>
      </c>
      <c r="M141" s="186" t="s">
        <v>7026</v>
      </c>
      <c r="N141" s="52" t="s">
        <v>7977</v>
      </c>
      <c r="O141" s="52" t="s">
        <v>7977</v>
      </c>
      <c r="P141" s="52" t="s">
        <v>7977</v>
      </c>
      <c r="Q141" s="52" t="s">
        <v>0</v>
      </c>
      <c r="R141" s="52" t="s">
        <v>0</v>
      </c>
      <c r="S141" s="52" t="s">
        <v>7250</v>
      </c>
      <c r="T141" s="52" t="s">
        <v>7345</v>
      </c>
      <c r="U141" s="52" t="s">
        <v>7470</v>
      </c>
      <c r="V141" s="52" t="s">
        <v>9446</v>
      </c>
      <c r="W141" s="52" t="s">
        <v>9508</v>
      </c>
      <c r="X141" s="52" t="s">
        <v>9508</v>
      </c>
      <c r="Y141" s="52" t="s">
        <v>9508</v>
      </c>
      <c r="Z141" s="52" t="s">
        <v>9508</v>
      </c>
      <c r="AA141" s="52" t="s">
        <v>0</v>
      </c>
      <c r="AB141" s="52" t="s">
        <v>8726</v>
      </c>
      <c r="AC141" s="52" t="s">
        <v>8726</v>
      </c>
      <c r="AD141" s="52" t="s">
        <v>8726</v>
      </c>
      <c r="AE141" s="167"/>
      <c r="AG141" s="310"/>
    </row>
    <row r="143" spans="1:33" s="40" customFormat="1" ht="20.100000000000001" customHeight="1">
      <c r="A143" s="26" t="s">
        <v>143</v>
      </c>
      <c r="B143" s="293"/>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167"/>
      <c r="AG143" s="310"/>
    </row>
    <row r="144" spans="1:33" ht="5.25" customHeight="1">
      <c r="A144" s="28"/>
      <c r="B144" s="291"/>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row>
    <row r="145" spans="1:34" ht="30" customHeight="1">
      <c r="A145" s="82" t="s">
        <v>6778</v>
      </c>
      <c r="B145" s="272" t="s">
        <v>57</v>
      </c>
      <c r="C145" s="38" t="s">
        <v>57</v>
      </c>
      <c r="D145" s="38" t="s">
        <v>57</v>
      </c>
      <c r="E145" s="38" t="s">
        <v>0</v>
      </c>
      <c r="F145" s="38" t="s">
        <v>0</v>
      </c>
      <c r="G145" s="38" t="s">
        <v>0</v>
      </c>
      <c r="H145" s="38" t="s">
        <v>0</v>
      </c>
      <c r="I145" s="38" t="s">
        <v>0</v>
      </c>
      <c r="J145" s="38" t="s">
        <v>0</v>
      </c>
      <c r="K145" s="7" t="s">
        <v>0</v>
      </c>
      <c r="L145" s="7" t="s">
        <v>0</v>
      </c>
      <c r="M145" s="7" t="s">
        <v>0</v>
      </c>
      <c r="N145" s="7" t="s">
        <v>0</v>
      </c>
      <c r="O145" s="7" t="s">
        <v>0</v>
      </c>
      <c r="P145" s="7" t="s">
        <v>0</v>
      </c>
      <c r="Q145" s="7" t="s">
        <v>0</v>
      </c>
      <c r="R145" s="7" t="s">
        <v>0</v>
      </c>
      <c r="S145" s="7" t="s">
        <v>0</v>
      </c>
      <c r="T145" s="7" t="s">
        <v>0</v>
      </c>
      <c r="U145" s="7" t="s">
        <v>0</v>
      </c>
      <c r="V145" s="7" t="s">
        <v>0</v>
      </c>
      <c r="W145" s="7" t="s">
        <v>0</v>
      </c>
      <c r="X145" s="7" t="s">
        <v>0</v>
      </c>
      <c r="Y145" s="7" t="s">
        <v>0</v>
      </c>
      <c r="Z145" s="7" t="s">
        <v>0</v>
      </c>
      <c r="AA145" s="38" t="s">
        <v>0</v>
      </c>
      <c r="AB145" s="7" t="s">
        <v>0</v>
      </c>
      <c r="AC145" s="7" t="s">
        <v>0</v>
      </c>
      <c r="AD145" s="7" t="s">
        <v>0</v>
      </c>
      <c r="AF145" s="40"/>
      <c r="AG145" s="310"/>
      <c r="AH145" s="40"/>
    </row>
    <row r="146" spans="1:34">
      <c r="A146" s="51" t="s">
        <v>935</v>
      </c>
      <c r="B146" s="52" t="s">
        <v>6779</v>
      </c>
      <c r="C146" s="52" t="s">
        <v>6779</v>
      </c>
      <c r="D146" s="52" t="s">
        <v>6779</v>
      </c>
      <c r="E146" s="52" t="s">
        <v>0</v>
      </c>
      <c r="F146" s="52" t="s">
        <v>0</v>
      </c>
      <c r="G146" s="52" t="s">
        <v>0</v>
      </c>
      <c r="H146" s="52" t="s">
        <v>0</v>
      </c>
      <c r="I146" s="52" t="s">
        <v>0</v>
      </c>
      <c r="J146" s="52" t="s">
        <v>0</v>
      </c>
      <c r="K146" s="52" t="s">
        <v>0</v>
      </c>
      <c r="L146" s="52" t="s">
        <v>0</v>
      </c>
      <c r="M146" s="52" t="s">
        <v>0</v>
      </c>
      <c r="N146" s="52" t="s">
        <v>0</v>
      </c>
      <c r="O146" s="52" t="s">
        <v>0</v>
      </c>
      <c r="P146" s="52" t="s">
        <v>0</v>
      </c>
      <c r="Q146" s="52"/>
      <c r="R146" s="52"/>
      <c r="S146" s="52" t="s">
        <v>0</v>
      </c>
      <c r="T146" s="52" t="s">
        <v>0</v>
      </c>
      <c r="U146" s="52" t="s">
        <v>0</v>
      </c>
      <c r="V146" s="52" t="s">
        <v>0</v>
      </c>
      <c r="W146" s="52" t="s">
        <v>0</v>
      </c>
      <c r="X146" s="52" t="s">
        <v>0</v>
      </c>
      <c r="Y146" s="52" t="s">
        <v>0</v>
      </c>
      <c r="Z146" s="52" t="s">
        <v>0</v>
      </c>
      <c r="AA146" s="52" t="s">
        <v>0</v>
      </c>
      <c r="AB146" s="52" t="s">
        <v>0</v>
      </c>
      <c r="AC146" s="52" t="s">
        <v>0</v>
      </c>
      <c r="AD146" s="52" t="s">
        <v>0</v>
      </c>
      <c r="AF146" s="40"/>
      <c r="AG146" s="310"/>
      <c r="AH146" s="40"/>
    </row>
    <row r="147" spans="1:34" ht="20.100000000000001" customHeight="1">
      <c r="A147" s="6" t="s">
        <v>6590</v>
      </c>
      <c r="B147" s="38" t="s">
        <v>7192</v>
      </c>
      <c r="C147" s="38" t="s">
        <v>7192</v>
      </c>
      <c r="D147" s="38" t="s">
        <v>7192</v>
      </c>
      <c r="E147" s="38" t="s">
        <v>57</v>
      </c>
      <c r="F147" s="38" t="s">
        <v>57</v>
      </c>
      <c r="G147" s="38" t="s">
        <v>57</v>
      </c>
      <c r="H147" s="38" t="s">
        <v>57</v>
      </c>
      <c r="I147" s="38" t="s">
        <v>57</v>
      </c>
      <c r="J147" s="38" t="s">
        <v>57</v>
      </c>
      <c r="K147" s="7" t="s">
        <v>57</v>
      </c>
      <c r="L147" s="7" t="s">
        <v>57</v>
      </c>
      <c r="M147" s="7" t="s">
        <v>57</v>
      </c>
      <c r="N147" s="38" t="s">
        <v>57</v>
      </c>
      <c r="O147" s="38" t="s">
        <v>57</v>
      </c>
      <c r="P147" s="38" t="s">
        <v>57</v>
      </c>
      <c r="Q147" s="38" t="s">
        <v>57</v>
      </c>
      <c r="R147" s="38" t="s">
        <v>57</v>
      </c>
      <c r="S147" s="38" t="s">
        <v>57</v>
      </c>
      <c r="T147" s="38" t="s">
        <v>57</v>
      </c>
      <c r="U147" s="38" t="s">
        <v>57</v>
      </c>
      <c r="V147" s="38" t="s">
        <v>57</v>
      </c>
      <c r="W147" s="38" t="s">
        <v>57</v>
      </c>
      <c r="X147" s="38" t="s">
        <v>57</v>
      </c>
      <c r="Y147" s="38" t="s">
        <v>57</v>
      </c>
      <c r="Z147" s="38" t="s">
        <v>57</v>
      </c>
      <c r="AA147" s="38" t="s">
        <v>0</v>
      </c>
      <c r="AB147" s="38" t="s">
        <v>57</v>
      </c>
      <c r="AC147" s="38" t="s">
        <v>57</v>
      </c>
      <c r="AD147" s="38" t="s">
        <v>57</v>
      </c>
      <c r="AF147" s="40"/>
      <c r="AG147" s="310"/>
      <c r="AH147" s="40"/>
    </row>
    <row r="148" spans="1:34" s="40" customFormat="1">
      <c r="A148" s="51" t="s">
        <v>935</v>
      </c>
      <c r="B148" s="52" t="s">
        <v>6779</v>
      </c>
      <c r="C148" s="52" t="s">
        <v>6779</v>
      </c>
      <c r="D148" s="52" t="s">
        <v>6779</v>
      </c>
      <c r="E148" s="52" t="s">
        <v>8163</v>
      </c>
      <c r="F148" s="52" t="s">
        <v>8163</v>
      </c>
      <c r="G148" s="52" t="s">
        <v>8163</v>
      </c>
      <c r="H148" s="52" t="s">
        <v>8163</v>
      </c>
      <c r="I148" s="52" t="s">
        <v>8163</v>
      </c>
      <c r="J148" s="52" t="s">
        <v>8163</v>
      </c>
      <c r="K148" s="52" t="s">
        <v>6006</v>
      </c>
      <c r="L148" s="52" t="s">
        <v>6006</v>
      </c>
      <c r="M148" s="52" t="s">
        <v>6006</v>
      </c>
      <c r="N148" s="52" t="s">
        <v>7968</v>
      </c>
      <c r="O148" s="52" t="s">
        <v>7968</v>
      </c>
      <c r="P148" s="52" t="s">
        <v>7968</v>
      </c>
      <c r="Q148" s="52" t="s">
        <v>9238</v>
      </c>
      <c r="R148" s="52" t="s">
        <v>9238</v>
      </c>
      <c r="S148" s="52" t="s">
        <v>7251</v>
      </c>
      <c r="T148" s="52" t="s">
        <v>7347</v>
      </c>
      <c r="U148" s="52" t="s">
        <v>7471</v>
      </c>
      <c r="V148" s="52" t="s">
        <v>9447</v>
      </c>
      <c r="W148" s="52" t="s">
        <v>9447</v>
      </c>
      <c r="X148" s="52" t="s">
        <v>9447</v>
      </c>
      <c r="Y148" s="52" t="s">
        <v>9447</v>
      </c>
      <c r="Z148" s="52" t="s">
        <v>9447</v>
      </c>
      <c r="AA148" s="52" t="s">
        <v>0</v>
      </c>
      <c r="AB148" s="52" t="s">
        <v>8722</v>
      </c>
      <c r="AC148" s="52" t="s">
        <v>8722</v>
      </c>
      <c r="AD148" s="52" t="s">
        <v>8722</v>
      </c>
      <c r="AE148" s="167"/>
      <c r="AF148" s="5"/>
      <c r="AG148" s="311"/>
      <c r="AH148" s="5"/>
    </row>
    <row r="149" spans="1:34" ht="20.100000000000001" customHeight="1">
      <c r="A149" s="62" t="s">
        <v>8164</v>
      </c>
      <c r="B149" s="38" t="s">
        <v>7192</v>
      </c>
      <c r="C149" s="38" t="s">
        <v>7192</v>
      </c>
      <c r="D149" s="38" t="s">
        <v>7192</v>
      </c>
      <c r="E149" s="38" t="s">
        <v>57</v>
      </c>
      <c r="F149" s="38" t="s">
        <v>57</v>
      </c>
      <c r="G149" s="38" t="s">
        <v>57</v>
      </c>
      <c r="H149" s="38" t="s">
        <v>57</v>
      </c>
      <c r="I149" s="38" t="s">
        <v>57</v>
      </c>
      <c r="J149" s="38" t="s">
        <v>57</v>
      </c>
      <c r="K149" s="36" t="s">
        <v>57</v>
      </c>
      <c r="L149" s="36" t="s">
        <v>57</v>
      </c>
      <c r="M149" s="36" t="s">
        <v>57</v>
      </c>
      <c r="N149" s="36" t="s">
        <v>57</v>
      </c>
      <c r="O149" s="36" t="s">
        <v>57</v>
      </c>
      <c r="P149" s="36" t="s">
        <v>57</v>
      </c>
      <c r="Q149" s="38" t="s">
        <v>57</v>
      </c>
      <c r="R149" s="38" t="s">
        <v>57</v>
      </c>
      <c r="S149" s="36" t="s">
        <v>57</v>
      </c>
      <c r="T149" s="36" t="s">
        <v>57</v>
      </c>
      <c r="U149" s="36" t="s">
        <v>57</v>
      </c>
      <c r="V149" s="36" t="s">
        <v>57</v>
      </c>
      <c r="W149" s="36" t="s">
        <v>57</v>
      </c>
      <c r="X149" s="36" t="s">
        <v>57</v>
      </c>
      <c r="Y149" s="36" t="s">
        <v>57</v>
      </c>
      <c r="Z149" s="36" t="s">
        <v>57</v>
      </c>
      <c r="AA149" s="38" t="s">
        <v>0</v>
      </c>
      <c r="AB149" s="38" t="s">
        <v>57</v>
      </c>
      <c r="AC149" s="38" t="s">
        <v>57</v>
      </c>
      <c r="AD149" s="38" t="s">
        <v>57</v>
      </c>
      <c r="AF149" s="40"/>
      <c r="AG149" s="310"/>
    </row>
    <row r="150" spans="1:34" s="40" customFormat="1">
      <c r="A150" s="185" t="s">
        <v>935</v>
      </c>
      <c r="B150" s="52" t="s">
        <v>6779</v>
      </c>
      <c r="C150" s="52" t="s">
        <v>6779</v>
      </c>
      <c r="D150" s="52" t="s">
        <v>6779</v>
      </c>
      <c r="E150" s="52" t="s">
        <v>8163</v>
      </c>
      <c r="F150" s="52" t="s">
        <v>8163</v>
      </c>
      <c r="G150" s="52" t="s">
        <v>8163</v>
      </c>
      <c r="H150" s="52" t="s">
        <v>8163</v>
      </c>
      <c r="I150" s="52" t="s">
        <v>8163</v>
      </c>
      <c r="J150" s="52" t="s">
        <v>8163</v>
      </c>
      <c r="K150" s="52" t="s">
        <v>6006</v>
      </c>
      <c r="L150" s="52" t="s">
        <v>6006</v>
      </c>
      <c r="M150" s="52" t="s">
        <v>6006</v>
      </c>
      <c r="N150" s="52" t="s">
        <v>7968</v>
      </c>
      <c r="O150" s="52" t="s">
        <v>7968</v>
      </c>
      <c r="P150" s="52" t="s">
        <v>7968</v>
      </c>
      <c r="Q150" s="52" t="s">
        <v>9238</v>
      </c>
      <c r="R150" s="52" t="s">
        <v>9238</v>
      </c>
      <c r="S150" s="52" t="s">
        <v>7251</v>
      </c>
      <c r="T150" s="52" t="s">
        <v>7347</v>
      </c>
      <c r="U150" s="52" t="s">
        <v>7471</v>
      </c>
      <c r="V150" s="52" t="s">
        <v>9447</v>
      </c>
      <c r="W150" s="52" t="s">
        <v>9447</v>
      </c>
      <c r="X150" s="52" t="s">
        <v>9447</v>
      </c>
      <c r="Y150" s="52" t="s">
        <v>9447</v>
      </c>
      <c r="Z150" s="52" t="s">
        <v>9447</v>
      </c>
      <c r="AA150" s="186" t="s">
        <v>0</v>
      </c>
      <c r="AB150" s="52" t="s">
        <v>8722</v>
      </c>
      <c r="AC150" s="52" t="s">
        <v>8722</v>
      </c>
      <c r="AD150" s="52" t="s">
        <v>8722</v>
      </c>
      <c r="AE150" s="167"/>
      <c r="AF150" s="5"/>
      <c r="AG150" s="311"/>
    </row>
    <row r="151" spans="1:34" ht="20.100000000000001" customHeight="1">
      <c r="A151" s="62" t="s">
        <v>6591</v>
      </c>
      <c r="B151" s="38" t="s">
        <v>7192</v>
      </c>
      <c r="C151" s="38" t="s">
        <v>7192</v>
      </c>
      <c r="D151" s="38" t="s">
        <v>7192</v>
      </c>
      <c r="E151" s="36" t="s">
        <v>525</v>
      </c>
      <c r="F151" s="36" t="s">
        <v>525</v>
      </c>
      <c r="G151" s="36" t="s">
        <v>525</v>
      </c>
      <c r="H151" s="36" t="s">
        <v>525</v>
      </c>
      <c r="I151" s="36" t="s">
        <v>525</v>
      </c>
      <c r="J151" s="36" t="s">
        <v>525</v>
      </c>
      <c r="K151" s="36" t="s">
        <v>7198</v>
      </c>
      <c r="L151" s="36" t="s">
        <v>525</v>
      </c>
      <c r="M151" s="36" t="s">
        <v>57</v>
      </c>
      <c r="N151" s="36" t="s">
        <v>525</v>
      </c>
      <c r="O151" s="36" t="s">
        <v>525</v>
      </c>
      <c r="P151" s="36" t="s">
        <v>525</v>
      </c>
      <c r="Q151" s="36" t="s">
        <v>525</v>
      </c>
      <c r="R151" s="36" t="s">
        <v>525</v>
      </c>
      <c r="S151" s="36" t="s">
        <v>525</v>
      </c>
      <c r="T151" s="36" t="s">
        <v>525</v>
      </c>
      <c r="U151" s="36" t="s">
        <v>525</v>
      </c>
      <c r="V151" s="36" t="s">
        <v>525</v>
      </c>
      <c r="W151" s="36" t="s">
        <v>57</v>
      </c>
      <c r="X151" s="36" t="s">
        <v>57</v>
      </c>
      <c r="Y151" s="36" t="s">
        <v>57</v>
      </c>
      <c r="Z151" s="36" t="s">
        <v>57</v>
      </c>
      <c r="AA151" s="36" t="s">
        <v>0</v>
      </c>
      <c r="AB151" s="36" t="s">
        <v>57</v>
      </c>
      <c r="AC151" s="36" t="s">
        <v>57</v>
      </c>
      <c r="AD151" s="36" t="s">
        <v>57</v>
      </c>
      <c r="AF151" s="40"/>
      <c r="AG151" s="310"/>
    </row>
    <row r="152" spans="1:34" s="40" customFormat="1" ht="18">
      <c r="A152" s="185" t="s">
        <v>935</v>
      </c>
      <c r="B152" s="52" t="s">
        <v>6779</v>
      </c>
      <c r="C152" s="52" t="s">
        <v>6779</v>
      </c>
      <c r="D152" s="52" t="s">
        <v>6779</v>
      </c>
      <c r="E152" s="52" t="s">
        <v>8167</v>
      </c>
      <c r="F152" s="52" t="s">
        <v>8167</v>
      </c>
      <c r="G152" s="52" t="s">
        <v>8167</v>
      </c>
      <c r="H152" s="52" t="s">
        <v>8167</v>
      </c>
      <c r="I152" s="52" t="s">
        <v>8167</v>
      </c>
      <c r="J152" s="52" t="s">
        <v>8167</v>
      </c>
      <c r="K152" s="186" t="s">
        <v>9024</v>
      </c>
      <c r="L152" s="52" t="s">
        <v>6012</v>
      </c>
      <c r="M152" s="186" t="s">
        <v>9074</v>
      </c>
      <c r="N152" s="52" t="s">
        <v>7973</v>
      </c>
      <c r="O152" s="52" t="s">
        <v>7973</v>
      </c>
      <c r="P152" s="52" t="s">
        <v>7973</v>
      </c>
      <c r="Q152" s="52" t="s">
        <v>9240</v>
      </c>
      <c r="R152" s="52" t="s">
        <v>9240</v>
      </c>
      <c r="S152" s="52" t="s">
        <v>7252</v>
      </c>
      <c r="T152" s="52" t="s">
        <v>7348</v>
      </c>
      <c r="U152" s="52" t="s">
        <v>7472</v>
      </c>
      <c r="V152" s="52" t="s">
        <v>9452</v>
      </c>
      <c r="W152" s="52" t="s">
        <v>9509</v>
      </c>
      <c r="X152" s="52" t="s">
        <v>9509</v>
      </c>
      <c r="Y152" s="52" t="s">
        <v>9509</v>
      </c>
      <c r="Z152" s="52" t="s">
        <v>9509</v>
      </c>
      <c r="AA152" s="186" t="s">
        <v>0</v>
      </c>
      <c r="AB152" s="52" t="s">
        <v>8728</v>
      </c>
      <c r="AC152" s="52" t="s">
        <v>8728</v>
      </c>
      <c r="AD152" s="52" t="s">
        <v>8728</v>
      </c>
      <c r="AE152" s="167"/>
      <c r="AF152" s="5"/>
      <c r="AG152" s="311"/>
    </row>
    <row r="153" spans="1:34" ht="20.100000000000001" customHeight="1">
      <c r="A153" s="62" t="s">
        <v>6619</v>
      </c>
      <c r="B153" s="38" t="s">
        <v>7192</v>
      </c>
      <c r="C153" s="38" t="s">
        <v>7192</v>
      </c>
      <c r="D153" s="38" t="s">
        <v>7192</v>
      </c>
      <c r="E153" s="36" t="s">
        <v>525</v>
      </c>
      <c r="F153" s="36" t="s">
        <v>525</v>
      </c>
      <c r="G153" s="36" t="s">
        <v>525</v>
      </c>
      <c r="H153" s="36" t="s">
        <v>525</v>
      </c>
      <c r="I153" s="36" t="s">
        <v>525</v>
      </c>
      <c r="J153" s="36" t="s">
        <v>525</v>
      </c>
      <c r="K153" s="36" t="s">
        <v>7198</v>
      </c>
      <c r="L153" s="38" t="s">
        <v>525</v>
      </c>
      <c r="M153" s="36" t="s">
        <v>57</v>
      </c>
      <c r="N153" s="36" t="s">
        <v>525</v>
      </c>
      <c r="O153" s="36" t="s">
        <v>7974</v>
      </c>
      <c r="P153" s="36" t="s">
        <v>7975</v>
      </c>
      <c r="Q153" s="36" t="s">
        <v>525</v>
      </c>
      <c r="R153" s="36" t="s">
        <v>525</v>
      </c>
      <c r="S153" s="36" t="s">
        <v>525</v>
      </c>
      <c r="T153" s="36" t="s">
        <v>7351</v>
      </c>
      <c r="U153" s="36" t="s">
        <v>57</v>
      </c>
      <c r="V153" s="36" t="s">
        <v>525</v>
      </c>
      <c r="W153" s="36" t="s">
        <v>7879</v>
      </c>
      <c r="X153" s="36" t="s">
        <v>9603</v>
      </c>
      <c r="Y153" s="36" t="s">
        <v>9603</v>
      </c>
      <c r="Z153" s="36" t="s">
        <v>7879</v>
      </c>
      <c r="AA153" s="38" t="s">
        <v>0</v>
      </c>
      <c r="AB153" s="36" t="s">
        <v>57</v>
      </c>
      <c r="AC153" s="36" t="s">
        <v>57</v>
      </c>
      <c r="AD153" s="36" t="s">
        <v>57</v>
      </c>
      <c r="AF153" s="40"/>
      <c r="AG153" s="310"/>
    </row>
    <row r="154" spans="1:34" s="40" customFormat="1" ht="18">
      <c r="A154" s="51" t="s">
        <v>935</v>
      </c>
      <c r="B154" s="52" t="s">
        <v>6779</v>
      </c>
      <c r="C154" s="52" t="s">
        <v>6779</v>
      </c>
      <c r="D154" s="52" t="s">
        <v>6779</v>
      </c>
      <c r="E154" s="52" t="s">
        <v>8167</v>
      </c>
      <c r="F154" s="52" t="s">
        <v>8167</v>
      </c>
      <c r="G154" s="52" t="s">
        <v>8167</v>
      </c>
      <c r="H154" s="52" t="s">
        <v>8167</v>
      </c>
      <c r="I154" s="52" t="s">
        <v>8167</v>
      </c>
      <c r="J154" s="52" t="s">
        <v>8167</v>
      </c>
      <c r="K154" s="186" t="s">
        <v>9024</v>
      </c>
      <c r="L154" s="52" t="s">
        <v>6012</v>
      </c>
      <c r="M154" s="186" t="s">
        <v>9074</v>
      </c>
      <c r="N154" s="52" t="s">
        <v>7973</v>
      </c>
      <c r="O154" s="52" t="s">
        <v>7976</v>
      </c>
      <c r="P154" s="52" t="s">
        <v>7976</v>
      </c>
      <c r="Q154" s="52" t="s">
        <v>9240</v>
      </c>
      <c r="R154" s="52" t="s">
        <v>9240</v>
      </c>
      <c r="S154" s="52" t="s">
        <v>7252</v>
      </c>
      <c r="T154" s="52" t="s">
        <v>7349</v>
      </c>
      <c r="U154" s="52" t="s">
        <v>7473</v>
      </c>
      <c r="V154" s="52" t="s">
        <v>9452</v>
      </c>
      <c r="W154" s="52" t="s">
        <v>9536</v>
      </c>
      <c r="X154" s="52" t="s">
        <v>9602</v>
      </c>
      <c r="Y154" s="52" t="s">
        <v>9602</v>
      </c>
      <c r="Z154" s="52" t="s">
        <v>9536</v>
      </c>
      <c r="AA154" s="52" t="s">
        <v>0</v>
      </c>
      <c r="AB154" s="52" t="s">
        <v>8728</v>
      </c>
      <c r="AC154" s="52" t="s">
        <v>8728</v>
      </c>
      <c r="AD154" s="52" t="s">
        <v>8728</v>
      </c>
      <c r="AE154" s="167"/>
      <c r="AF154" s="5"/>
      <c r="AG154" s="311"/>
    </row>
    <row r="155" spans="1:34" ht="20.100000000000001" customHeight="1">
      <c r="A155" s="6" t="s">
        <v>145</v>
      </c>
      <c r="B155" s="38" t="s">
        <v>7192</v>
      </c>
      <c r="C155" s="38" t="s">
        <v>7192</v>
      </c>
      <c r="D155" s="38" t="s">
        <v>7192</v>
      </c>
      <c r="E155" s="38" t="s">
        <v>57</v>
      </c>
      <c r="F155" s="38" t="s">
        <v>57</v>
      </c>
      <c r="G155" s="38" t="s">
        <v>57</v>
      </c>
      <c r="H155" s="38" t="s">
        <v>57</v>
      </c>
      <c r="I155" s="38" t="s">
        <v>57</v>
      </c>
      <c r="J155" s="38" t="s">
        <v>57</v>
      </c>
      <c r="K155" s="36" t="s">
        <v>7194</v>
      </c>
      <c r="L155" s="36" t="s">
        <v>7194</v>
      </c>
      <c r="M155" s="36" t="s">
        <v>7194</v>
      </c>
      <c r="N155" s="36" t="s">
        <v>7969</v>
      </c>
      <c r="O155" s="36" t="s">
        <v>7969</v>
      </c>
      <c r="P155" s="36" t="s">
        <v>7969</v>
      </c>
      <c r="Q155" s="38" t="s">
        <v>57</v>
      </c>
      <c r="R155" s="38" t="s">
        <v>57</v>
      </c>
      <c r="S155" s="36" t="s">
        <v>7194</v>
      </c>
      <c r="T155" s="36" t="s">
        <v>7194</v>
      </c>
      <c r="U155" s="36" t="s">
        <v>7194</v>
      </c>
      <c r="V155" s="36" t="s">
        <v>7194</v>
      </c>
      <c r="W155" s="36" t="s">
        <v>57</v>
      </c>
      <c r="X155" s="36" t="s">
        <v>57</v>
      </c>
      <c r="Y155" s="36" t="s">
        <v>57</v>
      </c>
      <c r="Z155" s="36" t="s">
        <v>57</v>
      </c>
      <c r="AA155" s="38" t="s">
        <v>0</v>
      </c>
      <c r="AB155" s="36" t="s">
        <v>7969</v>
      </c>
      <c r="AC155" s="36" t="s">
        <v>7969</v>
      </c>
      <c r="AD155" s="36" t="s">
        <v>7969</v>
      </c>
      <c r="AF155" s="40"/>
      <c r="AG155" s="310"/>
    </row>
    <row r="156" spans="1:34" s="40" customFormat="1">
      <c r="A156" s="51" t="s">
        <v>935</v>
      </c>
      <c r="B156" s="52" t="s">
        <v>6779</v>
      </c>
      <c r="C156" s="52" t="s">
        <v>6779</v>
      </c>
      <c r="D156" s="52" t="s">
        <v>6779</v>
      </c>
      <c r="E156" s="52" t="s">
        <v>8165</v>
      </c>
      <c r="F156" s="52" t="s">
        <v>8165</v>
      </c>
      <c r="G156" s="52" t="s">
        <v>8165</v>
      </c>
      <c r="H156" s="52" t="s">
        <v>8165</v>
      </c>
      <c r="I156" s="52" t="s">
        <v>8165</v>
      </c>
      <c r="J156" s="52" t="s">
        <v>8165</v>
      </c>
      <c r="K156" s="52" t="s">
        <v>7196</v>
      </c>
      <c r="L156" s="52" t="s">
        <v>7196</v>
      </c>
      <c r="M156" s="52" t="s">
        <v>7196</v>
      </c>
      <c r="N156" s="52" t="s">
        <v>7970</v>
      </c>
      <c r="O156" s="52" t="s">
        <v>7970</v>
      </c>
      <c r="P156" s="52" t="s">
        <v>7970</v>
      </c>
      <c r="Q156" s="52" t="s">
        <v>9239</v>
      </c>
      <c r="R156" s="52" t="s">
        <v>9239</v>
      </c>
      <c r="S156" s="52" t="s">
        <v>7254</v>
      </c>
      <c r="T156" s="52" t="s">
        <v>7352</v>
      </c>
      <c r="U156" s="52" t="s">
        <v>7474</v>
      </c>
      <c r="V156" s="52" t="s">
        <v>9453</v>
      </c>
      <c r="W156" s="52" t="s">
        <v>9453</v>
      </c>
      <c r="X156" s="52" t="s">
        <v>9453</v>
      </c>
      <c r="Y156" s="52" t="s">
        <v>9453</v>
      </c>
      <c r="Z156" s="52" t="s">
        <v>9453</v>
      </c>
      <c r="AA156" s="52" t="s">
        <v>0</v>
      </c>
      <c r="AB156" s="52" t="s">
        <v>8723</v>
      </c>
      <c r="AC156" s="52" t="s">
        <v>8723</v>
      </c>
      <c r="AD156" s="52" t="s">
        <v>8723</v>
      </c>
      <c r="AE156" s="167"/>
      <c r="AF156" s="5"/>
      <c r="AG156" s="311"/>
    </row>
    <row r="157" spans="1:34" ht="20.100000000000001" customHeight="1">
      <c r="A157" s="6" t="s">
        <v>146</v>
      </c>
      <c r="B157" s="38" t="s">
        <v>7192</v>
      </c>
      <c r="C157" s="38" t="s">
        <v>7192</v>
      </c>
      <c r="D157" s="38" t="s">
        <v>7192</v>
      </c>
      <c r="E157" s="38" t="s">
        <v>57</v>
      </c>
      <c r="F157" s="38" t="s">
        <v>57</v>
      </c>
      <c r="G157" s="38" t="s">
        <v>57</v>
      </c>
      <c r="H157" s="38" t="s">
        <v>57</v>
      </c>
      <c r="I157" s="38" t="s">
        <v>57</v>
      </c>
      <c r="J157" s="38" t="s">
        <v>57</v>
      </c>
      <c r="K157" s="36" t="s">
        <v>7194</v>
      </c>
      <c r="L157" s="36" t="s">
        <v>7194</v>
      </c>
      <c r="M157" s="36" t="s">
        <v>7194</v>
      </c>
      <c r="N157" s="38" t="s">
        <v>57</v>
      </c>
      <c r="O157" s="38" t="s">
        <v>57</v>
      </c>
      <c r="P157" s="38" t="s">
        <v>57</v>
      </c>
      <c r="Q157" s="38" t="s">
        <v>57</v>
      </c>
      <c r="R157" s="38" t="s">
        <v>57</v>
      </c>
      <c r="S157" s="38" t="s">
        <v>57</v>
      </c>
      <c r="T157" s="38" t="s">
        <v>57</v>
      </c>
      <c r="U157" s="38" t="s">
        <v>57</v>
      </c>
      <c r="V157" s="38" t="s">
        <v>57</v>
      </c>
      <c r="W157" s="38" t="s">
        <v>57</v>
      </c>
      <c r="X157" s="38" t="s">
        <v>57</v>
      </c>
      <c r="Y157" s="38" t="s">
        <v>57</v>
      </c>
      <c r="Z157" s="38" t="s">
        <v>57</v>
      </c>
      <c r="AA157" s="38" t="s">
        <v>0</v>
      </c>
      <c r="AB157" s="38" t="s">
        <v>57</v>
      </c>
      <c r="AC157" s="38" t="s">
        <v>57</v>
      </c>
      <c r="AD157" s="38" t="s">
        <v>57</v>
      </c>
      <c r="AF157" s="40"/>
      <c r="AG157" s="310"/>
    </row>
    <row r="158" spans="1:34" s="40" customFormat="1">
      <c r="A158" s="51" t="s">
        <v>935</v>
      </c>
      <c r="B158" s="52" t="s">
        <v>6779</v>
      </c>
      <c r="C158" s="52" t="s">
        <v>6779</v>
      </c>
      <c r="D158" s="52" t="s">
        <v>6779</v>
      </c>
      <c r="E158" s="52" t="s">
        <v>8166</v>
      </c>
      <c r="F158" s="52" t="s">
        <v>8166</v>
      </c>
      <c r="G158" s="52" t="s">
        <v>8166</v>
      </c>
      <c r="H158" s="52" t="s">
        <v>8166</v>
      </c>
      <c r="I158" s="52" t="s">
        <v>8166</v>
      </c>
      <c r="J158" s="52" t="s">
        <v>8166</v>
      </c>
      <c r="K158" s="52" t="s">
        <v>7195</v>
      </c>
      <c r="L158" s="52" t="s">
        <v>7195</v>
      </c>
      <c r="M158" s="52" t="s">
        <v>7195</v>
      </c>
      <c r="N158" s="52" t="s">
        <v>7971</v>
      </c>
      <c r="O158" s="52" t="s">
        <v>7971</v>
      </c>
      <c r="P158" s="52" t="s">
        <v>7971</v>
      </c>
      <c r="Q158" s="52" t="s">
        <v>9239</v>
      </c>
      <c r="R158" s="52" t="s">
        <v>9239</v>
      </c>
      <c r="S158" s="52" t="s">
        <v>7255</v>
      </c>
      <c r="T158" s="52" t="s">
        <v>7350</v>
      </c>
      <c r="U158" s="52" t="s">
        <v>7475</v>
      </c>
      <c r="V158" s="52" t="s">
        <v>9448</v>
      </c>
      <c r="W158" s="52" t="s">
        <v>9448</v>
      </c>
      <c r="X158" s="52" t="s">
        <v>9448</v>
      </c>
      <c r="Y158" s="52" t="s">
        <v>9448</v>
      </c>
      <c r="Z158" s="52" t="s">
        <v>9448</v>
      </c>
      <c r="AA158" s="52" t="s">
        <v>0</v>
      </c>
      <c r="AB158" s="52" t="s">
        <v>8724</v>
      </c>
      <c r="AC158" s="52" t="s">
        <v>8724</v>
      </c>
      <c r="AD158" s="52" t="s">
        <v>8724</v>
      </c>
      <c r="AE158" s="167"/>
      <c r="AF158" s="5"/>
      <c r="AG158" s="311"/>
    </row>
    <row r="159" spans="1:34" ht="20.100000000000001" customHeight="1">
      <c r="A159" s="6" t="s">
        <v>134</v>
      </c>
      <c r="B159" s="38" t="s">
        <v>7192</v>
      </c>
      <c r="C159" s="38" t="s">
        <v>7192</v>
      </c>
      <c r="D159" s="38" t="s">
        <v>7192</v>
      </c>
      <c r="E159" s="38" t="s">
        <v>0</v>
      </c>
      <c r="F159" s="38" t="s">
        <v>0</v>
      </c>
      <c r="G159" s="38" t="s">
        <v>0</v>
      </c>
      <c r="H159" s="38" t="s">
        <v>0</v>
      </c>
      <c r="I159" s="38" t="s">
        <v>0</v>
      </c>
      <c r="J159" s="38" t="s">
        <v>0</v>
      </c>
      <c r="K159" s="36" t="s">
        <v>7199</v>
      </c>
      <c r="L159" s="36" t="s">
        <v>7199</v>
      </c>
      <c r="M159" s="36" t="s">
        <v>7199</v>
      </c>
      <c r="N159" s="38" t="s">
        <v>0</v>
      </c>
      <c r="O159" s="38" t="s">
        <v>0</v>
      </c>
      <c r="P159" s="38" t="s">
        <v>0</v>
      </c>
      <c r="Q159" s="38" t="s">
        <v>0</v>
      </c>
      <c r="R159" s="38" t="s">
        <v>0</v>
      </c>
      <c r="S159" s="38" t="s">
        <v>57</v>
      </c>
      <c r="T159" s="38" t="s">
        <v>57</v>
      </c>
      <c r="U159" s="38" t="s">
        <v>57</v>
      </c>
      <c r="V159" s="38" t="s">
        <v>0</v>
      </c>
      <c r="W159" s="321" t="s">
        <v>9443</v>
      </c>
      <c r="X159" s="38" t="s">
        <v>9443</v>
      </c>
      <c r="Y159" s="38" t="s">
        <v>9443</v>
      </c>
      <c r="Z159" s="321" t="s">
        <v>9443</v>
      </c>
      <c r="AA159" s="38" t="s">
        <v>0</v>
      </c>
      <c r="AB159" s="38" t="s">
        <v>0</v>
      </c>
      <c r="AC159" s="38" t="s">
        <v>0</v>
      </c>
      <c r="AD159" s="38" t="s">
        <v>0</v>
      </c>
      <c r="AF159" s="40"/>
      <c r="AG159" s="310"/>
    </row>
    <row r="160" spans="1:34" s="40" customFormat="1">
      <c r="A160" s="51" t="s">
        <v>935</v>
      </c>
      <c r="B160" s="52" t="s">
        <v>6779</v>
      </c>
      <c r="C160" s="52" t="s">
        <v>6779</v>
      </c>
      <c r="D160" s="52" t="s">
        <v>6779</v>
      </c>
      <c r="E160" s="52" t="s">
        <v>0</v>
      </c>
      <c r="F160" s="52" t="s">
        <v>0</v>
      </c>
      <c r="G160" s="52" t="s">
        <v>0</v>
      </c>
      <c r="H160" s="52" t="s">
        <v>0</v>
      </c>
      <c r="I160" s="52" t="s">
        <v>0</v>
      </c>
      <c r="J160" s="52" t="s">
        <v>0</v>
      </c>
      <c r="K160" s="52" t="s">
        <v>7200</v>
      </c>
      <c r="L160" s="52" t="s">
        <v>7200</v>
      </c>
      <c r="M160" s="52" t="s">
        <v>7200</v>
      </c>
      <c r="N160" s="52" t="s">
        <v>0</v>
      </c>
      <c r="O160" s="52" t="s">
        <v>0</v>
      </c>
      <c r="P160" s="52" t="s">
        <v>0</v>
      </c>
      <c r="Q160" s="52" t="s">
        <v>0</v>
      </c>
      <c r="R160" s="52" t="s">
        <v>0</v>
      </c>
      <c r="S160" s="52" t="s">
        <v>7256</v>
      </c>
      <c r="T160" s="52" t="s">
        <v>7353</v>
      </c>
      <c r="U160" s="52" t="s">
        <v>7476</v>
      </c>
      <c r="V160" s="52" t="s">
        <v>0</v>
      </c>
      <c r="W160" s="52" t="s">
        <v>9604</v>
      </c>
      <c r="X160" s="52" t="s">
        <v>9705</v>
      </c>
      <c r="Y160" s="52" t="s">
        <v>9705</v>
      </c>
      <c r="Z160" s="52" t="s">
        <v>9604</v>
      </c>
      <c r="AA160" s="52" t="s">
        <v>0</v>
      </c>
      <c r="AB160" s="52" t="s">
        <v>0</v>
      </c>
      <c r="AC160" s="52" t="s">
        <v>0</v>
      </c>
      <c r="AD160" s="52" t="s">
        <v>0</v>
      </c>
      <c r="AE160" s="167"/>
      <c r="AF160" s="5"/>
      <c r="AG160" s="311"/>
    </row>
    <row r="161" spans="1:34" ht="20.100000000000001" customHeight="1">
      <c r="A161" s="6" t="s">
        <v>135</v>
      </c>
      <c r="B161" s="38" t="s">
        <v>7192</v>
      </c>
      <c r="C161" s="38" t="s">
        <v>7192</v>
      </c>
      <c r="D161" s="38" t="s">
        <v>7192</v>
      </c>
      <c r="E161" s="38" t="s">
        <v>0</v>
      </c>
      <c r="F161" s="38" t="s">
        <v>0</v>
      </c>
      <c r="G161" s="38" t="s">
        <v>0</v>
      </c>
      <c r="H161" s="38" t="s">
        <v>0</v>
      </c>
      <c r="I161" s="38" t="s">
        <v>0</v>
      </c>
      <c r="J161" s="38" t="s">
        <v>0</v>
      </c>
      <c r="K161" s="7" t="s">
        <v>57</v>
      </c>
      <c r="L161" s="7" t="s">
        <v>57</v>
      </c>
      <c r="M161" s="7" t="s">
        <v>57</v>
      </c>
      <c r="N161" s="38" t="s">
        <v>0</v>
      </c>
      <c r="O161" s="38" t="s">
        <v>0</v>
      </c>
      <c r="P161" s="38" t="s">
        <v>0</v>
      </c>
      <c r="Q161" s="38" t="s">
        <v>0</v>
      </c>
      <c r="R161" s="38" t="s">
        <v>0</v>
      </c>
      <c r="S161" s="38" t="s">
        <v>57</v>
      </c>
      <c r="T161" s="38" t="s">
        <v>57</v>
      </c>
      <c r="U161" s="38" t="s">
        <v>57</v>
      </c>
      <c r="V161" s="38" t="s">
        <v>0</v>
      </c>
      <c r="W161" s="38" t="s">
        <v>57</v>
      </c>
      <c r="X161" s="38" t="s">
        <v>57</v>
      </c>
      <c r="Y161" s="38" t="s">
        <v>57</v>
      </c>
      <c r="Z161" s="38" t="s">
        <v>57</v>
      </c>
      <c r="AA161" s="38" t="s">
        <v>0</v>
      </c>
      <c r="AB161" s="38" t="s">
        <v>57</v>
      </c>
      <c r="AC161" s="38" t="s">
        <v>57</v>
      </c>
      <c r="AD161" s="38" t="s">
        <v>57</v>
      </c>
      <c r="AF161" s="40"/>
      <c r="AG161" s="310"/>
    </row>
    <row r="162" spans="1:34">
      <c r="A162" s="51" t="s">
        <v>935</v>
      </c>
      <c r="B162" s="52" t="s">
        <v>6779</v>
      </c>
      <c r="C162" s="52" t="s">
        <v>6779</v>
      </c>
      <c r="D162" s="52" t="s">
        <v>6779</v>
      </c>
      <c r="E162" s="52" t="s">
        <v>0</v>
      </c>
      <c r="F162" s="52" t="s">
        <v>0</v>
      </c>
      <c r="G162" s="52" t="s">
        <v>0</v>
      </c>
      <c r="H162" s="52" t="s">
        <v>0</v>
      </c>
      <c r="I162" s="52" t="s">
        <v>0</v>
      </c>
      <c r="J162" s="52" t="s">
        <v>0</v>
      </c>
      <c r="K162" s="52" t="s">
        <v>6011</v>
      </c>
      <c r="L162" s="52" t="s">
        <v>6011</v>
      </c>
      <c r="M162" s="52" t="s">
        <v>6011</v>
      </c>
      <c r="N162" s="52" t="s">
        <v>0</v>
      </c>
      <c r="O162" s="52" t="s">
        <v>0</v>
      </c>
      <c r="P162" s="52" t="s">
        <v>0</v>
      </c>
      <c r="Q162" s="52" t="s">
        <v>0</v>
      </c>
      <c r="R162" s="52" t="s">
        <v>0</v>
      </c>
      <c r="S162" s="52" t="s">
        <v>7257</v>
      </c>
      <c r="T162" s="52" t="s">
        <v>7354</v>
      </c>
      <c r="U162" s="52" t="s">
        <v>7477</v>
      </c>
      <c r="V162" s="52" t="s">
        <v>0</v>
      </c>
      <c r="W162" s="52" t="s">
        <v>9510</v>
      </c>
      <c r="X162" s="52" t="s">
        <v>9605</v>
      </c>
      <c r="Y162" s="52" t="s">
        <v>9605</v>
      </c>
      <c r="Z162" s="52" t="s">
        <v>9510</v>
      </c>
      <c r="AA162" s="52" t="s">
        <v>0</v>
      </c>
      <c r="AB162" s="52" t="s">
        <v>8727</v>
      </c>
      <c r="AC162" s="52" t="s">
        <v>8727</v>
      </c>
      <c r="AD162" s="52" t="s">
        <v>8727</v>
      </c>
      <c r="AH162" s="40"/>
    </row>
    <row r="163" spans="1:34" s="40" customFormat="1" ht="20.100000000000001" customHeight="1">
      <c r="A163" s="6" t="s">
        <v>136</v>
      </c>
      <c r="B163" s="38" t="s">
        <v>7192</v>
      </c>
      <c r="C163" s="38" t="s">
        <v>7192</v>
      </c>
      <c r="D163" s="38" t="s">
        <v>7192</v>
      </c>
      <c r="E163" s="38" t="s">
        <v>0</v>
      </c>
      <c r="F163" s="38" t="s">
        <v>0</v>
      </c>
      <c r="G163" s="38" t="s">
        <v>0</v>
      </c>
      <c r="H163" s="38" t="s">
        <v>0</v>
      </c>
      <c r="I163" s="38" t="s">
        <v>0</v>
      </c>
      <c r="J163" s="38" t="s">
        <v>0</v>
      </c>
      <c r="K163" s="7" t="s">
        <v>57</v>
      </c>
      <c r="L163" s="7" t="s">
        <v>57</v>
      </c>
      <c r="M163" s="7" t="s">
        <v>57</v>
      </c>
      <c r="N163" s="38" t="s">
        <v>0</v>
      </c>
      <c r="O163" s="38" t="s">
        <v>0</v>
      </c>
      <c r="P163" s="38" t="s">
        <v>0</v>
      </c>
      <c r="Q163" s="38" t="s">
        <v>0</v>
      </c>
      <c r="R163" s="38" t="s">
        <v>0</v>
      </c>
      <c r="S163" s="38" t="s">
        <v>57</v>
      </c>
      <c r="T163" s="38" t="s">
        <v>57</v>
      </c>
      <c r="U163" s="38" t="s">
        <v>57</v>
      </c>
      <c r="V163" s="38" t="s">
        <v>9449</v>
      </c>
      <c r="W163" s="38" t="s">
        <v>9449</v>
      </c>
      <c r="X163" s="38" t="s">
        <v>9449</v>
      </c>
      <c r="Y163" s="38" t="s">
        <v>9449</v>
      </c>
      <c r="Z163" s="38" t="s">
        <v>9449</v>
      </c>
      <c r="AA163" s="38" t="s">
        <v>0</v>
      </c>
      <c r="AB163" s="38" t="s">
        <v>0</v>
      </c>
      <c r="AC163" s="38" t="s">
        <v>0</v>
      </c>
      <c r="AD163" s="38" t="s">
        <v>0</v>
      </c>
      <c r="AE163" s="167"/>
      <c r="AG163" s="310"/>
      <c r="AH163" s="5"/>
    </row>
    <row r="164" spans="1:34">
      <c r="A164" s="51" t="s">
        <v>935</v>
      </c>
      <c r="B164" s="52" t="s">
        <v>6779</v>
      </c>
      <c r="C164" s="52" t="s">
        <v>6779</v>
      </c>
      <c r="D164" s="52" t="s">
        <v>6779</v>
      </c>
      <c r="E164" s="52" t="s">
        <v>0</v>
      </c>
      <c r="F164" s="52" t="s">
        <v>0</v>
      </c>
      <c r="G164" s="52" t="s">
        <v>0</v>
      </c>
      <c r="H164" s="52" t="s">
        <v>0</v>
      </c>
      <c r="I164" s="52" t="s">
        <v>0</v>
      </c>
      <c r="J164" s="52" t="s">
        <v>0</v>
      </c>
      <c r="K164" s="52" t="s">
        <v>7193</v>
      </c>
      <c r="L164" s="52" t="s">
        <v>7193</v>
      </c>
      <c r="M164" s="52" t="s">
        <v>7193</v>
      </c>
      <c r="N164" s="52" t="s">
        <v>0</v>
      </c>
      <c r="O164" s="52" t="s">
        <v>0</v>
      </c>
      <c r="P164" s="52" t="s">
        <v>0</v>
      </c>
      <c r="Q164" s="52" t="s">
        <v>0</v>
      </c>
      <c r="R164" s="52" t="s">
        <v>0</v>
      </c>
      <c r="S164" s="52" t="s">
        <v>7257</v>
      </c>
      <c r="T164" s="52" t="s">
        <v>7354</v>
      </c>
      <c r="U164" s="52" t="s">
        <v>7477</v>
      </c>
      <c r="V164" s="52" t="s">
        <v>9450</v>
      </c>
      <c r="W164" s="52" t="s">
        <v>9450</v>
      </c>
      <c r="X164" s="52" t="s">
        <v>9450</v>
      </c>
      <c r="Y164" s="52" t="s">
        <v>9450</v>
      </c>
      <c r="Z164" s="52" t="s">
        <v>9450</v>
      </c>
      <c r="AA164" s="52" t="s">
        <v>0</v>
      </c>
      <c r="AB164" s="52" t="s">
        <v>0</v>
      </c>
      <c r="AC164" s="52" t="s">
        <v>0</v>
      </c>
      <c r="AD164" s="52" t="s">
        <v>0</v>
      </c>
    </row>
    <row r="165" spans="1:34" s="40" customFormat="1" ht="20.100000000000001" customHeight="1">
      <c r="A165" s="181" t="s">
        <v>6620</v>
      </c>
      <c r="B165" s="38" t="s">
        <v>7192</v>
      </c>
      <c r="C165" s="38" t="s">
        <v>7192</v>
      </c>
      <c r="D165" s="38" t="s">
        <v>7192</v>
      </c>
      <c r="E165" s="36" t="s">
        <v>525</v>
      </c>
      <c r="F165" s="36" t="s">
        <v>525</v>
      </c>
      <c r="G165" s="36" t="s">
        <v>525</v>
      </c>
      <c r="H165" s="36" t="s">
        <v>525</v>
      </c>
      <c r="I165" s="36" t="s">
        <v>525</v>
      </c>
      <c r="J165" s="36" t="s">
        <v>525</v>
      </c>
      <c r="K165" s="38" t="s">
        <v>525</v>
      </c>
      <c r="L165" s="38" t="s">
        <v>525</v>
      </c>
      <c r="M165" s="38" t="s">
        <v>525</v>
      </c>
      <c r="N165" s="36" t="s">
        <v>525</v>
      </c>
      <c r="O165" s="36" t="s">
        <v>525</v>
      </c>
      <c r="P165" s="36" t="s">
        <v>525</v>
      </c>
      <c r="Q165" s="36" t="s">
        <v>525</v>
      </c>
      <c r="R165" s="36" t="s">
        <v>525</v>
      </c>
      <c r="S165" s="36" t="s">
        <v>525</v>
      </c>
      <c r="T165" s="36" t="s">
        <v>525</v>
      </c>
      <c r="U165" s="38" t="s">
        <v>57</v>
      </c>
      <c r="V165" s="36" t="s">
        <v>525</v>
      </c>
      <c r="W165" s="36" t="s">
        <v>57</v>
      </c>
      <c r="X165" s="36" t="s">
        <v>57</v>
      </c>
      <c r="Y165" s="36" t="s">
        <v>57</v>
      </c>
      <c r="Z165" s="36" t="s">
        <v>57</v>
      </c>
      <c r="AA165" s="38" t="s">
        <v>0</v>
      </c>
      <c r="AB165" s="36" t="s">
        <v>525</v>
      </c>
      <c r="AC165" s="36" t="s">
        <v>525</v>
      </c>
      <c r="AD165" s="36" t="s">
        <v>525</v>
      </c>
      <c r="AE165" s="167"/>
      <c r="AG165" s="310"/>
    </row>
    <row r="166" spans="1:34">
      <c r="A166" s="51" t="s">
        <v>935</v>
      </c>
      <c r="B166" s="52" t="s">
        <v>6779</v>
      </c>
      <c r="C166" s="52" t="s">
        <v>6779</v>
      </c>
      <c r="D166" s="52" t="s">
        <v>6779</v>
      </c>
      <c r="E166" s="52" t="s">
        <v>8168</v>
      </c>
      <c r="F166" s="52" t="s">
        <v>8168</v>
      </c>
      <c r="G166" s="52" t="s">
        <v>8168</v>
      </c>
      <c r="H166" s="52" t="s">
        <v>8168</v>
      </c>
      <c r="I166" s="52" t="s">
        <v>8168</v>
      </c>
      <c r="J166" s="52" t="s">
        <v>8168</v>
      </c>
      <c r="K166" s="52" t="s">
        <v>6012</v>
      </c>
      <c r="L166" s="52" t="s">
        <v>6012</v>
      </c>
      <c r="M166" s="52" t="s">
        <v>6012</v>
      </c>
      <c r="N166" s="52" t="s">
        <v>7972</v>
      </c>
      <c r="O166" s="52" t="s">
        <v>7972</v>
      </c>
      <c r="P166" s="52" t="s">
        <v>7972</v>
      </c>
      <c r="Q166" s="52" t="s">
        <v>9241</v>
      </c>
      <c r="R166" s="52" t="s">
        <v>9241</v>
      </c>
      <c r="S166" s="52" t="s">
        <v>7253</v>
      </c>
      <c r="T166" s="52" t="s">
        <v>7355</v>
      </c>
      <c r="U166" s="52" t="s">
        <v>7478</v>
      </c>
      <c r="V166" s="52" t="s">
        <v>9451</v>
      </c>
      <c r="W166" s="52" t="s">
        <v>9511</v>
      </c>
      <c r="X166" s="52" t="s">
        <v>9510</v>
      </c>
      <c r="Y166" s="52" t="s">
        <v>9510</v>
      </c>
      <c r="Z166" s="52" t="s">
        <v>9511</v>
      </c>
      <c r="AA166" s="52" t="s">
        <v>0</v>
      </c>
      <c r="AB166" s="52" t="s">
        <v>8725</v>
      </c>
      <c r="AC166" s="52" t="s">
        <v>8725</v>
      </c>
      <c r="AD166" s="52" t="s">
        <v>8725</v>
      </c>
    </row>
    <row r="167" spans="1:34">
      <c r="AF167" s="40"/>
      <c r="AG167" s="310"/>
      <c r="AH167" s="40"/>
    </row>
    <row r="168" spans="1:34" ht="20.100000000000001" customHeight="1">
      <c r="A168" s="10" t="s">
        <v>6621</v>
      </c>
      <c r="B168" s="18" t="str">
        <f t="shared" ref="B168:AD168" si="4">B1</f>
        <v>Allianz</v>
      </c>
      <c r="C168" s="18" t="str">
        <f t="shared" si="4"/>
        <v>Allianz SicherheitBest</v>
      </c>
      <c r="D168" s="18" t="str">
        <f t="shared" si="4"/>
        <v>Allianz SicherheitPlus</v>
      </c>
      <c r="E168" s="18" t="str">
        <f t="shared" si="4"/>
        <v>Ammerländer Basic</v>
      </c>
      <c r="F168" s="18" t="str">
        <f t="shared" si="4"/>
        <v>Ammerländer Classic</v>
      </c>
      <c r="G168" s="18" t="str">
        <f t="shared" si="4"/>
        <v>Ammerländer Comfort</v>
      </c>
      <c r="H168" s="18" t="str">
        <f t="shared" si="4"/>
        <v>Ammerländer Economic</v>
      </c>
      <c r="I168" s="18" t="str">
        <f t="shared" si="4"/>
        <v>Ammerländer Excellent</v>
      </c>
      <c r="J168" s="18" t="str">
        <f t="shared" si="4"/>
        <v>Ammerländer Exclusiv</v>
      </c>
      <c r="K168" s="18" t="str">
        <f t="shared" si="4"/>
        <v>Domcura Komfort</v>
      </c>
      <c r="L168" s="18" t="str">
        <f t="shared" si="4"/>
        <v>Domcura Standard</v>
      </c>
      <c r="M168" s="18" t="str">
        <f t="shared" si="4"/>
        <v>Domcura Top</v>
      </c>
      <c r="N168" s="18" t="str">
        <f t="shared" si="4"/>
        <v>Gothaer Basis</v>
      </c>
      <c r="O168" s="18" t="str">
        <f t="shared" si="4"/>
        <v>Gothaer Plus</v>
      </c>
      <c r="P168" s="18" t="str">
        <f t="shared" si="4"/>
        <v>Gothaer Premium</v>
      </c>
      <c r="Q168" s="18" t="str">
        <f t="shared" si="4"/>
        <v>HK Darmstadt Einfach Besser</v>
      </c>
      <c r="R168" s="18" t="str">
        <f t="shared" si="4"/>
        <v>HK Darmstadt Eindach Komplett</v>
      </c>
      <c r="S168" s="18" t="str">
        <f t="shared" si="4"/>
        <v>InterRisk L</v>
      </c>
      <c r="T168" s="18" t="str">
        <f t="shared" si="4"/>
        <v>InterRisk XL</v>
      </c>
      <c r="U168" s="18" t="str">
        <f t="shared" si="4"/>
        <v>InterRisk XXL</v>
      </c>
      <c r="V168" s="18" t="str">
        <f t="shared" si="4"/>
        <v>ITL Classic VS</v>
      </c>
      <c r="W168" s="18" t="str">
        <f t="shared" si="4"/>
        <v>ITL Eurosecure Plus QM afm</v>
      </c>
      <c r="X168" s="18" t="str">
        <f t="shared" si="4"/>
        <v>ITL Infinitus QM</v>
      </c>
      <c r="Y168" s="18" t="str">
        <f t="shared" si="4"/>
        <v>ITL Infinitus VS</v>
      </c>
      <c r="Z168" s="18" t="str">
        <f t="shared" si="4"/>
        <v>ITL Protect Plus VS</v>
      </c>
      <c r="AA168" s="18" t="str">
        <f t="shared" si="4"/>
        <v>Keine</v>
      </c>
      <c r="AB168" s="18" t="str">
        <f t="shared" si="4"/>
        <v>VHV Kl. Garant</v>
      </c>
      <c r="AC168" s="18" t="str">
        <f t="shared" si="4"/>
        <v>VHV Kl. Garant Exkl.</v>
      </c>
      <c r="AD168" s="18" t="str">
        <f t="shared" si="4"/>
        <v>VHV Kl. Garant Exkl.BEST</v>
      </c>
    </row>
    <row r="169" spans="1:34" s="40" customFormat="1" ht="39.950000000000003" customHeight="1">
      <c r="A169" s="6" t="s">
        <v>151</v>
      </c>
      <c r="B169" s="36" t="s">
        <v>6781</v>
      </c>
      <c r="C169" s="36" t="s">
        <v>6881</v>
      </c>
      <c r="D169" s="36" t="s">
        <v>6881</v>
      </c>
      <c r="E169" s="36" t="s">
        <v>8170</v>
      </c>
      <c r="F169" s="36" t="s">
        <v>8170</v>
      </c>
      <c r="G169" s="36" t="s">
        <v>8170</v>
      </c>
      <c r="H169" s="36" t="s">
        <v>8170</v>
      </c>
      <c r="I169" s="36" t="s">
        <v>8170</v>
      </c>
      <c r="J169" s="36" t="s">
        <v>8170</v>
      </c>
      <c r="K169" s="36" t="s">
        <v>6781</v>
      </c>
      <c r="L169" s="36" t="s">
        <v>6781</v>
      </c>
      <c r="M169" s="36" t="s">
        <v>6781</v>
      </c>
      <c r="N169" s="36" t="s">
        <v>6781</v>
      </c>
      <c r="O169" s="36" t="s">
        <v>6781</v>
      </c>
      <c r="P169" s="36" t="s">
        <v>6781</v>
      </c>
      <c r="Q169" s="36" t="s">
        <v>6781</v>
      </c>
      <c r="R169" s="36" t="s">
        <v>6781</v>
      </c>
      <c r="S169" s="36" t="s">
        <v>6781</v>
      </c>
      <c r="T169" s="36" t="s">
        <v>6781</v>
      </c>
      <c r="U169" s="36" t="s">
        <v>7479</v>
      </c>
      <c r="V169" s="36" t="s">
        <v>153</v>
      </c>
      <c r="W169" s="36" t="s">
        <v>153</v>
      </c>
      <c r="X169" s="36" t="s">
        <v>153</v>
      </c>
      <c r="Y169" s="36" t="s">
        <v>153</v>
      </c>
      <c r="Z169" s="36" t="s">
        <v>153</v>
      </c>
      <c r="AA169" s="38" t="s">
        <v>0</v>
      </c>
      <c r="AB169" s="36" t="s">
        <v>6781</v>
      </c>
      <c r="AC169" s="36" t="s">
        <v>6781</v>
      </c>
      <c r="AD169" s="36" t="s">
        <v>6781</v>
      </c>
      <c r="AE169" s="167"/>
      <c r="AG169" s="310"/>
      <c r="AH169" s="5"/>
    </row>
    <row r="170" spans="1:34" ht="18">
      <c r="A170" s="51" t="s">
        <v>935</v>
      </c>
      <c r="B170" s="52" t="s">
        <v>6780</v>
      </c>
      <c r="C170" s="52" t="s">
        <v>6880</v>
      </c>
      <c r="D170" s="52" t="s">
        <v>6880</v>
      </c>
      <c r="E170" s="52" t="s">
        <v>8169</v>
      </c>
      <c r="F170" s="84" t="s">
        <v>8462</v>
      </c>
      <c r="G170" s="84" t="s">
        <v>8463</v>
      </c>
      <c r="H170" s="84" t="s">
        <v>8276</v>
      </c>
      <c r="I170" s="84" t="s">
        <v>8595</v>
      </c>
      <c r="J170" s="84" t="s">
        <v>8527</v>
      </c>
      <c r="K170" s="186" t="s">
        <v>7025</v>
      </c>
      <c r="L170" s="186" t="s">
        <v>7025</v>
      </c>
      <c r="M170" s="186" t="s">
        <v>7025</v>
      </c>
      <c r="N170" s="52" t="s">
        <v>7979</v>
      </c>
      <c r="O170" s="52" t="s">
        <v>7979</v>
      </c>
      <c r="P170" s="52" t="s">
        <v>7979</v>
      </c>
      <c r="Q170" s="52" t="s">
        <v>9177</v>
      </c>
      <c r="R170" s="52" t="s">
        <v>9177</v>
      </c>
      <c r="S170" s="52" t="s">
        <v>7290</v>
      </c>
      <c r="T170" s="52" t="s">
        <v>7357</v>
      </c>
      <c r="U170" s="52" t="s">
        <v>7480</v>
      </c>
      <c r="V170" s="52" t="s">
        <v>9404</v>
      </c>
      <c r="W170" s="52" t="s">
        <v>9512</v>
      </c>
      <c r="X170" s="52" t="s">
        <v>9512</v>
      </c>
      <c r="Y170" s="52" t="s">
        <v>9512</v>
      </c>
      <c r="Z170" s="52" t="s">
        <v>9512</v>
      </c>
      <c r="AA170" s="52" t="s">
        <v>0</v>
      </c>
      <c r="AB170" s="52" t="s">
        <v>7979</v>
      </c>
      <c r="AC170" s="52" t="s">
        <v>7979</v>
      </c>
      <c r="AD170" s="52" t="s">
        <v>7979</v>
      </c>
    </row>
    <row r="171" spans="1:34" ht="30" customHeight="1">
      <c r="A171" s="62" t="s">
        <v>8344</v>
      </c>
      <c r="B171" s="38" t="s">
        <v>0</v>
      </c>
      <c r="C171" s="36" t="s">
        <v>8356</v>
      </c>
      <c r="D171" s="36" t="s">
        <v>8355</v>
      </c>
      <c r="E171" s="38" t="s">
        <v>0</v>
      </c>
      <c r="F171" s="38" t="s">
        <v>859</v>
      </c>
      <c r="G171" s="38" t="s">
        <v>6894</v>
      </c>
      <c r="H171" s="38" t="s">
        <v>0</v>
      </c>
      <c r="I171" s="38" t="s">
        <v>57</v>
      </c>
      <c r="J171" s="38" t="s">
        <v>5556</v>
      </c>
      <c r="K171" s="36" t="s">
        <v>0</v>
      </c>
      <c r="L171" s="36" t="s">
        <v>0</v>
      </c>
      <c r="M171" s="38" t="s">
        <v>5529</v>
      </c>
      <c r="N171" s="246" t="s">
        <v>0</v>
      </c>
      <c r="O171" s="246" t="s">
        <v>0</v>
      </c>
      <c r="P171" s="246">
        <v>3000</v>
      </c>
      <c r="Q171" s="246" t="s">
        <v>9242</v>
      </c>
      <c r="R171" s="246" t="s">
        <v>9242</v>
      </c>
      <c r="S171" s="116" t="s">
        <v>0</v>
      </c>
      <c r="T171" s="116" t="s">
        <v>0</v>
      </c>
      <c r="U171" s="246" t="s">
        <v>57</v>
      </c>
      <c r="V171" s="246" t="s">
        <v>0</v>
      </c>
      <c r="W171" s="246" t="s">
        <v>9545</v>
      </c>
      <c r="X171" s="246" t="s">
        <v>9545</v>
      </c>
      <c r="Y171" s="246" t="s">
        <v>9545</v>
      </c>
      <c r="Z171" s="246" t="s">
        <v>9545</v>
      </c>
      <c r="AA171" s="38" t="s">
        <v>0</v>
      </c>
      <c r="AB171" s="246" t="s">
        <v>8830</v>
      </c>
      <c r="AC171" s="246" t="s">
        <v>8831</v>
      </c>
      <c r="AD171" s="246" t="s">
        <v>8831</v>
      </c>
      <c r="AF171" s="40"/>
      <c r="AG171" s="310"/>
      <c r="AH171" s="40"/>
    </row>
    <row r="172" spans="1:34">
      <c r="A172" s="185" t="s">
        <v>935</v>
      </c>
      <c r="B172" s="52" t="s">
        <v>8357</v>
      </c>
      <c r="C172" s="52" t="s">
        <v>6770</v>
      </c>
      <c r="D172" s="52" t="s">
        <v>6770</v>
      </c>
      <c r="E172" s="52" t="s">
        <v>8171</v>
      </c>
      <c r="F172" s="84" t="s">
        <v>8345</v>
      </c>
      <c r="G172" s="52" t="s">
        <v>8461</v>
      </c>
      <c r="H172" s="52" t="s">
        <v>8171</v>
      </c>
      <c r="I172" s="52" t="s">
        <v>8596</v>
      </c>
      <c r="J172" s="52" t="s">
        <v>8526</v>
      </c>
      <c r="K172" s="186" t="s">
        <v>8351</v>
      </c>
      <c r="L172" s="186" t="s">
        <v>8351</v>
      </c>
      <c r="M172" s="186" t="s">
        <v>9075</v>
      </c>
      <c r="N172" s="52" t="s">
        <v>8349</v>
      </c>
      <c r="O172" s="52" t="s">
        <v>8349</v>
      </c>
      <c r="P172" s="52" t="s">
        <v>8349</v>
      </c>
      <c r="Q172" s="52" t="s">
        <v>9243</v>
      </c>
      <c r="R172" s="52" t="s">
        <v>9243</v>
      </c>
      <c r="S172" s="52" t="s">
        <v>8352</v>
      </c>
      <c r="T172" s="52" t="s">
        <v>8353</v>
      </c>
      <c r="U172" s="52" t="s">
        <v>8354</v>
      </c>
      <c r="V172" s="52" t="s">
        <v>0</v>
      </c>
      <c r="W172" s="52" t="s">
        <v>9514</v>
      </c>
      <c r="X172" s="52" t="s">
        <v>9514</v>
      </c>
      <c r="Y172" s="52" t="s">
        <v>9514</v>
      </c>
      <c r="Z172" s="52" t="s">
        <v>9514</v>
      </c>
      <c r="AA172" s="186" t="s">
        <v>0</v>
      </c>
      <c r="AB172" s="52" t="s">
        <v>8796</v>
      </c>
      <c r="AC172" s="52" t="s">
        <v>8829</v>
      </c>
      <c r="AD172" s="52" t="s">
        <v>8829</v>
      </c>
    </row>
    <row r="173" spans="1:34" s="40" customFormat="1" ht="39.950000000000003" customHeight="1">
      <c r="A173" s="62" t="s">
        <v>6622</v>
      </c>
      <c r="B173" s="38" t="s">
        <v>0</v>
      </c>
      <c r="C173" s="38" t="s">
        <v>0</v>
      </c>
      <c r="D173" s="38" t="s">
        <v>0</v>
      </c>
      <c r="E173" s="38" t="s">
        <v>0</v>
      </c>
      <c r="F173" s="38" t="s">
        <v>0</v>
      </c>
      <c r="G173" s="36" t="s">
        <v>8459</v>
      </c>
      <c r="H173" s="38" t="s">
        <v>0</v>
      </c>
      <c r="I173" s="36" t="s">
        <v>8594</v>
      </c>
      <c r="J173" s="36" t="s">
        <v>8525</v>
      </c>
      <c r="K173" s="116" t="s">
        <v>0</v>
      </c>
      <c r="L173" s="116" t="s">
        <v>0</v>
      </c>
      <c r="M173" s="38" t="s">
        <v>859</v>
      </c>
      <c r="N173" s="246" t="s">
        <v>0</v>
      </c>
      <c r="O173" s="246" t="s">
        <v>0</v>
      </c>
      <c r="P173" s="246" t="s">
        <v>8119</v>
      </c>
      <c r="Q173" s="246" t="s">
        <v>9271</v>
      </c>
      <c r="R173" s="246" t="s">
        <v>9271</v>
      </c>
      <c r="S173" s="116" t="s">
        <v>0</v>
      </c>
      <c r="T173" s="116" t="s">
        <v>0</v>
      </c>
      <c r="U173" s="246">
        <v>3000</v>
      </c>
      <c r="V173" s="246" t="s">
        <v>0</v>
      </c>
      <c r="W173" s="246" t="s">
        <v>0</v>
      </c>
      <c r="X173" s="246">
        <v>10000</v>
      </c>
      <c r="Y173" s="246">
        <v>10000</v>
      </c>
      <c r="Z173" s="246" t="s">
        <v>0</v>
      </c>
      <c r="AA173" s="38" t="s">
        <v>0</v>
      </c>
      <c r="AB173" s="246" t="s">
        <v>0</v>
      </c>
      <c r="AC173" s="246" t="s">
        <v>0</v>
      </c>
      <c r="AD173" s="246" t="s">
        <v>0</v>
      </c>
      <c r="AE173" s="167"/>
      <c r="AG173" s="310"/>
      <c r="AH173" s="5"/>
    </row>
    <row r="174" spans="1:34">
      <c r="A174" s="185" t="s">
        <v>935</v>
      </c>
      <c r="B174" s="52" t="s">
        <v>6835</v>
      </c>
      <c r="C174" s="52" t="s">
        <v>6835</v>
      </c>
      <c r="D174" s="52" t="s">
        <v>6835</v>
      </c>
      <c r="E174" s="52" t="s">
        <v>8171</v>
      </c>
      <c r="F174" s="52" t="s">
        <v>8171</v>
      </c>
      <c r="G174" s="52" t="s">
        <v>8460</v>
      </c>
      <c r="H174" s="52" t="s">
        <v>8171</v>
      </c>
      <c r="I174" s="52" t="s">
        <v>8593</v>
      </c>
      <c r="J174" s="52" t="s">
        <v>8524</v>
      </c>
      <c r="K174" s="186" t="s">
        <v>7024</v>
      </c>
      <c r="L174" s="186" t="s">
        <v>7024</v>
      </c>
      <c r="M174" s="186" t="s">
        <v>9076</v>
      </c>
      <c r="N174" s="52" t="s">
        <v>7967</v>
      </c>
      <c r="O174" s="52" t="s">
        <v>7967</v>
      </c>
      <c r="P174" s="52" t="s">
        <v>8118</v>
      </c>
      <c r="Q174" s="52" t="s">
        <v>9272</v>
      </c>
      <c r="R174" s="52" t="s">
        <v>9272</v>
      </c>
      <c r="S174" s="52" t="s">
        <v>7258</v>
      </c>
      <c r="T174" s="52" t="s">
        <v>7356</v>
      </c>
      <c r="U174" s="52" t="s">
        <v>7481</v>
      </c>
      <c r="V174" s="52" t="s">
        <v>9457</v>
      </c>
      <c r="W174" s="52" t="s">
        <v>9457</v>
      </c>
      <c r="X174" s="52" t="s">
        <v>9601</v>
      </c>
      <c r="Y174" s="52" t="s">
        <v>9601</v>
      </c>
      <c r="Z174" s="52" t="s">
        <v>9457</v>
      </c>
      <c r="AA174" s="186" t="s">
        <v>0</v>
      </c>
      <c r="AB174" s="52" t="s">
        <v>8882</v>
      </c>
      <c r="AC174" s="52" t="s">
        <v>8882</v>
      </c>
      <c r="AD174" s="52" t="s">
        <v>8882</v>
      </c>
    </row>
    <row r="175" spans="1:34">
      <c r="AF175" s="40"/>
      <c r="AG175" s="310"/>
      <c r="AH175" s="40"/>
    </row>
    <row r="176" spans="1:34" ht="20.100000000000001" customHeight="1">
      <c r="A176" s="10" t="s">
        <v>6624</v>
      </c>
      <c r="B176" s="72" t="str">
        <f t="shared" ref="B176:AA176" si="5">B1</f>
        <v>Allianz</v>
      </c>
      <c r="C176" s="72" t="str">
        <f t="shared" si="5"/>
        <v>Allianz SicherheitBest</v>
      </c>
      <c r="D176" s="72" t="str">
        <f t="shared" si="5"/>
        <v>Allianz SicherheitPlus</v>
      </c>
      <c r="E176" s="72" t="str">
        <f t="shared" si="5"/>
        <v>Ammerländer Basic</v>
      </c>
      <c r="F176" s="72" t="str">
        <f t="shared" si="5"/>
        <v>Ammerländer Classic</v>
      </c>
      <c r="G176" s="72" t="str">
        <f t="shared" si="5"/>
        <v>Ammerländer Comfort</v>
      </c>
      <c r="H176" s="72" t="str">
        <f t="shared" si="5"/>
        <v>Ammerländer Economic</v>
      </c>
      <c r="I176" s="72" t="str">
        <f t="shared" si="5"/>
        <v>Ammerländer Excellent</v>
      </c>
      <c r="J176" s="72" t="str">
        <f t="shared" si="5"/>
        <v>Ammerländer Exclusiv</v>
      </c>
      <c r="K176" s="72" t="str">
        <f t="shared" si="5"/>
        <v>Domcura Komfort</v>
      </c>
      <c r="L176" s="72" t="str">
        <f t="shared" si="5"/>
        <v>Domcura Standard</v>
      </c>
      <c r="M176" s="72" t="str">
        <f t="shared" si="5"/>
        <v>Domcura Top</v>
      </c>
      <c r="N176" s="72" t="str">
        <f t="shared" si="5"/>
        <v>Gothaer Basis</v>
      </c>
      <c r="O176" s="72" t="str">
        <f t="shared" si="5"/>
        <v>Gothaer Plus</v>
      </c>
      <c r="P176" s="72" t="str">
        <f t="shared" si="5"/>
        <v>Gothaer Premium</v>
      </c>
      <c r="Q176" s="72" t="str">
        <f t="shared" si="5"/>
        <v>HK Darmstadt Einfach Besser</v>
      </c>
      <c r="R176" s="72" t="str">
        <f t="shared" si="5"/>
        <v>HK Darmstadt Eindach Komplett</v>
      </c>
      <c r="S176" s="72" t="str">
        <f t="shared" si="5"/>
        <v>InterRisk L</v>
      </c>
      <c r="T176" s="72" t="str">
        <f t="shared" si="5"/>
        <v>InterRisk XL</v>
      </c>
      <c r="U176" s="72" t="str">
        <f t="shared" si="5"/>
        <v>InterRisk XXL</v>
      </c>
      <c r="V176" s="72" t="str">
        <f t="shared" si="5"/>
        <v>ITL Classic VS</v>
      </c>
      <c r="W176" s="72" t="str">
        <f t="shared" si="5"/>
        <v>ITL Eurosecure Plus QM afm</v>
      </c>
      <c r="X176" s="72" t="str">
        <f t="shared" si="5"/>
        <v>ITL Infinitus QM</v>
      </c>
      <c r="Y176" s="72" t="str">
        <f t="shared" si="5"/>
        <v>ITL Infinitus VS</v>
      </c>
      <c r="Z176" s="72" t="str">
        <f t="shared" si="5"/>
        <v>ITL Protect Plus VS</v>
      </c>
      <c r="AA176" s="72" t="str">
        <f t="shared" si="5"/>
        <v>Keine</v>
      </c>
      <c r="AB176" s="72" t="str">
        <f t="shared" ref="AB176:AD176" si="6">AB1</f>
        <v>VHV Kl. Garant</v>
      </c>
      <c r="AC176" s="72" t="str">
        <f t="shared" si="6"/>
        <v>VHV Kl. Garant Exkl.</v>
      </c>
      <c r="AD176" s="72" t="str">
        <f t="shared" si="6"/>
        <v>VHV Kl. Garant Exkl.BEST</v>
      </c>
    </row>
    <row r="177" spans="1:45" s="40" customFormat="1" ht="20.100000000000001" customHeight="1">
      <c r="A177" s="239" t="s">
        <v>6787</v>
      </c>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167"/>
      <c r="AF177" s="5"/>
      <c r="AG177" s="310"/>
      <c r="AH177" s="5"/>
    </row>
    <row r="178" spans="1:45" ht="20.100000000000001" customHeight="1">
      <c r="A178" s="82" t="s">
        <v>8918</v>
      </c>
      <c r="B178" s="36" t="s">
        <v>57</v>
      </c>
      <c r="C178" s="36" t="s">
        <v>57</v>
      </c>
      <c r="D178" s="36" t="s">
        <v>57</v>
      </c>
      <c r="E178" s="36" t="s">
        <v>57</v>
      </c>
      <c r="F178" s="36" t="s">
        <v>57</v>
      </c>
      <c r="G178" s="36" t="s">
        <v>57</v>
      </c>
      <c r="H178" s="36" t="s">
        <v>57</v>
      </c>
      <c r="I178" s="36" t="s">
        <v>57</v>
      </c>
      <c r="J178" s="36" t="s">
        <v>57</v>
      </c>
      <c r="K178" s="36" t="s">
        <v>57</v>
      </c>
      <c r="L178" s="36" t="s">
        <v>57</v>
      </c>
      <c r="M178" s="36" t="s">
        <v>57</v>
      </c>
      <c r="N178" s="36" t="s">
        <v>57</v>
      </c>
      <c r="O178" s="36" t="s">
        <v>57</v>
      </c>
      <c r="P178" s="36" t="s">
        <v>57</v>
      </c>
      <c r="Q178" s="36" t="s">
        <v>57</v>
      </c>
      <c r="R178" s="36" t="s">
        <v>57</v>
      </c>
      <c r="S178" s="36" t="s">
        <v>57</v>
      </c>
      <c r="T178" s="36" t="s">
        <v>57</v>
      </c>
      <c r="U178" s="36" t="s">
        <v>57</v>
      </c>
      <c r="V178" s="36" t="s">
        <v>57</v>
      </c>
      <c r="W178" s="36" t="s">
        <v>57</v>
      </c>
      <c r="X178" s="36" t="s">
        <v>57</v>
      </c>
      <c r="Y178" s="36" t="s">
        <v>57</v>
      </c>
      <c r="Z178" s="36" t="s">
        <v>57</v>
      </c>
      <c r="AA178" s="38" t="s">
        <v>0</v>
      </c>
      <c r="AB178" s="36" t="s">
        <v>57</v>
      </c>
      <c r="AC178" s="36" t="s">
        <v>57</v>
      </c>
      <c r="AD178" s="36" t="s">
        <v>57</v>
      </c>
    </row>
    <row r="179" spans="1:45" s="40" customFormat="1">
      <c r="A179" s="51" t="s">
        <v>935</v>
      </c>
      <c r="B179" s="52" t="s">
        <v>6795</v>
      </c>
      <c r="C179" s="52" t="s">
        <v>6795</v>
      </c>
      <c r="D179" s="52" t="s">
        <v>6795</v>
      </c>
      <c r="E179" s="52" t="s">
        <v>8172</v>
      </c>
      <c r="F179" s="52" t="s">
        <v>8172</v>
      </c>
      <c r="G179" s="52" t="s">
        <v>8172</v>
      </c>
      <c r="H179" s="52" t="s">
        <v>8172</v>
      </c>
      <c r="I179" s="52" t="s">
        <v>8172</v>
      </c>
      <c r="J179" s="52" t="s">
        <v>8172</v>
      </c>
      <c r="K179" s="186" t="s">
        <v>7018</v>
      </c>
      <c r="L179" s="186" t="s">
        <v>7018</v>
      </c>
      <c r="M179" s="186" t="s">
        <v>7018</v>
      </c>
      <c r="N179" s="52" t="s">
        <v>7930</v>
      </c>
      <c r="O179" s="52" t="s">
        <v>7930</v>
      </c>
      <c r="P179" s="52" t="s">
        <v>7930</v>
      </c>
      <c r="Q179" s="52" t="s">
        <v>9225</v>
      </c>
      <c r="R179" s="52" t="s">
        <v>9225</v>
      </c>
      <c r="S179" s="52" t="s">
        <v>7235</v>
      </c>
      <c r="T179" s="52" t="s">
        <v>7358</v>
      </c>
      <c r="U179" s="52" t="s">
        <v>7482</v>
      </c>
      <c r="V179" s="52" t="s">
        <v>9369</v>
      </c>
      <c r="W179" s="52" t="s">
        <v>9369</v>
      </c>
      <c r="X179" s="52" t="s">
        <v>9369</v>
      </c>
      <c r="Y179" s="52" t="s">
        <v>9369</v>
      </c>
      <c r="Z179" s="52" t="s">
        <v>9369</v>
      </c>
      <c r="AA179" s="52" t="s">
        <v>0</v>
      </c>
      <c r="AB179" s="52" t="s">
        <v>7930</v>
      </c>
      <c r="AC179" s="52" t="s">
        <v>7930</v>
      </c>
      <c r="AD179" s="52" t="s">
        <v>7930</v>
      </c>
      <c r="AE179" s="167"/>
      <c r="AG179" s="311"/>
    </row>
    <row r="180" spans="1:45" ht="30" customHeight="1">
      <c r="A180" s="82" t="s">
        <v>8919</v>
      </c>
      <c r="B180" s="36" t="s">
        <v>57</v>
      </c>
      <c r="C180" s="36" t="s">
        <v>57</v>
      </c>
      <c r="D180" s="36" t="s">
        <v>57</v>
      </c>
      <c r="E180" s="36" t="s">
        <v>57</v>
      </c>
      <c r="F180" s="36" t="s">
        <v>57</v>
      </c>
      <c r="G180" s="36" t="s">
        <v>57</v>
      </c>
      <c r="H180" s="36" t="s">
        <v>57</v>
      </c>
      <c r="I180" s="36" t="s">
        <v>57</v>
      </c>
      <c r="J180" s="36" t="s">
        <v>57</v>
      </c>
      <c r="K180" s="36" t="s">
        <v>57</v>
      </c>
      <c r="L180" s="36" t="s">
        <v>57</v>
      </c>
      <c r="M180" s="36" t="s">
        <v>9048</v>
      </c>
      <c r="N180" s="36" t="s">
        <v>57</v>
      </c>
      <c r="O180" s="36" t="s">
        <v>57</v>
      </c>
      <c r="P180" s="36" t="s">
        <v>57</v>
      </c>
      <c r="Q180" s="36" t="s">
        <v>57</v>
      </c>
      <c r="R180" s="36" t="s">
        <v>57</v>
      </c>
      <c r="S180" s="36" t="s">
        <v>57</v>
      </c>
      <c r="T180" s="36" t="s">
        <v>57</v>
      </c>
      <c r="U180" s="36" t="s">
        <v>57</v>
      </c>
      <c r="V180" s="36" t="s">
        <v>57</v>
      </c>
      <c r="W180" s="36" t="s">
        <v>57</v>
      </c>
      <c r="X180" s="36" t="s">
        <v>9707</v>
      </c>
      <c r="Y180" s="36" t="s">
        <v>9707</v>
      </c>
      <c r="Z180" s="36" t="s">
        <v>57</v>
      </c>
      <c r="AA180" s="38" t="s">
        <v>0</v>
      </c>
      <c r="AB180" s="36" t="s">
        <v>57</v>
      </c>
      <c r="AC180" s="36" t="s">
        <v>57</v>
      </c>
      <c r="AD180" s="36" t="s">
        <v>57</v>
      </c>
    </row>
    <row r="181" spans="1:45" s="40" customFormat="1">
      <c r="A181" s="51" t="s">
        <v>935</v>
      </c>
      <c r="B181" s="52" t="s">
        <v>6796</v>
      </c>
      <c r="C181" s="52" t="s">
        <v>6796</v>
      </c>
      <c r="D181" s="52" t="s">
        <v>6796</v>
      </c>
      <c r="E181" s="52" t="s">
        <v>8176</v>
      </c>
      <c r="F181" s="52" t="s">
        <v>8176</v>
      </c>
      <c r="G181" s="52" t="s">
        <v>8176</v>
      </c>
      <c r="H181" s="52" t="s">
        <v>8176</v>
      </c>
      <c r="I181" s="52" t="s">
        <v>8176</v>
      </c>
      <c r="J181" s="52" t="s">
        <v>8176</v>
      </c>
      <c r="K181" s="186" t="s">
        <v>7019</v>
      </c>
      <c r="L181" s="186" t="s">
        <v>7019</v>
      </c>
      <c r="M181" s="186" t="s">
        <v>9049</v>
      </c>
      <c r="N181" s="52" t="s">
        <v>7931</v>
      </c>
      <c r="O181" s="52" t="s">
        <v>7931</v>
      </c>
      <c r="P181" s="52" t="s">
        <v>7931</v>
      </c>
      <c r="Q181" s="52" t="s">
        <v>9226</v>
      </c>
      <c r="R181" s="52" t="s">
        <v>9226</v>
      </c>
      <c r="S181" s="52" t="s">
        <v>7235</v>
      </c>
      <c r="T181" s="52" t="s">
        <v>7358</v>
      </c>
      <c r="U181" s="52" t="s">
        <v>7482</v>
      </c>
      <c r="V181" s="52" t="s">
        <v>9370</v>
      </c>
      <c r="W181" s="52" t="s">
        <v>9370</v>
      </c>
      <c r="X181" s="52" t="s">
        <v>9563</v>
      </c>
      <c r="Y181" s="52" t="s">
        <v>9563</v>
      </c>
      <c r="Z181" s="52" t="s">
        <v>9370</v>
      </c>
      <c r="AA181" s="52" t="s">
        <v>0</v>
      </c>
      <c r="AB181" s="52" t="s">
        <v>7931</v>
      </c>
      <c r="AC181" s="52" t="s">
        <v>7931</v>
      </c>
      <c r="AD181" s="52" t="s">
        <v>7931</v>
      </c>
      <c r="AE181" s="167"/>
      <c r="AG181" s="310"/>
    </row>
    <row r="182" spans="1:45" ht="20.100000000000001" customHeight="1">
      <c r="A182" s="81" t="s">
        <v>6788</v>
      </c>
      <c r="B182" s="36" t="s">
        <v>57</v>
      </c>
      <c r="C182" s="36" t="s">
        <v>57</v>
      </c>
      <c r="D182" s="36" t="s">
        <v>57</v>
      </c>
      <c r="E182" s="36" t="s">
        <v>57</v>
      </c>
      <c r="F182" s="36" t="s">
        <v>57</v>
      </c>
      <c r="G182" s="36" t="s">
        <v>57</v>
      </c>
      <c r="H182" s="36" t="s">
        <v>57</v>
      </c>
      <c r="I182" s="36" t="s">
        <v>57</v>
      </c>
      <c r="J182" s="36" t="s">
        <v>57</v>
      </c>
      <c r="K182" s="36" t="s">
        <v>57</v>
      </c>
      <c r="L182" s="36" t="s">
        <v>57</v>
      </c>
      <c r="M182" s="36" t="s">
        <v>57</v>
      </c>
      <c r="N182" s="36" t="s">
        <v>57</v>
      </c>
      <c r="O182" s="36" t="s">
        <v>57</v>
      </c>
      <c r="P182" s="36" t="s">
        <v>57</v>
      </c>
      <c r="Q182" s="36" t="s">
        <v>57</v>
      </c>
      <c r="R182" s="36" t="s">
        <v>57</v>
      </c>
      <c r="S182" s="36" t="s">
        <v>57</v>
      </c>
      <c r="T182" s="36" t="s">
        <v>57</v>
      </c>
      <c r="U182" s="36" t="s">
        <v>57</v>
      </c>
      <c r="V182" s="36" t="s">
        <v>57</v>
      </c>
      <c r="W182" s="36" t="s">
        <v>57</v>
      </c>
      <c r="X182" s="36" t="s">
        <v>57</v>
      </c>
      <c r="Y182" s="36" t="s">
        <v>57</v>
      </c>
      <c r="Z182" s="36" t="s">
        <v>57</v>
      </c>
      <c r="AA182" s="38" t="s">
        <v>0</v>
      </c>
      <c r="AB182" s="36" t="s">
        <v>57</v>
      </c>
      <c r="AC182" s="36" t="s">
        <v>57</v>
      </c>
      <c r="AD182" s="36" t="s">
        <v>57</v>
      </c>
    </row>
    <row r="183" spans="1:45" s="40" customFormat="1">
      <c r="A183" s="51" t="s">
        <v>935</v>
      </c>
      <c r="B183" s="52" t="s">
        <v>6784</v>
      </c>
      <c r="C183" s="52" t="s">
        <v>6784</v>
      </c>
      <c r="D183" s="52" t="s">
        <v>6784</v>
      </c>
      <c r="E183" s="52" t="s">
        <v>8173</v>
      </c>
      <c r="F183" s="52" t="s">
        <v>8173</v>
      </c>
      <c r="G183" s="52" t="s">
        <v>8173</v>
      </c>
      <c r="H183" s="52" t="s">
        <v>8173</v>
      </c>
      <c r="I183" s="52" t="s">
        <v>8173</v>
      </c>
      <c r="J183" s="52" t="s">
        <v>8173</v>
      </c>
      <c r="K183" s="186" t="s">
        <v>7020</v>
      </c>
      <c r="L183" s="186" t="s">
        <v>7020</v>
      </c>
      <c r="M183" s="186" t="s">
        <v>7020</v>
      </c>
      <c r="N183" s="52" t="s">
        <v>7932</v>
      </c>
      <c r="O183" s="52" t="s">
        <v>7932</v>
      </c>
      <c r="P183" s="52" t="s">
        <v>7932</v>
      </c>
      <c r="Q183" s="52" t="s">
        <v>9227</v>
      </c>
      <c r="R183" s="52" t="s">
        <v>9227</v>
      </c>
      <c r="S183" s="52" t="s">
        <v>7288</v>
      </c>
      <c r="T183" s="52" t="s">
        <v>7380</v>
      </c>
      <c r="U183" s="52" t="s">
        <v>7483</v>
      </c>
      <c r="V183" s="52" t="s">
        <v>9371</v>
      </c>
      <c r="W183" s="52" t="s">
        <v>9371</v>
      </c>
      <c r="X183" s="52" t="s">
        <v>9371</v>
      </c>
      <c r="Y183" s="52" t="s">
        <v>9371</v>
      </c>
      <c r="Z183" s="52" t="s">
        <v>9371</v>
      </c>
      <c r="AA183" s="52" t="s">
        <v>0</v>
      </c>
      <c r="AB183" s="52" t="s">
        <v>7932</v>
      </c>
      <c r="AC183" s="52" t="s">
        <v>7932</v>
      </c>
      <c r="AD183" s="52" t="s">
        <v>7932</v>
      </c>
      <c r="AE183" s="167"/>
      <c r="AG183" s="310"/>
    </row>
    <row r="184" spans="1:45" ht="20.100000000000001" customHeight="1">
      <c r="A184" s="82" t="s">
        <v>6799</v>
      </c>
      <c r="B184" s="36" t="s">
        <v>57</v>
      </c>
      <c r="C184" s="36" t="s">
        <v>57</v>
      </c>
      <c r="D184" s="36" t="s">
        <v>57</v>
      </c>
      <c r="E184" s="36" t="s">
        <v>57</v>
      </c>
      <c r="F184" s="36" t="s">
        <v>57</v>
      </c>
      <c r="G184" s="36" t="s">
        <v>57</v>
      </c>
      <c r="H184" s="36" t="s">
        <v>57</v>
      </c>
      <c r="I184" s="36" t="s">
        <v>57</v>
      </c>
      <c r="J184" s="36" t="s">
        <v>57</v>
      </c>
      <c r="K184" s="36" t="s">
        <v>57</v>
      </c>
      <c r="L184" s="36" t="s">
        <v>57</v>
      </c>
      <c r="M184" s="36" t="s">
        <v>57</v>
      </c>
      <c r="N184" s="36" t="s">
        <v>57</v>
      </c>
      <c r="O184" s="36" t="s">
        <v>57</v>
      </c>
      <c r="P184" s="36" t="s">
        <v>57</v>
      </c>
      <c r="Q184" s="36" t="s">
        <v>57</v>
      </c>
      <c r="R184" s="36" t="s">
        <v>57</v>
      </c>
      <c r="S184" s="36" t="s">
        <v>57</v>
      </c>
      <c r="T184" s="36" t="s">
        <v>57</v>
      </c>
      <c r="U184" s="36" t="s">
        <v>57</v>
      </c>
      <c r="V184" s="36" t="s">
        <v>57</v>
      </c>
      <c r="W184" s="36" t="s">
        <v>57</v>
      </c>
      <c r="X184" s="36" t="s">
        <v>57</v>
      </c>
      <c r="Y184" s="36" t="s">
        <v>57</v>
      </c>
      <c r="Z184" s="36" t="s">
        <v>57</v>
      </c>
      <c r="AA184" s="38" t="s">
        <v>0</v>
      </c>
      <c r="AB184" s="36" t="s">
        <v>8718</v>
      </c>
      <c r="AC184" s="36" t="s">
        <v>8718</v>
      </c>
      <c r="AD184" s="36" t="s">
        <v>8718</v>
      </c>
    </row>
    <row r="185" spans="1:45" s="40" customFormat="1">
      <c r="A185" s="51" t="s">
        <v>935</v>
      </c>
      <c r="B185" s="52" t="s">
        <v>6798</v>
      </c>
      <c r="C185" s="52" t="s">
        <v>6798</v>
      </c>
      <c r="D185" s="52" t="s">
        <v>6798</v>
      </c>
      <c r="E185" s="52" t="s">
        <v>8175</v>
      </c>
      <c r="F185" s="52" t="s">
        <v>8175</v>
      </c>
      <c r="G185" s="52" t="s">
        <v>8175</v>
      </c>
      <c r="H185" s="52" t="s">
        <v>8175</v>
      </c>
      <c r="I185" s="52" t="s">
        <v>8175</v>
      </c>
      <c r="J185" s="52" t="s">
        <v>8175</v>
      </c>
      <c r="K185" s="186" t="s">
        <v>7021</v>
      </c>
      <c r="L185" s="186" t="s">
        <v>7021</v>
      </c>
      <c r="M185" s="186" t="s">
        <v>7021</v>
      </c>
      <c r="N185" s="52" t="s">
        <v>7935</v>
      </c>
      <c r="O185" s="52" t="s">
        <v>7935</v>
      </c>
      <c r="P185" s="52" t="s">
        <v>7935</v>
      </c>
      <c r="Q185" s="52" t="s">
        <v>9228</v>
      </c>
      <c r="R185" s="52" t="s">
        <v>9228</v>
      </c>
      <c r="S185" s="52" t="s">
        <v>7236</v>
      </c>
      <c r="T185" s="52" t="s">
        <v>7359</v>
      </c>
      <c r="U185" s="52" t="s">
        <v>7485</v>
      </c>
      <c r="V185" s="52" t="s">
        <v>9372</v>
      </c>
      <c r="W185" s="52" t="s">
        <v>9372</v>
      </c>
      <c r="X185" s="52" t="s">
        <v>9372</v>
      </c>
      <c r="Y185" s="52" t="s">
        <v>9372</v>
      </c>
      <c r="Z185" s="52" t="s">
        <v>9372</v>
      </c>
      <c r="AA185" s="52" t="s">
        <v>0</v>
      </c>
      <c r="AB185" s="52" t="s">
        <v>7934</v>
      </c>
      <c r="AC185" s="52" t="s">
        <v>7934</v>
      </c>
      <c r="AD185" s="52" t="s">
        <v>7934</v>
      </c>
      <c r="AE185" s="167"/>
      <c r="AF185" s="5"/>
      <c r="AG185" s="310"/>
    </row>
    <row r="186" spans="1:45" ht="20.100000000000001" customHeight="1">
      <c r="A186" s="82" t="s">
        <v>6800</v>
      </c>
      <c r="B186" s="36" t="s">
        <v>57</v>
      </c>
      <c r="C186" s="36" t="s">
        <v>57</v>
      </c>
      <c r="D186" s="36" t="s">
        <v>57</v>
      </c>
      <c r="E186" s="36" t="s">
        <v>57</v>
      </c>
      <c r="F186" s="36" t="s">
        <v>57</v>
      </c>
      <c r="G186" s="36" t="s">
        <v>57</v>
      </c>
      <c r="H186" s="36" t="s">
        <v>57</v>
      </c>
      <c r="I186" s="36" t="s">
        <v>57</v>
      </c>
      <c r="J186" s="36" t="s">
        <v>57</v>
      </c>
      <c r="K186" s="36" t="s">
        <v>57</v>
      </c>
      <c r="L186" s="36" t="s">
        <v>57</v>
      </c>
      <c r="M186" s="36" t="s">
        <v>57</v>
      </c>
      <c r="N186" s="36" t="s">
        <v>57</v>
      </c>
      <c r="O186" s="36" t="s">
        <v>57</v>
      </c>
      <c r="P186" s="36" t="s">
        <v>57</v>
      </c>
      <c r="Q186" s="36" t="s">
        <v>57</v>
      </c>
      <c r="R186" s="36" t="s">
        <v>57</v>
      </c>
      <c r="S186" s="36" t="s">
        <v>57</v>
      </c>
      <c r="T186" s="36" t="s">
        <v>57</v>
      </c>
      <c r="U186" s="36" t="s">
        <v>57</v>
      </c>
      <c r="V186" s="36" t="s">
        <v>57</v>
      </c>
      <c r="W186" s="36" t="s">
        <v>57</v>
      </c>
      <c r="X186" s="36" t="s">
        <v>57</v>
      </c>
      <c r="Y186" s="36" t="s">
        <v>57</v>
      </c>
      <c r="Z186" s="36" t="s">
        <v>57</v>
      </c>
      <c r="AA186" s="38" t="s">
        <v>0</v>
      </c>
      <c r="AB186" s="36" t="s">
        <v>57</v>
      </c>
      <c r="AC186" s="36" t="s">
        <v>57</v>
      </c>
      <c r="AD186" s="36" t="s">
        <v>57</v>
      </c>
      <c r="AI186" s="40"/>
      <c r="AJ186" s="40"/>
      <c r="AK186" s="40"/>
      <c r="AL186" s="40"/>
      <c r="AM186" s="40"/>
      <c r="AN186" s="40"/>
      <c r="AO186" s="40"/>
      <c r="AP186" s="40"/>
      <c r="AQ186" s="40"/>
      <c r="AR186" s="40"/>
      <c r="AS186" s="40"/>
    </row>
    <row r="187" spans="1:45" s="40" customFormat="1">
      <c r="A187" s="51" t="s">
        <v>935</v>
      </c>
      <c r="B187" s="52" t="s">
        <v>6801</v>
      </c>
      <c r="C187" s="52" t="s">
        <v>6801</v>
      </c>
      <c r="D187" s="52" t="s">
        <v>6801</v>
      </c>
      <c r="E187" s="52" t="s">
        <v>8177</v>
      </c>
      <c r="F187" s="52" t="s">
        <v>8177</v>
      </c>
      <c r="G187" s="52" t="s">
        <v>8177</v>
      </c>
      <c r="H187" s="52" t="s">
        <v>8177</v>
      </c>
      <c r="I187" s="52" t="s">
        <v>8177</v>
      </c>
      <c r="J187" s="52" t="s">
        <v>8177</v>
      </c>
      <c r="K187" s="186" t="s">
        <v>7022</v>
      </c>
      <c r="L187" s="186" t="s">
        <v>7022</v>
      </c>
      <c r="M187" s="186" t="s">
        <v>7022</v>
      </c>
      <c r="N187" s="52" t="s">
        <v>7934</v>
      </c>
      <c r="O187" s="52" t="s">
        <v>7934</v>
      </c>
      <c r="P187" s="52" t="s">
        <v>7934</v>
      </c>
      <c r="Q187" s="52" t="s">
        <v>9228</v>
      </c>
      <c r="R187" s="52" t="s">
        <v>9228</v>
      </c>
      <c r="S187" s="52" t="s">
        <v>7236</v>
      </c>
      <c r="T187" s="52" t="s">
        <v>7359</v>
      </c>
      <c r="U187" s="52" t="s">
        <v>7359</v>
      </c>
      <c r="V187" s="52" t="s">
        <v>9372</v>
      </c>
      <c r="W187" s="52" t="s">
        <v>9372</v>
      </c>
      <c r="X187" s="52" t="s">
        <v>9372</v>
      </c>
      <c r="Y187" s="52" t="s">
        <v>9372</v>
      </c>
      <c r="Z187" s="52" t="s">
        <v>9372</v>
      </c>
      <c r="AA187" s="52" t="s">
        <v>0</v>
      </c>
      <c r="AB187" s="52" t="s">
        <v>7935</v>
      </c>
      <c r="AC187" s="52" t="s">
        <v>7935</v>
      </c>
      <c r="AD187" s="52" t="s">
        <v>7935</v>
      </c>
      <c r="AE187" s="167"/>
      <c r="AG187" s="310"/>
    </row>
    <row r="188" spans="1:45" ht="20.100000000000001" customHeight="1">
      <c r="A188" s="82" t="s">
        <v>7622</v>
      </c>
      <c r="B188" s="36" t="s">
        <v>57</v>
      </c>
      <c r="C188" s="36" t="s">
        <v>57</v>
      </c>
      <c r="D188" s="36" t="s">
        <v>57</v>
      </c>
      <c r="E188" s="36" t="s">
        <v>57</v>
      </c>
      <c r="F188" s="36" t="s">
        <v>57</v>
      </c>
      <c r="G188" s="36" t="s">
        <v>57</v>
      </c>
      <c r="H188" s="36" t="s">
        <v>57</v>
      </c>
      <c r="I188" s="36" t="s">
        <v>57</v>
      </c>
      <c r="J188" s="36" t="s">
        <v>57</v>
      </c>
      <c r="K188" s="36" t="s">
        <v>9051</v>
      </c>
      <c r="L188" s="36" t="s">
        <v>57</v>
      </c>
      <c r="M188" s="36" t="s">
        <v>9050</v>
      </c>
      <c r="N188" s="36" t="s">
        <v>57</v>
      </c>
      <c r="O188" s="36" t="s">
        <v>57</v>
      </c>
      <c r="P188" s="36" t="s">
        <v>57</v>
      </c>
      <c r="Q188" s="36" t="s">
        <v>9050</v>
      </c>
      <c r="R188" s="36" t="s">
        <v>9050</v>
      </c>
      <c r="S188" s="36" t="s">
        <v>57</v>
      </c>
      <c r="T188" s="36" t="s">
        <v>57</v>
      </c>
      <c r="U188" s="36" t="s">
        <v>57</v>
      </c>
      <c r="V188" s="36" t="s">
        <v>9710</v>
      </c>
      <c r="W188" s="36" t="s">
        <v>9710</v>
      </c>
      <c r="X188" s="36" t="s">
        <v>9710</v>
      </c>
      <c r="Y188" s="36" t="s">
        <v>9710</v>
      </c>
      <c r="Z188" s="36" t="s">
        <v>9710</v>
      </c>
      <c r="AA188" s="38" t="s">
        <v>0</v>
      </c>
      <c r="AB188" s="36" t="s">
        <v>57</v>
      </c>
      <c r="AC188" s="36" t="s">
        <v>57</v>
      </c>
      <c r="AD188" s="36" t="s">
        <v>57</v>
      </c>
      <c r="AG188" s="310"/>
      <c r="AH188" s="40"/>
      <c r="AI188" s="40"/>
      <c r="AJ188" s="40"/>
      <c r="AK188" s="40"/>
      <c r="AL188" s="40"/>
      <c r="AM188" s="40"/>
      <c r="AN188" s="40"/>
      <c r="AO188" s="40"/>
      <c r="AP188" s="40"/>
      <c r="AQ188" s="40"/>
      <c r="AR188" s="40"/>
      <c r="AS188" s="40"/>
    </row>
    <row r="189" spans="1:45" s="40" customFormat="1">
      <c r="A189" s="51" t="s">
        <v>935</v>
      </c>
      <c r="B189" s="52" t="s">
        <v>6797</v>
      </c>
      <c r="C189" s="52" t="s">
        <v>6797</v>
      </c>
      <c r="D189" s="52" t="s">
        <v>6797</v>
      </c>
      <c r="E189" s="52" t="s">
        <v>8174</v>
      </c>
      <c r="F189" s="52" t="s">
        <v>8174</v>
      </c>
      <c r="G189" s="52" t="s">
        <v>8174</v>
      </c>
      <c r="H189" s="52" t="s">
        <v>8174</v>
      </c>
      <c r="I189" s="52" t="s">
        <v>8174</v>
      </c>
      <c r="J189" s="52" t="s">
        <v>8174</v>
      </c>
      <c r="K189" s="186" t="s">
        <v>9019</v>
      </c>
      <c r="L189" s="186" t="s">
        <v>9020</v>
      </c>
      <c r="M189" s="186" t="s">
        <v>9052</v>
      </c>
      <c r="N189" s="52" t="s">
        <v>7933</v>
      </c>
      <c r="O189" s="52" t="s">
        <v>7933</v>
      </c>
      <c r="P189" s="52" t="s">
        <v>7933</v>
      </c>
      <c r="Q189" s="52" t="s">
        <v>9229</v>
      </c>
      <c r="R189" s="52" t="s">
        <v>9229</v>
      </c>
      <c r="S189" s="186" t="s">
        <v>7289</v>
      </c>
      <c r="T189" s="186" t="s">
        <v>7385</v>
      </c>
      <c r="U189" s="186" t="s">
        <v>7484</v>
      </c>
      <c r="V189" s="52" t="s">
        <v>9708</v>
      </c>
      <c r="W189" s="52" t="s">
        <v>9708</v>
      </c>
      <c r="X189" s="52" t="s">
        <v>9708</v>
      </c>
      <c r="Y189" s="52" t="s">
        <v>9708</v>
      </c>
      <c r="Z189" s="52" t="s">
        <v>9708</v>
      </c>
      <c r="AA189" s="52" t="s">
        <v>0</v>
      </c>
      <c r="AB189" s="52" t="s">
        <v>7933</v>
      </c>
      <c r="AC189" s="52" t="s">
        <v>7933</v>
      </c>
      <c r="AD189" s="52" t="s">
        <v>7933</v>
      </c>
      <c r="AE189" s="167"/>
      <c r="AG189" s="310"/>
    </row>
    <row r="190" spans="1:45" ht="20.100000000000001" customHeight="1">
      <c r="A190" s="181" t="s">
        <v>7237</v>
      </c>
      <c r="B190" s="36" t="s">
        <v>57</v>
      </c>
      <c r="C190" s="36" t="s">
        <v>57</v>
      </c>
      <c r="D190" s="36" t="s">
        <v>57</v>
      </c>
      <c r="E190" s="36" t="s">
        <v>57</v>
      </c>
      <c r="F190" s="36" t="s">
        <v>57</v>
      </c>
      <c r="G190" s="36" t="s">
        <v>57</v>
      </c>
      <c r="H190" s="36" t="s">
        <v>57</v>
      </c>
      <c r="I190" s="36" t="s">
        <v>57</v>
      </c>
      <c r="J190" s="36" t="s">
        <v>57</v>
      </c>
      <c r="K190" s="38" t="s">
        <v>57</v>
      </c>
      <c r="L190" s="38" t="s">
        <v>57</v>
      </c>
      <c r="M190" s="38" t="s">
        <v>57</v>
      </c>
      <c r="N190" s="36" t="s">
        <v>57</v>
      </c>
      <c r="O190" s="36" t="s">
        <v>57</v>
      </c>
      <c r="P190" s="36" t="s">
        <v>57</v>
      </c>
      <c r="Q190" s="36" t="s">
        <v>9050</v>
      </c>
      <c r="R190" s="36" t="s">
        <v>9050</v>
      </c>
      <c r="S190" s="38" t="s">
        <v>57</v>
      </c>
      <c r="T190" s="38" t="s">
        <v>57</v>
      </c>
      <c r="U190" s="38" t="s">
        <v>57</v>
      </c>
      <c r="V190" s="36" t="s">
        <v>9050</v>
      </c>
      <c r="W190" s="36" t="s">
        <v>9050</v>
      </c>
      <c r="X190" s="36" t="s">
        <v>9050</v>
      </c>
      <c r="Y190" s="36" t="s">
        <v>9050</v>
      </c>
      <c r="Z190" s="36" t="s">
        <v>9050</v>
      </c>
      <c r="AA190" s="38" t="s">
        <v>0</v>
      </c>
      <c r="AB190" s="36" t="s">
        <v>57</v>
      </c>
      <c r="AC190" s="36" t="s">
        <v>57</v>
      </c>
      <c r="AD190" s="36" t="s">
        <v>57</v>
      </c>
      <c r="AG190" s="310"/>
      <c r="AH190" s="40"/>
      <c r="AI190" s="40"/>
      <c r="AJ190" s="40"/>
      <c r="AK190" s="40"/>
      <c r="AL190" s="40"/>
      <c r="AM190" s="40"/>
      <c r="AN190" s="40"/>
      <c r="AO190" s="40"/>
      <c r="AP190" s="40"/>
      <c r="AQ190" s="40"/>
      <c r="AR190" s="40"/>
      <c r="AS190" s="40"/>
    </row>
    <row r="191" spans="1:45" s="40" customFormat="1">
      <c r="A191" s="51" t="s">
        <v>935</v>
      </c>
      <c r="B191" s="52" t="s">
        <v>7015</v>
      </c>
      <c r="C191" s="52" t="s">
        <v>7015</v>
      </c>
      <c r="D191" s="52" t="s">
        <v>7015</v>
      </c>
      <c r="E191" s="52" t="s">
        <v>8204</v>
      </c>
      <c r="F191" s="52" t="s">
        <v>8204</v>
      </c>
      <c r="G191" s="52" t="s">
        <v>8204</v>
      </c>
      <c r="H191" s="52" t="s">
        <v>8204</v>
      </c>
      <c r="I191" s="52" t="s">
        <v>8204</v>
      </c>
      <c r="J191" s="52" t="s">
        <v>8204</v>
      </c>
      <c r="K191" s="186" t="s">
        <v>8960</v>
      </c>
      <c r="L191" s="186" t="s">
        <v>8960</v>
      </c>
      <c r="M191" s="186" t="s">
        <v>8960</v>
      </c>
      <c r="N191" s="52" t="s">
        <v>8017</v>
      </c>
      <c r="O191" s="52" t="s">
        <v>8017</v>
      </c>
      <c r="P191" s="52" t="s">
        <v>8017</v>
      </c>
      <c r="Q191" s="52" t="s">
        <v>9244</v>
      </c>
      <c r="R191" s="52" t="s">
        <v>9244</v>
      </c>
      <c r="S191" s="52" t="s">
        <v>7238</v>
      </c>
      <c r="T191" s="52" t="s">
        <v>7381</v>
      </c>
      <c r="U191" s="52" t="s">
        <v>7494</v>
      </c>
      <c r="V191" s="52" t="s">
        <v>9376</v>
      </c>
      <c r="W191" s="52" t="s">
        <v>9711</v>
      </c>
      <c r="X191" s="52" t="s">
        <v>9709</v>
      </c>
      <c r="Y191" s="52" t="s">
        <v>9709</v>
      </c>
      <c r="Z191" s="52" t="s">
        <v>9502</v>
      </c>
      <c r="AA191" s="52" t="s">
        <v>0</v>
      </c>
      <c r="AB191" s="52" t="s">
        <v>8780</v>
      </c>
      <c r="AC191" s="52" t="s">
        <v>8780</v>
      </c>
      <c r="AD191" s="52" t="s">
        <v>8780</v>
      </c>
      <c r="AE191" s="167"/>
      <c r="AG191" s="310"/>
    </row>
    <row r="192" spans="1:45" s="301" customFormat="1" ht="20.100000000000001" customHeight="1">
      <c r="A192" s="298" t="s">
        <v>8961</v>
      </c>
      <c r="B192" s="299" t="s">
        <v>57</v>
      </c>
      <c r="C192" s="299" t="s">
        <v>57</v>
      </c>
      <c r="D192" s="299" t="s">
        <v>57</v>
      </c>
      <c r="E192" s="109" t="s">
        <v>57</v>
      </c>
      <c r="F192" s="109" t="s">
        <v>8342</v>
      </c>
      <c r="G192" s="109" t="s">
        <v>8342</v>
      </c>
      <c r="H192" s="109" t="s">
        <v>8272</v>
      </c>
      <c r="I192" s="109" t="s">
        <v>8678</v>
      </c>
      <c r="J192" s="109" t="s">
        <v>8342</v>
      </c>
      <c r="K192" s="109"/>
      <c r="L192" s="109"/>
      <c r="M192" s="109"/>
      <c r="N192" s="299" t="s">
        <v>57</v>
      </c>
      <c r="O192" s="109" t="s">
        <v>7723</v>
      </c>
      <c r="P192" s="109" t="s">
        <v>7723</v>
      </c>
      <c r="Q192" s="109" t="s">
        <v>9050</v>
      </c>
      <c r="R192" s="109" t="s">
        <v>9050</v>
      </c>
      <c r="S192" s="299" t="s">
        <v>57</v>
      </c>
      <c r="T192" s="299" t="s">
        <v>57</v>
      </c>
      <c r="U192" s="299" t="s">
        <v>57</v>
      </c>
      <c r="V192" s="299" t="s">
        <v>57</v>
      </c>
      <c r="W192" s="109" t="s">
        <v>57</v>
      </c>
      <c r="X192" s="109" t="s">
        <v>57</v>
      </c>
      <c r="Y192" s="109" t="s">
        <v>57</v>
      </c>
      <c r="Z192" s="109" t="s">
        <v>57</v>
      </c>
      <c r="AA192" s="299" t="s">
        <v>0</v>
      </c>
      <c r="AB192" s="109" t="s">
        <v>8781</v>
      </c>
      <c r="AC192" s="109" t="s">
        <v>8781</v>
      </c>
      <c r="AD192" s="109" t="s">
        <v>8781</v>
      </c>
      <c r="AE192" s="167"/>
      <c r="AF192" s="5"/>
      <c r="AG192" s="310"/>
      <c r="AH192" s="40"/>
      <c r="AI192" s="40"/>
      <c r="AJ192" s="40"/>
      <c r="AK192" s="40"/>
      <c r="AL192" s="40"/>
      <c r="AM192" s="40"/>
      <c r="AN192" s="40"/>
      <c r="AO192" s="40"/>
      <c r="AP192" s="40"/>
      <c r="AQ192" s="40"/>
      <c r="AR192" s="40"/>
      <c r="AS192" s="40"/>
    </row>
    <row r="193" spans="1:45" s="40" customFormat="1" ht="18">
      <c r="A193" s="51" t="s">
        <v>935</v>
      </c>
      <c r="B193" s="52" t="s">
        <v>7016</v>
      </c>
      <c r="C193" s="52" t="s">
        <v>7016</v>
      </c>
      <c r="D193" s="52" t="s">
        <v>7016</v>
      </c>
      <c r="E193" s="52" t="s">
        <v>8203</v>
      </c>
      <c r="F193" s="84" t="s">
        <v>8343</v>
      </c>
      <c r="G193" s="84" t="s">
        <v>8454</v>
      </c>
      <c r="H193" s="84" t="s">
        <v>8273</v>
      </c>
      <c r="I193" s="84" t="s">
        <v>8679</v>
      </c>
      <c r="J193" s="84" t="s">
        <v>8517</v>
      </c>
      <c r="K193" s="84"/>
      <c r="L193" s="84"/>
      <c r="M193" s="84"/>
      <c r="N193" s="52" t="s">
        <v>7938</v>
      </c>
      <c r="O193" s="52" t="s">
        <v>7944</v>
      </c>
      <c r="P193" s="52" t="s">
        <v>7944</v>
      </c>
      <c r="Q193" s="52" t="s">
        <v>9244</v>
      </c>
      <c r="R193" s="52" t="s">
        <v>9244</v>
      </c>
      <c r="S193" s="52" t="s">
        <v>7240</v>
      </c>
      <c r="T193" s="52" t="s">
        <v>7496</v>
      </c>
      <c r="U193" s="52" t="s">
        <v>7495</v>
      </c>
      <c r="V193" s="52" t="s">
        <v>9378</v>
      </c>
      <c r="W193" s="52" t="s">
        <v>9378</v>
      </c>
      <c r="X193" s="52" t="s">
        <v>9571</v>
      </c>
      <c r="Y193" s="52" t="s">
        <v>9571</v>
      </c>
      <c r="Z193" s="52" t="s">
        <v>9378</v>
      </c>
      <c r="AA193" s="52" t="s">
        <v>0</v>
      </c>
      <c r="AB193" s="52" t="s">
        <v>8782</v>
      </c>
      <c r="AC193" s="52" t="s">
        <v>8782</v>
      </c>
      <c r="AD193" s="52" t="s">
        <v>8782</v>
      </c>
      <c r="AE193" s="167"/>
      <c r="AG193" s="310"/>
    </row>
    <row r="194" spans="1:45" ht="20.100000000000001" customHeight="1">
      <c r="A194" s="6" t="s">
        <v>154</v>
      </c>
      <c r="B194" s="36" t="s">
        <v>57</v>
      </c>
      <c r="C194" s="36" t="s">
        <v>57</v>
      </c>
      <c r="D194" s="36" t="s">
        <v>57</v>
      </c>
      <c r="E194" s="36" t="s">
        <v>57</v>
      </c>
      <c r="F194" s="36" t="s">
        <v>57</v>
      </c>
      <c r="G194" s="36" t="s">
        <v>57</v>
      </c>
      <c r="H194" s="36" t="s">
        <v>57</v>
      </c>
      <c r="I194" s="36" t="s">
        <v>8676</v>
      </c>
      <c r="J194" s="36" t="s">
        <v>57</v>
      </c>
      <c r="K194" s="38" t="s">
        <v>57</v>
      </c>
      <c r="L194" s="38" t="s">
        <v>57</v>
      </c>
      <c r="M194" s="38" t="s">
        <v>57</v>
      </c>
      <c r="N194" s="36" t="s">
        <v>57</v>
      </c>
      <c r="O194" s="36" t="s">
        <v>57</v>
      </c>
      <c r="P194" s="36" t="s">
        <v>57</v>
      </c>
      <c r="Q194" s="36" t="s">
        <v>9304</v>
      </c>
      <c r="R194" s="36" t="s">
        <v>9304</v>
      </c>
      <c r="S194" s="36" t="s">
        <v>7260</v>
      </c>
      <c r="T194" s="36" t="s">
        <v>7260</v>
      </c>
      <c r="U194" s="36" t="s">
        <v>7260</v>
      </c>
      <c r="V194" s="36" t="s">
        <v>3071</v>
      </c>
      <c r="W194" s="36" t="s">
        <v>57</v>
      </c>
      <c r="X194" s="36" t="s">
        <v>57</v>
      </c>
      <c r="Y194" s="36" t="s">
        <v>57</v>
      </c>
      <c r="Z194" s="36" t="s">
        <v>57</v>
      </c>
      <c r="AA194" s="38" t="s">
        <v>0</v>
      </c>
      <c r="AB194" s="36" t="s">
        <v>3071</v>
      </c>
      <c r="AC194" s="36" t="s">
        <v>3071</v>
      </c>
      <c r="AD194" s="36" t="s">
        <v>3071</v>
      </c>
      <c r="AG194" s="310"/>
      <c r="AH194" s="40"/>
      <c r="AI194" s="40"/>
      <c r="AJ194" s="40"/>
      <c r="AK194" s="40"/>
      <c r="AL194" s="40"/>
      <c r="AM194" s="40"/>
      <c r="AN194" s="40"/>
      <c r="AO194" s="40"/>
      <c r="AP194" s="40"/>
      <c r="AQ194" s="40"/>
      <c r="AR194" s="40"/>
      <c r="AS194" s="40"/>
    </row>
    <row r="195" spans="1:45" s="40" customFormat="1">
      <c r="A195" s="51" t="s">
        <v>935</v>
      </c>
      <c r="B195" s="52" t="s">
        <v>6785</v>
      </c>
      <c r="C195" s="52" t="s">
        <v>6785</v>
      </c>
      <c r="D195" s="52" t="s">
        <v>6785</v>
      </c>
      <c r="E195" s="52" t="s">
        <v>8178</v>
      </c>
      <c r="F195" s="52" t="s">
        <v>8178</v>
      </c>
      <c r="G195" s="52" t="s">
        <v>8178</v>
      </c>
      <c r="H195" s="52" t="s">
        <v>8178</v>
      </c>
      <c r="I195" s="52" t="s">
        <v>8677</v>
      </c>
      <c r="J195" s="52" t="s">
        <v>8178</v>
      </c>
      <c r="K195" s="186" t="s">
        <v>7023</v>
      </c>
      <c r="L195" s="186" t="s">
        <v>7023</v>
      </c>
      <c r="M195" s="186" t="s">
        <v>7023</v>
      </c>
      <c r="N195" s="52" t="s">
        <v>7939</v>
      </c>
      <c r="O195" s="52" t="s">
        <v>7939</v>
      </c>
      <c r="P195" s="52" t="s">
        <v>7939</v>
      </c>
      <c r="Q195" s="52" t="s">
        <v>9303</v>
      </c>
      <c r="R195" s="52" t="s">
        <v>9303</v>
      </c>
      <c r="S195" s="52" t="s">
        <v>7259</v>
      </c>
      <c r="T195" s="52" t="s">
        <v>7360</v>
      </c>
      <c r="U195" s="52" t="s">
        <v>7486</v>
      </c>
      <c r="V195" s="52" t="s">
        <v>9373</v>
      </c>
      <c r="W195" s="52" t="s">
        <v>9373</v>
      </c>
      <c r="X195" s="52" t="s">
        <v>9373</v>
      </c>
      <c r="Y195" s="52" t="s">
        <v>9373</v>
      </c>
      <c r="Z195" s="52" t="s">
        <v>9373</v>
      </c>
      <c r="AA195" s="52" t="s">
        <v>0</v>
      </c>
      <c r="AB195" s="52" t="s">
        <v>8729</v>
      </c>
      <c r="AC195" s="52" t="s">
        <v>8729</v>
      </c>
      <c r="AD195" s="52" t="s">
        <v>8729</v>
      </c>
      <c r="AE195" s="167"/>
      <c r="AG195" s="310"/>
    </row>
    <row r="196" spans="1:45" ht="30" customHeight="1">
      <c r="A196" s="6" t="s">
        <v>157</v>
      </c>
      <c r="B196" s="36" t="s">
        <v>57</v>
      </c>
      <c r="C196" s="36" t="s">
        <v>57</v>
      </c>
      <c r="D196" s="36" t="s">
        <v>57</v>
      </c>
      <c r="E196" s="36" t="s">
        <v>57</v>
      </c>
      <c r="F196" s="36" t="s">
        <v>57</v>
      </c>
      <c r="G196" s="36" t="s">
        <v>57</v>
      </c>
      <c r="H196" s="36" t="s">
        <v>57</v>
      </c>
      <c r="I196" s="36" t="s">
        <v>8682</v>
      </c>
      <c r="J196" s="36" t="s">
        <v>57</v>
      </c>
      <c r="K196" s="38" t="s">
        <v>57</v>
      </c>
      <c r="L196" s="38" t="s">
        <v>57</v>
      </c>
      <c r="M196" s="38" t="s">
        <v>57</v>
      </c>
      <c r="N196" s="36" t="s">
        <v>7626</v>
      </c>
      <c r="O196" s="36" t="s">
        <v>7626</v>
      </c>
      <c r="P196" s="36" t="s">
        <v>7626</v>
      </c>
      <c r="Q196" s="36" t="s">
        <v>57</v>
      </c>
      <c r="R196" s="36" t="s">
        <v>57</v>
      </c>
      <c r="S196" s="36" t="s">
        <v>57</v>
      </c>
      <c r="T196" s="36" t="s">
        <v>57</v>
      </c>
      <c r="U196" s="36" t="s">
        <v>57</v>
      </c>
      <c r="V196" s="36" t="s">
        <v>7626</v>
      </c>
      <c r="W196" s="36" t="s">
        <v>7626</v>
      </c>
      <c r="X196" s="36" t="s">
        <v>7626</v>
      </c>
      <c r="Y196" s="36" t="s">
        <v>7626</v>
      </c>
      <c r="Z196" s="36" t="s">
        <v>7626</v>
      </c>
      <c r="AA196" s="38" t="s">
        <v>0</v>
      </c>
      <c r="AB196" s="36" t="s">
        <v>57</v>
      </c>
      <c r="AC196" s="36" t="s">
        <v>57</v>
      </c>
      <c r="AD196" s="36" t="s">
        <v>57</v>
      </c>
      <c r="AG196" s="310"/>
      <c r="AH196" s="40"/>
    </row>
    <row r="197" spans="1:45" s="40" customFormat="1">
      <c r="A197" s="51" t="s">
        <v>935</v>
      </c>
      <c r="B197" s="52" t="s">
        <v>6786</v>
      </c>
      <c r="C197" s="52" t="s">
        <v>6786</v>
      </c>
      <c r="D197" s="52" t="s">
        <v>6786</v>
      </c>
      <c r="E197" s="52" t="s">
        <v>8178</v>
      </c>
      <c r="F197" s="52" t="s">
        <v>8178</v>
      </c>
      <c r="G197" s="52" t="s">
        <v>8178</v>
      </c>
      <c r="H197" s="52" t="s">
        <v>8178</v>
      </c>
      <c r="I197" s="52" t="s">
        <v>8683</v>
      </c>
      <c r="J197" s="52" t="s">
        <v>8178</v>
      </c>
      <c r="K197" s="186" t="s">
        <v>7023</v>
      </c>
      <c r="L197" s="186" t="s">
        <v>7023</v>
      </c>
      <c r="M197" s="186" t="s">
        <v>7023</v>
      </c>
      <c r="N197" s="52" t="s">
        <v>7939</v>
      </c>
      <c r="O197" s="52" t="s">
        <v>7939</v>
      </c>
      <c r="P197" s="52" t="s">
        <v>7939</v>
      </c>
      <c r="Q197" s="52" t="s">
        <v>9305</v>
      </c>
      <c r="R197" s="52" t="s">
        <v>9305</v>
      </c>
      <c r="S197" s="52" t="s">
        <v>7234</v>
      </c>
      <c r="T197" s="52" t="s">
        <v>7382</v>
      </c>
      <c r="U197" s="52" t="s">
        <v>7497</v>
      </c>
      <c r="V197" s="52" t="s">
        <v>9373</v>
      </c>
      <c r="W197" s="52" t="s">
        <v>9373</v>
      </c>
      <c r="X197" s="52" t="s">
        <v>9373</v>
      </c>
      <c r="Y197" s="52" t="s">
        <v>9373</v>
      </c>
      <c r="Z197" s="52" t="s">
        <v>9373</v>
      </c>
      <c r="AA197" s="52" t="s">
        <v>0</v>
      </c>
      <c r="AB197" s="52" t="s">
        <v>8729</v>
      </c>
      <c r="AC197" s="52" t="s">
        <v>8729</v>
      </c>
      <c r="AD197" s="52" t="s">
        <v>8729</v>
      </c>
      <c r="AE197" s="167"/>
      <c r="AG197" s="310"/>
    </row>
    <row r="198" spans="1:45" ht="30" customHeight="1">
      <c r="A198" s="6" t="s">
        <v>5489</v>
      </c>
      <c r="B198" s="36" t="s">
        <v>6804</v>
      </c>
      <c r="C198" s="36" t="s">
        <v>6804</v>
      </c>
      <c r="D198" s="36" t="s">
        <v>6804</v>
      </c>
      <c r="E198" s="36" t="s">
        <v>9150</v>
      </c>
      <c r="F198" s="36" t="s">
        <v>9151</v>
      </c>
      <c r="G198" s="36" t="s">
        <v>9151</v>
      </c>
      <c r="H198" s="36" t="s">
        <v>9151</v>
      </c>
      <c r="I198" s="36" t="s">
        <v>9154</v>
      </c>
      <c r="J198" s="36" t="s">
        <v>9151</v>
      </c>
      <c r="K198" s="38" t="s">
        <v>57</v>
      </c>
      <c r="L198" s="38" t="s">
        <v>0</v>
      </c>
      <c r="M198" s="38" t="s">
        <v>57</v>
      </c>
      <c r="N198" s="36" t="s">
        <v>0</v>
      </c>
      <c r="O198" s="36" t="s">
        <v>57</v>
      </c>
      <c r="P198" s="36" t="s">
        <v>57</v>
      </c>
      <c r="Q198" s="36" t="s">
        <v>57</v>
      </c>
      <c r="R198" s="36" t="s">
        <v>57</v>
      </c>
      <c r="S198" s="38" t="s">
        <v>0</v>
      </c>
      <c r="T198" s="36" t="s">
        <v>293</v>
      </c>
      <c r="U198" s="36" t="s">
        <v>57</v>
      </c>
      <c r="V198" s="36" t="s">
        <v>57</v>
      </c>
      <c r="W198" s="36" t="s">
        <v>57</v>
      </c>
      <c r="X198" s="36" t="s">
        <v>57</v>
      </c>
      <c r="Y198" s="36" t="s">
        <v>57</v>
      </c>
      <c r="Z198" s="36" t="s">
        <v>57</v>
      </c>
      <c r="AA198" s="38" t="s">
        <v>0</v>
      </c>
      <c r="AB198" s="36" t="s">
        <v>293</v>
      </c>
      <c r="AC198" s="36" t="s">
        <v>8825</v>
      </c>
      <c r="AD198" s="36" t="s">
        <v>8825</v>
      </c>
    </row>
    <row r="199" spans="1:45" s="40" customFormat="1">
      <c r="A199" s="51" t="s">
        <v>935</v>
      </c>
      <c r="B199" s="52" t="s">
        <v>6883</v>
      </c>
      <c r="C199" s="52" t="s">
        <v>6925</v>
      </c>
      <c r="D199" s="52" t="s">
        <v>6882</v>
      </c>
      <c r="E199" s="52" t="s">
        <v>9153</v>
      </c>
      <c r="F199" s="52" t="s">
        <v>9152</v>
      </c>
      <c r="G199" s="52" t="s">
        <v>9158</v>
      </c>
      <c r="H199" s="52" t="s">
        <v>9157</v>
      </c>
      <c r="I199" s="52" t="s">
        <v>9156</v>
      </c>
      <c r="J199" s="52" t="s">
        <v>9155</v>
      </c>
      <c r="K199" s="186" t="s">
        <v>9025</v>
      </c>
      <c r="L199" s="52" t="s">
        <v>0</v>
      </c>
      <c r="M199" s="186" t="s">
        <v>9066</v>
      </c>
      <c r="N199" s="52" t="s">
        <v>7941</v>
      </c>
      <c r="O199" s="52" t="s">
        <v>7941</v>
      </c>
      <c r="P199" s="52" t="s">
        <v>7941</v>
      </c>
      <c r="Q199" s="52" t="s">
        <v>9178</v>
      </c>
      <c r="R199" s="52" t="s">
        <v>9178</v>
      </c>
      <c r="S199" s="186" t="s">
        <v>0</v>
      </c>
      <c r="T199" s="52" t="s">
        <v>7372</v>
      </c>
      <c r="U199" s="52" t="s">
        <v>7498</v>
      </c>
      <c r="V199" s="52" t="s">
        <v>9374</v>
      </c>
      <c r="W199" s="52" t="s">
        <v>9374</v>
      </c>
      <c r="X199" s="52" t="s">
        <v>9377</v>
      </c>
      <c r="Y199" s="52" t="s">
        <v>9377</v>
      </c>
      <c r="Z199" s="52" t="s">
        <v>9374</v>
      </c>
      <c r="AA199" s="52" t="s">
        <v>0</v>
      </c>
      <c r="AB199" s="52" t="s">
        <v>8730</v>
      </c>
      <c r="AC199" s="52" t="s">
        <v>8820</v>
      </c>
      <c r="AD199" s="52" t="s">
        <v>8820</v>
      </c>
      <c r="AE199" s="167"/>
      <c r="AG199" s="310"/>
    </row>
    <row r="200" spans="1:45" ht="65.099999999999994" customHeight="1">
      <c r="A200" s="82" t="s">
        <v>8895</v>
      </c>
      <c r="B200" s="36" t="s">
        <v>6805</v>
      </c>
      <c r="C200" s="36" t="s">
        <v>6805</v>
      </c>
      <c r="D200" s="36" t="s">
        <v>6805</v>
      </c>
      <c r="E200" s="36" t="s">
        <v>0</v>
      </c>
      <c r="F200" s="36" t="s">
        <v>8407</v>
      </c>
      <c r="G200" s="36" t="s">
        <v>8408</v>
      </c>
      <c r="H200" s="36" t="s">
        <v>8407</v>
      </c>
      <c r="I200" s="36" t="s">
        <v>8408</v>
      </c>
      <c r="J200" s="36" t="s">
        <v>8408</v>
      </c>
      <c r="K200" s="36" t="s">
        <v>8408</v>
      </c>
      <c r="L200" s="38" t="s">
        <v>0</v>
      </c>
      <c r="M200" s="36" t="s">
        <v>8408</v>
      </c>
      <c r="N200" s="36" t="s">
        <v>0</v>
      </c>
      <c r="O200" s="36" t="s">
        <v>7940</v>
      </c>
      <c r="P200" s="36" t="s">
        <v>7940</v>
      </c>
      <c r="Q200" s="36" t="s">
        <v>9231</v>
      </c>
      <c r="R200" s="36" t="s">
        <v>9231</v>
      </c>
      <c r="S200" s="38" t="s">
        <v>0</v>
      </c>
      <c r="T200" s="36" t="s">
        <v>7373</v>
      </c>
      <c r="U200" s="36" t="s">
        <v>7630</v>
      </c>
      <c r="V200" s="36" t="s">
        <v>0</v>
      </c>
      <c r="W200" s="36" t="s">
        <v>0</v>
      </c>
      <c r="X200" s="36" t="s">
        <v>0</v>
      </c>
      <c r="Y200" s="36" t="s">
        <v>0</v>
      </c>
      <c r="Z200" s="36" t="s">
        <v>0</v>
      </c>
      <c r="AA200" s="38" t="s">
        <v>0</v>
      </c>
      <c r="AB200" s="36" t="s">
        <v>8731</v>
      </c>
      <c r="AC200" s="36" t="s">
        <v>8821</v>
      </c>
      <c r="AD200" s="36" t="s">
        <v>8821</v>
      </c>
    </row>
    <row r="201" spans="1:45" s="40" customFormat="1">
      <c r="A201" s="51" t="s">
        <v>935</v>
      </c>
      <c r="B201" s="52" t="s">
        <v>6803</v>
      </c>
      <c r="C201" s="52" t="s">
        <v>6925</v>
      </c>
      <c r="D201" s="52" t="s">
        <v>6882</v>
      </c>
      <c r="E201" s="52" t="s">
        <v>0</v>
      </c>
      <c r="F201" s="52" t="s">
        <v>8325</v>
      </c>
      <c r="G201" s="52" t="s">
        <v>8409</v>
      </c>
      <c r="H201" s="52" t="s">
        <v>8266</v>
      </c>
      <c r="I201" s="52" t="s">
        <v>8628</v>
      </c>
      <c r="J201" s="52" t="s">
        <v>8504</v>
      </c>
      <c r="K201" s="186" t="s">
        <v>9025</v>
      </c>
      <c r="L201" s="52" t="s">
        <v>0</v>
      </c>
      <c r="M201" s="186" t="s">
        <v>9066</v>
      </c>
      <c r="N201" s="52" t="s">
        <v>7941</v>
      </c>
      <c r="O201" s="52" t="s">
        <v>7941</v>
      </c>
      <c r="P201" s="52" t="s">
        <v>7941</v>
      </c>
      <c r="Q201" s="52" t="s">
        <v>9178</v>
      </c>
      <c r="R201" s="52" t="s">
        <v>9178</v>
      </c>
      <c r="S201" s="186" t="s">
        <v>0</v>
      </c>
      <c r="T201" s="52" t="s">
        <v>7374</v>
      </c>
      <c r="U201" s="52" t="s">
        <v>7499</v>
      </c>
      <c r="V201" s="52" t="s">
        <v>0</v>
      </c>
      <c r="W201" s="52" t="s">
        <v>0</v>
      </c>
      <c r="X201" s="52" t="s">
        <v>0</v>
      </c>
      <c r="Y201" s="52" t="s">
        <v>0</v>
      </c>
      <c r="Z201" s="52" t="s">
        <v>0</v>
      </c>
      <c r="AA201" s="52" t="s">
        <v>0</v>
      </c>
      <c r="AB201" s="52" t="s">
        <v>8732</v>
      </c>
      <c r="AC201" s="52" t="s">
        <v>8820</v>
      </c>
      <c r="AD201" s="52" t="s">
        <v>8820</v>
      </c>
      <c r="AE201" s="167"/>
      <c r="AG201" s="310"/>
    </row>
    <row r="202" spans="1:45" ht="50.1" customHeight="1">
      <c r="A202" s="89" t="s">
        <v>162</v>
      </c>
      <c r="B202" s="36" t="s">
        <v>6806</v>
      </c>
      <c r="C202" s="36" t="s">
        <v>6884</v>
      </c>
      <c r="D202" s="36" t="s">
        <v>6884</v>
      </c>
      <c r="E202" s="36" t="s">
        <v>0</v>
      </c>
      <c r="F202" s="36" t="s">
        <v>8326</v>
      </c>
      <c r="G202" s="36" t="s">
        <v>8410</v>
      </c>
      <c r="H202" s="36" t="s">
        <v>8264</v>
      </c>
      <c r="I202" s="36" t="s">
        <v>8629</v>
      </c>
      <c r="J202" s="36" t="s">
        <v>8630</v>
      </c>
      <c r="K202" s="36" t="s">
        <v>7112</v>
      </c>
      <c r="L202" s="38" t="s">
        <v>0</v>
      </c>
      <c r="M202" s="36" t="s">
        <v>7148</v>
      </c>
      <c r="N202" s="36" t="s">
        <v>0</v>
      </c>
      <c r="O202" s="36" t="s">
        <v>7942</v>
      </c>
      <c r="P202" s="36" t="s">
        <v>8104</v>
      </c>
      <c r="Q202" s="36" t="s">
        <v>9230</v>
      </c>
      <c r="R202" s="36" t="s">
        <v>9230</v>
      </c>
      <c r="S202" s="36" t="s">
        <v>0</v>
      </c>
      <c r="T202" s="36" t="s">
        <v>7375</v>
      </c>
      <c r="U202" s="36" t="s">
        <v>5556</v>
      </c>
      <c r="V202" s="36" t="s">
        <v>9375</v>
      </c>
      <c r="W202" s="36" t="s">
        <v>9677</v>
      </c>
      <c r="X202" s="36" t="s">
        <v>9712</v>
      </c>
      <c r="Y202" s="36" t="s">
        <v>9560</v>
      </c>
      <c r="Z202" s="36" t="s">
        <v>9500</v>
      </c>
      <c r="AA202" s="38" t="s">
        <v>0</v>
      </c>
      <c r="AB202" s="36" t="s">
        <v>8822</v>
      </c>
      <c r="AC202" s="36" t="s">
        <v>8823</v>
      </c>
      <c r="AD202" s="36" t="s">
        <v>8823</v>
      </c>
    </row>
    <row r="203" spans="1:45" s="40" customFormat="1">
      <c r="A203" s="51" t="s">
        <v>935</v>
      </c>
      <c r="B203" s="52" t="s">
        <v>6803</v>
      </c>
      <c r="C203" s="52" t="s">
        <v>6925</v>
      </c>
      <c r="D203" s="52" t="s">
        <v>6882</v>
      </c>
      <c r="E203" s="52" t="s">
        <v>0</v>
      </c>
      <c r="F203" s="52" t="s">
        <v>8327</v>
      </c>
      <c r="G203" s="52" t="s">
        <v>8411</v>
      </c>
      <c r="H203" s="52" t="s">
        <v>8267</v>
      </c>
      <c r="I203" s="52" t="s">
        <v>8631</v>
      </c>
      <c r="J203" s="52" t="s">
        <v>8502</v>
      </c>
      <c r="K203" s="186" t="s">
        <v>9026</v>
      </c>
      <c r="L203" s="52" t="s">
        <v>0</v>
      </c>
      <c r="M203" s="186" t="s">
        <v>9067</v>
      </c>
      <c r="N203" s="52" t="s">
        <v>7941</v>
      </c>
      <c r="O203" s="52" t="s">
        <v>7941</v>
      </c>
      <c r="P203" s="52" t="s">
        <v>8103</v>
      </c>
      <c r="Q203" s="52" t="s">
        <v>9178</v>
      </c>
      <c r="R203" s="52" t="s">
        <v>9178</v>
      </c>
      <c r="S203" s="186" t="s">
        <v>0</v>
      </c>
      <c r="T203" s="52" t="s">
        <v>7376</v>
      </c>
      <c r="U203" s="52" t="s">
        <v>7500</v>
      </c>
      <c r="V203" s="52" t="s">
        <v>9374</v>
      </c>
      <c r="W203" s="52" t="s">
        <v>9374</v>
      </c>
      <c r="X203" s="52" t="s">
        <v>9561</v>
      </c>
      <c r="Y203" s="52" t="s">
        <v>9561</v>
      </c>
      <c r="Z203" s="52" t="s">
        <v>9374</v>
      </c>
      <c r="AA203" s="52" t="s">
        <v>0</v>
      </c>
      <c r="AB203" s="52" t="s">
        <v>8733</v>
      </c>
      <c r="AC203" s="52" t="s">
        <v>8820</v>
      </c>
      <c r="AD203" s="52" t="s">
        <v>8820</v>
      </c>
      <c r="AE203" s="167"/>
      <c r="AG203" s="310"/>
    </row>
    <row r="204" spans="1:45" ht="50.1" customHeight="1">
      <c r="A204" s="89" t="s">
        <v>163</v>
      </c>
      <c r="B204" s="36" t="s">
        <v>0</v>
      </c>
      <c r="C204" s="36" t="s">
        <v>6886</v>
      </c>
      <c r="D204" s="36" t="s">
        <v>6886</v>
      </c>
      <c r="E204" s="36" t="s">
        <v>0</v>
      </c>
      <c r="F204" s="36" t="s">
        <v>0</v>
      </c>
      <c r="G204" s="36" t="s">
        <v>0</v>
      </c>
      <c r="H204" s="36" t="s">
        <v>0</v>
      </c>
      <c r="I204" s="36" t="s">
        <v>0</v>
      </c>
      <c r="J204" s="36" t="s">
        <v>0</v>
      </c>
      <c r="K204" s="38" t="s">
        <v>859</v>
      </c>
      <c r="L204" s="38" t="s">
        <v>0</v>
      </c>
      <c r="M204" s="38" t="s">
        <v>5529</v>
      </c>
      <c r="N204" s="36" t="s">
        <v>0</v>
      </c>
      <c r="O204" s="36" t="s">
        <v>7943</v>
      </c>
      <c r="P204" s="36" t="s">
        <v>8102</v>
      </c>
      <c r="Q204" s="36" t="s">
        <v>9329</v>
      </c>
      <c r="R204" s="36" t="s">
        <v>9329</v>
      </c>
      <c r="S204" s="36" t="s">
        <v>0</v>
      </c>
      <c r="T204" s="36" t="s">
        <v>5512</v>
      </c>
      <c r="U204" s="36" t="s">
        <v>5556</v>
      </c>
      <c r="V204" s="36" t="s">
        <v>9499</v>
      </c>
      <c r="W204" s="36" t="s">
        <v>9678</v>
      </c>
      <c r="X204" s="36" t="s">
        <v>9713</v>
      </c>
      <c r="Y204" s="36" t="s">
        <v>9562</v>
      </c>
      <c r="Z204" s="36" t="s">
        <v>9501</v>
      </c>
      <c r="AA204" s="38" t="s">
        <v>0</v>
      </c>
      <c r="AB204" s="36" t="s">
        <v>0</v>
      </c>
      <c r="AC204" s="36" t="s">
        <v>8826</v>
      </c>
      <c r="AD204" s="36" t="s">
        <v>8826</v>
      </c>
    </row>
    <row r="205" spans="1:45" s="40" customFormat="1" ht="18">
      <c r="A205" s="51" t="s">
        <v>935</v>
      </c>
      <c r="B205" s="52" t="s">
        <v>0</v>
      </c>
      <c r="C205" s="84" t="s">
        <v>6887</v>
      </c>
      <c r="D205" s="84" t="s">
        <v>6887</v>
      </c>
      <c r="E205" s="84" t="s">
        <v>0</v>
      </c>
      <c r="F205" s="84" t="s">
        <v>0</v>
      </c>
      <c r="G205" s="84" t="s">
        <v>0</v>
      </c>
      <c r="H205" s="84" t="s">
        <v>0</v>
      </c>
      <c r="I205" s="84" t="s">
        <v>0</v>
      </c>
      <c r="J205" s="84" t="s">
        <v>0</v>
      </c>
      <c r="K205" s="186" t="s">
        <v>9027</v>
      </c>
      <c r="L205" s="52" t="s">
        <v>0</v>
      </c>
      <c r="M205" s="186" t="s">
        <v>9027</v>
      </c>
      <c r="N205" s="52" t="s">
        <v>7941</v>
      </c>
      <c r="O205" s="52" t="s">
        <v>7941</v>
      </c>
      <c r="P205" s="52" t="s">
        <v>8101</v>
      </c>
      <c r="Q205" s="52" t="s">
        <v>9178</v>
      </c>
      <c r="R205" s="52" t="s">
        <v>9178</v>
      </c>
      <c r="S205" s="186" t="s">
        <v>0</v>
      </c>
      <c r="T205" s="52" t="s">
        <v>7377</v>
      </c>
      <c r="U205" s="52" t="s">
        <v>7500</v>
      </c>
      <c r="V205" s="52" t="s">
        <v>9374</v>
      </c>
      <c r="W205" s="52" t="s">
        <v>9374</v>
      </c>
      <c r="X205" s="52" t="s">
        <v>9561</v>
      </c>
      <c r="Y205" s="52" t="s">
        <v>9561</v>
      </c>
      <c r="Z205" s="52" t="s">
        <v>9374</v>
      </c>
      <c r="AA205" s="52" t="s">
        <v>0</v>
      </c>
      <c r="AB205" s="52" t="s">
        <v>8733</v>
      </c>
      <c r="AC205" s="52" t="s">
        <v>8824</v>
      </c>
      <c r="AD205" s="52" t="s">
        <v>8824</v>
      </c>
      <c r="AE205" s="167"/>
      <c r="AG205" s="310"/>
    </row>
    <row r="206" spans="1:45" ht="20.100000000000001" customHeight="1">
      <c r="A206" s="183" t="s">
        <v>6625</v>
      </c>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c r="AC206" s="183"/>
      <c r="AD206" s="183"/>
    </row>
    <row r="207" spans="1:45" s="40" customFormat="1" ht="155.1" customHeight="1">
      <c r="A207" s="81" t="s">
        <v>6712</v>
      </c>
      <c r="B207" s="36" t="s">
        <v>0</v>
      </c>
      <c r="C207" s="36" t="s">
        <v>6886</v>
      </c>
      <c r="D207" s="36" t="s">
        <v>6886</v>
      </c>
      <c r="E207" s="36" t="s">
        <v>0</v>
      </c>
      <c r="F207" s="36" t="s">
        <v>0</v>
      </c>
      <c r="G207" s="36" t="s">
        <v>8692</v>
      </c>
      <c r="H207" s="36" t="s">
        <v>0</v>
      </c>
      <c r="I207" s="36" t="s">
        <v>8694</v>
      </c>
      <c r="J207" s="36" t="s">
        <v>8693</v>
      </c>
      <c r="K207" s="36" t="s">
        <v>0</v>
      </c>
      <c r="L207" s="38" t="s">
        <v>0</v>
      </c>
      <c r="M207" s="36" t="s">
        <v>0</v>
      </c>
      <c r="N207" s="36" t="s">
        <v>0</v>
      </c>
      <c r="O207" s="36" t="s">
        <v>0</v>
      </c>
      <c r="P207" s="36" t="s">
        <v>0</v>
      </c>
      <c r="Q207" s="36" t="s">
        <v>0</v>
      </c>
      <c r="R207" s="36" t="s">
        <v>0</v>
      </c>
      <c r="S207" s="38" t="s">
        <v>0</v>
      </c>
      <c r="T207" s="38" t="s">
        <v>0</v>
      </c>
      <c r="U207" s="114" t="s">
        <v>7556</v>
      </c>
      <c r="V207" s="36" t="s">
        <v>0</v>
      </c>
      <c r="W207" s="36" t="s">
        <v>0</v>
      </c>
      <c r="X207" s="36" t="s">
        <v>9715</v>
      </c>
      <c r="Y207" s="36" t="s">
        <v>9716</v>
      </c>
      <c r="Z207" s="36" t="s">
        <v>0</v>
      </c>
      <c r="AA207" s="36" t="s">
        <v>0</v>
      </c>
      <c r="AB207" s="36" t="s">
        <v>8889</v>
      </c>
      <c r="AC207" s="36" t="s">
        <v>8889</v>
      </c>
      <c r="AD207" s="36" t="s">
        <v>8889</v>
      </c>
      <c r="AE207" s="167"/>
      <c r="AG207" s="310"/>
    </row>
    <row r="208" spans="1:45" ht="18">
      <c r="A208" s="51" t="s">
        <v>935</v>
      </c>
      <c r="B208" s="52" t="s">
        <v>0</v>
      </c>
      <c r="C208" s="84" t="s">
        <v>6887</v>
      </c>
      <c r="D208" s="84" t="s">
        <v>6887</v>
      </c>
      <c r="E208" s="84" t="s">
        <v>0</v>
      </c>
      <c r="F208" s="84" t="s">
        <v>0</v>
      </c>
      <c r="G208" s="84" t="s">
        <v>8697</v>
      </c>
      <c r="H208" s="84" t="s">
        <v>0</v>
      </c>
      <c r="I208" s="84" t="s">
        <v>8695</v>
      </c>
      <c r="J208" s="84" t="s">
        <v>8696</v>
      </c>
      <c r="K208" s="84" t="s">
        <v>0</v>
      </c>
      <c r="L208" s="52" t="s">
        <v>0</v>
      </c>
      <c r="M208" s="84" t="s">
        <v>0</v>
      </c>
      <c r="N208" s="186" t="s">
        <v>0</v>
      </c>
      <c r="O208" s="186" t="s">
        <v>0</v>
      </c>
      <c r="P208" s="186" t="s">
        <v>0</v>
      </c>
      <c r="Q208" s="186" t="s">
        <v>0</v>
      </c>
      <c r="R208" s="186" t="s">
        <v>0</v>
      </c>
      <c r="S208" s="186" t="s">
        <v>0</v>
      </c>
      <c r="T208" s="186" t="s">
        <v>0</v>
      </c>
      <c r="U208" s="186" t="s">
        <v>7557</v>
      </c>
      <c r="V208" s="186" t="s">
        <v>0</v>
      </c>
      <c r="W208" s="186" t="s">
        <v>0</v>
      </c>
      <c r="X208" s="52" t="s">
        <v>9714</v>
      </c>
      <c r="Y208" s="52" t="s">
        <v>9630</v>
      </c>
      <c r="Z208" s="186" t="s">
        <v>0</v>
      </c>
      <c r="AA208" s="52" t="s">
        <v>0</v>
      </c>
      <c r="AB208" s="186" t="s">
        <v>8783</v>
      </c>
      <c r="AC208" s="186" t="s">
        <v>8783</v>
      </c>
      <c r="AD208" s="186" t="s">
        <v>8783</v>
      </c>
    </row>
    <row r="209" spans="1:34" s="40" customFormat="1" ht="65.099999999999994" customHeight="1">
      <c r="A209" s="62" t="s">
        <v>9379</v>
      </c>
      <c r="B209" s="36" t="s">
        <v>6964</v>
      </c>
      <c r="C209" s="36" t="s">
        <v>6965</v>
      </c>
      <c r="D209" s="36" t="s">
        <v>6964</v>
      </c>
      <c r="E209" s="36" t="s">
        <v>9148</v>
      </c>
      <c r="F209" s="36" t="s">
        <v>9148</v>
      </c>
      <c r="G209" s="36" t="s">
        <v>9149</v>
      </c>
      <c r="H209" s="36" t="s">
        <v>9148</v>
      </c>
      <c r="I209" s="36" t="s">
        <v>9147</v>
      </c>
      <c r="J209" s="36" t="s">
        <v>8897</v>
      </c>
      <c r="K209" s="36" t="s">
        <v>7187</v>
      </c>
      <c r="L209" s="36" t="s">
        <v>7187</v>
      </c>
      <c r="M209" s="36" t="s">
        <v>7187</v>
      </c>
      <c r="N209" s="36" t="s">
        <v>9380</v>
      </c>
      <c r="O209" s="36" t="s">
        <v>9380</v>
      </c>
      <c r="P209" s="36" t="s">
        <v>9380</v>
      </c>
      <c r="Q209" s="36" t="s">
        <v>9381</v>
      </c>
      <c r="R209" s="36" t="s">
        <v>9381</v>
      </c>
      <c r="S209" s="7" t="s">
        <v>0</v>
      </c>
      <c r="T209" s="36" t="s">
        <v>7370</v>
      </c>
      <c r="U209" s="36" t="s">
        <v>7502</v>
      </c>
      <c r="V209" s="36" t="s">
        <v>9387</v>
      </c>
      <c r="W209" s="36" t="s">
        <v>9688</v>
      </c>
      <c r="X209" s="36" t="s">
        <v>9572</v>
      </c>
      <c r="Y209" s="36" t="s">
        <v>9572</v>
      </c>
      <c r="Z209" s="36" t="s">
        <v>9503</v>
      </c>
      <c r="AA209" s="38" t="s">
        <v>0</v>
      </c>
      <c r="AB209" s="36" t="s">
        <v>9386</v>
      </c>
      <c r="AC209" s="36" t="s">
        <v>9386</v>
      </c>
      <c r="AD209" s="36" t="s">
        <v>9386</v>
      </c>
      <c r="AE209" s="167"/>
      <c r="AG209" s="310"/>
    </row>
    <row r="210" spans="1:34" ht="18">
      <c r="A210" s="51" t="s">
        <v>935</v>
      </c>
      <c r="B210" s="84" t="s">
        <v>6967</v>
      </c>
      <c r="C210" s="84" t="s">
        <v>6967</v>
      </c>
      <c r="D210" s="84" t="s">
        <v>6967</v>
      </c>
      <c r="E210" s="52" t="s">
        <v>9143</v>
      </c>
      <c r="F210" s="52" t="s">
        <v>9144</v>
      </c>
      <c r="G210" s="52" t="s">
        <v>9145</v>
      </c>
      <c r="H210" s="52" t="s">
        <v>9146</v>
      </c>
      <c r="I210" s="52" t="s">
        <v>9137</v>
      </c>
      <c r="J210" s="52" t="s">
        <v>8501</v>
      </c>
      <c r="K210" s="84" t="s">
        <v>7188</v>
      </c>
      <c r="L210" s="84" t="s">
        <v>7188</v>
      </c>
      <c r="M210" s="84" t="s">
        <v>7188</v>
      </c>
      <c r="N210" s="186" t="s">
        <v>8143</v>
      </c>
      <c r="O210" s="186" t="s">
        <v>8143</v>
      </c>
      <c r="P210" s="186" t="s">
        <v>8143</v>
      </c>
      <c r="Q210" s="52" t="s">
        <v>9326</v>
      </c>
      <c r="R210" s="52" t="s">
        <v>9326</v>
      </c>
      <c r="S210" s="52" t="s">
        <v>0</v>
      </c>
      <c r="T210" s="52" t="s">
        <v>7371</v>
      </c>
      <c r="U210" s="52" t="s">
        <v>7501</v>
      </c>
      <c r="V210" s="52" t="s">
        <v>9389</v>
      </c>
      <c r="W210" s="52" t="s">
        <v>9692</v>
      </c>
      <c r="X210" s="52" t="s">
        <v>9389</v>
      </c>
      <c r="Y210" s="52" t="s">
        <v>9389</v>
      </c>
      <c r="Z210" s="52" t="s">
        <v>9389</v>
      </c>
      <c r="AA210" s="52" t="s">
        <v>0</v>
      </c>
      <c r="AB210" s="186" t="s">
        <v>8784</v>
      </c>
      <c r="AC210" s="186" t="s">
        <v>8784</v>
      </c>
      <c r="AD210" s="186" t="s">
        <v>8784</v>
      </c>
    </row>
    <row r="211" spans="1:34" s="40" customFormat="1" ht="30" customHeight="1">
      <c r="A211" s="6" t="s">
        <v>8</v>
      </c>
      <c r="B211" s="36" t="s">
        <v>0</v>
      </c>
      <c r="C211" s="36" t="s">
        <v>6888</v>
      </c>
      <c r="D211" s="36" t="s">
        <v>6888</v>
      </c>
      <c r="E211" s="36" t="s">
        <v>8179</v>
      </c>
      <c r="F211" s="36" t="s">
        <v>57</v>
      </c>
      <c r="G211" s="36" t="s">
        <v>57</v>
      </c>
      <c r="H211" s="36" t="s">
        <v>6313</v>
      </c>
      <c r="I211" s="36" t="s">
        <v>57</v>
      </c>
      <c r="J211" s="36" t="s">
        <v>57</v>
      </c>
      <c r="K211" s="36" t="s">
        <v>8966</v>
      </c>
      <c r="L211" s="36" t="s">
        <v>8964</v>
      </c>
      <c r="M211" s="36" t="s">
        <v>9053</v>
      </c>
      <c r="N211" s="36" t="s">
        <v>7946</v>
      </c>
      <c r="O211" s="36" t="s">
        <v>7947</v>
      </c>
      <c r="P211" s="36" t="s">
        <v>8105</v>
      </c>
      <c r="Q211" s="36" t="s">
        <v>8734</v>
      </c>
      <c r="R211" s="36" t="s">
        <v>8734</v>
      </c>
      <c r="S211" s="38" t="s">
        <v>0</v>
      </c>
      <c r="T211" s="36" t="s">
        <v>7368</v>
      </c>
      <c r="U211" s="38" t="s">
        <v>57</v>
      </c>
      <c r="V211" s="36" t="s">
        <v>9388</v>
      </c>
      <c r="W211" s="36" t="s">
        <v>9679</v>
      </c>
      <c r="X211" s="36" t="s">
        <v>9573</v>
      </c>
      <c r="Y211" s="36" t="s">
        <v>9573</v>
      </c>
      <c r="Z211" s="36" t="s">
        <v>9504</v>
      </c>
      <c r="AA211" s="38" t="s">
        <v>0</v>
      </c>
      <c r="AB211" s="36" t="s">
        <v>8734</v>
      </c>
      <c r="AC211" s="36" t="s">
        <v>8734</v>
      </c>
      <c r="AD211" s="36" t="s">
        <v>8734</v>
      </c>
      <c r="AE211" s="167"/>
      <c r="AG211" s="310"/>
    </row>
    <row r="212" spans="1:34">
      <c r="A212" s="51" t="s">
        <v>935</v>
      </c>
      <c r="B212" s="52" t="s">
        <v>0</v>
      </c>
      <c r="C212" s="84" t="s">
        <v>6885</v>
      </c>
      <c r="D212" s="84" t="s">
        <v>6885</v>
      </c>
      <c r="E212" s="52" t="s">
        <v>8187</v>
      </c>
      <c r="F212" s="52" t="s">
        <v>8328</v>
      </c>
      <c r="G212" s="52" t="s">
        <v>8450</v>
      </c>
      <c r="H212" s="52" t="s">
        <v>8261</v>
      </c>
      <c r="I212" s="52" t="s">
        <v>8632</v>
      </c>
      <c r="J212" s="52" t="s">
        <v>8505</v>
      </c>
      <c r="K212" s="186" t="s">
        <v>8965</v>
      </c>
      <c r="L212" s="52" t="s">
        <v>0</v>
      </c>
      <c r="M212" s="186" t="s">
        <v>9054</v>
      </c>
      <c r="N212" s="52" t="s">
        <v>7945</v>
      </c>
      <c r="O212" s="52" t="s">
        <v>7945</v>
      </c>
      <c r="P212" s="52" t="s">
        <v>8106</v>
      </c>
      <c r="Q212" s="52" t="s">
        <v>9302</v>
      </c>
      <c r="R212" s="52" t="s">
        <v>9302</v>
      </c>
      <c r="S212" s="186" t="s">
        <v>0</v>
      </c>
      <c r="T212" s="52" t="s">
        <v>7369</v>
      </c>
      <c r="U212" s="52" t="s">
        <v>7503</v>
      </c>
      <c r="V212" s="52" t="s">
        <v>9390</v>
      </c>
      <c r="W212" s="52" t="s">
        <v>9390</v>
      </c>
      <c r="X212" s="52" t="s">
        <v>9390</v>
      </c>
      <c r="Y212" s="52" t="s">
        <v>9390</v>
      </c>
      <c r="Z212" s="52" t="s">
        <v>9390</v>
      </c>
      <c r="AA212" s="52" t="s">
        <v>0</v>
      </c>
      <c r="AB212" s="52" t="s">
        <v>8735</v>
      </c>
      <c r="AC212" s="52" t="s">
        <v>8735</v>
      </c>
      <c r="AD212" s="52" t="s">
        <v>8735</v>
      </c>
    </row>
    <row r="213" spans="1:34" s="40" customFormat="1" ht="30" customHeight="1">
      <c r="A213" s="6" t="s">
        <v>158</v>
      </c>
      <c r="B213" s="36" t="s">
        <v>0</v>
      </c>
      <c r="C213" s="36" t="s">
        <v>6888</v>
      </c>
      <c r="D213" s="36" t="s">
        <v>6888</v>
      </c>
      <c r="E213" s="36" t="s">
        <v>8179</v>
      </c>
      <c r="F213" s="36" t="s">
        <v>57</v>
      </c>
      <c r="G213" s="36" t="s">
        <v>57</v>
      </c>
      <c r="H213" s="36" t="s">
        <v>6313</v>
      </c>
      <c r="I213" s="36" t="s">
        <v>57</v>
      </c>
      <c r="J213" s="36" t="s">
        <v>57</v>
      </c>
      <c r="K213" s="36" t="s">
        <v>5512</v>
      </c>
      <c r="L213" s="36" t="s">
        <v>8964</v>
      </c>
      <c r="M213" s="36" t="s">
        <v>57</v>
      </c>
      <c r="N213" s="36" t="s">
        <v>7946</v>
      </c>
      <c r="O213" s="36" t="s">
        <v>7947</v>
      </c>
      <c r="P213" s="36" t="s">
        <v>8105</v>
      </c>
      <c r="Q213" s="36" t="s">
        <v>9300</v>
      </c>
      <c r="R213" s="36" t="s">
        <v>9300</v>
      </c>
      <c r="S213" s="38" t="s">
        <v>0</v>
      </c>
      <c r="T213" s="36" t="s">
        <v>7368</v>
      </c>
      <c r="U213" s="38" t="s">
        <v>57</v>
      </c>
      <c r="V213" s="36" t="s">
        <v>9388</v>
      </c>
      <c r="W213" s="36" t="s">
        <v>9679</v>
      </c>
      <c r="X213" s="36" t="s">
        <v>9573</v>
      </c>
      <c r="Y213" s="36" t="s">
        <v>9573</v>
      </c>
      <c r="Z213" s="36" t="s">
        <v>9504</v>
      </c>
      <c r="AA213" s="38" t="s">
        <v>0</v>
      </c>
      <c r="AB213" s="36" t="s">
        <v>8734</v>
      </c>
      <c r="AC213" s="36" t="s">
        <v>8734</v>
      </c>
      <c r="AD213" s="36" t="s">
        <v>8734</v>
      </c>
      <c r="AE213" s="167"/>
      <c r="AG213" s="310"/>
    </row>
    <row r="214" spans="1:34">
      <c r="A214" s="51" t="s">
        <v>935</v>
      </c>
      <c r="B214" s="52" t="s">
        <v>0</v>
      </c>
      <c r="C214" s="84" t="s">
        <v>6885</v>
      </c>
      <c r="D214" s="84" t="s">
        <v>6885</v>
      </c>
      <c r="E214" s="52" t="s">
        <v>8187</v>
      </c>
      <c r="F214" s="52" t="s">
        <v>8328</v>
      </c>
      <c r="G214" s="52" t="s">
        <v>8450</v>
      </c>
      <c r="H214" s="52" t="s">
        <v>8261</v>
      </c>
      <c r="I214" s="52" t="s">
        <v>8632</v>
      </c>
      <c r="J214" s="52" t="s">
        <v>8505</v>
      </c>
      <c r="K214" s="186" t="s">
        <v>8965</v>
      </c>
      <c r="L214" s="52" t="s">
        <v>0</v>
      </c>
      <c r="M214" s="186" t="s">
        <v>9054</v>
      </c>
      <c r="N214" s="52" t="s">
        <v>7945</v>
      </c>
      <c r="O214" s="52" t="s">
        <v>7945</v>
      </c>
      <c r="P214" s="52" t="s">
        <v>8106</v>
      </c>
      <c r="Q214" s="52" t="s">
        <v>9301</v>
      </c>
      <c r="R214" s="52" t="s">
        <v>9301</v>
      </c>
      <c r="S214" s="186" t="s">
        <v>0</v>
      </c>
      <c r="T214" s="52" t="s">
        <v>7369</v>
      </c>
      <c r="U214" s="52" t="s">
        <v>7503</v>
      </c>
      <c r="V214" s="52" t="s">
        <v>9390</v>
      </c>
      <c r="W214" s="52" t="s">
        <v>9390</v>
      </c>
      <c r="X214" s="52" t="s">
        <v>9390</v>
      </c>
      <c r="Y214" s="52" t="s">
        <v>9390</v>
      </c>
      <c r="Z214" s="52" t="s">
        <v>9390</v>
      </c>
      <c r="AA214" s="52" t="s">
        <v>0</v>
      </c>
      <c r="AB214" s="52" t="s">
        <v>8735</v>
      </c>
      <c r="AC214" s="52" t="s">
        <v>8735</v>
      </c>
      <c r="AD214" s="52" t="s">
        <v>8735</v>
      </c>
    </row>
    <row r="215" spans="1:34" s="40" customFormat="1" ht="30" customHeight="1">
      <c r="A215" s="6" t="s">
        <v>206</v>
      </c>
      <c r="B215" s="36" t="s">
        <v>0</v>
      </c>
      <c r="C215" s="36" t="s">
        <v>6888</v>
      </c>
      <c r="D215" s="36" t="s">
        <v>6888</v>
      </c>
      <c r="E215" s="36" t="s">
        <v>8179</v>
      </c>
      <c r="F215" s="36" t="s">
        <v>57</v>
      </c>
      <c r="G215" s="36" t="s">
        <v>57</v>
      </c>
      <c r="H215" s="36" t="s">
        <v>6313</v>
      </c>
      <c r="I215" s="36" t="s">
        <v>57</v>
      </c>
      <c r="J215" s="36" t="s">
        <v>57</v>
      </c>
      <c r="K215" s="36" t="s">
        <v>5512</v>
      </c>
      <c r="L215" s="36" t="s">
        <v>8964</v>
      </c>
      <c r="M215" s="36" t="s">
        <v>57</v>
      </c>
      <c r="N215" s="36" t="s">
        <v>7946</v>
      </c>
      <c r="O215" s="36" t="s">
        <v>7947</v>
      </c>
      <c r="P215" s="36" t="s">
        <v>8105</v>
      </c>
      <c r="Q215" s="36" t="s">
        <v>9300</v>
      </c>
      <c r="R215" s="36" t="s">
        <v>9300</v>
      </c>
      <c r="S215" s="38" t="s">
        <v>0</v>
      </c>
      <c r="T215" s="36" t="s">
        <v>7368</v>
      </c>
      <c r="U215" s="38" t="s">
        <v>57</v>
      </c>
      <c r="V215" s="36" t="s">
        <v>9388</v>
      </c>
      <c r="W215" s="36" t="s">
        <v>9679</v>
      </c>
      <c r="X215" s="36" t="s">
        <v>9573</v>
      </c>
      <c r="Y215" s="36" t="s">
        <v>9573</v>
      </c>
      <c r="Z215" s="36" t="s">
        <v>9504</v>
      </c>
      <c r="AA215" s="38" t="s">
        <v>0</v>
      </c>
      <c r="AB215" s="36" t="s">
        <v>8734</v>
      </c>
      <c r="AC215" s="36" t="s">
        <v>8734</v>
      </c>
      <c r="AD215" s="36" t="s">
        <v>8734</v>
      </c>
      <c r="AE215" s="167"/>
      <c r="AG215" s="310"/>
    </row>
    <row r="216" spans="1:34">
      <c r="A216" s="51" t="s">
        <v>935</v>
      </c>
      <c r="B216" s="52" t="s">
        <v>0</v>
      </c>
      <c r="C216" s="84" t="s">
        <v>6885</v>
      </c>
      <c r="D216" s="84" t="s">
        <v>6885</v>
      </c>
      <c r="E216" s="52" t="s">
        <v>8187</v>
      </c>
      <c r="F216" s="52" t="s">
        <v>8328</v>
      </c>
      <c r="G216" s="52" t="s">
        <v>8450</v>
      </c>
      <c r="H216" s="52" t="s">
        <v>8261</v>
      </c>
      <c r="I216" s="52" t="s">
        <v>8632</v>
      </c>
      <c r="J216" s="52" t="s">
        <v>8505</v>
      </c>
      <c r="K216" s="186" t="s">
        <v>8965</v>
      </c>
      <c r="L216" s="52" t="s">
        <v>0</v>
      </c>
      <c r="M216" s="186" t="s">
        <v>9054</v>
      </c>
      <c r="N216" s="52" t="s">
        <v>7945</v>
      </c>
      <c r="O216" s="52" t="s">
        <v>7945</v>
      </c>
      <c r="P216" s="52" t="s">
        <v>8106</v>
      </c>
      <c r="Q216" s="52" t="s">
        <v>9301</v>
      </c>
      <c r="R216" s="52" t="s">
        <v>9301</v>
      </c>
      <c r="S216" s="186"/>
      <c r="T216" s="52" t="s">
        <v>7369</v>
      </c>
      <c r="U216" s="52" t="s">
        <v>7503</v>
      </c>
      <c r="V216" s="52" t="s">
        <v>9390</v>
      </c>
      <c r="W216" s="52" t="s">
        <v>9390</v>
      </c>
      <c r="X216" s="52" t="s">
        <v>9390</v>
      </c>
      <c r="Y216" s="52" t="s">
        <v>9390</v>
      </c>
      <c r="Z216" s="52" t="s">
        <v>9390</v>
      </c>
      <c r="AA216" s="52" t="s">
        <v>0</v>
      </c>
      <c r="AB216" s="52" t="s">
        <v>8735</v>
      </c>
      <c r="AC216" s="52" t="s">
        <v>8735</v>
      </c>
      <c r="AD216" s="52" t="s">
        <v>8735</v>
      </c>
    </row>
    <row r="217" spans="1:34" s="40" customFormat="1" ht="36">
      <c r="A217" s="81" t="s">
        <v>6714</v>
      </c>
      <c r="B217" s="36" t="s">
        <v>0</v>
      </c>
      <c r="C217" s="36" t="s">
        <v>6916</v>
      </c>
      <c r="D217" s="36" t="s">
        <v>6916</v>
      </c>
      <c r="E217" s="36" t="s">
        <v>0</v>
      </c>
      <c r="F217" s="36" t="s">
        <v>0</v>
      </c>
      <c r="G217" s="36" t="s">
        <v>0</v>
      </c>
      <c r="H217" s="36" t="s">
        <v>0</v>
      </c>
      <c r="I217" s="36" t="s">
        <v>0</v>
      </c>
      <c r="J217" s="36" t="s">
        <v>0</v>
      </c>
      <c r="K217" s="36" t="s">
        <v>0</v>
      </c>
      <c r="L217" s="36" t="s">
        <v>0</v>
      </c>
      <c r="M217" s="38" t="s">
        <v>5529</v>
      </c>
      <c r="N217" s="38" t="s">
        <v>0</v>
      </c>
      <c r="O217" s="38" t="s">
        <v>0</v>
      </c>
      <c r="P217" s="38" t="s">
        <v>0</v>
      </c>
      <c r="Q217" s="38" t="s">
        <v>0</v>
      </c>
      <c r="R217" s="38" t="s">
        <v>0</v>
      </c>
      <c r="S217" s="38" t="s">
        <v>0</v>
      </c>
      <c r="T217" s="38" t="s">
        <v>0</v>
      </c>
      <c r="U217" s="38" t="s">
        <v>0</v>
      </c>
      <c r="V217" s="38" t="s">
        <v>0</v>
      </c>
      <c r="W217" s="38" t="s">
        <v>0</v>
      </c>
      <c r="X217" s="36" t="s">
        <v>9596</v>
      </c>
      <c r="Y217" s="36" t="s">
        <v>9596</v>
      </c>
      <c r="Z217" s="38" t="s">
        <v>0</v>
      </c>
      <c r="AA217" s="38" t="s">
        <v>0</v>
      </c>
      <c r="AB217" s="38" t="s">
        <v>0</v>
      </c>
      <c r="AC217" s="38" t="s">
        <v>0</v>
      </c>
      <c r="AD217" s="38" t="s">
        <v>0</v>
      </c>
      <c r="AE217" s="167"/>
      <c r="AG217" s="310"/>
    </row>
    <row r="218" spans="1:34">
      <c r="A218" s="51" t="s">
        <v>935</v>
      </c>
      <c r="B218" s="52" t="s">
        <v>0</v>
      </c>
      <c r="C218" s="52" t="s">
        <v>6896</v>
      </c>
      <c r="D218" s="52" t="s">
        <v>6896</v>
      </c>
      <c r="E218" s="52" t="s">
        <v>0</v>
      </c>
      <c r="F218" s="52" t="s">
        <v>0</v>
      </c>
      <c r="G218" s="52" t="s">
        <v>0</v>
      </c>
      <c r="H218" s="52" t="s">
        <v>0</v>
      </c>
      <c r="I218" s="52" t="s">
        <v>0</v>
      </c>
      <c r="J218" s="52" t="s">
        <v>0</v>
      </c>
      <c r="K218" s="52" t="s">
        <v>0</v>
      </c>
      <c r="L218" s="52" t="s">
        <v>0</v>
      </c>
      <c r="M218" s="186" t="s">
        <v>8968</v>
      </c>
      <c r="N218" s="186" t="s">
        <v>0</v>
      </c>
      <c r="O218" s="186" t="s">
        <v>0</v>
      </c>
      <c r="P218" s="186" t="s">
        <v>0</v>
      </c>
      <c r="Q218" s="186" t="s">
        <v>0</v>
      </c>
      <c r="R218" s="186" t="s">
        <v>0</v>
      </c>
      <c r="S218" s="186" t="s">
        <v>0</v>
      </c>
      <c r="T218" s="186" t="s">
        <v>0</v>
      </c>
      <c r="U218" s="186" t="s">
        <v>0</v>
      </c>
      <c r="V218" s="186" t="s">
        <v>0</v>
      </c>
      <c r="W218" s="186" t="s">
        <v>0</v>
      </c>
      <c r="X218" s="186" t="s">
        <v>9597</v>
      </c>
      <c r="Y218" s="186" t="s">
        <v>9597</v>
      </c>
      <c r="Z218" s="186" t="s">
        <v>0</v>
      </c>
      <c r="AA218" s="52" t="s">
        <v>0</v>
      </c>
      <c r="AB218" s="186" t="s">
        <v>0</v>
      </c>
      <c r="AC218" s="186" t="s">
        <v>0</v>
      </c>
      <c r="AD218" s="186" t="s">
        <v>0</v>
      </c>
    </row>
    <row r="219" spans="1:34" s="40" customFormat="1" ht="50.1" customHeight="1">
      <c r="A219" s="6" t="s">
        <v>165</v>
      </c>
      <c r="B219" s="36" t="s">
        <v>0</v>
      </c>
      <c r="C219" s="36" t="s">
        <v>6886</v>
      </c>
      <c r="D219" s="36" t="s">
        <v>6886</v>
      </c>
      <c r="E219" s="36" t="s">
        <v>8180</v>
      </c>
      <c r="F219" s="36" t="s">
        <v>8337</v>
      </c>
      <c r="G219" s="36" t="s">
        <v>5807</v>
      </c>
      <c r="H219" s="36" t="s">
        <v>8262</v>
      </c>
      <c r="I219" s="36" t="s">
        <v>5255</v>
      </c>
      <c r="J219" s="36" t="s">
        <v>5255</v>
      </c>
      <c r="K219" s="7" t="s">
        <v>8969</v>
      </c>
      <c r="L219" s="36" t="s">
        <v>0</v>
      </c>
      <c r="M219" s="36" t="s">
        <v>8973</v>
      </c>
      <c r="N219" s="36" t="s">
        <v>0</v>
      </c>
      <c r="O219" s="36" t="s">
        <v>7949</v>
      </c>
      <c r="P219" s="36" t="s">
        <v>8107</v>
      </c>
      <c r="Q219" s="36" t="s">
        <v>9299</v>
      </c>
      <c r="R219" s="36" t="s">
        <v>9299</v>
      </c>
      <c r="S219" s="7" t="s">
        <v>0</v>
      </c>
      <c r="T219" s="36" t="s">
        <v>7383</v>
      </c>
      <c r="U219" s="36" t="s">
        <v>7505</v>
      </c>
      <c r="V219" s="36" t="s">
        <v>9587</v>
      </c>
      <c r="W219" s="36" t="s">
        <v>9588</v>
      </c>
      <c r="X219" s="36" t="s">
        <v>9589</v>
      </c>
      <c r="Y219" s="36" t="s">
        <v>9589</v>
      </c>
      <c r="Z219" s="36" t="s">
        <v>9588</v>
      </c>
      <c r="AA219" s="38" t="s">
        <v>0</v>
      </c>
      <c r="AB219" s="36" t="s">
        <v>8736</v>
      </c>
      <c r="AC219" s="36" t="s">
        <v>8736</v>
      </c>
      <c r="AD219" s="36" t="s">
        <v>8736</v>
      </c>
      <c r="AE219" s="167"/>
      <c r="AF219" s="41"/>
      <c r="AG219" s="310"/>
    </row>
    <row r="220" spans="1:34" ht="18">
      <c r="A220" s="51" t="s">
        <v>935</v>
      </c>
      <c r="B220" s="52" t="s">
        <v>0</v>
      </c>
      <c r="C220" s="84" t="s">
        <v>6887</v>
      </c>
      <c r="D220" s="84" t="s">
        <v>6887</v>
      </c>
      <c r="E220" s="52" t="s">
        <v>8186</v>
      </c>
      <c r="F220" s="52" t="s">
        <v>8338</v>
      </c>
      <c r="G220" s="52" t="s">
        <v>8449</v>
      </c>
      <c r="H220" s="52" t="s">
        <v>8263</v>
      </c>
      <c r="I220" s="52" t="s">
        <v>8633</v>
      </c>
      <c r="J220" s="52" t="s">
        <v>8506</v>
      </c>
      <c r="K220" s="186" t="s">
        <v>8970</v>
      </c>
      <c r="L220" s="52" t="s">
        <v>0</v>
      </c>
      <c r="M220" s="186" t="s">
        <v>8971</v>
      </c>
      <c r="N220" s="52" t="s">
        <v>7948</v>
      </c>
      <c r="O220" s="52" t="s">
        <v>7948</v>
      </c>
      <c r="P220" s="52" t="s">
        <v>8108</v>
      </c>
      <c r="Q220" s="52" t="s">
        <v>9179</v>
      </c>
      <c r="R220" s="52" t="s">
        <v>9179</v>
      </c>
      <c r="S220" s="186" t="s">
        <v>0</v>
      </c>
      <c r="T220" s="52" t="s">
        <v>7384</v>
      </c>
      <c r="U220" s="52" t="s">
        <v>7504</v>
      </c>
      <c r="V220" s="52" t="s">
        <v>9400</v>
      </c>
      <c r="W220" s="52" t="s">
        <v>9400</v>
      </c>
      <c r="X220" s="52" t="s">
        <v>9400</v>
      </c>
      <c r="Y220" s="52" t="s">
        <v>9400</v>
      </c>
      <c r="Z220" s="52" t="s">
        <v>9400</v>
      </c>
      <c r="AA220" s="52" t="s">
        <v>0</v>
      </c>
      <c r="AB220" s="52" t="s">
        <v>8737</v>
      </c>
      <c r="AC220" s="52" t="s">
        <v>8737</v>
      </c>
      <c r="AD220" s="52" t="s">
        <v>8737</v>
      </c>
    </row>
    <row r="221" spans="1:34" s="40" customFormat="1" ht="39.950000000000003" customHeight="1">
      <c r="A221" s="62" t="s">
        <v>9581</v>
      </c>
      <c r="B221" s="36" t="s">
        <v>6807</v>
      </c>
      <c r="C221" s="36" t="s">
        <v>6929</v>
      </c>
      <c r="D221" s="36" t="s">
        <v>6889</v>
      </c>
      <c r="E221" s="36" t="s">
        <v>8179</v>
      </c>
      <c r="F221" s="36" t="s">
        <v>8331</v>
      </c>
      <c r="G221" s="36" t="s">
        <v>8446</v>
      </c>
      <c r="H221" s="36" t="s">
        <v>6313</v>
      </c>
      <c r="I221" s="36" t="s">
        <v>8446</v>
      </c>
      <c r="J221" s="36" t="s">
        <v>8446</v>
      </c>
      <c r="K221" s="38" t="s">
        <v>5512</v>
      </c>
      <c r="L221" s="36" t="s">
        <v>0</v>
      </c>
      <c r="M221" s="38" t="s">
        <v>57</v>
      </c>
      <c r="N221" s="36" t="s">
        <v>0</v>
      </c>
      <c r="O221" s="36" t="s">
        <v>6894</v>
      </c>
      <c r="P221" s="36" t="s">
        <v>8109</v>
      </c>
      <c r="Q221" s="36" t="s">
        <v>9295</v>
      </c>
      <c r="R221" s="36" t="s">
        <v>9295</v>
      </c>
      <c r="S221" s="38" t="s">
        <v>0</v>
      </c>
      <c r="T221" s="38" t="s">
        <v>5512</v>
      </c>
      <c r="U221" s="38" t="s">
        <v>57</v>
      </c>
      <c r="V221" s="36" t="s">
        <v>7795</v>
      </c>
      <c r="W221" s="36" t="s">
        <v>9680</v>
      </c>
      <c r="X221" s="36" t="s">
        <v>9575</v>
      </c>
      <c r="Y221" s="36" t="s">
        <v>9575</v>
      </c>
      <c r="Z221" s="36" t="s">
        <v>9515</v>
      </c>
      <c r="AA221" s="38" t="s">
        <v>0</v>
      </c>
      <c r="AB221" s="36" t="s">
        <v>8790</v>
      </c>
      <c r="AC221" s="36" t="s">
        <v>8790</v>
      </c>
      <c r="AD221" s="36" t="s">
        <v>8790</v>
      </c>
      <c r="AE221" s="167"/>
      <c r="AG221" s="41"/>
    </row>
    <row r="222" spans="1:34">
      <c r="A222" s="51" t="s">
        <v>935</v>
      </c>
      <c r="B222" s="52" t="s">
        <v>6808</v>
      </c>
      <c r="C222" s="52" t="s">
        <v>6890</v>
      </c>
      <c r="D222" s="52" t="s">
        <v>6890</v>
      </c>
      <c r="E222" s="52" t="s">
        <v>8185</v>
      </c>
      <c r="F222" s="52" t="s">
        <v>8332</v>
      </c>
      <c r="G222" s="52" t="s">
        <v>8445</v>
      </c>
      <c r="H222" s="52" t="s">
        <v>8260</v>
      </c>
      <c r="I222" s="52" t="s">
        <v>8634</v>
      </c>
      <c r="J222" s="52" t="s">
        <v>8507</v>
      </c>
      <c r="K222" s="186" t="s">
        <v>8974</v>
      </c>
      <c r="L222" s="52" t="s">
        <v>0</v>
      </c>
      <c r="M222" s="186" t="s">
        <v>9055</v>
      </c>
      <c r="N222" s="52" t="s">
        <v>7950</v>
      </c>
      <c r="O222" s="52" t="s">
        <v>7950</v>
      </c>
      <c r="P222" s="52" t="s">
        <v>8110</v>
      </c>
      <c r="Q222" s="52" t="s">
        <v>9180</v>
      </c>
      <c r="R222" s="52" t="s">
        <v>9180</v>
      </c>
      <c r="S222" s="186" t="s">
        <v>0</v>
      </c>
      <c r="T222" s="52" t="s">
        <v>7364</v>
      </c>
      <c r="U222" s="52" t="s">
        <v>7508</v>
      </c>
      <c r="V222" s="52" t="s">
        <v>9391</v>
      </c>
      <c r="W222" s="52" t="s">
        <v>9516</v>
      </c>
      <c r="X222" s="52" t="s">
        <v>9574</v>
      </c>
      <c r="Y222" s="52" t="s">
        <v>9574</v>
      </c>
      <c r="Z222" s="52" t="s">
        <v>9516</v>
      </c>
      <c r="AA222" s="52" t="s">
        <v>0</v>
      </c>
      <c r="AB222" s="52" t="s">
        <v>8794</v>
      </c>
      <c r="AC222" s="52" t="s">
        <v>8794</v>
      </c>
      <c r="AD222" s="52" t="s">
        <v>8794</v>
      </c>
    </row>
    <row r="223" spans="1:34" ht="65.099999999999994" customHeight="1">
      <c r="A223" s="62" t="s">
        <v>9578</v>
      </c>
      <c r="B223" s="36" t="s">
        <v>6809</v>
      </c>
      <c r="C223" s="36" t="s">
        <v>6809</v>
      </c>
      <c r="D223" s="36" t="s">
        <v>6809</v>
      </c>
      <c r="E223" s="36" t="s">
        <v>0</v>
      </c>
      <c r="F223" s="36" t="s">
        <v>0</v>
      </c>
      <c r="G223" s="36" t="s">
        <v>8447</v>
      </c>
      <c r="H223" s="36" t="s">
        <v>0</v>
      </c>
      <c r="I223" s="36" t="s">
        <v>8636</v>
      </c>
      <c r="J223" s="36" t="s">
        <v>8447</v>
      </c>
      <c r="K223" s="36" t="s">
        <v>8975</v>
      </c>
      <c r="L223" s="36" t="s">
        <v>0</v>
      </c>
      <c r="M223" s="36" t="s">
        <v>9057</v>
      </c>
      <c r="N223" s="36" t="s">
        <v>0</v>
      </c>
      <c r="O223" s="36" t="s">
        <v>7951</v>
      </c>
      <c r="P223" s="36" t="s">
        <v>8111</v>
      </c>
      <c r="Q223" s="36" t="s">
        <v>9296</v>
      </c>
      <c r="R223" s="36" t="s">
        <v>9296</v>
      </c>
      <c r="S223" s="36" t="s">
        <v>0</v>
      </c>
      <c r="T223" s="36" t="s">
        <v>0</v>
      </c>
      <c r="U223" s="36" t="s">
        <v>9395</v>
      </c>
      <c r="V223" s="36" t="s">
        <v>9397</v>
      </c>
      <c r="W223" s="36" t="s">
        <v>9576</v>
      </c>
      <c r="X223" s="36" t="s">
        <v>9652</v>
      </c>
      <c r="Y223" s="36" t="s">
        <v>9652</v>
      </c>
      <c r="Z223" s="36" t="s">
        <v>9576</v>
      </c>
      <c r="AA223" s="38" t="s">
        <v>0</v>
      </c>
      <c r="AB223" s="36" t="s">
        <v>8792</v>
      </c>
      <c r="AC223" s="36" t="s">
        <v>8792</v>
      </c>
      <c r="AD223" s="36" t="s">
        <v>8792</v>
      </c>
      <c r="AF223" s="40"/>
      <c r="AG223" s="310"/>
      <c r="AH223" s="40"/>
    </row>
    <row r="224" spans="1:34">
      <c r="A224" s="51" t="s">
        <v>935</v>
      </c>
      <c r="B224" s="52" t="s">
        <v>6808</v>
      </c>
      <c r="C224" s="52" t="s">
        <v>6890</v>
      </c>
      <c r="D224" s="52" t="s">
        <v>6890</v>
      </c>
      <c r="E224" s="52" t="s">
        <v>8185</v>
      </c>
      <c r="F224" s="52" t="s">
        <v>8332</v>
      </c>
      <c r="G224" s="52" t="s">
        <v>8448</v>
      </c>
      <c r="H224" s="52" t="s">
        <v>8260</v>
      </c>
      <c r="I224" s="52" t="s">
        <v>8635</v>
      </c>
      <c r="J224" s="52" t="s">
        <v>8508</v>
      </c>
      <c r="K224" s="186" t="s">
        <v>8974</v>
      </c>
      <c r="L224" s="52" t="s">
        <v>0</v>
      </c>
      <c r="M224" s="186" t="s">
        <v>9055</v>
      </c>
      <c r="N224" s="52" t="s">
        <v>7950</v>
      </c>
      <c r="O224" s="52" t="s">
        <v>7950</v>
      </c>
      <c r="P224" s="52" t="s">
        <v>8110</v>
      </c>
      <c r="Q224" s="52"/>
      <c r="R224" s="52"/>
      <c r="S224" s="186" t="s">
        <v>0</v>
      </c>
      <c r="T224" s="186" t="s">
        <v>0</v>
      </c>
      <c r="U224" s="52" t="s">
        <v>7509</v>
      </c>
      <c r="V224" s="52" t="s">
        <v>9398</v>
      </c>
      <c r="W224" s="52" t="s">
        <v>9517</v>
      </c>
      <c r="X224" s="52" t="s">
        <v>9577</v>
      </c>
      <c r="Y224" s="52" t="s">
        <v>9577</v>
      </c>
      <c r="Z224" s="52" t="s">
        <v>9517</v>
      </c>
      <c r="AA224" s="52" t="s">
        <v>0</v>
      </c>
      <c r="AB224" s="52" t="s">
        <v>8794</v>
      </c>
      <c r="AC224" s="52" t="s">
        <v>8794</v>
      </c>
      <c r="AD224" s="52" t="s">
        <v>8794</v>
      </c>
    </row>
    <row r="225" spans="1:34" s="40" customFormat="1" ht="50.1" customHeight="1">
      <c r="A225" s="62" t="s">
        <v>9579</v>
      </c>
      <c r="B225" s="36" t="s">
        <v>6841</v>
      </c>
      <c r="C225" s="36" t="s">
        <v>6841</v>
      </c>
      <c r="D225" s="36" t="s">
        <v>6841</v>
      </c>
      <c r="E225" s="36" t="s">
        <v>8179</v>
      </c>
      <c r="F225" s="36" t="s">
        <v>8331</v>
      </c>
      <c r="G225" s="36" t="s">
        <v>57</v>
      </c>
      <c r="H225" s="36" t="s">
        <v>6313</v>
      </c>
      <c r="I225" s="36" t="s">
        <v>57</v>
      </c>
      <c r="J225" s="36" t="s">
        <v>57</v>
      </c>
      <c r="K225" s="36" t="s">
        <v>7108</v>
      </c>
      <c r="L225" s="36" t="s">
        <v>0</v>
      </c>
      <c r="M225" s="36" t="s">
        <v>7108</v>
      </c>
      <c r="N225" s="36" t="s">
        <v>0</v>
      </c>
      <c r="O225" s="36" t="s">
        <v>7952</v>
      </c>
      <c r="P225" s="36" t="s">
        <v>8112</v>
      </c>
      <c r="Q225" s="36" t="s">
        <v>9297</v>
      </c>
      <c r="R225" s="36" t="s">
        <v>9297</v>
      </c>
      <c r="S225" s="36" t="s">
        <v>0</v>
      </c>
      <c r="T225" s="36" t="s">
        <v>7108</v>
      </c>
      <c r="U225" s="36" t="s">
        <v>7108</v>
      </c>
      <c r="V225" s="36" t="s">
        <v>9399</v>
      </c>
      <c r="W225" s="36" t="s">
        <v>9721</v>
      </c>
      <c r="X225" s="36" t="s">
        <v>9585</v>
      </c>
      <c r="Y225" s="36" t="s">
        <v>9585</v>
      </c>
      <c r="Z225" s="36" t="s">
        <v>9518</v>
      </c>
      <c r="AA225" s="38" t="s">
        <v>0</v>
      </c>
      <c r="AB225" s="36" t="s">
        <v>8791</v>
      </c>
      <c r="AC225" s="36" t="s">
        <v>8791</v>
      </c>
      <c r="AD225" s="36" t="s">
        <v>8791</v>
      </c>
      <c r="AE225" s="167"/>
      <c r="AG225" s="310"/>
      <c r="AH225" s="5"/>
    </row>
    <row r="226" spans="1:34">
      <c r="A226" s="51" t="s">
        <v>935</v>
      </c>
      <c r="B226" s="52" t="s">
        <v>6808</v>
      </c>
      <c r="C226" s="52" t="s">
        <v>6890</v>
      </c>
      <c r="D226" s="52" t="s">
        <v>6890</v>
      </c>
      <c r="E226" s="52" t="s">
        <v>8185</v>
      </c>
      <c r="F226" s="52" t="s">
        <v>8332</v>
      </c>
      <c r="G226" s="52" t="s">
        <v>8445</v>
      </c>
      <c r="H226" s="52" t="s">
        <v>8260</v>
      </c>
      <c r="I226" s="52" t="s">
        <v>8634</v>
      </c>
      <c r="J226" s="52" t="s">
        <v>8507</v>
      </c>
      <c r="K226" s="186" t="s">
        <v>8974</v>
      </c>
      <c r="L226" s="52" t="s">
        <v>0</v>
      </c>
      <c r="M226" s="186" t="s">
        <v>9055</v>
      </c>
      <c r="N226" s="52" t="s">
        <v>7950</v>
      </c>
      <c r="O226" s="52" t="s">
        <v>7950</v>
      </c>
      <c r="P226" s="52" t="s">
        <v>8110</v>
      </c>
      <c r="Q226" s="52" t="s">
        <v>9180</v>
      </c>
      <c r="R226" s="52" t="s">
        <v>9180</v>
      </c>
      <c r="S226" s="186" t="s">
        <v>0</v>
      </c>
      <c r="T226" s="52" t="s">
        <v>7364</v>
      </c>
      <c r="U226" s="52" t="s">
        <v>7508</v>
      </c>
      <c r="V226" s="52" t="s">
        <v>9392</v>
      </c>
      <c r="W226" s="52" t="s">
        <v>9519</v>
      </c>
      <c r="X226" s="52" t="s">
        <v>9582</v>
      </c>
      <c r="Y226" s="52" t="s">
        <v>9582</v>
      </c>
      <c r="Z226" s="52" t="s">
        <v>9519</v>
      </c>
      <c r="AA226" s="52" t="s">
        <v>0</v>
      </c>
      <c r="AB226" s="52" t="s">
        <v>8794</v>
      </c>
      <c r="AC226" s="52" t="s">
        <v>8794</v>
      </c>
      <c r="AD226" s="52" t="s">
        <v>8794</v>
      </c>
    </row>
    <row r="227" spans="1:34" s="40" customFormat="1" ht="39.950000000000003" customHeight="1">
      <c r="A227" s="62" t="s">
        <v>9580</v>
      </c>
      <c r="B227" s="36" t="s">
        <v>6782</v>
      </c>
      <c r="C227" s="36" t="s">
        <v>6782</v>
      </c>
      <c r="D227" s="36" t="s">
        <v>6782</v>
      </c>
      <c r="E227" s="36" t="s">
        <v>8179</v>
      </c>
      <c r="F227" s="36" t="s">
        <v>8331</v>
      </c>
      <c r="G227" s="36" t="s">
        <v>57</v>
      </c>
      <c r="H227" s="36" t="s">
        <v>6313</v>
      </c>
      <c r="I227" s="36" t="s">
        <v>57</v>
      </c>
      <c r="J227" s="36" t="s">
        <v>57</v>
      </c>
      <c r="K227" s="38" t="s">
        <v>5512</v>
      </c>
      <c r="L227" s="36" t="s">
        <v>0</v>
      </c>
      <c r="M227" s="38" t="s">
        <v>57</v>
      </c>
      <c r="N227" s="36" t="s">
        <v>0</v>
      </c>
      <c r="O227" s="36" t="s">
        <v>6894</v>
      </c>
      <c r="P227" s="36" t="s">
        <v>8109</v>
      </c>
      <c r="Q227" s="36" t="s">
        <v>9295</v>
      </c>
      <c r="R227" s="36" t="s">
        <v>9295</v>
      </c>
      <c r="S227" s="38" t="s">
        <v>0</v>
      </c>
      <c r="T227" s="36" t="s">
        <v>7366</v>
      </c>
      <c r="U227" s="38" t="s">
        <v>57</v>
      </c>
      <c r="V227" s="36" t="s">
        <v>9393</v>
      </c>
      <c r="W227" s="36" t="s">
        <v>9681</v>
      </c>
      <c r="X227" s="36" t="s">
        <v>9584</v>
      </c>
      <c r="Y227" s="36" t="s">
        <v>9584</v>
      </c>
      <c r="Z227" s="36" t="s">
        <v>9520</v>
      </c>
      <c r="AA227" s="38" t="s">
        <v>0</v>
      </c>
      <c r="AB227" s="36" t="s">
        <v>5913</v>
      </c>
      <c r="AC227" s="36" t="s">
        <v>5913</v>
      </c>
      <c r="AD227" s="36" t="s">
        <v>5913</v>
      </c>
      <c r="AE227" s="167"/>
      <c r="AF227" s="5"/>
      <c r="AG227" s="311"/>
    </row>
    <row r="228" spans="1:34">
      <c r="A228" s="51" t="s">
        <v>935</v>
      </c>
      <c r="B228" s="52" t="s">
        <v>6783</v>
      </c>
      <c r="C228" s="52" t="s">
        <v>6890</v>
      </c>
      <c r="D228" s="52" t="s">
        <v>6890</v>
      </c>
      <c r="E228" s="52" t="s">
        <v>8185</v>
      </c>
      <c r="F228" s="52" t="s">
        <v>8332</v>
      </c>
      <c r="G228" s="52" t="s">
        <v>8445</v>
      </c>
      <c r="H228" s="52" t="s">
        <v>8260</v>
      </c>
      <c r="I228" s="52" t="s">
        <v>8634</v>
      </c>
      <c r="J228" s="52" t="s">
        <v>8507</v>
      </c>
      <c r="K228" s="186" t="s">
        <v>8976</v>
      </c>
      <c r="L228" s="52" t="s">
        <v>0</v>
      </c>
      <c r="M228" s="186" t="s">
        <v>9056</v>
      </c>
      <c r="N228" s="52" t="s">
        <v>7950</v>
      </c>
      <c r="O228" s="52" t="s">
        <v>7950</v>
      </c>
      <c r="P228" s="52" t="s">
        <v>8110</v>
      </c>
      <c r="Q228" s="52" t="s">
        <v>9180</v>
      </c>
      <c r="R228" s="52" t="s">
        <v>9180</v>
      </c>
      <c r="S228" s="186" t="s">
        <v>0</v>
      </c>
      <c r="T228" s="52" t="s">
        <v>7365</v>
      </c>
      <c r="U228" s="52" t="s">
        <v>7510</v>
      </c>
      <c r="V228" s="52" t="s">
        <v>9394</v>
      </c>
      <c r="W228" s="52" t="s">
        <v>9521</v>
      </c>
      <c r="X228" s="52" t="s">
        <v>9583</v>
      </c>
      <c r="Y228" s="52" t="s">
        <v>9583</v>
      </c>
      <c r="Z228" s="52" t="s">
        <v>9521</v>
      </c>
      <c r="AA228" s="52" t="s">
        <v>0</v>
      </c>
      <c r="AB228" s="52" t="s">
        <v>8738</v>
      </c>
      <c r="AC228" s="52" t="s">
        <v>8738</v>
      </c>
      <c r="AD228" s="52" t="s">
        <v>8738</v>
      </c>
    </row>
    <row r="229" spans="1:34" s="40" customFormat="1" ht="39.950000000000003" customHeight="1">
      <c r="A229" s="62" t="s">
        <v>9058</v>
      </c>
      <c r="B229" s="36" t="s">
        <v>9063</v>
      </c>
      <c r="C229" s="36" t="s">
        <v>6782</v>
      </c>
      <c r="D229" s="36" t="s">
        <v>6782</v>
      </c>
      <c r="E229" s="36" t="s">
        <v>0</v>
      </c>
      <c r="F229" s="36" t="s">
        <v>8329</v>
      </c>
      <c r="G229" s="36" t="s">
        <v>8443</v>
      </c>
      <c r="H229" s="36" t="s">
        <v>0</v>
      </c>
      <c r="I229" s="36" t="s">
        <v>57</v>
      </c>
      <c r="J229" s="36" t="s">
        <v>8331</v>
      </c>
      <c r="K229" s="36" t="s">
        <v>9060</v>
      </c>
      <c r="L229" s="36" t="s">
        <v>0</v>
      </c>
      <c r="M229" s="36" t="s">
        <v>9059</v>
      </c>
      <c r="N229" s="36" t="s">
        <v>0</v>
      </c>
      <c r="O229" s="36" t="s">
        <v>7953</v>
      </c>
      <c r="P229" s="36" t="s">
        <v>8113</v>
      </c>
      <c r="Q229" s="36" t="s">
        <v>9298</v>
      </c>
      <c r="R229" s="36" t="s">
        <v>9298</v>
      </c>
      <c r="S229" s="38" t="s">
        <v>0</v>
      </c>
      <c r="T229" s="38" t="s">
        <v>0</v>
      </c>
      <c r="U229" s="38" t="s">
        <v>57</v>
      </c>
      <c r="V229" s="36" t="s">
        <v>7795</v>
      </c>
      <c r="W229" s="36" t="s">
        <v>9680</v>
      </c>
      <c r="X229" s="36" t="s">
        <v>9575</v>
      </c>
      <c r="Y229" s="36" t="s">
        <v>9575</v>
      </c>
      <c r="Z229" s="36" t="s">
        <v>9515</v>
      </c>
      <c r="AA229" s="38" t="s">
        <v>0</v>
      </c>
      <c r="AB229" s="36" t="s">
        <v>8793</v>
      </c>
      <c r="AC229" s="36" t="s">
        <v>8793</v>
      </c>
      <c r="AD229" s="36" t="s">
        <v>8793</v>
      </c>
      <c r="AE229" s="167"/>
      <c r="AF229" s="5"/>
      <c r="AG229" s="311"/>
    </row>
    <row r="230" spans="1:34">
      <c r="A230" s="51" t="s">
        <v>935</v>
      </c>
      <c r="B230" s="52" t="s">
        <v>6783</v>
      </c>
      <c r="C230" s="52" t="s">
        <v>6890</v>
      </c>
      <c r="D230" s="52" t="s">
        <v>6890</v>
      </c>
      <c r="E230" s="52" t="s">
        <v>8185</v>
      </c>
      <c r="F230" s="52" t="s">
        <v>8330</v>
      </c>
      <c r="G230" s="52" t="s">
        <v>8444</v>
      </c>
      <c r="H230" s="52" t="s">
        <v>8260</v>
      </c>
      <c r="I230" s="52" t="s">
        <v>8637</v>
      </c>
      <c r="J230" s="52" t="s">
        <v>8509</v>
      </c>
      <c r="K230" s="52" t="s">
        <v>0</v>
      </c>
      <c r="L230" s="52" t="s">
        <v>0</v>
      </c>
      <c r="M230" s="52" t="s">
        <v>0</v>
      </c>
      <c r="N230" s="52" t="s">
        <v>7950</v>
      </c>
      <c r="O230" s="52" t="s">
        <v>7950</v>
      </c>
      <c r="P230" s="52" t="s">
        <v>8110</v>
      </c>
      <c r="Q230" s="52" t="s">
        <v>9180</v>
      </c>
      <c r="R230" s="52" t="s">
        <v>9180</v>
      </c>
      <c r="S230" s="186" t="s">
        <v>0</v>
      </c>
      <c r="T230" s="186" t="s">
        <v>0</v>
      </c>
      <c r="U230" s="52" t="s">
        <v>7511</v>
      </c>
      <c r="V230" s="52" t="s">
        <v>9396</v>
      </c>
      <c r="W230" s="52" t="s">
        <v>9522</v>
      </c>
      <c r="X230" s="52" t="s">
        <v>9586</v>
      </c>
      <c r="Y230" s="52" t="s">
        <v>9586</v>
      </c>
      <c r="Z230" s="52" t="s">
        <v>9522</v>
      </c>
      <c r="AA230" s="52" t="s">
        <v>0</v>
      </c>
      <c r="AB230" s="52" t="s">
        <v>8794</v>
      </c>
      <c r="AC230" s="52" t="s">
        <v>8794</v>
      </c>
      <c r="AD230" s="52" t="s">
        <v>8794</v>
      </c>
    </row>
    <row r="231" spans="1:34" ht="75" customHeight="1">
      <c r="A231" s="62" t="s">
        <v>9065</v>
      </c>
      <c r="B231" s="36" t="s">
        <v>0</v>
      </c>
      <c r="C231" s="36" t="s">
        <v>0</v>
      </c>
      <c r="D231" s="36" t="s">
        <v>0</v>
      </c>
      <c r="E231" s="36" t="s">
        <v>0</v>
      </c>
      <c r="F231" s="36" t="s">
        <v>0</v>
      </c>
      <c r="G231" s="36" t="s">
        <v>0</v>
      </c>
      <c r="H231" s="36" t="s">
        <v>0</v>
      </c>
      <c r="I231" s="36" t="s">
        <v>0</v>
      </c>
      <c r="J231" s="36" t="s">
        <v>0</v>
      </c>
      <c r="K231" s="36" t="s">
        <v>0</v>
      </c>
      <c r="L231" s="36" t="s">
        <v>0</v>
      </c>
      <c r="M231" s="36" t="s">
        <v>0</v>
      </c>
      <c r="N231" s="36" t="s">
        <v>0</v>
      </c>
      <c r="O231" s="36" t="s">
        <v>0</v>
      </c>
      <c r="P231" s="36" t="s">
        <v>0</v>
      </c>
      <c r="Q231" s="36" t="s">
        <v>0</v>
      </c>
      <c r="R231" s="36" t="s">
        <v>0</v>
      </c>
      <c r="S231" s="7" t="s">
        <v>0</v>
      </c>
      <c r="T231" s="7" t="s">
        <v>0</v>
      </c>
      <c r="U231" s="38" t="s">
        <v>0</v>
      </c>
      <c r="V231" s="38" t="s">
        <v>0</v>
      </c>
      <c r="W231" s="36" t="s">
        <v>0</v>
      </c>
      <c r="X231" s="36" t="s">
        <v>0</v>
      </c>
      <c r="Y231" s="36" t="s">
        <v>0</v>
      </c>
      <c r="Z231" s="36" t="s">
        <v>0</v>
      </c>
      <c r="AA231" s="38" t="s">
        <v>0</v>
      </c>
      <c r="AB231" s="36" t="s">
        <v>0</v>
      </c>
      <c r="AC231" s="36" t="s">
        <v>0</v>
      </c>
      <c r="AD231" s="36" t="s">
        <v>0</v>
      </c>
      <c r="AH231" s="40"/>
    </row>
    <row r="232" spans="1:34">
      <c r="A232" s="51"/>
      <c r="B232" s="52"/>
      <c r="C232" s="52"/>
      <c r="D232" s="52"/>
      <c r="E232" s="52"/>
      <c r="F232" s="52"/>
      <c r="G232" s="52"/>
      <c r="H232" s="52"/>
      <c r="I232" s="52"/>
      <c r="J232" s="52"/>
      <c r="K232" s="186"/>
      <c r="L232" s="52"/>
      <c r="M232" s="186"/>
      <c r="N232" s="52"/>
      <c r="O232" s="52"/>
      <c r="P232" s="52"/>
      <c r="Q232" s="52" t="s">
        <v>0</v>
      </c>
      <c r="R232" s="52" t="s">
        <v>0</v>
      </c>
      <c r="S232" s="186"/>
      <c r="T232" s="186"/>
      <c r="U232" s="52"/>
      <c r="V232" s="52" t="s">
        <v>0</v>
      </c>
      <c r="W232" s="52" t="s">
        <v>0</v>
      </c>
      <c r="X232" s="52" t="s">
        <v>0</v>
      </c>
      <c r="Y232" s="52" t="s">
        <v>0</v>
      </c>
      <c r="Z232" s="52" t="s">
        <v>0</v>
      </c>
      <c r="AA232" s="52"/>
      <c r="AB232" s="52"/>
      <c r="AC232" s="52"/>
      <c r="AD232" s="52"/>
    </row>
    <row r="233" spans="1:34" s="40" customFormat="1" ht="50.1" customHeight="1">
      <c r="A233" s="6" t="s">
        <v>4</v>
      </c>
      <c r="B233" s="38" t="s">
        <v>0</v>
      </c>
      <c r="C233" s="38" t="s">
        <v>57</v>
      </c>
      <c r="D233" s="38" t="s">
        <v>57</v>
      </c>
      <c r="E233" s="38" t="s">
        <v>0</v>
      </c>
      <c r="F233" s="38" t="s">
        <v>0</v>
      </c>
      <c r="G233" s="38" t="s">
        <v>0</v>
      </c>
      <c r="H233" s="38" t="s">
        <v>0</v>
      </c>
      <c r="I233" s="38" t="s">
        <v>0</v>
      </c>
      <c r="J233" s="38" t="s">
        <v>0</v>
      </c>
      <c r="K233" s="38" t="s">
        <v>0</v>
      </c>
      <c r="L233" s="38" t="s">
        <v>0</v>
      </c>
      <c r="M233" s="38" t="s">
        <v>57</v>
      </c>
      <c r="N233" s="36" t="s">
        <v>0</v>
      </c>
      <c r="O233" s="36" t="s">
        <v>0</v>
      </c>
      <c r="P233" s="36" t="s">
        <v>0</v>
      </c>
      <c r="Q233" s="36"/>
      <c r="R233" s="36"/>
      <c r="S233" s="36" t="s">
        <v>0</v>
      </c>
      <c r="T233" s="36" t="s">
        <v>0</v>
      </c>
      <c r="U233" s="38" t="s">
        <v>57</v>
      </c>
      <c r="V233" s="38" t="s">
        <v>0</v>
      </c>
      <c r="W233" s="36" t="s">
        <v>0</v>
      </c>
      <c r="X233" s="36" t="s">
        <v>9717</v>
      </c>
      <c r="Y233" s="36" t="s">
        <v>9631</v>
      </c>
      <c r="Z233" s="36" t="s">
        <v>0</v>
      </c>
      <c r="AA233" s="38" t="s">
        <v>0</v>
      </c>
      <c r="AB233" s="36" t="s">
        <v>0</v>
      </c>
      <c r="AC233" s="36" t="s">
        <v>0</v>
      </c>
      <c r="AD233" s="36" t="s">
        <v>0</v>
      </c>
      <c r="AE233" s="167"/>
      <c r="AF233" s="5"/>
      <c r="AG233" s="311"/>
      <c r="AH233" s="5"/>
    </row>
    <row r="234" spans="1:34">
      <c r="A234" s="51" t="s">
        <v>935</v>
      </c>
      <c r="B234" s="52" t="s">
        <v>0</v>
      </c>
      <c r="C234" s="52" t="s">
        <v>6891</v>
      </c>
      <c r="D234" s="52" t="s">
        <v>6891</v>
      </c>
      <c r="E234" s="52" t="s">
        <v>8185</v>
      </c>
      <c r="F234" s="52" t="s">
        <v>8332</v>
      </c>
      <c r="G234" s="52" t="s">
        <v>8445</v>
      </c>
      <c r="H234" s="52" t="s">
        <v>8260</v>
      </c>
      <c r="I234" s="52" t="s">
        <v>8634</v>
      </c>
      <c r="J234" s="52" t="s">
        <v>8507</v>
      </c>
      <c r="K234" s="52" t="s">
        <v>0</v>
      </c>
      <c r="L234" s="52" t="s">
        <v>0</v>
      </c>
      <c r="M234" s="186" t="s">
        <v>8979</v>
      </c>
      <c r="N234" s="52" t="s">
        <v>7950</v>
      </c>
      <c r="O234" s="52" t="s">
        <v>7950</v>
      </c>
      <c r="P234" s="52" t="s">
        <v>7950</v>
      </c>
      <c r="Q234" s="52"/>
      <c r="R234" s="52"/>
      <c r="S234" s="186" t="s">
        <v>0</v>
      </c>
      <c r="T234" s="186" t="s">
        <v>0</v>
      </c>
      <c r="U234" s="52" t="s">
        <v>7512</v>
      </c>
      <c r="V234" s="52" t="s">
        <v>0</v>
      </c>
      <c r="W234" s="52" t="s">
        <v>0</v>
      </c>
      <c r="X234" s="52" t="s">
        <v>9593</v>
      </c>
      <c r="Y234" s="52" t="s">
        <v>9593</v>
      </c>
      <c r="Z234" s="52" t="s">
        <v>0</v>
      </c>
      <c r="AA234" s="52" t="s">
        <v>0</v>
      </c>
      <c r="AB234" s="52" t="s">
        <v>0</v>
      </c>
      <c r="AC234" s="52" t="s">
        <v>0</v>
      </c>
      <c r="AD234" s="52" t="s">
        <v>0</v>
      </c>
    </row>
    <row r="235" spans="1:34" s="40" customFormat="1" ht="50.1" customHeight="1">
      <c r="A235" s="6" t="s">
        <v>167</v>
      </c>
      <c r="B235" s="38" t="s">
        <v>0</v>
      </c>
      <c r="C235" s="36" t="s">
        <v>6926</v>
      </c>
      <c r="D235" s="36" t="s">
        <v>6886</v>
      </c>
      <c r="E235" s="36" t="s">
        <v>8181</v>
      </c>
      <c r="F235" s="36" t="s">
        <v>8181</v>
      </c>
      <c r="G235" s="36" t="s">
        <v>5808</v>
      </c>
      <c r="H235" s="36" t="s">
        <v>8181</v>
      </c>
      <c r="I235" s="36" t="s">
        <v>8638</v>
      </c>
      <c r="J235" s="36" t="s">
        <v>5808</v>
      </c>
      <c r="K235" s="36" t="s">
        <v>0</v>
      </c>
      <c r="L235" s="36" t="s">
        <v>0</v>
      </c>
      <c r="M235" s="36" t="s">
        <v>8972</v>
      </c>
      <c r="N235" s="36" t="s">
        <v>0</v>
      </c>
      <c r="O235" s="36" t="s">
        <v>0</v>
      </c>
      <c r="P235" s="36" t="s">
        <v>7955</v>
      </c>
      <c r="Q235" s="36" t="s">
        <v>0</v>
      </c>
      <c r="R235" s="36" t="s">
        <v>0</v>
      </c>
      <c r="S235" s="36" t="s">
        <v>0</v>
      </c>
      <c r="T235" s="36" t="s">
        <v>0</v>
      </c>
      <c r="U235" s="36" t="s">
        <v>9402</v>
      </c>
      <c r="V235" s="36" t="s">
        <v>9590</v>
      </c>
      <c r="W235" s="36" t="s">
        <v>9591</v>
      </c>
      <c r="X235" s="36" t="s">
        <v>9592</v>
      </c>
      <c r="Y235" s="36" t="s">
        <v>9592</v>
      </c>
      <c r="Z235" s="36" t="s">
        <v>9591</v>
      </c>
      <c r="AA235" s="38" t="s">
        <v>0</v>
      </c>
      <c r="AB235" s="36" t="s">
        <v>0</v>
      </c>
      <c r="AC235" s="36" t="s">
        <v>0</v>
      </c>
      <c r="AD235" s="36" t="s">
        <v>0</v>
      </c>
      <c r="AE235" s="167"/>
      <c r="AF235" s="41"/>
      <c r="AG235" s="310"/>
    </row>
    <row r="236" spans="1:34" ht="18">
      <c r="A236" s="51" t="s">
        <v>935</v>
      </c>
      <c r="B236" s="52" t="s">
        <v>0</v>
      </c>
      <c r="C236" s="52" t="s">
        <v>6882</v>
      </c>
      <c r="D236" s="84" t="s">
        <v>6887</v>
      </c>
      <c r="E236" s="52" t="s">
        <v>8184</v>
      </c>
      <c r="F236" s="52" t="s">
        <v>8334</v>
      </c>
      <c r="G236" s="52" t="s">
        <v>8442</v>
      </c>
      <c r="H236" s="52" t="s">
        <v>8268</v>
      </c>
      <c r="I236" s="52" t="s">
        <v>8639</v>
      </c>
      <c r="J236" s="52" t="s">
        <v>8510</v>
      </c>
      <c r="K236" s="52" t="s">
        <v>0</v>
      </c>
      <c r="L236" s="52" t="s">
        <v>0</v>
      </c>
      <c r="M236" s="186" t="s">
        <v>8980</v>
      </c>
      <c r="N236" s="52" t="s">
        <v>7954</v>
      </c>
      <c r="O236" s="52" t="s">
        <v>7954</v>
      </c>
      <c r="P236" s="52" t="s">
        <v>7954</v>
      </c>
      <c r="Q236" s="52" t="s">
        <v>0</v>
      </c>
      <c r="R236" s="52" t="s">
        <v>0</v>
      </c>
      <c r="S236" s="186" t="s">
        <v>0</v>
      </c>
      <c r="T236" s="186" t="s">
        <v>0</v>
      </c>
      <c r="U236" s="52" t="s">
        <v>7513</v>
      </c>
      <c r="V236" s="52" t="s">
        <v>9401</v>
      </c>
      <c r="W236" s="52" t="s">
        <v>9401</v>
      </c>
      <c r="X236" s="52" t="s">
        <v>9401</v>
      </c>
      <c r="Y236" s="52" t="s">
        <v>9401</v>
      </c>
      <c r="Z236" s="52" t="s">
        <v>9401</v>
      </c>
      <c r="AA236" s="52" t="s">
        <v>0</v>
      </c>
      <c r="AB236" s="52" t="s">
        <v>0</v>
      </c>
      <c r="AC236" s="52" t="s">
        <v>0</v>
      </c>
      <c r="AD236" s="52" t="s">
        <v>0</v>
      </c>
      <c r="AF236" s="41"/>
    </row>
    <row r="237" spans="1:34" s="40" customFormat="1" ht="50.1" customHeight="1">
      <c r="A237" s="6" t="s">
        <v>31</v>
      </c>
      <c r="B237" s="36" t="s">
        <v>0</v>
      </c>
      <c r="C237" s="36" t="s">
        <v>7155</v>
      </c>
      <c r="D237" s="36" t="s">
        <v>7155</v>
      </c>
      <c r="E237" s="36" t="s">
        <v>0</v>
      </c>
      <c r="F237" s="36" t="s">
        <v>0</v>
      </c>
      <c r="G237" s="36" t="s">
        <v>8440</v>
      </c>
      <c r="H237" s="36" t="s">
        <v>0</v>
      </c>
      <c r="I237" s="36" t="s">
        <v>8640</v>
      </c>
      <c r="J237" s="36" t="s">
        <v>8512</v>
      </c>
      <c r="K237" s="36" t="s">
        <v>0</v>
      </c>
      <c r="L237" s="36" t="s">
        <v>0</v>
      </c>
      <c r="M237" s="36" t="s">
        <v>8981</v>
      </c>
      <c r="N237" s="36" t="s">
        <v>0</v>
      </c>
      <c r="O237" s="36" t="s">
        <v>0</v>
      </c>
      <c r="P237" s="36" t="s">
        <v>8114</v>
      </c>
      <c r="Q237" s="36" t="s">
        <v>9181</v>
      </c>
      <c r="R237" s="36" t="s">
        <v>9181</v>
      </c>
      <c r="S237" s="36" t="s">
        <v>0</v>
      </c>
      <c r="T237" s="36" t="s">
        <v>7492</v>
      </c>
      <c r="U237" s="36" t="s">
        <v>7514</v>
      </c>
      <c r="V237" s="36" t="s">
        <v>7839</v>
      </c>
      <c r="W237" s="36" t="s">
        <v>9682</v>
      </c>
      <c r="X237" s="36" t="s">
        <v>7514</v>
      </c>
      <c r="Y237" s="36" t="s">
        <v>7514</v>
      </c>
      <c r="Z237" s="36" t="s">
        <v>9505</v>
      </c>
      <c r="AA237" s="38" t="s">
        <v>0</v>
      </c>
      <c r="AB237" s="36" t="s">
        <v>8740</v>
      </c>
      <c r="AC237" s="36" t="s">
        <v>8740</v>
      </c>
      <c r="AD237" s="36" t="s">
        <v>8740</v>
      </c>
      <c r="AE237" s="167"/>
      <c r="AF237" s="85"/>
      <c r="AG237" s="41"/>
    </row>
    <row r="238" spans="1:34">
      <c r="A238" s="51" t="s">
        <v>935</v>
      </c>
      <c r="B238" s="52" t="s">
        <v>0</v>
      </c>
      <c r="C238" s="52" t="s">
        <v>6885</v>
      </c>
      <c r="D238" s="52" t="s">
        <v>6885</v>
      </c>
      <c r="E238" s="52" t="s">
        <v>0</v>
      </c>
      <c r="F238" s="52" t="s">
        <v>0</v>
      </c>
      <c r="G238" s="52" t="s">
        <v>8441</v>
      </c>
      <c r="H238" s="52" t="s">
        <v>0</v>
      </c>
      <c r="I238" s="52" t="s">
        <v>8641</v>
      </c>
      <c r="J238" s="52" t="s">
        <v>8511</v>
      </c>
      <c r="K238" s="52" t="s">
        <v>0</v>
      </c>
      <c r="L238" s="52" t="s">
        <v>0</v>
      </c>
      <c r="M238" s="186" t="s">
        <v>8982</v>
      </c>
      <c r="N238" s="52" t="s">
        <v>7956</v>
      </c>
      <c r="O238" s="52" t="s">
        <v>7956</v>
      </c>
      <c r="P238" s="52" t="s">
        <v>8115</v>
      </c>
      <c r="Q238" s="52" t="s">
        <v>9182</v>
      </c>
      <c r="R238" s="52" t="s">
        <v>9182</v>
      </c>
      <c r="S238" s="186" t="s">
        <v>0</v>
      </c>
      <c r="T238" s="52" t="s">
        <v>7363</v>
      </c>
      <c r="U238" s="52" t="s">
        <v>7515</v>
      </c>
      <c r="V238" s="52" t="s">
        <v>9403</v>
      </c>
      <c r="W238" s="52" t="s">
        <v>9403</v>
      </c>
      <c r="X238" s="52" t="s">
        <v>9595</v>
      </c>
      <c r="Y238" s="52" t="s">
        <v>9595</v>
      </c>
      <c r="Z238" s="52" t="s">
        <v>9403</v>
      </c>
      <c r="AA238" s="52" t="s">
        <v>0</v>
      </c>
      <c r="AB238" s="52" t="s">
        <v>8739</v>
      </c>
      <c r="AC238" s="52" t="s">
        <v>8739</v>
      </c>
      <c r="AD238" s="52" t="s">
        <v>8739</v>
      </c>
      <c r="AG238" s="41"/>
    </row>
    <row r="239" spans="1:34" s="40" customFormat="1" ht="50.1" customHeight="1">
      <c r="A239" s="81" t="s">
        <v>6716</v>
      </c>
      <c r="B239" s="36" t="s">
        <v>0</v>
      </c>
      <c r="C239" s="36" t="s">
        <v>6886</v>
      </c>
      <c r="D239" s="36" t="s">
        <v>6886</v>
      </c>
      <c r="E239" s="36" t="s">
        <v>0</v>
      </c>
      <c r="F239" s="36" t="s">
        <v>0</v>
      </c>
      <c r="G239" s="36" t="s">
        <v>0</v>
      </c>
      <c r="H239" s="36" t="s">
        <v>0</v>
      </c>
      <c r="I239" s="36" t="s">
        <v>8680</v>
      </c>
      <c r="J239" s="36" t="s">
        <v>0</v>
      </c>
      <c r="K239" s="36" t="s">
        <v>0</v>
      </c>
      <c r="L239" s="36" t="s">
        <v>0</v>
      </c>
      <c r="M239" s="36" t="s">
        <v>8983</v>
      </c>
      <c r="N239" s="38" t="s">
        <v>0</v>
      </c>
      <c r="O239" s="38" t="s">
        <v>0</v>
      </c>
      <c r="P239" s="36" t="s">
        <v>8117</v>
      </c>
      <c r="Q239" s="36" t="s">
        <v>9294</v>
      </c>
      <c r="R239" s="36" t="s">
        <v>9294</v>
      </c>
      <c r="S239" s="38" t="s">
        <v>0</v>
      </c>
      <c r="T239" s="38" t="s">
        <v>0</v>
      </c>
      <c r="U239" s="38" t="s">
        <v>0</v>
      </c>
      <c r="V239" s="38" t="s">
        <v>0</v>
      </c>
      <c r="W239" s="36" t="s">
        <v>0</v>
      </c>
      <c r="X239" s="36" t="s">
        <v>9718</v>
      </c>
      <c r="Y239" s="36" t="s">
        <v>9594</v>
      </c>
      <c r="Z239" s="36" t="s">
        <v>0</v>
      </c>
      <c r="AA239" s="38" t="s">
        <v>0</v>
      </c>
      <c r="AB239" s="36" t="s">
        <v>0</v>
      </c>
      <c r="AC239" s="36" t="s">
        <v>8827</v>
      </c>
      <c r="AD239" s="36" t="s">
        <v>8827</v>
      </c>
      <c r="AE239" s="167"/>
      <c r="AF239" s="41"/>
      <c r="AG239" s="85"/>
    </row>
    <row r="240" spans="1:34">
      <c r="A240" s="51" t="s">
        <v>935</v>
      </c>
      <c r="B240" s="52" t="s">
        <v>0</v>
      </c>
      <c r="C240" s="52" t="s">
        <v>6885</v>
      </c>
      <c r="D240" s="52" t="s">
        <v>6885</v>
      </c>
      <c r="E240" s="52" t="s">
        <v>0</v>
      </c>
      <c r="F240" s="52" t="s">
        <v>0</v>
      </c>
      <c r="G240" s="52" t="s">
        <v>0</v>
      </c>
      <c r="H240" s="52" t="s">
        <v>0</v>
      </c>
      <c r="I240" s="52" t="s">
        <v>8681</v>
      </c>
      <c r="J240" s="52" t="s">
        <v>0</v>
      </c>
      <c r="K240" s="52" t="s">
        <v>0</v>
      </c>
      <c r="L240" s="52" t="s">
        <v>0</v>
      </c>
      <c r="M240" s="186" t="s">
        <v>8967</v>
      </c>
      <c r="N240" s="186" t="s">
        <v>7957</v>
      </c>
      <c r="O240" s="186" t="s">
        <v>7957</v>
      </c>
      <c r="P240" s="186" t="s">
        <v>8116</v>
      </c>
      <c r="Q240" s="52" t="s">
        <v>9183</v>
      </c>
      <c r="R240" s="52" t="s">
        <v>9183</v>
      </c>
      <c r="S240" s="186" t="s">
        <v>0</v>
      </c>
      <c r="T240" s="186" t="s">
        <v>0</v>
      </c>
      <c r="U240" s="186" t="s">
        <v>0</v>
      </c>
      <c r="V240" s="186" t="s">
        <v>0</v>
      </c>
      <c r="W240" s="52" t="s">
        <v>0</v>
      </c>
      <c r="X240" s="52" t="s">
        <v>9593</v>
      </c>
      <c r="Y240" s="52" t="s">
        <v>9593</v>
      </c>
      <c r="Z240" s="52" t="s">
        <v>0</v>
      </c>
      <c r="AA240" s="52" t="s">
        <v>0</v>
      </c>
      <c r="AB240" s="186" t="s">
        <v>0</v>
      </c>
      <c r="AC240" s="186" t="s">
        <v>8828</v>
      </c>
      <c r="AD240" s="186" t="s">
        <v>8828</v>
      </c>
      <c r="AF240" s="41"/>
    </row>
    <row r="241" spans="1:33" s="40" customFormat="1" ht="30" customHeight="1">
      <c r="A241" s="62" t="s">
        <v>184</v>
      </c>
      <c r="B241" s="36" t="s">
        <v>6892</v>
      </c>
      <c r="C241" s="36" t="s">
        <v>6892</v>
      </c>
      <c r="D241" s="36" t="s">
        <v>6892</v>
      </c>
      <c r="E241" s="36" t="s">
        <v>0</v>
      </c>
      <c r="F241" s="36" t="s">
        <v>0</v>
      </c>
      <c r="G241" s="36" t="s">
        <v>5509</v>
      </c>
      <c r="H241" s="36" t="s">
        <v>0</v>
      </c>
      <c r="I241" s="36" t="s">
        <v>8654</v>
      </c>
      <c r="J241" s="36" t="s">
        <v>5556</v>
      </c>
      <c r="K241" s="36" t="s">
        <v>0</v>
      </c>
      <c r="L241" s="36" t="s">
        <v>0</v>
      </c>
      <c r="M241" s="250" t="s">
        <v>8995</v>
      </c>
      <c r="N241" s="250" t="s">
        <v>0</v>
      </c>
      <c r="O241" s="250" t="s">
        <v>8095</v>
      </c>
      <c r="P241" s="250" t="s">
        <v>8095</v>
      </c>
      <c r="Q241" s="250" t="s">
        <v>0</v>
      </c>
      <c r="R241" s="250" t="s">
        <v>0</v>
      </c>
      <c r="S241" s="250" t="s">
        <v>0</v>
      </c>
      <c r="T241" s="250" t="s">
        <v>0</v>
      </c>
      <c r="U241" s="250">
        <v>3000</v>
      </c>
      <c r="V241" s="250" t="s">
        <v>0</v>
      </c>
      <c r="W241" s="250" t="s">
        <v>9598</v>
      </c>
      <c r="X241" s="250" t="s">
        <v>9598</v>
      </c>
      <c r="Y241" s="250" t="s">
        <v>9598</v>
      </c>
      <c r="Z241" s="250" t="s">
        <v>9598</v>
      </c>
      <c r="AA241" s="38" t="s">
        <v>0</v>
      </c>
      <c r="AB241" s="250" t="s">
        <v>0</v>
      </c>
      <c r="AC241" s="250" t="s">
        <v>0</v>
      </c>
      <c r="AD241" s="250" t="s">
        <v>8894</v>
      </c>
      <c r="AE241" s="167"/>
      <c r="AF241" s="85"/>
      <c r="AG241" s="41"/>
    </row>
    <row r="242" spans="1:33" ht="18">
      <c r="A242" s="51" t="s">
        <v>935</v>
      </c>
      <c r="B242" s="84" t="s">
        <v>6893</v>
      </c>
      <c r="C242" s="84" t="s">
        <v>6893</v>
      </c>
      <c r="D242" s="84" t="s">
        <v>6893</v>
      </c>
      <c r="E242" s="84" t="s">
        <v>0</v>
      </c>
      <c r="F242" s="84" t="s">
        <v>0</v>
      </c>
      <c r="G242" s="52" t="s">
        <v>8439</v>
      </c>
      <c r="H242" s="84" t="s">
        <v>0</v>
      </c>
      <c r="I242" s="52" t="s">
        <v>8653</v>
      </c>
      <c r="J242" s="52" t="s">
        <v>8513</v>
      </c>
      <c r="K242" s="52" t="s">
        <v>0</v>
      </c>
      <c r="L242" s="52" t="s">
        <v>0</v>
      </c>
      <c r="M242" s="52" t="s">
        <v>8993</v>
      </c>
      <c r="N242" s="52" t="s">
        <v>8093</v>
      </c>
      <c r="O242" s="52" t="s">
        <v>8094</v>
      </c>
      <c r="P242" s="52" t="s">
        <v>8094</v>
      </c>
      <c r="Q242" s="52" t="s">
        <v>0</v>
      </c>
      <c r="R242" s="52" t="s">
        <v>0</v>
      </c>
      <c r="S242" s="186" t="s">
        <v>0</v>
      </c>
      <c r="T242" s="186" t="s">
        <v>0</v>
      </c>
      <c r="U242" s="52" t="s">
        <v>7516</v>
      </c>
      <c r="V242" s="52" t="s">
        <v>0</v>
      </c>
      <c r="W242" s="52" t="s">
        <v>9506</v>
      </c>
      <c r="X242" s="52" t="s">
        <v>9506</v>
      </c>
      <c r="Y242" s="52" t="s">
        <v>9506</v>
      </c>
      <c r="Z242" s="52" t="s">
        <v>9506</v>
      </c>
      <c r="AA242" s="52" t="s">
        <v>0</v>
      </c>
      <c r="AB242" s="52" t="s">
        <v>0</v>
      </c>
      <c r="AC242" s="52" t="s">
        <v>0</v>
      </c>
      <c r="AD242" s="52" t="s">
        <v>8883</v>
      </c>
      <c r="AG242" s="41"/>
    </row>
    <row r="243" spans="1:33" s="40" customFormat="1" ht="20.100000000000001" customHeight="1">
      <c r="A243" s="6" t="s">
        <v>207</v>
      </c>
      <c r="B243" s="38" t="s">
        <v>0</v>
      </c>
      <c r="C243" s="36" t="s">
        <v>6930</v>
      </c>
      <c r="D243" s="38" t="s">
        <v>0</v>
      </c>
      <c r="E243" s="36" t="s">
        <v>0</v>
      </c>
      <c r="F243" s="36" t="s">
        <v>5512</v>
      </c>
      <c r="G243" s="36" t="s">
        <v>5509</v>
      </c>
      <c r="H243" s="36" t="s">
        <v>0</v>
      </c>
      <c r="I243" s="36" t="s">
        <v>5529</v>
      </c>
      <c r="J243" s="36" t="s">
        <v>5556</v>
      </c>
      <c r="K243" s="36" t="s">
        <v>0</v>
      </c>
      <c r="L243" s="36" t="s">
        <v>0</v>
      </c>
      <c r="M243" s="250" t="s">
        <v>8996</v>
      </c>
      <c r="N243" s="36" t="s">
        <v>0</v>
      </c>
      <c r="O243" s="36" t="s">
        <v>0</v>
      </c>
      <c r="P243" s="36" t="s">
        <v>5556</v>
      </c>
      <c r="Q243" s="36" t="s">
        <v>9293</v>
      </c>
      <c r="R243" s="36" t="s">
        <v>9293</v>
      </c>
      <c r="S243" s="250" t="s">
        <v>0</v>
      </c>
      <c r="T243" s="36" t="s">
        <v>7490</v>
      </c>
      <c r="U243" s="36" t="s">
        <v>7489</v>
      </c>
      <c r="V243" s="36" t="s">
        <v>0</v>
      </c>
      <c r="W243" s="36" t="s">
        <v>9683</v>
      </c>
      <c r="X243" s="36" t="s">
        <v>9599</v>
      </c>
      <c r="Y243" s="36" t="s">
        <v>9599</v>
      </c>
      <c r="Z243" s="36" t="s">
        <v>9507</v>
      </c>
      <c r="AA243" s="38" t="s">
        <v>0</v>
      </c>
      <c r="AB243" s="36" t="s">
        <v>0</v>
      </c>
      <c r="AC243" s="36" t="s">
        <v>0</v>
      </c>
      <c r="AD243" s="36" t="s">
        <v>859</v>
      </c>
      <c r="AE243" s="167"/>
      <c r="AF243" s="5"/>
      <c r="AG243" s="41"/>
    </row>
    <row r="244" spans="1:33">
      <c r="A244" s="51" t="s">
        <v>935</v>
      </c>
      <c r="B244" s="52" t="s">
        <v>0</v>
      </c>
      <c r="C244" s="52" t="s">
        <v>6931</v>
      </c>
      <c r="D244" s="52" t="s">
        <v>0</v>
      </c>
      <c r="E244" s="52" t="s">
        <v>0</v>
      </c>
      <c r="F244" s="52" t="s">
        <v>8335</v>
      </c>
      <c r="G244" s="52" t="s">
        <v>8438</v>
      </c>
      <c r="H244" s="52" t="s">
        <v>0</v>
      </c>
      <c r="I244" s="52" t="s">
        <v>8652</v>
      </c>
      <c r="J244" s="52" t="s">
        <v>8514</v>
      </c>
      <c r="K244" s="52" t="s">
        <v>0</v>
      </c>
      <c r="L244" s="52" t="s">
        <v>0</v>
      </c>
      <c r="M244" s="52" t="s">
        <v>8994</v>
      </c>
      <c r="N244" s="52" t="s">
        <v>8062</v>
      </c>
      <c r="O244" s="52" t="s">
        <v>8062</v>
      </c>
      <c r="P244" s="52" t="s">
        <v>8062</v>
      </c>
      <c r="Q244" s="52" t="s">
        <v>9184</v>
      </c>
      <c r="R244" s="52" t="s">
        <v>9184</v>
      </c>
      <c r="S244" s="186" t="s">
        <v>0</v>
      </c>
      <c r="T244" s="52" t="s">
        <v>7362</v>
      </c>
      <c r="U244" s="52" t="s">
        <v>7488</v>
      </c>
      <c r="V244" s="52" t="s">
        <v>0</v>
      </c>
      <c r="W244" s="52" t="s">
        <v>9506</v>
      </c>
      <c r="X244" s="52" t="s">
        <v>9600</v>
      </c>
      <c r="Y244" s="52" t="s">
        <v>9600</v>
      </c>
      <c r="Z244" s="52" t="s">
        <v>9506</v>
      </c>
      <c r="AA244" s="52" t="s">
        <v>0</v>
      </c>
      <c r="AB244" s="52" t="s">
        <v>0</v>
      </c>
      <c r="AC244" s="52" t="s">
        <v>0</v>
      </c>
      <c r="AD244" s="52" t="s">
        <v>8883</v>
      </c>
      <c r="AG244" s="41"/>
    </row>
    <row r="245" spans="1:33" s="40" customFormat="1" ht="30" customHeight="1">
      <c r="A245" s="62" t="s">
        <v>5221</v>
      </c>
      <c r="B245" s="38" t="s">
        <v>0</v>
      </c>
      <c r="C245" s="36" t="s">
        <v>6932</v>
      </c>
      <c r="D245" s="38" t="s">
        <v>6894</v>
      </c>
      <c r="E245" s="36" t="s">
        <v>0</v>
      </c>
      <c r="F245" s="36" t="s">
        <v>8270</v>
      </c>
      <c r="G245" s="36" t="s">
        <v>8436</v>
      </c>
      <c r="H245" s="36" t="s">
        <v>8270</v>
      </c>
      <c r="I245" s="36" t="s">
        <v>8650</v>
      </c>
      <c r="J245" s="36" t="s">
        <v>8515</v>
      </c>
      <c r="K245" s="7" t="s">
        <v>111</v>
      </c>
      <c r="L245" s="7" t="s">
        <v>111</v>
      </c>
      <c r="M245" s="36" t="s">
        <v>57</v>
      </c>
      <c r="N245" s="36" t="s">
        <v>0</v>
      </c>
      <c r="O245" s="36" t="s">
        <v>8047</v>
      </c>
      <c r="P245" s="36" t="s">
        <v>8046</v>
      </c>
      <c r="Q245" s="36" t="s">
        <v>859</v>
      </c>
      <c r="R245" s="36" t="s">
        <v>859</v>
      </c>
      <c r="S245" s="7" t="s">
        <v>0</v>
      </c>
      <c r="T245" s="36" t="s">
        <v>7367</v>
      </c>
      <c r="U245" s="36" t="s">
        <v>7491</v>
      </c>
      <c r="V245" s="322" t="s">
        <v>0</v>
      </c>
      <c r="W245" s="322" t="s">
        <v>0</v>
      </c>
      <c r="X245" s="36" t="s">
        <v>9596</v>
      </c>
      <c r="Y245" s="36" t="s">
        <v>9596</v>
      </c>
      <c r="Z245" s="322" t="s">
        <v>0</v>
      </c>
      <c r="AA245" s="38" t="s">
        <v>0</v>
      </c>
      <c r="AB245" s="36" t="s">
        <v>8741</v>
      </c>
      <c r="AC245" s="36" t="s">
        <v>7643</v>
      </c>
      <c r="AD245" s="36" t="s">
        <v>7643</v>
      </c>
      <c r="AE245" s="167"/>
      <c r="AF245" s="5"/>
      <c r="AG245" s="41"/>
    </row>
    <row r="246" spans="1:33">
      <c r="A246" s="51" t="s">
        <v>935</v>
      </c>
      <c r="B246" s="52" t="s">
        <v>0</v>
      </c>
      <c r="C246" s="52" t="s">
        <v>6895</v>
      </c>
      <c r="D246" s="52" t="s">
        <v>6895</v>
      </c>
      <c r="E246" s="52" t="s">
        <v>0</v>
      </c>
      <c r="F246" s="52" t="s">
        <v>8336</v>
      </c>
      <c r="G246" s="52" t="s">
        <v>8437</v>
      </c>
      <c r="H246" s="52" t="s">
        <v>8271</v>
      </c>
      <c r="I246" s="52" t="s">
        <v>8651</v>
      </c>
      <c r="J246" s="52" t="s">
        <v>8516</v>
      </c>
      <c r="K246" s="186" t="s">
        <v>7082</v>
      </c>
      <c r="L246" s="186" t="s">
        <v>7082</v>
      </c>
      <c r="M246" s="186" t="s">
        <v>8984</v>
      </c>
      <c r="N246" s="52" t="s">
        <v>8045</v>
      </c>
      <c r="O246" s="52" t="s">
        <v>8045</v>
      </c>
      <c r="P246" s="52" t="s">
        <v>8045</v>
      </c>
      <c r="Q246" s="52" t="s">
        <v>9313</v>
      </c>
      <c r="R246" s="52" t="s">
        <v>9313</v>
      </c>
      <c r="S246" s="186" t="s">
        <v>0</v>
      </c>
      <c r="T246" s="52" t="s">
        <v>7361</v>
      </c>
      <c r="U246" s="52" t="s">
        <v>7487</v>
      </c>
      <c r="V246" s="52" t="s">
        <v>0</v>
      </c>
      <c r="W246" s="186" t="s">
        <v>0</v>
      </c>
      <c r="X246" s="186" t="s">
        <v>9597</v>
      </c>
      <c r="Y246" s="186" t="s">
        <v>9597</v>
      </c>
      <c r="Z246" s="52" t="s">
        <v>0</v>
      </c>
      <c r="AA246" s="52" t="s">
        <v>0</v>
      </c>
      <c r="AB246" s="52" t="s">
        <v>8742</v>
      </c>
      <c r="AC246" s="52" t="s">
        <v>8742</v>
      </c>
      <c r="AD246" s="52" t="s">
        <v>8742</v>
      </c>
      <c r="AG246" s="41"/>
    </row>
    <row r="247" spans="1:33" s="40" customFormat="1">
      <c r="A247" s="251"/>
      <c r="B247" s="252"/>
      <c r="C247" s="252"/>
      <c r="D247" s="252"/>
      <c r="E247" s="252"/>
      <c r="F247" s="252"/>
      <c r="G247" s="252"/>
      <c r="H247" s="252"/>
      <c r="I247" s="252"/>
      <c r="J247" s="252"/>
      <c r="K247" s="252"/>
      <c r="L247" s="252"/>
      <c r="M247" s="252"/>
      <c r="N247" s="65"/>
      <c r="O247" s="65"/>
      <c r="P247" s="65"/>
      <c r="Q247" s="65"/>
      <c r="R247" s="65"/>
      <c r="S247" s="65"/>
      <c r="T247" s="65"/>
      <c r="U247" s="65"/>
      <c r="V247" s="65"/>
      <c r="W247" s="65"/>
      <c r="X247" s="65"/>
      <c r="Y247" s="65"/>
      <c r="Z247" s="65"/>
      <c r="AA247" s="252"/>
      <c r="AB247" s="65"/>
      <c r="AC247" s="65"/>
      <c r="AD247" s="65"/>
      <c r="AE247" s="167"/>
      <c r="AF247" s="5"/>
      <c r="AG247" s="41"/>
    </row>
    <row r="248" spans="1:33" ht="20.100000000000001" customHeight="1">
      <c r="A248" s="10" t="s">
        <v>6623</v>
      </c>
      <c r="B248" s="18" t="str">
        <f t="shared" ref="B248:AD248" si="7">B1</f>
        <v>Allianz</v>
      </c>
      <c r="C248" s="18" t="str">
        <f t="shared" si="7"/>
        <v>Allianz SicherheitBest</v>
      </c>
      <c r="D248" s="18" t="str">
        <f t="shared" si="7"/>
        <v>Allianz SicherheitPlus</v>
      </c>
      <c r="E248" s="18" t="str">
        <f t="shared" si="7"/>
        <v>Ammerländer Basic</v>
      </c>
      <c r="F248" s="18" t="str">
        <f t="shared" si="7"/>
        <v>Ammerländer Classic</v>
      </c>
      <c r="G248" s="18" t="str">
        <f t="shared" si="7"/>
        <v>Ammerländer Comfort</v>
      </c>
      <c r="H248" s="18" t="str">
        <f t="shared" si="7"/>
        <v>Ammerländer Economic</v>
      </c>
      <c r="I248" s="18" t="str">
        <f t="shared" si="7"/>
        <v>Ammerländer Excellent</v>
      </c>
      <c r="J248" s="18" t="str">
        <f t="shared" si="7"/>
        <v>Ammerländer Exclusiv</v>
      </c>
      <c r="K248" s="18" t="str">
        <f t="shared" si="7"/>
        <v>Domcura Komfort</v>
      </c>
      <c r="L248" s="18" t="str">
        <f t="shared" si="7"/>
        <v>Domcura Standard</v>
      </c>
      <c r="M248" s="18" t="str">
        <f t="shared" si="7"/>
        <v>Domcura Top</v>
      </c>
      <c r="N248" s="18" t="str">
        <f t="shared" si="7"/>
        <v>Gothaer Basis</v>
      </c>
      <c r="O248" s="18" t="str">
        <f t="shared" si="7"/>
        <v>Gothaer Plus</v>
      </c>
      <c r="P248" s="18" t="str">
        <f t="shared" si="7"/>
        <v>Gothaer Premium</v>
      </c>
      <c r="Q248" s="18" t="str">
        <f t="shared" si="7"/>
        <v>HK Darmstadt Einfach Besser</v>
      </c>
      <c r="R248" s="18" t="str">
        <f t="shared" si="7"/>
        <v>HK Darmstadt Eindach Komplett</v>
      </c>
      <c r="S248" s="18" t="str">
        <f t="shared" si="7"/>
        <v>InterRisk L</v>
      </c>
      <c r="T248" s="18" t="str">
        <f t="shared" si="7"/>
        <v>InterRisk XL</v>
      </c>
      <c r="U248" s="18" t="str">
        <f t="shared" si="7"/>
        <v>InterRisk XXL</v>
      </c>
      <c r="V248" s="18" t="str">
        <f t="shared" si="7"/>
        <v>ITL Classic VS</v>
      </c>
      <c r="W248" s="18" t="str">
        <f t="shared" si="7"/>
        <v>ITL Eurosecure Plus QM afm</v>
      </c>
      <c r="X248" s="18" t="str">
        <f t="shared" si="7"/>
        <v>ITL Infinitus QM</v>
      </c>
      <c r="Y248" s="18" t="str">
        <f t="shared" si="7"/>
        <v>ITL Infinitus VS</v>
      </c>
      <c r="Z248" s="18" t="str">
        <f t="shared" si="7"/>
        <v>ITL Protect Plus VS</v>
      </c>
      <c r="AA248" s="18" t="str">
        <f t="shared" si="7"/>
        <v>Keine</v>
      </c>
      <c r="AB248" s="18" t="str">
        <f t="shared" si="7"/>
        <v>VHV Kl. Garant</v>
      </c>
      <c r="AC248" s="18" t="str">
        <f t="shared" si="7"/>
        <v>VHV Kl. Garant Exkl.</v>
      </c>
      <c r="AD248" s="18" t="str">
        <f t="shared" si="7"/>
        <v>VHV Kl. Garant Exkl.BEST</v>
      </c>
      <c r="AG248" s="41"/>
    </row>
    <row r="249" spans="1:33" s="40" customFormat="1" ht="39.950000000000003" customHeight="1">
      <c r="A249" s="82" t="s">
        <v>6715</v>
      </c>
      <c r="B249" s="38" t="s">
        <v>0</v>
      </c>
      <c r="C249" s="36" t="s">
        <v>6948</v>
      </c>
      <c r="D249" s="36" t="s">
        <v>6948</v>
      </c>
      <c r="E249" s="36" t="s">
        <v>0</v>
      </c>
      <c r="F249" s="36" t="s">
        <v>8393</v>
      </c>
      <c r="G249" s="36" t="s">
        <v>8434</v>
      </c>
      <c r="H249" s="36" t="s">
        <v>0</v>
      </c>
      <c r="I249" s="36" t="s">
        <v>8626</v>
      </c>
      <c r="J249" s="36" t="s">
        <v>8540</v>
      </c>
      <c r="K249" s="36" t="s">
        <v>0</v>
      </c>
      <c r="L249" s="36" t="s">
        <v>0</v>
      </c>
      <c r="M249" s="36" t="s">
        <v>57</v>
      </c>
      <c r="N249" s="36" t="s">
        <v>0</v>
      </c>
      <c r="O249" s="36" t="s">
        <v>0</v>
      </c>
      <c r="P249" s="36" t="s">
        <v>57</v>
      </c>
      <c r="Q249" s="36" t="s">
        <v>0</v>
      </c>
      <c r="R249" s="36" t="s">
        <v>0</v>
      </c>
      <c r="S249" s="36" t="s">
        <v>0</v>
      </c>
      <c r="T249" s="36" t="s">
        <v>0</v>
      </c>
      <c r="U249" s="36" t="s">
        <v>0</v>
      </c>
      <c r="V249" s="36" t="s">
        <v>0</v>
      </c>
      <c r="W249" s="36" t="s">
        <v>9684</v>
      </c>
      <c r="X249" s="36" t="s">
        <v>7650</v>
      </c>
      <c r="Y249" s="36" t="s">
        <v>7650</v>
      </c>
      <c r="Z249" s="36" t="s">
        <v>9493</v>
      </c>
      <c r="AA249" s="38" t="s">
        <v>0</v>
      </c>
      <c r="AB249" s="36" t="s">
        <v>8785</v>
      </c>
      <c r="AC249" s="36" t="s">
        <v>8785</v>
      </c>
      <c r="AD249" s="36" t="s">
        <v>8785</v>
      </c>
      <c r="AE249" s="167"/>
      <c r="AF249" s="5"/>
      <c r="AG249" s="41"/>
    </row>
    <row r="250" spans="1:33">
      <c r="A250" s="185" t="s">
        <v>935</v>
      </c>
      <c r="B250" s="186" t="s">
        <v>0</v>
      </c>
      <c r="C250" s="52" t="s">
        <v>6950</v>
      </c>
      <c r="D250" s="52" t="s">
        <v>6950</v>
      </c>
      <c r="E250" s="52" t="s">
        <v>0</v>
      </c>
      <c r="F250" s="52" t="s">
        <v>8394</v>
      </c>
      <c r="G250" s="52" t="s">
        <v>8435</v>
      </c>
      <c r="H250" s="52" t="s">
        <v>0</v>
      </c>
      <c r="I250" s="52" t="s">
        <v>8625</v>
      </c>
      <c r="J250" s="52" t="s">
        <v>8539</v>
      </c>
      <c r="K250" s="52" t="s">
        <v>0</v>
      </c>
      <c r="L250" s="52" t="s">
        <v>0</v>
      </c>
      <c r="M250" s="186" t="s">
        <v>8985</v>
      </c>
      <c r="N250" s="186" t="s">
        <v>8060</v>
      </c>
      <c r="O250" s="186" t="s">
        <v>8060</v>
      </c>
      <c r="P250" s="186" t="s">
        <v>8060</v>
      </c>
      <c r="Q250" s="186" t="s">
        <v>0</v>
      </c>
      <c r="R250" s="186" t="s">
        <v>0</v>
      </c>
      <c r="S250" s="186" t="s">
        <v>0</v>
      </c>
      <c r="T250" s="186" t="s">
        <v>0</v>
      </c>
      <c r="U250" s="186" t="s">
        <v>0</v>
      </c>
      <c r="V250" s="186" t="s">
        <v>0</v>
      </c>
      <c r="W250" s="52" t="s">
        <v>9494</v>
      </c>
      <c r="X250" s="52" t="s">
        <v>9557</v>
      </c>
      <c r="Y250" s="52" t="s">
        <v>9557</v>
      </c>
      <c r="Z250" s="52" t="s">
        <v>9494</v>
      </c>
      <c r="AA250" s="186" t="s">
        <v>0</v>
      </c>
      <c r="AB250" s="186" t="s">
        <v>8786</v>
      </c>
      <c r="AC250" s="186" t="s">
        <v>8786</v>
      </c>
      <c r="AD250" s="186" t="s">
        <v>8786</v>
      </c>
      <c r="AG250" s="41"/>
    </row>
    <row r="251" spans="1:33" s="40" customFormat="1" ht="30" customHeight="1">
      <c r="A251" s="82" t="s">
        <v>9565</v>
      </c>
      <c r="B251" s="38" t="s">
        <v>0</v>
      </c>
      <c r="C251" s="114" t="s">
        <v>6897</v>
      </c>
      <c r="D251" s="114" t="s">
        <v>6897</v>
      </c>
      <c r="E251" s="36" t="s">
        <v>0</v>
      </c>
      <c r="F251" s="36" t="s">
        <v>0</v>
      </c>
      <c r="G251" s="36" t="s">
        <v>9566</v>
      </c>
      <c r="H251" s="36" t="s">
        <v>0</v>
      </c>
      <c r="I251" s="36" t="s">
        <v>9567</v>
      </c>
      <c r="J251" s="36" t="s">
        <v>9568</v>
      </c>
      <c r="K251" s="36" t="s">
        <v>0</v>
      </c>
      <c r="L251" s="36" t="s">
        <v>0</v>
      </c>
      <c r="M251" s="36" t="s">
        <v>0</v>
      </c>
      <c r="N251" s="38" t="s">
        <v>0</v>
      </c>
      <c r="O251" s="38" t="s">
        <v>0</v>
      </c>
      <c r="P251" s="36" t="s">
        <v>9569</v>
      </c>
      <c r="Q251" s="36" t="s">
        <v>0</v>
      </c>
      <c r="R251" s="36" t="s">
        <v>0</v>
      </c>
      <c r="S251" s="38" t="s">
        <v>0</v>
      </c>
      <c r="T251" s="38" t="s">
        <v>0</v>
      </c>
      <c r="U251" s="38" t="s">
        <v>0</v>
      </c>
      <c r="V251" s="38" t="s">
        <v>0</v>
      </c>
      <c r="W251" s="38" t="s">
        <v>0</v>
      </c>
      <c r="X251" s="36" t="s">
        <v>9570</v>
      </c>
      <c r="Y251" s="36" t="s">
        <v>9570</v>
      </c>
      <c r="Z251" s="38" t="s">
        <v>0</v>
      </c>
      <c r="AA251" s="38" t="s">
        <v>0</v>
      </c>
      <c r="AB251" s="36" t="s">
        <v>0</v>
      </c>
      <c r="AC251" s="36" t="s">
        <v>0</v>
      </c>
      <c r="AD251" s="36" t="s">
        <v>0</v>
      </c>
      <c r="AE251" s="167"/>
      <c r="AF251" s="5"/>
      <c r="AG251" s="41"/>
    </row>
    <row r="252" spans="1:33">
      <c r="A252" s="185" t="s">
        <v>935</v>
      </c>
      <c r="B252" s="186" t="s">
        <v>0</v>
      </c>
      <c r="C252" s="52" t="s">
        <v>6933</v>
      </c>
      <c r="D252" s="52" t="s">
        <v>6933</v>
      </c>
      <c r="E252" s="52" t="s">
        <v>0</v>
      </c>
      <c r="F252" s="52" t="s">
        <v>0</v>
      </c>
      <c r="G252" s="52" t="s">
        <v>8433</v>
      </c>
      <c r="H252" s="52" t="s">
        <v>0</v>
      </c>
      <c r="I252" s="52" t="s">
        <v>8623</v>
      </c>
      <c r="J252" s="52" t="s">
        <v>8541</v>
      </c>
      <c r="K252" s="52" t="s">
        <v>0</v>
      </c>
      <c r="L252" s="52" t="s">
        <v>0</v>
      </c>
      <c r="M252" s="52" t="s">
        <v>0</v>
      </c>
      <c r="N252" s="186" t="s">
        <v>8061</v>
      </c>
      <c r="O252" s="186" t="s">
        <v>8061</v>
      </c>
      <c r="P252" s="186" t="s">
        <v>8061</v>
      </c>
      <c r="Q252" s="186" t="s">
        <v>0</v>
      </c>
      <c r="R252" s="186" t="s">
        <v>0</v>
      </c>
      <c r="S252" s="186" t="s">
        <v>0</v>
      </c>
      <c r="T252" s="186" t="s">
        <v>0</v>
      </c>
      <c r="U252" s="186" t="s">
        <v>0</v>
      </c>
      <c r="V252" s="186" t="s">
        <v>0</v>
      </c>
      <c r="W252" s="186" t="s">
        <v>0</v>
      </c>
      <c r="X252" s="186" t="s">
        <v>9564</v>
      </c>
      <c r="Y252" s="186" t="s">
        <v>9564</v>
      </c>
      <c r="Z252" s="186" t="s">
        <v>0</v>
      </c>
      <c r="AA252" s="52" t="s">
        <v>0</v>
      </c>
      <c r="AB252" s="186" t="s">
        <v>0</v>
      </c>
      <c r="AC252" s="186" t="s">
        <v>0</v>
      </c>
      <c r="AD252" s="186" t="s">
        <v>0</v>
      </c>
      <c r="AG252" s="41"/>
    </row>
    <row r="253" spans="1:33" s="40" customFormat="1" ht="18">
      <c r="A253" s="62" t="s">
        <v>9497</v>
      </c>
      <c r="B253" s="38" t="s">
        <v>0</v>
      </c>
      <c r="C253" s="38" t="s">
        <v>0</v>
      </c>
      <c r="D253" s="38" t="s">
        <v>0</v>
      </c>
      <c r="E253" s="38" t="s">
        <v>57</v>
      </c>
      <c r="F253" s="38" t="s">
        <v>57</v>
      </c>
      <c r="G253" s="38" t="s">
        <v>57</v>
      </c>
      <c r="H253" s="38" t="s">
        <v>57</v>
      </c>
      <c r="I253" s="38" t="s">
        <v>57</v>
      </c>
      <c r="J253" s="38" t="s">
        <v>57</v>
      </c>
      <c r="K253" s="36" t="s">
        <v>7063</v>
      </c>
      <c r="L253" s="36" t="s">
        <v>7063</v>
      </c>
      <c r="M253" s="36" t="s">
        <v>7063</v>
      </c>
      <c r="N253" s="36" t="s">
        <v>0</v>
      </c>
      <c r="O253" s="36" t="s">
        <v>8092</v>
      </c>
      <c r="P253" s="36" t="s">
        <v>8092</v>
      </c>
      <c r="Q253" s="36" t="s">
        <v>57</v>
      </c>
      <c r="R253" s="36" t="s">
        <v>57</v>
      </c>
      <c r="S253" s="36" t="s">
        <v>0</v>
      </c>
      <c r="T253" s="36" t="s">
        <v>57</v>
      </c>
      <c r="U253" s="36" t="s">
        <v>7063</v>
      </c>
      <c r="V253" s="36" t="s">
        <v>57</v>
      </c>
      <c r="W253" s="36" t="s">
        <v>57</v>
      </c>
      <c r="X253" s="36" t="s">
        <v>57</v>
      </c>
      <c r="Y253" s="36" t="s">
        <v>57</v>
      </c>
      <c r="Z253" s="36" t="s">
        <v>57</v>
      </c>
      <c r="AA253" s="38" t="s">
        <v>0</v>
      </c>
      <c r="AB253" s="36" t="s">
        <v>8787</v>
      </c>
      <c r="AC253" s="36" t="s">
        <v>8787</v>
      </c>
      <c r="AD253" s="36" t="s">
        <v>8787</v>
      </c>
      <c r="AE253" s="167"/>
      <c r="AF253" s="5"/>
      <c r="AG253" s="41"/>
    </row>
    <row r="254" spans="1:33">
      <c r="A254" s="51" t="s">
        <v>935</v>
      </c>
      <c r="B254" s="52" t="s">
        <v>6764</v>
      </c>
      <c r="C254" s="52" t="s">
        <v>6764</v>
      </c>
      <c r="D254" s="52" t="s">
        <v>6764</v>
      </c>
      <c r="E254" s="52" t="s">
        <v>8183</v>
      </c>
      <c r="F254" s="52" t="s">
        <v>8339</v>
      </c>
      <c r="G254" s="52" t="s">
        <v>8431</v>
      </c>
      <c r="H254" s="52" t="s">
        <v>8274</v>
      </c>
      <c r="I254" s="52" t="s">
        <v>8624</v>
      </c>
      <c r="J254" s="52" t="s">
        <v>8521</v>
      </c>
      <c r="K254" s="186" t="s">
        <v>7064</v>
      </c>
      <c r="L254" s="186" t="s">
        <v>7064</v>
      </c>
      <c r="M254" s="186" t="s">
        <v>7064</v>
      </c>
      <c r="N254" s="52" t="s">
        <v>8091</v>
      </c>
      <c r="O254" s="52" t="s">
        <v>8091</v>
      </c>
      <c r="P254" s="52" t="s">
        <v>8091</v>
      </c>
      <c r="Q254" s="52" t="s">
        <v>9185</v>
      </c>
      <c r="R254" s="52" t="s">
        <v>9185</v>
      </c>
      <c r="S254" s="52" t="s">
        <v>7241</v>
      </c>
      <c r="T254" s="52" t="s">
        <v>7386</v>
      </c>
      <c r="U254" s="52" t="s">
        <v>7517</v>
      </c>
      <c r="V254" s="52" t="s">
        <v>9357</v>
      </c>
      <c r="W254" s="52" t="s">
        <v>9496</v>
      </c>
      <c r="X254" s="52" t="s">
        <v>9496</v>
      </c>
      <c r="Y254" s="52" t="s">
        <v>9496</v>
      </c>
      <c r="Z254" s="52" t="s">
        <v>9496</v>
      </c>
      <c r="AA254" s="52" t="s">
        <v>0</v>
      </c>
      <c r="AB254" s="52" t="s">
        <v>8788</v>
      </c>
      <c r="AC254" s="52" t="s">
        <v>8788</v>
      </c>
      <c r="AD254" s="52" t="s">
        <v>8788</v>
      </c>
      <c r="AG254" s="41"/>
    </row>
    <row r="255" spans="1:33" s="40" customFormat="1" ht="54.95" customHeight="1">
      <c r="A255" s="82" t="s">
        <v>9766</v>
      </c>
      <c r="B255" s="38" t="s">
        <v>0</v>
      </c>
      <c r="C255" s="36" t="s">
        <v>6942</v>
      </c>
      <c r="D255" s="36" t="s">
        <v>6898</v>
      </c>
      <c r="E255" s="36" t="s">
        <v>0</v>
      </c>
      <c r="F255" s="36" t="s">
        <v>0</v>
      </c>
      <c r="G255" s="36" t="s">
        <v>0</v>
      </c>
      <c r="H255" s="36" t="s">
        <v>0</v>
      </c>
      <c r="I255" s="327" t="s">
        <v>9760</v>
      </c>
      <c r="J255" s="36" t="s">
        <v>0</v>
      </c>
      <c r="K255" s="36" t="s">
        <v>0</v>
      </c>
      <c r="L255" s="36" t="s">
        <v>0</v>
      </c>
      <c r="M255" s="116" t="s">
        <v>8986</v>
      </c>
      <c r="N255" s="116" t="s">
        <v>0</v>
      </c>
      <c r="O255" s="116" t="s">
        <v>0</v>
      </c>
      <c r="P255" s="116" t="s">
        <v>8875</v>
      </c>
      <c r="Q255" s="116" t="s">
        <v>9330</v>
      </c>
      <c r="R255" s="116" t="s">
        <v>9330</v>
      </c>
      <c r="S255" s="116" t="s">
        <v>0</v>
      </c>
      <c r="T255" s="116" t="s">
        <v>0</v>
      </c>
      <c r="U255" s="116" t="s">
        <v>8870</v>
      </c>
      <c r="V255" s="318" t="s">
        <v>9648</v>
      </c>
      <c r="W255" s="318" t="s">
        <v>9648</v>
      </c>
      <c r="X255" s="116" t="s">
        <v>9648</v>
      </c>
      <c r="Y255" s="116" t="s">
        <v>9648</v>
      </c>
      <c r="Z255" s="318" t="s">
        <v>9648</v>
      </c>
      <c r="AA255" s="38" t="s">
        <v>0</v>
      </c>
      <c r="AB255" s="116" t="s">
        <v>0</v>
      </c>
      <c r="AC255" s="116" t="s">
        <v>0</v>
      </c>
      <c r="AD255" s="116" t="s">
        <v>8876</v>
      </c>
      <c r="AE255" s="167"/>
      <c r="AF255" s="5"/>
      <c r="AG255" s="41"/>
    </row>
    <row r="256" spans="1:33">
      <c r="A256" s="185" t="s">
        <v>935</v>
      </c>
      <c r="B256" s="186" t="s">
        <v>0</v>
      </c>
      <c r="C256" s="52" t="s">
        <v>6933</v>
      </c>
      <c r="D256" s="52" t="s">
        <v>6933</v>
      </c>
      <c r="E256" s="52" t="s">
        <v>0</v>
      </c>
      <c r="F256" s="52" t="s">
        <v>0</v>
      </c>
      <c r="G256" s="52" t="s">
        <v>0</v>
      </c>
      <c r="H256" s="52" t="s">
        <v>0</v>
      </c>
      <c r="I256" s="52" t="s">
        <v>9763</v>
      </c>
      <c r="J256" s="52" t="s">
        <v>0</v>
      </c>
      <c r="K256" s="52" t="s">
        <v>0</v>
      </c>
      <c r="L256" s="52" t="s">
        <v>0</v>
      </c>
      <c r="M256" s="52" t="s">
        <v>8987</v>
      </c>
      <c r="N256" s="186" t="s">
        <v>7982</v>
      </c>
      <c r="O256" s="186" t="s">
        <v>7982</v>
      </c>
      <c r="P256" s="186" t="s">
        <v>7983</v>
      </c>
      <c r="Q256" s="186" t="s">
        <v>9332</v>
      </c>
      <c r="R256" s="186" t="s">
        <v>9332</v>
      </c>
      <c r="S256" s="52" t="s">
        <v>7555</v>
      </c>
      <c r="T256" s="52" t="s">
        <v>7555</v>
      </c>
      <c r="U256" s="186" t="s">
        <v>7553</v>
      </c>
      <c r="V256" s="186" t="s">
        <v>9647</v>
      </c>
      <c r="W256" s="186" t="s">
        <v>9647</v>
      </c>
      <c r="X256" s="186" t="s">
        <v>9647</v>
      </c>
      <c r="Y256" s="186" t="s">
        <v>9647</v>
      </c>
      <c r="Z256" s="186" t="s">
        <v>9647</v>
      </c>
      <c r="AA256" s="186" t="s">
        <v>0</v>
      </c>
      <c r="AB256" s="186" t="s">
        <v>0</v>
      </c>
      <c r="AC256" s="186" t="s">
        <v>0</v>
      </c>
      <c r="AD256" s="186" t="s">
        <v>8881</v>
      </c>
      <c r="AG256" s="41"/>
    </row>
    <row r="257" spans="1:34" s="40" customFormat="1" ht="409.5">
      <c r="A257" s="82" t="s">
        <v>8929</v>
      </c>
      <c r="B257" s="38"/>
      <c r="C257" s="36"/>
      <c r="D257" s="36"/>
      <c r="E257" s="36" t="s">
        <v>0</v>
      </c>
      <c r="F257" s="36" t="s">
        <v>0</v>
      </c>
      <c r="G257" s="36" t="s">
        <v>0</v>
      </c>
      <c r="H257" s="36" t="s">
        <v>0</v>
      </c>
      <c r="I257" s="327" t="s">
        <v>9761</v>
      </c>
      <c r="J257" s="36" t="s">
        <v>0</v>
      </c>
      <c r="K257" s="36" t="s">
        <v>0</v>
      </c>
      <c r="L257" s="36" t="s">
        <v>0</v>
      </c>
      <c r="M257" s="36" t="s">
        <v>8990</v>
      </c>
      <c r="N257" s="116" t="s">
        <v>0</v>
      </c>
      <c r="O257" s="116" t="s">
        <v>0</v>
      </c>
      <c r="P257" s="116" t="s">
        <v>8899</v>
      </c>
      <c r="Q257" s="116" t="s">
        <v>9331</v>
      </c>
      <c r="R257" s="116" t="s">
        <v>9331</v>
      </c>
      <c r="S257" s="116" t="s">
        <v>0</v>
      </c>
      <c r="T257" s="116" t="s">
        <v>0</v>
      </c>
      <c r="U257" s="116" t="s">
        <v>8869</v>
      </c>
      <c r="V257" s="116" t="s">
        <v>9646</v>
      </c>
      <c r="W257" s="116" t="s">
        <v>9646</v>
      </c>
      <c r="X257" s="116" t="s">
        <v>9646</v>
      </c>
      <c r="Y257" s="116" t="s">
        <v>9646</v>
      </c>
      <c r="Z257" s="116" t="s">
        <v>9646</v>
      </c>
      <c r="AA257" s="38" t="s">
        <v>0</v>
      </c>
      <c r="AB257" s="116" t="s">
        <v>0</v>
      </c>
      <c r="AC257" s="116" t="s">
        <v>0</v>
      </c>
      <c r="AD257" s="116" t="s">
        <v>8877</v>
      </c>
      <c r="AE257" s="167"/>
      <c r="AF257" s="5"/>
      <c r="AG257" s="41"/>
    </row>
    <row r="258" spans="1:34">
      <c r="A258" s="185"/>
      <c r="B258" s="186"/>
      <c r="C258" s="52"/>
      <c r="D258" s="52"/>
      <c r="E258" s="52"/>
      <c r="F258" s="52"/>
      <c r="G258" s="52"/>
      <c r="H258" s="52"/>
      <c r="I258" s="52" t="s">
        <v>9764</v>
      </c>
      <c r="J258" s="52"/>
      <c r="K258" s="52" t="s">
        <v>0</v>
      </c>
      <c r="L258" s="52" t="s">
        <v>0</v>
      </c>
      <c r="M258" s="52" t="s">
        <v>8991</v>
      </c>
      <c r="N258" s="186"/>
      <c r="O258" s="186"/>
      <c r="P258" s="186"/>
      <c r="Q258" s="186" t="s">
        <v>9335</v>
      </c>
      <c r="R258" s="186" t="s">
        <v>9335</v>
      </c>
      <c r="S258" s="52"/>
      <c r="T258" s="52"/>
      <c r="U258" s="186"/>
      <c r="V258" s="186" t="s">
        <v>9719</v>
      </c>
      <c r="W258" s="186" t="s">
        <v>9719</v>
      </c>
      <c r="X258" s="186" t="s">
        <v>9719</v>
      </c>
      <c r="Y258" s="186" t="s">
        <v>9719</v>
      </c>
      <c r="Z258" s="186" t="s">
        <v>9719</v>
      </c>
      <c r="AA258" s="186" t="s">
        <v>0</v>
      </c>
      <c r="AB258" s="186" t="s">
        <v>0</v>
      </c>
      <c r="AC258" s="186" t="s">
        <v>0</v>
      </c>
      <c r="AD258" s="186" t="s">
        <v>8880</v>
      </c>
      <c r="AG258" s="41"/>
    </row>
    <row r="259" spans="1:34" s="40" customFormat="1" ht="144">
      <c r="A259" s="82" t="s">
        <v>8930</v>
      </c>
      <c r="B259" s="38"/>
      <c r="C259" s="36"/>
      <c r="D259" s="36"/>
      <c r="E259" s="36" t="s">
        <v>0</v>
      </c>
      <c r="F259" s="36" t="s">
        <v>0</v>
      </c>
      <c r="G259" s="36" t="s">
        <v>0</v>
      </c>
      <c r="H259" s="36" t="s">
        <v>0</v>
      </c>
      <c r="I259" s="36" t="s">
        <v>9762</v>
      </c>
      <c r="J259" s="36" t="s">
        <v>0</v>
      </c>
      <c r="K259" s="36" t="s">
        <v>0</v>
      </c>
      <c r="L259" s="36" t="s">
        <v>0</v>
      </c>
      <c r="M259" s="36" t="s">
        <v>8988</v>
      </c>
      <c r="N259" s="116" t="s">
        <v>0</v>
      </c>
      <c r="O259" s="116" t="s">
        <v>0</v>
      </c>
      <c r="P259" s="116" t="s">
        <v>8900</v>
      </c>
      <c r="Q259" s="116" t="s">
        <v>9334</v>
      </c>
      <c r="R259" s="116" t="s">
        <v>9334</v>
      </c>
      <c r="S259" s="116" t="s">
        <v>0</v>
      </c>
      <c r="T259" s="116" t="s">
        <v>0</v>
      </c>
      <c r="U259" s="116" t="s">
        <v>9650</v>
      </c>
      <c r="V259" s="116" t="s">
        <v>9649</v>
      </c>
      <c r="W259" s="116" t="s">
        <v>9649</v>
      </c>
      <c r="X259" s="116" t="s">
        <v>9649</v>
      </c>
      <c r="Y259" s="116" t="s">
        <v>9649</v>
      </c>
      <c r="Z259" s="116" t="s">
        <v>9649</v>
      </c>
      <c r="AA259" s="38" t="s">
        <v>0</v>
      </c>
      <c r="AB259" s="116" t="s">
        <v>0</v>
      </c>
      <c r="AC259" s="116" t="s">
        <v>0</v>
      </c>
      <c r="AD259" s="116" t="s">
        <v>8878</v>
      </c>
      <c r="AE259" s="167"/>
      <c r="AF259" s="5"/>
      <c r="AG259" s="41"/>
    </row>
    <row r="260" spans="1:34">
      <c r="A260" s="185"/>
      <c r="B260" s="186"/>
      <c r="C260" s="52"/>
      <c r="D260" s="52"/>
      <c r="E260" s="52"/>
      <c r="F260" s="52"/>
      <c r="G260" s="52"/>
      <c r="H260" s="52"/>
      <c r="I260" s="52" t="s">
        <v>9765</v>
      </c>
      <c r="J260" s="52"/>
      <c r="K260" s="52" t="s">
        <v>0</v>
      </c>
      <c r="L260" s="52" t="s">
        <v>0</v>
      </c>
      <c r="M260" s="52" t="s">
        <v>8989</v>
      </c>
      <c r="N260" s="186"/>
      <c r="O260" s="186"/>
      <c r="P260" s="186"/>
      <c r="Q260" s="186" t="s">
        <v>9333</v>
      </c>
      <c r="R260" s="186" t="s">
        <v>9333</v>
      </c>
      <c r="S260" s="52"/>
      <c r="T260" s="52"/>
      <c r="U260" s="186"/>
      <c r="V260" s="186" t="s">
        <v>9719</v>
      </c>
      <c r="W260" s="186" t="s">
        <v>9719</v>
      </c>
      <c r="X260" s="186" t="s">
        <v>9719</v>
      </c>
      <c r="Y260" s="186" t="s">
        <v>9719</v>
      </c>
      <c r="Z260" s="186" t="s">
        <v>9719</v>
      </c>
      <c r="AA260" s="186" t="s">
        <v>0</v>
      </c>
      <c r="AB260" s="186" t="s">
        <v>0</v>
      </c>
      <c r="AC260" s="186" t="s">
        <v>0</v>
      </c>
      <c r="AD260" s="186" t="s">
        <v>8879</v>
      </c>
      <c r="AG260" s="41"/>
    </row>
    <row r="261" spans="1:34" s="40" customFormat="1" ht="195" customHeight="1">
      <c r="A261" s="82" t="s">
        <v>9114</v>
      </c>
      <c r="B261" s="38" t="s">
        <v>0</v>
      </c>
      <c r="C261" s="36" t="s">
        <v>6949</v>
      </c>
      <c r="D261" s="36" t="s">
        <v>6949</v>
      </c>
      <c r="E261" s="36" t="s">
        <v>0</v>
      </c>
      <c r="F261" s="36" t="s">
        <v>0</v>
      </c>
      <c r="G261" s="36" t="s">
        <v>0</v>
      </c>
      <c r="H261" s="36" t="s">
        <v>0</v>
      </c>
      <c r="I261" s="36" t="s">
        <v>0</v>
      </c>
      <c r="J261" s="36" t="s">
        <v>0</v>
      </c>
      <c r="K261" s="36" t="s">
        <v>0</v>
      </c>
      <c r="L261" s="36" t="s">
        <v>0</v>
      </c>
      <c r="M261" s="36" t="s">
        <v>0</v>
      </c>
      <c r="N261" s="7" t="s">
        <v>0</v>
      </c>
      <c r="O261" s="7" t="s">
        <v>0</v>
      </c>
      <c r="P261" s="7" t="s">
        <v>0</v>
      </c>
      <c r="Q261" s="7" t="s">
        <v>0</v>
      </c>
      <c r="R261" s="7" t="s">
        <v>0</v>
      </c>
      <c r="S261" s="7" t="s">
        <v>0</v>
      </c>
      <c r="T261" s="7" t="s">
        <v>0</v>
      </c>
      <c r="U261" s="7" t="s">
        <v>0</v>
      </c>
      <c r="V261" s="320" t="s">
        <v>9645</v>
      </c>
      <c r="W261" s="320" t="s">
        <v>9645</v>
      </c>
      <c r="X261" s="320" t="s">
        <v>9645</v>
      </c>
      <c r="Y261" s="320" t="s">
        <v>9645</v>
      </c>
      <c r="Z261" s="320" t="s">
        <v>9645</v>
      </c>
      <c r="AA261" s="38" t="s">
        <v>0</v>
      </c>
      <c r="AB261" s="7" t="s">
        <v>0</v>
      </c>
      <c r="AC261" s="7" t="s">
        <v>0</v>
      </c>
      <c r="AD261" s="7" t="s">
        <v>0</v>
      </c>
      <c r="AE261" s="167"/>
      <c r="AF261" s="5"/>
      <c r="AG261" s="41"/>
    </row>
    <row r="262" spans="1:34">
      <c r="A262" s="185" t="s">
        <v>935</v>
      </c>
      <c r="B262" s="186" t="s">
        <v>0</v>
      </c>
      <c r="C262" s="52" t="s">
        <v>6950</v>
      </c>
      <c r="D262" s="52" t="s">
        <v>6950</v>
      </c>
      <c r="E262" s="52" t="s">
        <v>0</v>
      </c>
      <c r="F262" s="52" t="s">
        <v>0</v>
      </c>
      <c r="G262" s="52" t="s">
        <v>0</v>
      </c>
      <c r="H262" s="52" t="s">
        <v>0</v>
      </c>
      <c r="I262" s="52"/>
      <c r="J262" s="52" t="s">
        <v>0</v>
      </c>
      <c r="K262" s="52" t="s">
        <v>0</v>
      </c>
      <c r="L262" s="52" t="s">
        <v>0</v>
      </c>
      <c r="M262" s="52" t="s">
        <v>0</v>
      </c>
      <c r="N262" s="186" t="s">
        <v>0</v>
      </c>
      <c r="O262" s="186" t="s">
        <v>0</v>
      </c>
      <c r="P262" s="186" t="s">
        <v>0</v>
      </c>
      <c r="Q262" s="186" t="s">
        <v>0</v>
      </c>
      <c r="R262" s="186" t="s">
        <v>0</v>
      </c>
      <c r="S262" s="186" t="s">
        <v>0</v>
      </c>
      <c r="T262" s="186" t="s">
        <v>0</v>
      </c>
      <c r="U262" s="186" t="s">
        <v>0</v>
      </c>
      <c r="V262" s="186" t="s">
        <v>9644</v>
      </c>
      <c r="W262" s="186" t="s">
        <v>9644</v>
      </c>
      <c r="X262" s="186" t="s">
        <v>9644</v>
      </c>
      <c r="Y262" s="186" t="s">
        <v>9644</v>
      </c>
      <c r="Z262" s="186" t="s">
        <v>9644</v>
      </c>
      <c r="AA262" s="186" t="s">
        <v>0</v>
      </c>
      <c r="AB262" s="186" t="s">
        <v>0</v>
      </c>
      <c r="AC262" s="186" t="s">
        <v>0</v>
      </c>
      <c r="AD262" s="186" t="s">
        <v>0</v>
      </c>
      <c r="AG262" s="41"/>
    </row>
    <row r="263" spans="1:34" s="40" customFormat="1" ht="129.94999999999999" customHeight="1">
      <c r="A263" s="82" t="s">
        <v>6664</v>
      </c>
      <c r="B263" s="36" t="s">
        <v>6899</v>
      </c>
      <c r="C263" s="36" t="s">
        <v>6899</v>
      </c>
      <c r="D263" s="36" t="s">
        <v>6899</v>
      </c>
      <c r="E263" s="36" t="s">
        <v>0</v>
      </c>
      <c r="F263" s="36" t="s">
        <v>0</v>
      </c>
      <c r="G263" s="36" t="s">
        <v>0</v>
      </c>
      <c r="H263" s="36" t="s">
        <v>0</v>
      </c>
      <c r="I263" s="36" t="s">
        <v>8655</v>
      </c>
      <c r="J263" s="36" t="s">
        <v>0</v>
      </c>
      <c r="K263" s="36" t="s">
        <v>0</v>
      </c>
      <c r="L263" s="36" t="s">
        <v>0</v>
      </c>
      <c r="M263" s="36" t="s">
        <v>8997</v>
      </c>
      <c r="N263" s="36" t="s">
        <v>8145</v>
      </c>
      <c r="O263" s="36" t="s">
        <v>8145</v>
      </c>
      <c r="P263" s="36" t="s">
        <v>8145</v>
      </c>
      <c r="Q263" s="36" t="s">
        <v>9741</v>
      </c>
      <c r="R263" s="36" t="s">
        <v>9742</v>
      </c>
      <c r="S263" s="220"/>
      <c r="T263" s="220"/>
      <c r="U263" s="220" t="s">
        <v>7542</v>
      </c>
      <c r="V263" s="36" t="s">
        <v>7779</v>
      </c>
      <c r="W263" s="36" t="s">
        <v>7779</v>
      </c>
      <c r="X263" s="36" t="s">
        <v>7779</v>
      </c>
      <c r="Y263" s="36" t="s">
        <v>7779</v>
      </c>
      <c r="Z263" s="36" t="s">
        <v>7779</v>
      </c>
      <c r="AA263" s="38" t="s">
        <v>0</v>
      </c>
      <c r="AB263" s="36" t="s">
        <v>0</v>
      </c>
      <c r="AC263" s="36" t="s">
        <v>0</v>
      </c>
      <c r="AD263" s="36" t="s">
        <v>0</v>
      </c>
      <c r="AE263" s="167"/>
      <c r="AF263" s="5"/>
      <c r="AG263" s="41"/>
    </row>
    <row r="264" spans="1:34" ht="18">
      <c r="A264" s="185" t="s">
        <v>935</v>
      </c>
      <c r="B264" s="186"/>
      <c r="C264" s="186"/>
      <c r="D264" s="186"/>
      <c r="E264" s="186" t="s">
        <v>0</v>
      </c>
      <c r="F264" s="186" t="s">
        <v>0</v>
      </c>
      <c r="G264" s="186" t="s">
        <v>0</v>
      </c>
      <c r="H264" s="186" t="s">
        <v>0</v>
      </c>
      <c r="I264" s="52" t="s">
        <v>8656</v>
      </c>
      <c r="J264" s="186" t="s">
        <v>0</v>
      </c>
      <c r="K264" s="186" t="s">
        <v>0</v>
      </c>
      <c r="L264" s="186" t="s">
        <v>0</v>
      </c>
      <c r="M264" s="186" t="s">
        <v>8998</v>
      </c>
      <c r="N264" s="52" t="s">
        <v>8146</v>
      </c>
      <c r="O264" s="52"/>
      <c r="P264" s="52"/>
      <c r="Q264" s="84" t="s">
        <v>9743</v>
      </c>
      <c r="R264" s="84" t="s">
        <v>9743</v>
      </c>
      <c r="S264" s="186"/>
      <c r="T264" s="186"/>
      <c r="U264" s="52" t="s">
        <v>7543</v>
      </c>
      <c r="V264" s="52" t="s">
        <v>9720</v>
      </c>
      <c r="W264" s="52" t="s">
        <v>9720</v>
      </c>
      <c r="X264" s="52" t="s">
        <v>9720</v>
      </c>
      <c r="Y264" s="52" t="s">
        <v>9720</v>
      </c>
      <c r="Z264" s="52" t="s">
        <v>9720</v>
      </c>
      <c r="AA264" s="186" t="s">
        <v>0</v>
      </c>
      <c r="AB264" s="52" t="s">
        <v>0</v>
      </c>
      <c r="AC264" s="52" t="s">
        <v>0</v>
      </c>
      <c r="AD264" s="52" t="s">
        <v>0</v>
      </c>
      <c r="AG264" s="41"/>
    </row>
    <row r="265" spans="1:34" s="41" customFormat="1" ht="60" customHeight="1">
      <c r="A265" s="6" t="s">
        <v>6901</v>
      </c>
      <c r="B265" s="36" t="s">
        <v>7185</v>
      </c>
      <c r="C265" s="36" t="s">
        <v>7185</v>
      </c>
      <c r="D265" s="36" t="s">
        <v>7185</v>
      </c>
      <c r="E265" s="36" t="s">
        <v>0</v>
      </c>
      <c r="F265" s="36" t="s">
        <v>0</v>
      </c>
      <c r="G265" s="36" t="s">
        <v>0</v>
      </c>
      <c r="H265" s="36" t="s">
        <v>0</v>
      </c>
      <c r="I265" s="36" t="s">
        <v>0</v>
      </c>
      <c r="J265" s="36" t="s">
        <v>0</v>
      </c>
      <c r="K265" s="36" t="s">
        <v>0</v>
      </c>
      <c r="L265" s="36" t="s">
        <v>0</v>
      </c>
      <c r="M265" s="36" t="s">
        <v>0</v>
      </c>
      <c r="N265" s="36" t="s">
        <v>0</v>
      </c>
      <c r="O265" s="36" t="s">
        <v>0</v>
      </c>
      <c r="P265" s="36" t="s">
        <v>0</v>
      </c>
      <c r="Q265" s="36" t="s">
        <v>0</v>
      </c>
      <c r="R265" s="36" t="s">
        <v>0</v>
      </c>
      <c r="S265" s="38" t="s">
        <v>6974</v>
      </c>
      <c r="T265" s="38" t="s">
        <v>6974</v>
      </c>
      <c r="U265" s="38" t="s">
        <v>6974</v>
      </c>
      <c r="V265" s="38" t="s">
        <v>0</v>
      </c>
      <c r="W265" s="36" t="s">
        <v>0</v>
      </c>
      <c r="X265" s="36" t="s">
        <v>0</v>
      </c>
      <c r="Y265" s="36" t="s">
        <v>0</v>
      </c>
      <c r="Z265" s="36" t="s">
        <v>0</v>
      </c>
      <c r="AA265" s="38" t="s">
        <v>0</v>
      </c>
      <c r="AB265" s="36" t="s">
        <v>8887</v>
      </c>
      <c r="AC265" s="36" t="s">
        <v>8887</v>
      </c>
      <c r="AD265" s="36" t="s">
        <v>8887</v>
      </c>
      <c r="AE265" s="168"/>
      <c r="AF265" s="5"/>
      <c r="AH265" s="40"/>
    </row>
    <row r="266" spans="1:34">
      <c r="A266" s="51" t="s">
        <v>935</v>
      </c>
      <c r="B266" s="84" t="s">
        <v>6905</v>
      </c>
      <c r="C266" s="84" t="s">
        <v>6905</v>
      </c>
      <c r="D266" s="84" t="s">
        <v>6905</v>
      </c>
      <c r="E266" s="84" t="s">
        <v>8699</v>
      </c>
      <c r="F266" s="84" t="s">
        <v>8699</v>
      </c>
      <c r="G266" s="84" t="s">
        <v>8699</v>
      </c>
      <c r="H266" s="84" t="s">
        <v>8699</v>
      </c>
      <c r="I266" s="84" t="s">
        <v>8699</v>
      </c>
      <c r="J266" s="84" t="s">
        <v>8699</v>
      </c>
      <c r="K266" s="84" t="s">
        <v>0</v>
      </c>
      <c r="L266" s="84" t="s">
        <v>0</v>
      </c>
      <c r="M266" s="84" t="s">
        <v>0</v>
      </c>
      <c r="N266" s="52" t="s">
        <v>0</v>
      </c>
      <c r="O266" s="52" t="s">
        <v>0</v>
      </c>
      <c r="P266" s="52" t="s">
        <v>0</v>
      </c>
      <c r="Q266" s="52" t="s">
        <v>0</v>
      </c>
      <c r="R266" s="52" t="s">
        <v>0</v>
      </c>
      <c r="S266" s="52" t="s">
        <v>1443</v>
      </c>
      <c r="T266" s="52" t="s">
        <v>1443</v>
      </c>
      <c r="U266" s="52" t="s">
        <v>1443</v>
      </c>
      <c r="V266" s="52" t="s">
        <v>9480</v>
      </c>
      <c r="W266" s="52" t="s">
        <v>9480</v>
      </c>
      <c r="X266" s="52" t="s">
        <v>9480</v>
      </c>
      <c r="Y266" s="52" t="s">
        <v>9480</v>
      </c>
      <c r="Z266" s="52" t="s">
        <v>9480</v>
      </c>
      <c r="AA266" s="52" t="s">
        <v>0</v>
      </c>
      <c r="AB266" s="52" t="s">
        <v>8888</v>
      </c>
      <c r="AC266" s="52" t="s">
        <v>8888</v>
      </c>
      <c r="AD266" s="52" t="s">
        <v>8888</v>
      </c>
      <c r="AG266" s="41"/>
    </row>
    <row r="267" spans="1:34" s="40" customFormat="1" ht="50.1" customHeight="1">
      <c r="A267" s="6" t="s">
        <v>6902</v>
      </c>
      <c r="B267" s="36" t="s">
        <v>6906</v>
      </c>
      <c r="C267" s="36" t="s">
        <v>6906</v>
      </c>
      <c r="D267" s="36" t="s">
        <v>6906</v>
      </c>
      <c r="E267" s="36" t="s">
        <v>8698</v>
      </c>
      <c r="F267" s="36" t="s">
        <v>8698</v>
      </c>
      <c r="G267" s="36" t="s">
        <v>8698</v>
      </c>
      <c r="H267" s="36" t="s">
        <v>8698</v>
      </c>
      <c r="I267" s="36" t="s">
        <v>8698</v>
      </c>
      <c r="J267" s="36" t="s">
        <v>8698</v>
      </c>
      <c r="K267" s="7" t="s">
        <v>8992</v>
      </c>
      <c r="L267" s="7" t="s">
        <v>8992</v>
      </c>
      <c r="M267" s="7" t="s">
        <v>8992</v>
      </c>
      <c r="N267" s="36" t="s">
        <v>8005</v>
      </c>
      <c r="O267" s="36" t="s">
        <v>8006</v>
      </c>
      <c r="P267" s="36" t="s">
        <v>8006</v>
      </c>
      <c r="Q267" s="36" t="s">
        <v>9328</v>
      </c>
      <c r="R267" s="36" t="s">
        <v>9328</v>
      </c>
      <c r="S267" s="38" t="s">
        <v>6974</v>
      </c>
      <c r="T267" s="38" t="s">
        <v>6974</v>
      </c>
      <c r="U267" s="38" t="s">
        <v>6974</v>
      </c>
      <c r="V267" s="36" t="s">
        <v>9642</v>
      </c>
      <c r="W267" s="36" t="s">
        <v>9642</v>
      </c>
      <c r="X267" s="36" t="s">
        <v>9642</v>
      </c>
      <c r="Y267" s="36" t="s">
        <v>9642</v>
      </c>
      <c r="Z267" s="36" t="s">
        <v>9642</v>
      </c>
      <c r="AA267" s="38" t="s">
        <v>0</v>
      </c>
      <c r="AB267" s="36" t="s">
        <v>8887</v>
      </c>
      <c r="AC267" s="36" t="s">
        <v>8887</v>
      </c>
      <c r="AD267" s="36" t="s">
        <v>8887</v>
      </c>
      <c r="AE267" s="167"/>
      <c r="AF267" s="5"/>
      <c r="AG267" s="41"/>
      <c r="AH267" s="41"/>
    </row>
    <row r="268" spans="1:34">
      <c r="A268" s="51" t="s">
        <v>935</v>
      </c>
      <c r="B268" s="84" t="s">
        <v>6907</v>
      </c>
      <c r="C268" s="84" t="s">
        <v>6907</v>
      </c>
      <c r="D268" s="84" t="s">
        <v>6907</v>
      </c>
      <c r="E268" s="84" t="s">
        <v>8699</v>
      </c>
      <c r="F268" s="84" t="s">
        <v>8699</v>
      </c>
      <c r="G268" s="84" t="s">
        <v>8699</v>
      </c>
      <c r="H268" s="84" t="s">
        <v>8699</v>
      </c>
      <c r="I268" s="84" t="s">
        <v>8699</v>
      </c>
      <c r="J268" s="84" t="s">
        <v>8699</v>
      </c>
      <c r="K268" s="52" t="s">
        <v>7186</v>
      </c>
      <c r="L268" s="52" t="s">
        <v>7186</v>
      </c>
      <c r="M268" s="52" t="s">
        <v>7186</v>
      </c>
      <c r="N268" s="52" t="s">
        <v>8004</v>
      </c>
      <c r="O268" s="52" t="s">
        <v>8004</v>
      </c>
      <c r="P268" s="52" t="s">
        <v>8004</v>
      </c>
      <c r="Q268" s="52" t="s">
        <v>9336</v>
      </c>
      <c r="R268" s="52" t="s">
        <v>9336</v>
      </c>
      <c r="S268" s="52" t="s">
        <v>1443</v>
      </c>
      <c r="T268" s="52" t="s">
        <v>1443</v>
      </c>
      <c r="U268" s="52" t="s">
        <v>1443</v>
      </c>
      <c r="V268" s="52" t="s">
        <v>9643</v>
      </c>
      <c r="W268" s="52" t="s">
        <v>9643</v>
      </c>
      <c r="X268" s="52" t="s">
        <v>9643</v>
      </c>
      <c r="Y268" s="52" t="s">
        <v>9643</v>
      </c>
      <c r="Z268" s="52" t="s">
        <v>9643</v>
      </c>
      <c r="AA268" s="52" t="s">
        <v>0</v>
      </c>
      <c r="AB268" s="52" t="s">
        <v>8888</v>
      </c>
      <c r="AC268" s="52" t="s">
        <v>8888</v>
      </c>
      <c r="AD268" s="52" t="s">
        <v>8888</v>
      </c>
      <c r="AG268" s="41"/>
    </row>
    <row r="269" spans="1:34" s="40" customForma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167"/>
      <c r="AF269" s="5"/>
      <c r="AG269" s="41"/>
    </row>
    <row r="270" spans="1:34" ht="20.100000000000001" customHeight="1">
      <c r="A270" s="22" t="s">
        <v>15</v>
      </c>
      <c r="B270" s="18" t="str">
        <f t="shared" ref="B270:AD270" si="8">B1</f>
        <v>Allianz</v>
      </c>
      <c r="C270" s="18" t="str">
        <f t="shared" si="8"/>
        <v>Allianz SicherheitBest</v>
      </c>
      <c r="D270" s="18" t="str">
        <f t="shared" si="8"/>
        <v>Allianz SicherheitPlus</v>
      </c>
      <c r="E270" s="18" t="str">
        <f t="shared" si="8"/>
        <v>Ammerländer Basic</v>
      </c>
      <c r="F270" s="18" t="str">
        <f t="shared" si="8"/>
        <v>Ammerländer Classic</v>
      </c>
      <c r="G270" s="18" t="str">
        <f t="shared" si="8"/>
        <v>Ammerländer Comfort</v>
      </c>
      <c r="H270" s="18" t="str">
        <f t="shared" si="8"/>
        <v>Ammerländer Economic</v>
      </c>
      <c r="I270" s="18" t="str">
        <f t="shared" si="8"/>
        <v>Ammerländer Excellent</v>
      </c>
      <c r="J270" s="18" t="str">
        <f t="shared" si="8"/>
        <v>Ammerländer Exclusiv</v>
      </c>
      <c r="K270" s="18" t="str">
        <f t="shared" si="8"/>
        <v>Domcura Komfort</v>
      </c>
      <c r="L270" s="18" t="str">
        <f t="shared" si="8"/>
        <v>Domcura Standard</v>
      </c>
      <c r="M270" s="18" t="str">
        <f t="shared" si="8"/>
        <v>Domcura Top</v>
      </c>
      <c r="N270" s="18" t="str">
        <f t="shared" si="8"/>
        <v>Gothaer Basis</v>
      </c>
      <c r="O270" s="18" t="str">
        <f t="shared" si="8"/>
        <v>Gothaer Plus</v>
      </c>
      <c r="P270" s="18" t="str">
        <f t="shared" si="8"/>
        <v>Gothaer Premium</v>
      </c>
      <c r="Q270" s="18" t="str">
        <f t="shared" si="8"/>
        <v>HK Darmstadt Einfach Besser</v>
      </c>
      <c r="R270" s="18" t="str">
        <f t="shared" si="8"/>
        <v>HK Darmstadt Eindach Komplett</v>
      </c>
      <c r="S270" s="18" t="str">
        <f t="shared" si="8"/>
        <v>InterRisk L</v>
      </c>
      <c r="T270" s="18" t="str">
        <f t="shared" si="8"/>
        <v>InterRisk XL</v>
      </c>
      <c r="U270" s="18" t="str">
        <f t="shared" si="8"/>
        <v>InterRisk XXL</v>
      </c>
      <c r="V270" s="18" t="str">
        <f t="shared" si="8"/>
        <v>ITL Classic VS</v>
      </c>
      <c r="W270" s="18" t="str">
        <f t="shared" si="8"/>
        <v>ITL Eurosecure Plus QM afm</v>
      </c>
      <c r="X270" s="18" t="str">
        <f t="shared" si="8"/>
        <v>ITL Infinitus QM</v>
      </c>
      <c r="Y270" s="18" t="str">
        <f t="shared" si="8"/>
        <v>ITL Infinitus VS</v>
      </c>
      <c r="Z270" s="18" t="str">
        <f t="shared" si="8"/>
        <v>ITL Protect Plus VS</v>
      </c>
      <c r="AA270" s="18" t="str">
        <f t="shared" si="8"/>
        <v>Keine</v>
      </c>
      <c r="AB270" s="18" t="str">
        <f t="shared" si="8"/>
        <v>VHV Kl. Garant</v>
      </c>
      <c r="AC270" s="18" t="str">
        <f t="shared" si="8"/>
        <v>VHV Kl. Garant Exkl.</v>
      </c>
      <c r="AD270" s="18" t="str">
        <f t="shared" si="8"/>
        <v>VHV Kl. Garant Exkl.BEST</v>
      </c>
      <c r="AG270" s="41"/>
    </row>
    <row r="271" spans="1:34" s="40" customFormat="1" ht="20.100000000000001" customHeight="1">
      <c r="A271" s="181" t="s">
        <v>8920</v>
      </c>
      <c r="B271" s="38" t="s">
        <v>57</v>
      </c>
      <c r="C271" s="38" t="s">
        <v>57</v>
      </c>
      <c r="D271" s="38" t="s">
        <v>57</v>
      </c>
      <c r="E271" s="38" t="s">
        <v>57</v>
      </c>
      <c r="F271" s="38" t="s">
        <v>57</v>
      </c>
      <c r="G271" s="38" t="s">
        <v>57</v>
      </c>
      <c r="H271" s="38" t="s">
        <v>57</v>
      </c>
      <c r="I271" s="38" t="s">
        <v>57</v>
      </c>
      <c r="J271" s="38" t="s">
        <v>57</v>
      </c>
      <c r="K271" s="36" t="s">
        <v>7120</v>
      </c>
      <c r="L271" s="36" t="s">
        <v>7095</v>
      </c>
      <c r="M271" s="38" t="s">
        <v>57</v>
      </c>
      <c r="N271" s="36" t="s">
        <v>8037</v>
      </c>
      <c r="O271" s="36" t="s">
        <v>8037</v>
      </c>
      <c r="P271" s="36" t="s">
        <v>8037</v>
      </c>
      <c r="Q271" s="36" t="s">
        <v>8037</v>
      </c>
      <c r="R271" s="36" t="s">
        <v>8037</v>
      </c>
      <c r="S271" s="36" t="s">
        <v>57</v>
      </c>
      <c r="T271" s="36" t="s">
        <v>57</v>
      </c>
      <c r="U271" s="36" t="s">
        <v>57</v>
      </c>
      <c r="V271" s="36" t="s">
        <v>7768</v>
      </c>
      <c r="W271" s="36" t="s">
        <v>7768</v>
      </c>
      <c r="X271" s="36" t="s">
        <v>57</v>
      </c>
      <c r="Y271" s="36" t="s">
        <v>7768</v>
      </c>
      <c r="Z271" s="36" t="s">
        <v>7768</v>
      </c>
      <c r="AA271" s="38" t="s">
        <v>0</v>
      </c>
      <c r="AB271" s="36" t="s">
        <v>57</v>
      </c>
      <c r="AC271" s="36" t="s">
        <v>57</v>
      </c>
      <c r="AD271" s="36" t="s">
        <v>57</v>
      </c>
      <c r="AE271" s="167"/>
      <c r="AF271" s="5"/>
      <c r="AG271" s="41"/>
    </row>
    <row r="272" spans="1:34">
      <c r="A272" s="51" t="s">
        <v>935</v>
      </c>
      <c r="B272" s="52"/>
      <c r="C272" s="52"/>
      <c r="D272" s="52"/>
      <c r="E272" s="52" t="s">
        <v>8241</v>
      </c>
      <c r="F272" s="52" t="s">
        <v>8241</v>
      </c>
      <c r="G272" s="52" t="s">
        <v>8241</v>
      </c>
      <c r="H272" s="52" t="s">
        <v>8241</v>
      </c>
      <c r="I272" s="52" t="s">
        <v>8241</v>
      </c>
      <c r="J272" s="52" t="s">
        <v>8241</v>
      </c>
      <c r="K272" s="186" t="s">
        <v>9028</v>
      </c>
      <c r="L272" s="186" t="s">
        <v>7085</v>
      </c>
      <c r="M272" s="186" t="s">
        <v>9077</v>
      </c>
      <c r="N272" s="52" t="s">
        <v>8038</v>
      </c>
      <c r="O272" s="52" t="s">
        <v>8038</v>
      </c>
      <c r="P272" s="52" t="s">
        <v>8038</v>
      </c>
      <c r="Q272" s="52" t="s">
        <v>9314</v>
      </c>
      <c r="R272" s="52" t="s">
        <v>9314</v>
      </c>
      <c r="S272" s="52" t="s">
        <v>7261</v>
      </c>
      <c r="T272" s="52" t="s">
        <v>7387</v>
      </c>
      <c r="U272" s="52" t="s">
        <v>7518</v>
      </c>
      <c r="V272" s="52" t="s">
        <v>9476</v>
      </c>
      <c r="W272" s="52" t="s">
        <v>9476</v>
      </c>
      <c r="X272" s="52" t="s">
        <v>9476</v>
      </c>
      <c r="Y272" s="52" t="s">
        <v>9476</v>
      </c>
      <c r="Z272" s="52" t="s">
        <v>9476</v>
      </c>
      <c r="AA272" s="52" t="s">
        <v>0</v>
      </c>
      <c r="AB272" s="52" t="s">
        <v>8074</v>
      </c>
      <c r="AC272" s="52" t="s">
        <v>8074</v>
      </c>
      <c r="AD272" s="52" t="s">
        <v>8074</v>
      </c>
      <c r="AG272" s="41"/>
    </row>
    <row r="273" spans="1:34" ht="50.1" customHeight="1">
      <c r="A273" s="181" t="s">
        <v>6815</v>
      </c>
      <c r="B273" s="38" t="s">
        <v>57</v>
      </c>
      <c r="C273" s="38" t="s">
        <v>57</v>
      </c>
      <c r="D273" s="38" t="s">
        <v>57</v>
      </c>
      <c r="E273" s="38" t="s">
        <v>57</v>
      </c>
      <c r="F273" s="38" t="s">
        <v>57</v>
      </c>
      <c r="G273" s="38" t="s">
        <v>57</v>
      </c>
      <c r="H273" s="38" t="s">
        <v>57</v>
      </c>
      <c r="I273" s="38" t="s">
        <v>57</v>
      </c>
      <c r="J273" s="38" t="s">
        <v>57</v>
      </c>
      <c r="K273" s="36" t="s">
        <v>7535</v>
      </c>
      <c r="L273" s="36" t="s">
        <v>7536</v>
      </c>
      <c r="M273" s="36" t="s">
        <v>9078</v>
      </c>
      <c r="N273" s="36" t="s">
        <v>57</v>
      </c>
      <c r="O273" s="36" t="s">
        <v>57</v>
      </c>
      <c r="P273" s="36" t="s">
        <v>57</v>
      </c>
      <c r="Q273" s="36" t="s">
        <v>57</v>
      </c>
      <c r="R273" s="36" t="s">
        <v>57</v>
      </c>
      <c r="S273" s="36" t="s">
        <v>57</v>
      </c>
      <c r="T273" s="36" t="s">
        <v>57</v>
      </c>
      <c r="U273" s="36" t="s">
        <v>7537</v>
      </c>
      <c r="V273" s="36" t="s">
        <v>57</v>
      </c>
      <c r="W273" s="36" t="s">
        <v>57</v>
      </c>
      <c r="X273" s="36" t="s">
        <v>57</v>
      </c>
      <c r="Y273" s="36" t="s">
        <v>57</v>
      </c>
      <c r="Z273" s="36" t="s">
        <v>57</v>
      </c>
      <c r="AA273" s="38" t="s">
        <v>0</v>
      </c>
      <c r="AB273" s="36" t="s">
        <v>57</v>
      </c>
      <c r="AC273" s="36" t="s">
        <v>57</v>
      </c>
      <c r="AD273" s="36" t="s">
        <v>57</v>
      </c>
      <c r="AG273" s="41"/>
      <c r="AH273" s="40"/>
    </row>
    <row r="274" spans="1:34">
      <c r="A274" s="51" t="s">
        <v>935</v>
      </c>
      <c r="B274" s="52" t="s">
        <v>6817</v>
      </c>
      <c r="C274" s="52" t="s">
        <v>6817</v>
      </c>
      <c r="D274" s="52" t="s">
        <v>6817</v>
      </c>
      <c r="E274" s="52" t="s">
        <v>8206</v>
      </c>
      <c r="F274" s="52" t="s">
        <v>8206</v>
      </c>
      <c r="G274" s="52" t="s">
        <v>8206</v>
      </c>
      <c r="H274" s="52" t="s">
        <v>8206</v>
      </c>
      <c r="I274" s="52" t="s">
        <v>8206</v>
      </c>
      <c r="J274" s="52" t="s">
        <v>8206</v>
      </c>
      <c r="K274" s="186" t="s">
        <v>9029</v>
      </c>
      <c r="L274" s="186" t="s">
        <v>7075</v>
      </c>
      <c r="M274" s="186" t="s">
        <v>9080</v>
      </c>
      <c r="N274" s="52" t="s">
        <v>8025</v>
      </c>
      <c r="O274" s="52" t="s">
        <v>8025</v>
      </c>
      <c r="P274" s="52" t="s">
        <v>8025</v>
      </c>
      <c r="Q274" s="52" t="s">
        <v>9246</v>
      </c>
      <c r="R274" s="52" t="s">
        <v>9246</v>
      </c>
      <c r="S274" s="52" t="s">
        <v>7262</v>
      </c>
      <c r="T274" s="52" t="s">
        <v>7388</v>
      </c>
      <c r="U274" s="52" t="s">
        <v>7538</v>
      </c>
      <c r="V274" s="52" t="s">
        <v>9416</v>
      </c>
      <c r="W274" s="52" t="s">
        <v>9416</v>
      </c>
      <c r="X274" s="52" t="s">
        <v>9416</v>
      </c>
      <c r="Y274" s="52" t="s">
        <v>9416</v>
      </c>
      <c r="Z274" s="52" t="s">
        <v>9416</v>
      </c>
      <c r="AA274" s="52" t="s">
        <v>0</v>
      </c>
      <c r="AB274" s="52" t="s">
        <v>8858</v>
      </c>
      <c r="AC274" s="52" t="s">
        <v>8858</v>
      </c>
      <c r="AD274" s="52" t="s">
        <v>8858</v>
      </c>
      <c r="AG274" s="41"/>
    </row>
    <row r="275" spans="1:34" ht="30" customHeight="1">
      <c r="A275" s="62" t="s">
        <v>6814</v>
      </c>
      <c r="B275" s="38" t="s">
        <v>57</v>
      </c>
      <c r="C275" s="38" t="s">
        <v>57</v>
      </c>
      <c r="D275" s="38" t="s">
        <v>57</v>
      </c>
      <c r="E275" s="38" t="s">
        <v>57</v>
      </c>
      <c r="F275" s="38" t="s">
        <v>57</v>
      </c>
      <c r="G275" s="38" t="s">
        <v>57</v>
      </c>
      <c r="H275" s="38" t="s">
        <v>57</v>
      </c>
      <c r="I275" s="38" t="s">
        <v>57</v>
      </c>
      <c r="J275" s="38" t="s">
        <v>57</v>
      </c>
      <c r="K275" s="36" t="s">
        <v>7122</v>
      </c>
      <c r="L275" s="36" t="s">
        <v>7087</v>
      </c>
      <c r="M275" s="36" t="s">
        <v>9079</v>
      </c>
      <c r="N275" s="36" t="s">
        <v>57</v>
      </c>
      <c r="O275" s="36" t="s">
        <v>57</v>
      </c>
      <c r="P275" s="36" t="s">
        <v>57</v>
      </c>
      <c r="Q275" s="36" t="s">
        <v>57</v>
      </c>
      <c r="R275" s="36" t="s">
        <v>57</v>
      </c>
      <c r="S275" s="36" t="s">
        <v>57</v>
      </c>
      <c r="T275" s="36" t="s">
        <v>57</v>
      </c>
      <c r="U275" s="36" t="s">
        <v>57</v>
      </c>
      <c r="V275" s="36" t="s">
        <v>9424</v>
      </c>
      <c r="W275" s="36" t="s">
        <v>9424</v>
      </c>
      <c r="X275" s="36" t="s">
        <v>9424</v>
      </c>
      <c r="Y275" s="36" t="s">
        <v>9424</v>
      </c>
      <c r="Z275" s="36" t="s">
        <v>9424</v>
      </c>
      <c r="AA275" s="38" t="s">
        <v>0</v>
      </c>
      <c r="AB275" s="36" t="s">
        <v>57</v>
      </c>
      <c r="AC275" s="36" t="s">
        <v>57</v>
      </c>
      <c r="AD275" s="36" t="s">
        <v>57</v>
      </c>
      <c r="AG275" s="41"/>
    </row>
    <row r="276" spans="1:34">
      <c r="A276" s="185" t="s">
        <v>935</v>
      </c>
      <c r="B276" s="52" t="s">
        <v>6818</v>
      </c>
      <c r="C276" s="52" t="s">
        <v>6818</v>
      </c>
      <c r="D276" s="52" t="s">
        <v>6818</v>
      </c>
      <c r="E276" s="52" t="s">
        <v>8207</v>
      </c>
      <c r="F276" s="52" t="s">
        <v>8207</v>
      </c>
      <c r="G276" s="52" t="s">
        <v>8207</v>
      </c>
      <c r="H276" s="52" t="s">
        <v>8207</v>
      </c>
      <c r="I276" s="52" t="s">
        <v>8207</v>
      </c>
      <c r="J276" s="52" t="s">
        <v>8207</v>
      </c>
      <c r="K276" s="186" t="s">
        <v>9033</v>
      </c>
      <c r="L276" s="186" t="s">
        <v>7066</v>
      </c>
      <c r="M276" s="186" t="s">
        <v>9081</v>
      </c>
      <c r="N276" s="52" t="s">
        <v>8026</v>
      </c>
      <c r="O276" s="52" t="s">
        <v>8026</v>
      </c>
      <c r="P276" s="52" t="s">
        <v>8026</v>
      </c>
      <c r="Q276" s="52" t="s">
        <v>9247</v>
      </c>
      <c r="R276" s="52" t="s">
        <v>9247</v>
      </c>
      <c r="S276" s="52" t="s">
        <v>7263</v>
      </c>
      <c r="T276" s="52" t="s">
        <v>7389</v>
      </c>
      <c r="U276" s="52" t="s">
        <v>7519</v>
      </c>
      <c r="V276" s="52" t="s">
        <v>9425</v>
      </c>
      <c r="W276" s="52" t="s">
        <v>9529</v>
      </c>
      <c r="X276" s="52" t="s">
        <v>9529</v>
      </c>
      <c r="Y276" s="52" t="s">
        <v>9529</v>
      </c>
      <c r="Z276" s="52" t="s">
        <v>9529</v>
      </c>
      <c r="AA276" s="186" t="s">
        <v>0</v>
      </c>
      <c r="AB276" s="52" t="s">
        <v>8857</v>
      </c>
      <c r="AC276" s="52" t="s">
        <v>8857</v>
      </c>
      <c r="AD276" s="52" t="s">
        <v>8857</v>
      </c>
      <c r="AG276" s="41"/>
    </row>
    <row r="277" spans="1:34" ht="20.100000000000001" customHeight="1">
      <c r="A277" s="62" t="s">
        <v>6819</v>
      </c>
      <c r="B277" s="38" t="s">
        <v>40</v>
      </c>
      <c r="C277" s="38" t="s">
        <v>40</v>
      </c>
      <c r="D277" s="38" t="s">
        <v>40</v>
      </c>
      <c r="E277" s="38" t="s">
        <v>8210</v>
      </c>
      <c r="F277" s="38" t="s">
        <v>6839</v>
      </c>
      <c r="G277" s="38" t="s">
        <v>8429</v>
      </c>
      <c r="H277" s="38" t="s">
        <v>8210</v>
      </c>
      <c r="I277" s="38" t="s">
        <v>8429</v>
      </c>
      <c r="J277" s="38" t="s">
        <v>8429</v>
      </c>
      <c r="K277" s="7" t="s">
        <v>41</v>
      </c>
      <c r="L277" s="7" t="s">
        <v>41</v>
      </c>
      <c r="M277" s="38" t="s">
        <v>8429</v>
      </c>
      <c r="N277" s="38" t="s">
        <v>41</v>
      </c>
      <c r="O277" s="38" t="s">
        <v>41</v>
      </c>
      <c r="P277" s="38" t="s">
        <v>5376</v>
      </c>
      <c r="Q277" s="38" t="s">
        <v>8429</v>
      </c>
      <c r="R277" s="38" t="s">
        <v>8429</v>
      </c>
      <c r="S277" s="7" t="s">
        <v>40</v>
      </c>
      <c r="T277" s="7" t="s">
        <v>41</v>
      </c>
      <c r="U277" s="7" t="s">
        <v>57</v>
      </c>
      <c r="V277" s="7" t="s">
        <v>57</v>
      </c>
      <c r="W277" s="7" t="s">
        <v>57</v>
      </c>
      <c r="X277" s="7" t="s">
        <v>57</v>
      </c>
      <c r="Y277" s="7" t="s">
        <v>57</v>
      </c>
      <c r="Z277" s="7" t="s">
        <v>57</v>
      </c>
      <c r="AA277" s="38" t="s">
        <v>0</v>
      </c>
      <c r="AB277" s="38" t="s">
        <v>41</v>
      </c>
      <c r="AC277" s="38" t="s">
        <v>41</v>
      </c>
      <c r="AD277" s="38" t="s">
        <v>41</v>
      </c>
      <c r="AG277" s="41"/>
    </row>
    <row r="278" spans="1:34">
      <c r="A278" s="51" t="s">
        <v>935</v>
      </c>
      <c r="B278" s="52" t="s">
        <v>6821</v>
      </c>
      <c r="C278" s="52" t="s">
        <v>6821</v>
      </c>
      <c r="D278" s="52" t="s">
        <v>6821</v>
      </c>
      <c r="E278" s="52" t="s">
        <v>8211</v>
      </c>
      <c r="F278" s="52" t="s">
        <v>8374</v>
      </c>
      <c r="G278" s="52" t="s">
        <v>8430</v>
      </c>
      <c r="H278" s="52" t="s">
        <v>8291</v>
      </c>
      <c r="I278" s="52" t="s">
        <v>8621</v>
      </c>
      <c r="J278" s="52" t="s">
        <v>8544</v>
      </c>
      <c r="K278" s="186" t="s">
        <v>7067</v>
      </c>
      <c r="L278" s="186" t="s">
        <v>7067</v>
      </c>
      <c r="M278" s="186" t="s">
        <v>7175</v>
      </c>
      <c r="N278" s="52" t="s">
        <v>8023</v>
      </c>
      <c r="O278" s="52" t="s">
        <v>8023</v>
      </c>
      <c r="P278" s="52" t="s">
        <v>8023</v>
      </c>
      <c r="Q278" s="52" t="s">
        <v>9248</v>
      </c>
      <c r="R278" s="52" t="s">
        <v>9248</v>
      </c>
      <c r="S278" s="52" t="s">
        <v>7264</v>
      </c>
      <c r="T278" s="52" t="s">
        <v>7390</v>
      </c>
      <c r="U278" s="52" t="s">
        <v>7521</v>
      </c>
      <c r="V278" s="52" t="s">
        <v>9417</v>
      </c>
      <c r="W278" s="52" t="s">
        <v>9417</v>
      </c>
      <c r="X278" s="52" t="s">
        <v>9417</v>
      </c>
      <c r="Y278" s="52" t="s">
        <v>9417</v>
      </c>
      <c r="Z278" s="52" t="s">
        <v>9417</v>
      </c>
      <c r="AA278" s="52" t="s">
        <v>0</v>
      </c>
      <c r="AB278" s="52" t="s">
        <v>8808</v>
      </c>
      <c r="AC278" s="52" t="s">
        <v>8808</v>
      </c>
      <c r="AD278" s="52" t="s">
        <v>8808</v>
      </c>
      <c r="AG278" s="41"/>
    </row>
    <row r="279" spans="1:34" ht="20.100000000000001" customHeight="1">
      <c r="A279" s="62" t="s">
        <v>6822</v>
      </c>
      <c r="B279" s="38" t="s">
        <v>57</v>
      </c>
      <c r="C279" s="36" t="s">
        <v>8921</v>
      </c>
      <c r="D279" s="38" t="s">
        <v>57</v>
      </c>
      <c r="E279" s="38" t="s">
        <v>57</v>
      </c>
      <c r="F279" s="38" t="s">
        <v>57</v>
      </c>
      <c r="G279" s="38" t="s">
        <v>57</v>
      </c>
      <c r="H279" s="38" t="s">
        <v>57</v>
      </c>
      <c r="I279" s="38" t="s">
        <v>57</v>
      </c>
      <c r="J279" s="38" t="s">
        <v>57</v>
      </c>
      <c r="K279" s="7" t="s">
        <v>196</v>
      </c>
      <c r="L279" s="7" t="s">
        <v>196</v>
      </c>
      <c r="M279" s="36" t="s">
        <v>9102</v>
      </c>
      <c r="N279" s="36" t="s">
        <v>57</v>
      </c>
      <c r="O279" s="36" t="s">
        <v>57</v>
      </c>
      <c r="P279" s="36" t="s">
        <v>8028</v>
      </c>
      <c r="Q279" s="36" t="s">
        <v>9250</v>
      </c>
      <c r="R279" s="36" t="s">
        <v>9250</v>
      </c>
      <c r="S279" s="36" t="s">
        <v>57</v>
      </c>
      <c r="T279" s="36" t="s">
        <v>57</v>
      </c>
      <c r="U279" s="36" t="s">
        <v>7523</v>
      </c>
      <c r="V279" s="36" t="s">
        <v>57</v>
      </c>
      <c r="W279" s="36" t="s">
        <v>57</v>
      </c>
      <c r="X279" s="36" t="s">
        <v>9617</v>
      </c>
      <c r="Y279" s="36" t="s">
        <v>9617</v>
      </c>
      <c r="Z279" s="36" t="s">
        <v>57</v>
      </c>
      <c r="AA279" s="38" t="s">
        <v>0</v>
      </c>
      <c r="AB279" s="36" t="s">
        <v>57</v>
      </c>
      <c r="AC279" s="36" t="s">
        <v>57</v>
      </c>
      <c r="AD279" s="36" t="s">
        <v>57</v>
      </c>
      <c r="AG279" s="41"/>
    </row>
    <row r="280" spans="1:34">
      <c r="A280" s="51" t="s">
        <v>935</v>
      </c>
      <c r="B280" s="52" t="s">
        <v>6908</v>
      </c>
      <c r="C280" s="52" t="s">
        <v>7541</v>
      </c>
      <c r="D280" s="52" t="s">
        <v>6908</v>
      </c>
      <c r="E280" s="52" t="s">
        <v>8212</v>
      </c>
      <c r="F280" s="52" t="s">
        <v>8212</v>
      </c>
      <c r="G280" s="52" t="s">
        <v>8212</v>
      </c>
      <c r="H280" s="52" t="s">
        <v>8212</v>
      </c>
      <c r="I280" s="52" t="s">
        <v>8212</v>
      </c>
      <c r="J280" s="52" t="s">
        <v>8212</v>
      </c>
      <c r="K280" s="186" t="s">
        <v>7068</v>
      </c>
      <c r="L280" s="186" t="s">
        <v>7068</v>
      </c>
      <c r="M280" s="186" t="s">
        <v>9103</v>
      </c>
      <c r="N280" s="52" t="s">
        <v>8027</v>
      </c>
      <c r="O280" s="52" t="s">
        <v>8027</v>
      </c>
      <c r="P280" s="52" t="s">
        <v>8029</v>
      </c>
      <c r="Q280" s="52" t="s">
        <v>9249</v>
      </c>
      <c r="R280" s="52" t="s">
        <v>9249</v>
      </c>
      <c r="S280" s="52" t="s">
        <v>7265</v>
      </c>
      <c r="T280" s="52" t="s">
        <v>7391</v>
      </c>
      <c r="U280" s="52" t="s">
        <v>7522</v>
      </c>
      <c r="V280" s="52" t="s">
        <v>9535</v>
      </c>
      <c r="W280" s="52" t="s">
        <v>9534</v>
      </c>
      <c r="X280" s="52" t="s">
        <v>9618</v>
      </c>
      <c r="Y280" s="52" t="s">
        <v>9618</v>
      </c>
      <c r="Z280" s="52" t="s">
        <v>9534</v>
      </c>
      <c r="AA280" s="52" t="s">
        <v>0</v>
      </c>
      <c r="AB280" s="52" t="s">
        <v>8859</v>
      </c>
      <c r="AC280" s="52" t="s">
        <v>8859</v>
      </c>
      <c r="AD280" s="52" t="s">
        <v>8859</v>
      </c>
      <c r="AG280" s="41"/>
    </row>
    <row r="281" spans="1:34" s="41" customFormat="1" ht="20.100000000000001" customHeight="1">
      <c r="A281" s="62" t="s">
        <v>42</v>
      </c>
      <c r="B281" s="38" t="s">
        <v>57</v>
      </c>
      <c r="C281" s="38" t="s">
        <v>57</v>
      </c>
      <c r="D281" s="38" t="s">
        <v>57</v>
      </c>
      <c r="E281" s="36" t="s">
        <v>8922</v>
      </c>
      <c r="F281" s="36" t="s">
        <v>57</v>
      </c>
      <c r="G281" s="36" t="s">
        <v>57</v>
      </c>
      <c r="H281" s="36" t="s">
        <v>8924</v>
      </c>
      <c r="I281" s="36" t="s">
        <v>57</v>
      </c>
      <c r="J281" s="36" t="s">
        <v>57</v>
      </c>
      <c r="K281" s="7" t="s">
        <v>196</v>
      </c>
      <c r="L281" s="7" t="s">
        <v>196</v>
      </c>
      <c r="M281" s="36" t="s">
        <v>57</v>
      </c>
      <c r="N281" s="36" t="s">
        <v>57</v>
      </c>
      <c r="O281" s="36" t="s">
        <v>57</v>
      </c>
      <c r="P281" s="36" t="s">
        <v>57</v>
      </c>
      <c r="Q281" s="36" t="s">
        <v>57</v>
      </c>
      <c r="R281" s="36" t="s">
        <v>57</v>
      </c>
      <c r="S281" s="38" t="s">
        <v>57</v>
      </c>
      <c r="T281" s="38" t="s">
        <v>57</v>
      </c>
      <c r="U281" s="38" t="s">
        <v>57</v>
      </c>
      <c r="V281" s="38" t="s">
        <v>57</v>
      </c>
      <c r="W281" s="38" t="s">
        <v>57</v>
      </c>
      <c r="X281" s="38" t="s">
        <v>57</v>
      </c>
      <c r="Y281" s="38" t="s">
        <v>57</v>
      </c>
      <c r="Z281" s="38" t="s">
        <v>57</v>
      </c>
      <c r="AA281" s="38" t="s">
        <v>0</v>
      </c>
      <c r="AB281" s="36" t="s">
        <v>57</v>
      </c>
      <c r="AC281" s="36" t="s">
        <v>57</v>
      </c>
      <c r="AD281" s="36" t="s">
        <v>57</v>
      </c>
      <c r="AE281" s="168"/>
      <c r="AF281" s="5"/>
      <c r="AH281" s="5"/>
    </row>
    <row r="282" spans="1:34" s="41" customFormat="1">
      <c r="A282" s="51" t="s">
        <v>935</v>
      </c>
      <c r="B282" s="52" t="s">
        <v>6828</v>
      </c>
      <c r="C282" s="52" t="s">
        <v>6828</v>
      </c>
      <c r="D282" s="52" t="s">
        <v>6828</v>
      </c>
      <c r="E282" s="52" t="s">
        <v>8235</v>
      </c>
      <c r="F282" s="52" t="s">
        <v>8373</v>
      </c>
      <c r="G282" s="52" t="s">
        <v>8428</v>
      </c>
      <c r="H282" s="52" t="s">
        <v>8285</v>
      </c>
      <c r="I282" s="52" t="s">
        <v>8620</v>
      </c>
      <c r="J282" s="52" t="s">
        <v>8543</v>
      </c>
      <c r="K282" s="186" t="s">
        <v>7074</v>
      </c>
      <c r="L282" s="186" t="s">
        <v>7074</v>
      </c>
      <c r="M282" s="186" t="s">
        <v>9082</v>
      </c>
      <c r="N282" s="52" t="s">
        <v>8036</v>
      </c>
      <c r="O282" s="52" t="s">
        <v>8036</v>
      </c>
      <c r="P282" s="52" t="s">
        <v>8036</v>
      </c>
      <c r="Q282" s="52" t="s">
        <v>9187</v>
      </c>
      <c r="R282" s="52" t="s">
        <v>9187</v>
      </c>
      <c r="S282" s="52" t="s">
        <v>7291</v>
      </c>
      <c r="T282" s="52" t="s">
        <v>7394</v>
      </c>
      <c r="U282" s="52" t="s">
        <v>7524</v>
      </c>
      <c r="V282" s="52" t="s">
        <v>9418</v>
      </c>
      <c r="W282" s="52" t="s">
        <v>9418</v>
      </c>
      <c r="X282" s="52" t="s">
        <v>9418</v>
      </c>
      <c r="Y282" s="52" t="s">
        <v>9418</v>
      </c>
      <c r="Z282" s="52" t="s">
        <v>9418</v>
      </c>
      <c r="AA282" s="52" t="s">
        <v>0</v>
      </c>
      <c r="AB282" s="52" t="s">
        <v>8862</v>
      </c>
      <c r="AC282" s="52" t="s">
        <v>8862</v>
      </c>
      <c r="AD282" s="52" t="s">
        <v>8862</v>
      </c>
      <c r="AE282" s="168"/>
      <c r="AF282" s="5"/>
      <c r="AH282" s="5"/>
    </row>
    <row r="283" spans="1:34" s="85" customFormat="1" ht="20.100000000000001" customHeight="1">
      <c r="A283" s="62" t="s">
        <v>38</v>
      </c>
      <c r="B283" s="36" t="s">
        <v>3744</v>
      </c>
      <c r="C283" s="36" t="s">
        <v>6934</v>
      </c>
      <c r="D283" s="36" t="s">
        <v>6911</v>
      </c>
      <c r="E283" s="38" t="s">
        <v>851</v>
      </c>
      <c r="F283" s="38" t="s">
        <v>851</v>
      </c>
      <c r="G283" s="38" t="s">
        <v>851</v>
      </c>
      <c r="H283" s="38" t="s">
        <v>851</v>
      </c>
      <c r="I283" s="38" t="s">
        <v>851</v>
      </c>
      <c r="J283" s="38" t="s">
        <v>851</v>
      </c>
      <c r="K283" s="7" t="s">
        <v>9034</v>
      </c>
      <c r="L283" s="7" t="s">
        <v>435</v>
      </c>
      <c r="M283" s="7" t="s">
        <v>9034</v>
      </c>
      <c r="N283" s="38" t="s">
        <v>8030</v>
      </c>
      <c r="O283" s="38" t="s">
        <v>8032</v>
      </c>
      <c r="P283" s="38" t="s">
        <v>8033</v>
      </c>
      <c r="Q283" s="38" t="s">
        <v>57</v>
      </c>
      <c r="R283" s="38" t="s">
        <v>57</v>
      </c>
      <c r="S283" s="36" t="s">
        <v>57</v>
      </c>
      <c r="T283" s="36" t="s">
        <v>57</v>
      </c>
      <c r="U283" s="36" t="s">
        <v>57</v>
      </c>
      <c r="V283" s="38" t="s">
        <v>4938</v>
      </c>
      <c r="W283" s="38" t="s">
        <v>4938</v>
      </c>
      <c r="X283" s="38" t="s">
        <v>4938</v>
      </c>
      <c r="Y283" s="38" t="s">
        <v>4938</v>
      </c>
      <c r="Z283" s="38" t="s">
        <v>4938</v>
      </c>
      <c r="AA283" s="38" t="s">
        <v>0</v>
      </c>
      <c r="AB283" s="38" t="s">
        <v>57</v>
      </c>
      <c r="AC283" s="38" t="s">
        <v>57</v>
      </c>
      <c r="AD283" s="38" t="s">
        <v>57</v>
      </c>
      <c r="AE283" s="168"/>
      <c r="AF283" s="5"/>
      <c r="AG283" s="41"/>
      <c r="AH283" s="41"/>
    </row>
    <row r="284" spans="1:34">
      <c r="A284" s="51" t="s">
        <v>935</v>
      </c>
      <c r="B284" s="52" t="s">
        <v>6829</v>
      </c>
      <c r="C284" s="52" t="s">
        <v>6829</v>
      </c>
      <c r="D284" s="52" t="s">
        <v>6829</v>
      </c>
      <c r="E284" s="52" t="s">
        <v>8213</v>
      </c>
      <c r="F284" s="52" t="s">
        <v>8213</v>
      </c>
      <c r="G284" s="52" t="s">
        <v>8213</v>
      </c>
      <c r="H284" s="52" t="s">
        <v>8213</v>
      </c>
      <c r="I284" s="52" t="s">
        <v>8213</v>
      </c>
      <c r="J284" s="52" t="s">
        <v>8213</v>
      </c>
      <c r="K284" s="186" t="s">
        <v>9035</v>
      </c>
      <c r="L284" s="186" t="s">
        <v>7069</v>
      </c>
      <c r="M284" s="186" t="s">
        <v>9035</v>
      </c>
      <c r="N284" s="52" t="s">
        <v>8031</v>
      </c>
      <c r="O284" s="52" t="s">
        <v>8031</v>
      </c>
      <c r="P284" s="52" t="s">
        <v>8031</v>
      </c>
      <c r="Q284" s="52" t="s">
        <v>9251</v>
      </c>
      <c r="R284" s="52" t="s">
        <v>9251</v>
      </c>
      <c r="S284" s="52" t="s">
        <v>7268</v>
      </c>
      <c r="T284" s="52" t="s">
        <v>7392</v>
      </c>
      <c r="U284" s="52" t="s">
        <v>7520</v>
      </c>
      <c r="V284" s="52" t="s">
        <v>9419</v>
      </c>
      <c r="W284" s="52" t="s">
        <v>9419</v>
      </c>
      <c r="X284" s="52" t="s">
        <v>9419</v>
      </c>
      <c r="Y284" s="52" t="s">
        <v>9419</v>
      </c>
      <c r="Z284" s="52" t="s">
        <v>9419</v>
      </c>
      <c r="AA284" s="52" t="s">
        <v>0</v>
      </c>
      <c r="AB284" s="52" t="s">
        <v>8860</v>
      </c>
      <c r="AC284" s="52" t="s">
        <v>8860</v>
      </c>
      <c r="AD284" s="52" t="s">
        <v>8860</v>
      </c>
      <c r="AG284" s="41"/>
      <c r="AH284" s="41"/>
    </row>
    <row r="285" spans="1:34" s="41" customFormat="1" ht="20.100000000000001" customHeight="1">
      <c r="A285" s="62" t="s">
        <v>6824</v>
      </c>
      <c r="B285" s="36" t="s">
        <v>57</v>
      </c>
      <c r="C285" s="36" t="s">
        <v>57</v>
      </c>
      <c r="D285" s="36" t="s">
        <v>57</v>
      </c>
      <c r="E285" s="38" t="s">
        <v>57</v>
      </c>
      <c r="F285" s="38" t="s">
        <v>57</v>
      </c>
      <c r="G285" s="38" t="s">
        <v>57</v>
      </c>
      <c r="H285" s="38" t="s">
        <v>57</v>
      </c>
      <c r="I285" s="38" t="s">
        <v>57</v>
      </c>
      <c r="J285" s="38" t="s">
        <v>57</v>
      </c>
      <c r="K285" s="7" t="s">
        <v>1045</v>
      </c>
      <c r="L285" s="7" t="s">
        <v>1045</v>
      </c>
      <c r="M285" s="36" t="s">
        <v>9088</v>
      </c>
      <c r="N285" s="36" t="s">
        <v>57</v>
      </c>
      <c r="O285" s="36" t="s">
        <v>57</v>
      </c>
      <c r="P285" s="36" t="s">
        <v>57</v>
      </c>
      <c r="Q285" s="36" t="s">
        <v>7669</v>
      </c>
      <c r="R285" s="36" t="s">
        <v>7669</v>
      </c>
      <c r="S285" s="36" t="s">
        <v>7267</v>
      </c>
      <c r="T285" s="36" t="s">
        <v>7267</v>
      </c>
      <c r="U285" s="36" t="s">
        <v>7669</v>
      </c>
      <c r="V285" s="36" t="s">
        <v>7669</v>
      </c>
      <c r="W285" s="36" t="s">
        <v>7669</v>
      </c>
      <c r="X285" s="36" t="s">
        <v>7669</v>
      </c>
      <c r="Y285" s="36" t="s">
        <v>7669</v>
      </c>
      <c r="Z285" s="36" t="s">
        <v>7669</v>
      </c>
      <c r="AA285" s="38" t="s">
        <v>0</v>
      </c>
      <c r="AB285" s="36" t="s">
        <v>7669</v>
      </c>
      <c r="AC285" s="36" t="s">
        <v>7669</v>
      </c>
      <c r="AD285" s="36" t="s">
        <v>7669</v>
      </c>
      <c r="AE285" s="168"/>
      <c r="AF285" s="5"/>
      <c r="AH285" s="85"/>
    </row>
    <row r="286" spans="1:34" s="41" customFormat="1">
      <c r="A286" s="185" t="s">
        <v>935</v>
      </c>
      <c r="B286" s="52" t="s">
        <v>6909</v>
      </c>
      <c r="C286" s="52" t="s">
        <v>6909</v>
      </c>
      <c r="D286" s="52" t="s">
        <v>6909</v>
      </c>
      <c r="E286" s="52" t="s">
        <v>8214</v>
      </c>
      <c r="F286" s="52" t="s">
        <v>8214</v>
      </c>
      <c r="G286" s="52" t="s">
        <v>8214</v>
      </c>
      <c r="H286" s="52" t="s">
        <v>8214</v>
      </c>
      <c r="I286" s="52" t="s">
        <v>8214</v>
      </c>
      <c r="J286" s="52" t="s">
        <v>8214</v>
      </c>
      <c r="K286" s="186" t="s">
        <v>7070</v>
      </c>
      <c r="L286" s="186" t="s">
        <v>7070</v>
      </c>
      <c r="M286" s="186" t="s">
        <v>9089</v>
      </c>
      <c r="N286" s="52" t="s">
        <v>8034</v>
      </c>
      <c r="O286" s="52" t="s">
        <v>8034</v>
      </c>
      <c r="P286" s="52" t="s">
        <v>8034</v>
      </c>
      <c r="Q286" s="52" t="s">
        <v>9252</v>
      </c>
      <c r="R286" s="52" t="s">
        <v>9252</v>
      </c>
      <c r="S286" s="52" t="s">
        <v>7266</v>
      </c>
      <c r="T286" s="52" t="s">
        <v>7393</v>
      </c>
      <c r="U286" s="52" t="s">
        <v>7526</v>
      </c>
      <c r="V286" s="52" t="s">
        <v>9420</v>
      </c>
      <c r="W286" s="52" t="s">
        <v>9420</v>
      </c>
      <c r="X286" s="52" t="s">
        <v>9420</v>
      </c>
      <c r="Y286" s="52" t="s">
        <v>9420</v>
      </c>
      <c r="Z286" s="52" t="s">
        <v>9420</v>
      </c>
      <c r="AA286" s="186" t="s">
        <v>0</v>
      </c>
      <c r="AB286" s="52" t="s">
        <v>8861</v>
      </c>
      <c r="AC286" s="52" t="s">
        <v>8861</v>
      </c>
      <c r="AD286" s="52" t="s">
        <v>8861</v>
      </c>
      <c r="AE286" s="168"/>
      <c r="AF286" s="5"/>
      <c r="AH286" s="5"/>
    </row>
    <row r="287" spans="1:34" s="85" customFormat="1" ht="30" customHeight="1">
      <c r="A287" s="62" t="s">
        <v>7071</v>
      </c>
      <c r="B287" s="36" t="s">
        <v>57</v>
      </c>
      <c r="C287" s="36" t="s">
        <v>57</v>
      </c>
      <c r="D287" s="36" t="s">
        <v>57</v>
      </c>
      <c r="E287" s="38" t="s">
        <v>57</v>
      </c>
      <c r="F287" s="36" t="s">
        <v>8371</v>
      </c>
      <c r="G287" s="36" t="s">
        <v>8371</v>
      </c>
      <c r="H287" s="38" t="s">
        <v>57</v>
      </c>
      <c r="I287" s="36" t="s">
        <v>8371</v>
      </c>
      <c r="J287" s="36" t="s">
        <v>8371</v>
      </c>
      <c r="K287" s="7" t="s">
        <v>9084</v>
      </c>
      <c r="L287" s="7" t="s">
        <v>9084</v>
      </c>
      <c r="M287" s="7" t="s">
        <v>9085</v>
      </c>
      <c r="N287" s="36" t="s">
        <v>57</v>
      </c>
      <c r="O287" s="36" t="s">
        <v>57</v>
      </c>
      <c r="P287" s="36" t="s">
        <v>57</v>
      </c>
      <c r="Q287" s="36" t="s">
        <v>9255</v>
      </c>
      <c r="R287" s="36" t="s">
        <v>9255</v>
      </c>
      <c r="S287" s="36" t="s">
        <v>7270</v>
      </c>
      <c r="T287" s="36" t="s">
        <v>7270</v>
      </c>
      <c r="U287" s="36" t="s">
        <v>7270</v>
      </c>
      <c r="V287" s="36" t="s">
        <v>9255</v>
      </c>
      <c r="W287" s="36" t="s">
        <v>9255</v>
      </c>
      <c r="X287" s="36" t="s">
        <v>9255</v>
      </c>
      <c r="Y287" s="36" t="s">
        <v>9255</v>
      </c>
      <c r="Z287" s="36" t="s">
        <v>9255</v>
      </c>
      <c r="AA287" s="38" t="s">
        <v>0</v>
      </c>
      <c r="AB287" s="38" t="s">
        <v>57</v>
      </c>
      <c r="AC287" s="38" t="s">
        <v>57</v>
      </c>
      <c r="AD287" s="38" t="s">
        <v>57</v>
      </c>
      <c r="AE287" s="168"/>
      <c r="AF287" s="5"/>
      <c r="AG287" s="41"/>
      <c r="AH287" s="41"/>
    </row>
    <row r="288" spans="1:34">
      <c r="A288" s="185" t="s">
        <v>935</v>
      </c>
      <c r="B288" s="52" t="s">
        <v>7073</v>
      </c>
      <c r="C288" s="52" t="s">
        <v>7073</v>
      </c>
      <c r="D288" s="52" t="s">
        <v>7073</v>
      </c>
      <c r="E288" s="52" t="s">
        <v>8215</v>
      </c>
      <c r="F288" s="52" t="s">
        <v>8372</v>
      </c>
      <c r="G288" s="52" t="s">
        <v>8427</v>
      </c>
      <c r="H288" s="52" t="s">
        <v>8215</v>
      </c>
      <c r="I288" s="52" t="s">
        <v>8619</v>
      </c>
      <c r="J288" s="52" t="s">
        <v>8545</v>
      </c>
      <c r="K288" s="186" t="s">
        <v>7072</v>
      </c>
      <c r="L288" s="186" t="s">
        <v>7072</v>
      </c>
      <c r="M288" s="186" t="s">
        <v>9083</v>
      </c>
      <c r="N288" s="52" t="s">
        <v>8035</v>
      </c>
      <c r="O288" s="52" t="s">
        <v>8035</v>
      </c>
      <c r="P288" s="52" t="s">
        <v>8035</v>
      </c>
      <c r="Q288" s="52" t="s">
        <v>9256</v>
      </c>
      <c r="R288" s="52" t="s">
        <v>9256</v>
      </c>
      <c r="S288" s="52" t="s">
        <v>7268</v>
      </c>
      <c r="T288" s="52" t="s">
        <v>7392</v>
      </c>
      <c r="U288" s="52" t="s">
        <v>7525</v>
      </c>
      <c r="V288" s="52" t="s">
        <v>9421</v>
      </c>
      <c r="W288" s="52" t="s">
        <v>9421</v>
      </c>
      <c r="X288" s="52" t="s">
        <v>9421</v>
      </c>
      <c r="Y288" s="52" t="s">
        <v>9421</v>
      </c>
      <c r="Z288" s="52" t="s">
        <v>9421</v>
      </c>
      <c r="AA288" s="186" t="s">
        <v>0</v>
      </c>
      <c r="AB288" s="52" t="s">
        <v>8862</v>
      </c>
      <c r="AC288" s="52" t="s">
        <v>8862</v>
      </c>
      <c r="AD288" s="52" t="s">
        <v>8862</v>
      </c>
      <c r="AG288" s="41"/>
      <c r="AH288" s="41"/>
    </row>
    <row r="289" spans="1:34" ht="20.100000000000001" customHeight="1">
      <c r="A289" s="62" t="s">
        <v>6938</v>
      </c>
      <c r="B289" s="36" t="s">
        <v>0</v>
      </c>
      <c r="C289" s="36" t="s">
        <v>6941</v>
      </c>
      <c r="D289" s="36" t="s">
        <v>0</v>
      </c>
      <c r="E289" s="36" t="s">
        <v>0</v>
      </c>
      <c r="F289" s="36" t="s">
        <v>0</v>
      </c>
      <c r="G289" s="36" t="s">
        <v>0</v>
      </c>
      <c r="H289" s="36" t="s">
        <v>0</v>
      </c>
      <c r="I289" s="36" t="s">
        <v>8925</v>
      </c>
      <c r="J289" s="36" t="s">
        <v>8926</v>
      </c>
      <c r="K289" s="36" t="s">
        <v>0</v>
      </c>
      <c r="L289" s="36" t="s">
        <v>0</v>
      </c>
      <c r="M289" s="246" t="s">
        <v>9101</v>
      </c>
      <c r="N289" s="246" t="s">
        <v>0</v>
      </c>
      <c r="O289" s="246" t="s">
        <v>0</v>
      </c>
      <c r="P289" s="246" t="s">
        <v>0</v>
      </c>
      <c r="Q289" s="246" t="s">
        <v>9253</v>
      </c>
      <c r="R289" s="246" t="s">
        <v>9253</v>
      </c>
      <c r="S289" s="246" t="s">
        <v>0</v>
      </c>
      <c r="T289" s="246" t="s">
        <v>0</v>
      </c>
      <c r="U289" s="246" t="s">
        <v>57</v>
      </c>
      <c r="V289" s="246" t="s">
        <v>0</v>
      </c>
      <c r="W289" s="246" t="s">
        <v>0</v>
      </c>
      <c r="X289" s="36" t="s">
        <v>9619</v>
      </c>
      <c r="Y289" s="36" t="s">
        <v>9619</v>
      </c>
      <c r="Z289" s="246" t="s">
        <v>0</v>
      </c>
      <c r="AA289" s="38" t="s">
        <v>0</v>
      </c>
      <c r="AB289" s="246" t="s">
        <v>0</v>
      </c>
      <c r="AC289" s="246" t="s">
        <v>0</v>
      </c>
      <c r="AD289" s="246" t="s">
        <v>0</v>
      </c>
      <c r="AG289" s="41"/>
      <c r="AH289" s="85"/>
    </row>
    <row r="290" spans="1:34">
      <c r="A290" s="185" t="s">
        <v>935</v>
      </c>
      <c r="B290" s="52" t="s">
        <v>0</v>
      </c>
      <c r="C290" s="52" t="s">
        <v>6940</v>
      </c>
      <c r="D290" s="52" t="s">
        <v>0</v>
      </c>
      <c r="E290" s="52" t="s">
        <v>0</v>
      </c>
      <c r="F290" s="52" t="s">
        <v>0</v>
      </c>
      <c r="G290" s="52" t="s">
        <v>0</v>
      </c>
      <c r="H290" s="52" t="s">
        <v>0</v>
      </c>
      <c r="I290" s="52" t="s">
        <v>8618</v>
      </c>
      <c r="J290" s="52" t="s">
        <v>8546</v>
      </c>
      <c r="K290" s="52" t="s">
        <v>0</v>
      </c>
      <c r="L290" s="52" t="s">
        <v>0</v>
      </c>
      <c r="M290" s="186" t="s">
        <v>8999</v>
      </c>
      <c r="N290" s="52" t="s">
        <v>0</v>
      </c>
      <c r="O290" s="52" t="s">
        <v>0</v>
      </c>
      <c r="P290" s="52" t="s">
        <v>0</v>
      </c>
      <c r="Q290" s="52" t="s">
        <v>9254</v>
      </c>
      <c r="R290" s="52" t="s">
        <v>9254</v>
      </c>
      <c r="S290" s="186" t="s">
        <v>0</v>
      </c>
      <c r="T290" s="186" t="s">
        <v>0</v>
      </c>
      <c r="U290" s="52" t="s">
        <v>7551</v>
      </c>
      <c r="V290" s="52" t="s">
        <v>0</v>
      </c>
      <c r="W290" s="52" t="s">
        <v>0</v>
      </c>
      <c r="X290" s="52" t="s">
        <v>9537</v>
      </c>
      <c r="Y290" s="52" t="s">
        <v>9537</v>
      </c>
      <c r="Z290" s="52" t="s">
        <v>0</v>
      </c>
      <c r="AA290" s="186" t="s">
        <v>0</v>
      </c>
      <c r="AB290" s="52" t="s">
        <v>0</v>
      </c>
      <c r="AC290" s="52" t="s">
        <v>0</v>
      </c>
      <c r="AD290" s="52" t="s">
        <v>0</v>
      </c>
      <c r="AG290" s="41"/>
    </row>
    <row r="291" spans="1:34" ht="39.950000000000003" customHeight="1">
      <c r="A291" s="6" t="s">
        <v>3076</v>
      </c>
      <c r="B291" s="36" t="s">
        <v>3743</v>
      </c>
      <c r="C291" s="36" t="s">
        <v>6935</v>
      </c>
      <c r="D291" s="36" t="s">
        <v>6910</v>
      </c>
      <c r="E291" s="36" t="s">
        <v>8208</v>
      </c>
      <c r="F291" s="36" t="s">
        <v>8208</v>
      </c>
      <c r="G291" s="36" t="s">
        <v>8423</v>
      </c>
      <c r="H291" s="36" t="s">
        <v>8208</v>
      </c>
      <c r="I291" s="36" t="s">
        <v>7768</v>
      </c>
      <c r="J291" s="36" t="s">
        <v>8423</v>
      </c>
      <c r="K291" s="7" t="s">
        <v>437</v>
      </c>
      <c r="L291" s="7" t="s">
        <v>437</v>
      </c>
      <c r="M291" s="36" t="s">
        <v>9098</v>
      </c>
      <c r="N291" s="7" t="s">
        <v>534</v>
      </c>
      <c r="O291" s="7" t="s">
        <v>5349</v>
      </c>
      <c r="P291" s="7" t="s">
        <v>8022</v>
      </c>
      <c r="Q291" s="7" t="s">
        <v>9258</v>
      </c>
      <c r="R291" s="7" t="s">
        <v>9258</v>
      </c>
      <c r="S291" s="36" t="s">
        <v>3729</v>
      </c>
      <c r="T291" s="36" t="s">
        <v>41</v>
      </c>
      <c r="U291" s="7" t="s">
        <v>7539</v>
      </c>
      <c r="V291" s="7" t="s">
        <v>437</v>
      </c>
      <c r="W291" s="7" t="s">
        <v>437</v>
      </c>
      <c r="X291" s="36" t="s">
        <v>9615</v>
      </c>
      <c r="Y291" s="36" t="s">
        <v>9615</v>
      </c>
      <c r="Z291" s="7" t="s">
        <v>437</v>
      </c>
      <c r="AA291" s="38" t="s">
        <v>0</v>
      </c>
      <c r="AB291" s="7" t="s">
        <v>8807</v>
      </c>
      <c r="AC291" s="7" t="s">
        <v>8839</v>
      </c>
      <c r="AD291" s="7" t="s">
        <v>8839</v>
      </c>
      <c r="AF291" s="41"/>
      <c r="AG291" s="85"/>
    </row>
    <row r="292" spans="1:34">
      <c r="A292" s="51" t="s">
        <v>935</v>
      </c>
      <c r="B292" s="52" t="s">
        <v>6825</v>
      </c>
      <c r="C292" s="52" t="s">
        <v>6825</v>
      </c>
      <c r="D292" s="52" t="s">
        <v>6825</v>
      </c>
      <c r="E292" s="52" t="s">
        <v>8209</v>
      </c>
      <c r="F292" s="52" t="s">
        <v>8370</v>
      </c>
      <c r="G292" s="52" t="s">
        <v>8424</v>
      </c>
      <c r="H292" s="52" t="s">
        <v>8290</v>
      </c>
      <c r="I292" s="52" t="s">
        <v>8617</v>
      </c>
      <c r="J292" s="52" t="s">
        <v>8547</v>
      </c>
      <c r="K292" s="186" t="s">
        <v>7083</v>
      </c>
      <c r="L292" s="186" t="s">
        <v>7083</v>
      </c>
      <c r="M292" s="186" t="s">
        <v>9099</v>
      </c>
      <c r="N292" s="52" t="s">
        <v>8024</v>
      </c>
      <c r="O292" s="52" t="s">
        <v>8024</v>
      </c>
      <c r="P292" s="52" t="s">
        <v>8024</v>
      </c>
      <c r="Q292" s="52" t="s">
        <v>9257</v>
      </c>
      <c r="R292" s="52" t="s">
        <v>9257</v>
      </c>
      <c r="S292" s="52" t="s">
        <v>7269</v>
      </c>
      <c r="T292" s="52" t="s">
        <v>7395</v>
      </c>
      <c r="U292" s="52" t="s">
        <v>7540</v>
      </c>
      <c r="V292" s="52" t="s">
        <v>9422</v>
      </c>
      <c r="W292" s="52" t="s">
        <v>9422</v>
      </c>
      <c r="X292" s="52" t="s">
        <v>9532</v>
      </c>
      <c r="Y292" s="52" t="s">
        <v>9532</v>
      </c>
      <c r="Z292" s="52" t="s">
        <v>9422</v>
      </c>
      <c r="AA292" s="52" t="s">
        <v>0</v>
      </c>
      <c r="AB292" s="52" t="s">
        <v>8809</v>
      </c>
      <c r="AC292" s="52" t="s">
        <v>8840</v>
      </c>
      <c r="AD292" s="52" t="s">
        <v>8840</v>
      </c>
    </row>
    <row r="293" spans="1:34" ht="30" customHeight="1">
      <c r="A293" s="62" t="s">
        <v>176</v>
      </c>
      <c r="B293" s="38" t="s">
        <v>0</v>
      </c>
      <c r="C293" s="38" t="s">
        <v>0</v>
      </c>
      <c r="D293" s="38" t="s">
        <v>0</v>
      </c>
      <c r="E293" s="38" t="s">
        <v>0</v>
      </c>
      <c r="F293" s="38" t="s">
        <v>0</v>
      </c>
      <c r="G293" s="7" t="s">
        <v>8488</v>
      </c>
      <c r="H293" s="38" t="s">
        <v>0</v>
      </c>
      <c r="I293" s="7" t="s">
        <v>8548</v>
      </c>
      <c r="J293" s="7" t="s">
        <v>8548</v>
      </c>
      <c r="K293" s="7" t="s">
        <v>0</v>
      </c>
      <c r="L293" s="7" t="s">
        <v>0</v>
      </c>
      <c r="M293" s="7" t="s">
        <v>9000</v>
      </c>
      <c r="N293" s="7">
        <v>1000</v>
      </c>
      <c r="O293" s="7" t="s">
        <v>8055</v>
      </c>
      <c r="P293" s="7" t="s">
        <v>8057</v>
      </c>
      <c r="Q293" s="7" t="s">
        <v>9188</v>
      </c>
      <c r="R293" s="7" t="s">
        <v>9188</v>
      </c>
      <c r="S293" s="38" t="s">
        <v>0</v>
      </c>
      <c r="T293" s="38" t="s">
        <v>0</v>
      </c>
      <c r="U293" s="7" t="s">
        <v>57</v>
      </c>
      <c r="V293" s="7" t="s">
        <v>7845</v>
      </c>
      <c r="W293" s="7" t="s">
        <v>7905</v>
      </c>
      <c r="X293" s="7" t="s">
        <v>7905</v>
      </c>
      <c r="Y293" s="7" t="s">
        <v>7905</v>
      </c>
      <c r="Z293" s="7" t="s">
        <v>7905</v>
      </c>
      <c r="AA293" s="38" t="s">
        <v>0</v>
      </c>
      <c r="AB293" s="7" t="s">
        <v>0</v>
      </c>
      <c r="AC293" s="7" t="s">
        <v>0</v>
      </c>
      <c r="AD293" s="7" t="s">
        <v>0</v>
      </c>
      <c r="AF293" s="40"/>
      <c r="AG293" s="41"/>
    </row>
    <row r="294" spans="1:34">
      <c r="A294" s="51" t="s">
        <v>935</v>
      </c>
      <c r="B294" s="52" t="s">
        <v>0</v>
      </c>
      <c r="C294" s="52" t="s">
        <v>0</v>
      </c>
      <c r="D294" s="52" t="s">
        <v>0</v>
      </c>
      <c r="E294" s="52" t="s">
        <v>0</v>
      </c>
      <c r="F294" s="52" t="s">
        <v>0</v>
      </c>
      <c r="G294" s="52" t="s">
        <v>8489</v>
      </c>
      <c r="H294" s="52" t="s">
        <v>0</v>
      </c>
      <c r="I294" s="52" t="s">
        <v>8616</v>
      </c>
      <c r="J294" s="52" t="s">
        <v>8549</v>
      </c>
      <c r="K294" s="52" t="s">
        <v>0</v>
      </c>
      <c r="L294" s="52" t="s">
        <v>0</v>
      </c>
      <c r="M294" s="186" t="s">
        <v>9001</v>
      </c>
      <c r="N294" s="52" t="s">
        <v>8056</v>
      </c>
      <c r="O294" s="52" t="s">
        <v>8056</v>
      </c>
      <c r="P294" s="52" t="s">
        <v>8056</v>
      </c>
      <c r="Q294" s="52" t="s">
        <v>9189</v>
      </c>
      <c r="R294" s="52" t="s">
        <v>9189</v>
      </c>
      <c r="S294" s="52" t="s">
        <v>0</v>
      </c>
      <c r="T294" s="52" t="s">
        <v>0</v>
      </c>
      <c r="U294" s="52" t="s">
        <v>7527</v>
      </c>
      <c r="V294" s="52" t="s">
        <v>9428</v>
      </c>
      <c r="W294" s="52" t="s">
        <v>9532</v>
      </c>
      <c r="X294" s="52" t="s">
        <v>9533</v>
      </c>
      <c r="Y294" s="52" t="s">
        <v>9533</v>
      </c>
      <c r="Z294" s="52" t="s">
        <v>9532</v>
      </c>
      <c r="AA294" s="52" t="s">
        <v>0</v>
      </c>
      <c r="AB294" s="52" t="s">
        <v>0</v>
      </c>
      <c r="AC294" s="52" t="s">
        <v>0</v>
      </c>
      <c r="AD294" s="52" t="s">
        <v>0</v>
      </c>
    </row>
    <row r="295" spans="1:34" ht="20.100000000000001" customHeight="1">
      <c r="A295" s="62" t="s">
        <v>9430</v>
      </c>
      <c r="B295" s="38" t="s">
        <v>0</v>
      </c>
      <c r="C295" s="38" t="s">
        <v>57</v>
      </c>
      <c r="D295" s="38" t="s">
        <v>57</v>
      </c>
      <c r="E295" s="38" t="s">
        <v>0</v>
      </c>
      <c r="F295" s="36" t="s">
        <v>8369</v>
      </c>
      <c r="G295" s="38" t="s">
        <v>57</v>
      </c>
      <c r="H295" s="36" t="s">
        <v>8234</v>
      </c>
      <c r="I295" s="38" t="s">
        <v>57</v>
      </c>
      <c r="J295" s="38" t="s">
        <v>57</v>
      </c>
      <c r="K295" s="246" t="s">
        <v>5529</v>
      </c>
      <c r="L295" s="38" t="s">
        <v>0</v>
      </c>
      <c r="M295" s="38" t="s">
        <v>57</v>
      </c>
      <c r="N295" s="38" t="s">
        <v>0</v>
      </c>
      <c r="O295" s="36" t="s">
        <v>8042</v>
      </c>
      <c r="P295" s="36" t="s">
        <v>8043</v>
      </c>
      <c r="Q295" s="36" t="s">
        <v>57</v>
      </c>
      <c r="R295" s="36" t="s">
        <v>57</v>
      </c>
      <c r="S295" s="38" t="s">
        <v>0</v>
      </c>
      <c r="T295" s="36" t="s">
        <v>7397</v>
      </c>
      <c r="U295" s="38" t="s">
        <v>57</v>
      </c>
      <c r="V295" s="38" t="s">
        <v>57</v>
      </c>
      <c r="W295" s="36" t="s">
        <v>57</v>
      </c>
      <c r="X295" s="36" t="s">
        <v>57</v>
      </c>
      <c r="Y295" s="36" t="s">
        <v>57</v>
      </c>
      <c r="Z295" s="36" t="s">
        <v>57</v>
      </c>
      <c r="AA295" s="38" t="s">
        <v>0</v>
      </c>
      <c r="AB295" s="36" t="s">
        <v>8152</v>
      </c>
      <c r="AC295" s="36" t="s">
        <v>8152</v>
      </c>
      <c r="AD295" s="36" t="s">
        <v>8152</v>
      </c>
      <c r="AF295" s="95"/>
      <c r="AG295" s="310"/>
    </row>
    <row r="296" spans="1:34">
      <c r="A296" s="51" t="s">
        <v>935</v>
      </c>
      <c r="B296" s="52" t="s">
        <v>0</v>
      </c>
      <c r="C296" s="52" t="s">
        <v>6913</v>
      </c>
      <c r="D296" s="52" t="s">
        <v>6913</v>
      </c>
      <c r="E296" s="52" t="s">
        <v>0</v>
      </c>
      <c r="F296" s="52" t="s">
        <v>8368</v>
      </c>
      <c r="G296" s="52" t="s">
        <v>8420</v>
      </c>
      <c r="H296" s="52" t="s">
        <v>8288</v>
      </c>
      <c r="I296" s="52" t="s">
        <v>8615</v>
      </c>
      <c r="J296" s="52" t="s">
        <v>8550</v>
      </c>
      <c r="K296" s="186" t="s">
        <v>9010</v>
      </c>
      <c r="L296" s="52" t="s">
        <v>0</v>
      </c>
      <c r="M296" s="186" t="s">
        <v>9002</v>
      </c>
      <c r="N296" s="52" t="s">
        <v>8041</v>
      </c>
      <c r="O296" s="52" t="s">
        <v>8041</v>
      </c>
      <c r="P296" s="52" t="s">
        <v>8041</v>
      </c>
      <c r="Q296" s="52" t="s">
        <v>9190</v>
      </c>
      <c r="R296" s="52" t="s">
        <v>9190</v>
      </c>
      <c r="S296" s="186" t="s">
        <v>0</v>
      </c>
      <c r="T296" s="52" t="s">
        <v>7396</v>
      </c>
      <c r="U296" s="52" t="s">
        <v>7528</v>
      </c>
      <c r="V296" s="52" t="s">
        <v>9429</v>
      </c>
      <c r="W296" s="52" t="s">
        <v>9533</v>
      </c>
      <c r="X296" s="52" t="s">
        <v>9616</v>
      </c>
      <c r="Y296" s="52" t="s">
        <v>9616</v>
      </c>
      <c r="Z296" s="52" t="s">
        <v>9533</v>
      </c>
      <c r="AA296" s="52" t="s">
        <v>0</v>
      </c>
      <c r="AB296" s="52" t="s">
        <v>8811</v>
      </c>
      <c r="AC296" s="52" t="s">
        <v>8811</v>
      </c>
      <c r="AD296" s="52" t="s">
        <v>8811</v>
      </c>
    </row>
    <row r="297" spans="1:34" ht="39.950000000000003" customHeight="1">
      <c r="A297" s="6" t="s">
        <v>3075</v>
      </c>
      <c r="B297" s="36" t="s">
        <v>3745</v>
      </c>
      <c r="C297" s="36" t="s">
        <v>6912</v>
      </c>
      <c r="D297" s="36" t="s">
        <v>6912</v>
      </c>
      <c r="E297" s="36" t="s">
        <v>8236</v>
      </c>
      <c r="F297" s="36" t="s">
        <v>8367</v>
      </c>
      <c r="G297" s="36" t="s">
        <v>8421</v>
      </c>
      <c r="H297" s="36" t="s">
        <v>8287</v>
      </c>
      <c r="I297" s="36" t="s">
        <v>8614</v>
      </c>
      <c r="J297" s="36" t="s">
        <v>8552</v>
      </c>
      <c r="K297" s="36" t="s">
        <v>8552</v>
      </c>
      <c r="L297" s="36" t="s">
        <v>8552</v>
      </c>
      <c r="M297" s="36" t="s">
        <v>9086</v>
      </c>
      <c r="N297" s="36" t="s">
        <v>0</v>
      </c>
      <c r="O297" s="36" t="s">
        <v>35</v>
      </c>
      <c r="P297" s="36" t="s">
        <v>6991</v>
      </c>
      <c r="Q297" s="36" t="s">
        <v>9259</v>
      </c>
      <c r="R297" s="36" t="s">
        <v>9259</v>
      </c>
      <c r="S297" s="7" t="s">
        <v>0</v>
      </c>
      <c r="T297" s="36" t="s">
        <v>823</v>
      </c>
      <c r="U297" s="7" t="s">
        <v>7529</v>
      </c>
      <c r="V297" s="7" t="s">
        <v>9427</v>
      </c>
      <c r="W297" s="7" t="s">
        <v>9531</v>
      </c>
      <c r="X297" s="7" t="s">
        <v>9614</v>
      </c>
      <c r="Y297" s="7" t="s">
        <v>9614</v>
      </c>
      <c r="Z297" s="7" t="s">
        <v>9531</v>
      </c>
      <c r="AA297" s="38" t="s">
        <v>0</v>
      </c>
      <c r="AB297" s="36" t="s">
        <v>35</v>
      </c>
      <c r="AC297" s="36" t="s">
        <v>35</v>
      </c>
      <c r="AD297" s="36" t="s">
        <v>35</v>
      </c>
      <c r="AG297" s="95"/>
    </row>
    <row r="298" spans="1:34">
      <c r="A298" s="51" t="s">
        <v>935</v>
      </c>
      <c r="B298" s="52" t="s">
        <v>6831</v>
      </c>
      <c r="C298" s="52" t="s">
        <v>6831</v>
      </c>
      <c r="D298" s="52" t="s">
        <v>6831</v>
      </c>
      <c r="E298" s="52" t="s">
        <v>8237</v>
      </c>
      <c r="F298" s="52" t="s">
        <v>8366</v>
      </c>
      <c r="G298" s="52" t="s">
        <v>8422</v>
      </c>
      <c r="H298" s="52" t="s">
        <v>8286</v>
      </c>
      <c r="I298" s="52" t="s">
        <v>8613</v>
      </c>
      <c r="J298" s="52" t="s">
        <v>8551</v>
      </c>
      <c r="K298" s="186" t="s">
        <v>7081</v>
      </c>
      <c r="L298" s="186" t="s">
        <v>7081</v>
      </c>
      <c r="M298" s="186" t="s">
        <v>9087</v>
      </c>
      <c r="N298" s="52" t="s">
        <v>8044</v>
      </c>
      <c r="O298" s="52" t="s">
        <v>8044</v>
      </c>
      <c r="P298" s="52" t="s">
        <v>8044</v>
      </c>
      <c r="Q298" s="52" t="s">
        <v>9191</v>
      </c>
      <c r="R298" s="52" t="s">
        <v>9191</v>
      </c>
      <c r="S298" s="186" t="s">
        <v>0</v>
      </c>
      <c r="T298" s="52" t="s">
        <v>7398</v>
      </c>
      <c r="U298" s="52" t="s">
        <v>7530</v>
      </c>
      <c r="V298" s="52" t="s">
        <v>9426</v>
      </c>
      <c r="W298" s="52" t="s">
        <v>9530</v>
      </c>
      <c r="X298" s="52" t="s">
        <v>9530</v>
      </c>
      <c r="Y298" s="52" t="s">
        <v>9530</v>
      </c>
      <c r="Z298" s="52" t="s">
        <v>9530</v>
      </c>
      <c r="AA298" s="52" t="s">
        <v>0</v>
      </c>
      <c r="AB298" s="52" t="s">
        <v>8810</v>
      </c>
      <c r="AC298" s="52" t="s">
        <v>8810</v>
      </c>
      <c r="AD298" s="52" t="s">
        <v>8810</v>
      </c>
    </row>
    <row r="299" spans="1:34" ht="20.100000000000001" customHeight="1">
      <c r="A299" s="6" t="s">
        <v>49</v>
      </c>
      <c r="B299" s="36" t="s">
        <v>6832</v>
      </c>
      <c r="C299" s="36" t="s">
        <v>6832</v>
      </c>
      <c r="D299" s="36" t="s">
        <v>6832</v>
      </c>
      <c r="E299" s="36" t="s">
        <v>0</v>
      </c>
      <c r="F299" s="36" t="s">
        <v>8365</v>
      </c>
      <c r="G299" s="36" t="s">
        <v>8419</v>
      </c>
      <c r="H299" s="36" t="s">
        <v>8289</v>
      </c>
      <c r="I299" s="36" t="s">
        <v>8612</v>
      </c>
      <c r="J299" s="36" t="s">
        <v>8553</v>
      </c>
      <c r="K299" s="36" t="s">
        <v>7079</v>
      </c>
      <c r="L299" s="36" t="s">
        <v>7079</v>
      </c>
      <c r="M299" s="36"/>
      <c r="N299" s="36" t="s">
        <v>0</v>
      </c>
      <c r="O299" s="36" t="s">
        <v>7079</v>
      </c>
      <c r="P299" s="36" t="s">
        <v>7079</v>
      </c>
      <c r="Q299" s="36" t="s">
        <v>9260</v>
      </c>
      <c r="R299" s="36" t="s">
        <v>9260</v>
      </c>
      <c r="S299" s="36" t="s">
        <v>0</v>
      </c>
      <c r="T299" s="36" t="s">
        <v>7401</v>
      </c>
      <c r="U299" s="36" t="s">
        <v>6912</v>
      </c>
      <c r="V299" s="36" t="s">
        <v>7657</v>
      </c>
      <c r="W299" s="36" t="s">
        <v>7657</v>
      </c>
      <c r="X299" s="36" t="s">
        <v>6912</v>
      </c>
      <c r="Y299" s="36" t="s">
        <v>6912</v>
      </c>
      <c r="Z299" s="36" t="s">
        <v>7657</v>
      </c>
      <c r="AA299" s="38" t="s">
        <v>0</v>
      </c>
      <c r="AB299" s="36" t="s">
        <v>8917</v>
      </c>
      <c r="AC299" s="36" t="s">
        <v>8917</v>
      </c>
      <c r="AD299" s="36" t="s">
        <v>8917</v>
      </c>
    </row>
    <row r="300" spans="1:34">
      <c r="A300" s="51" t="s">
        <v>935</v>
      </c>
      <c r="B300" s="52" t="s">
        <v>6833</v>
      </c>
      <c r="C300" s="52" t="s">
        <v>6833</v>
      </c>
      <c r="D300" s="52" t="s">
        <v>6833</v>
      </c>
      <c r="E300" s="52" t="s">
        <v>8238</v>
      </c>
      <c r="F300" s="52" t="s">
        <v>8364</v>
      </c>
      <c r="G300" s="52" t="s">
        <v>8418</v>
      </c>
      <c r="H300" s="52" t="s">
        <v>8286</v>
      </c>
      <c r="I300" s="52" t="s">
        <v>8611</v>
      </c>
      <c r="J300" s="52" t="s">
        <v>8554</v>
      </c>
      <c r="K300" s="186" t="s">
        <v>7080</v>
      </c>
      <c r="L300" s="186" t="s">
        <v>7080</v>
      </c>
      <c r="M300" s="52"/>
      <c r="N300" s="52" t="s">
        <v>8086</v>
      </c>
      <c r="O300" s="52" t="s">
        <v>8086</v>
      </c>
      <c r="P300" s="52" t="s">
        <v>8086</v>
      </c>
      <c r="Q300" s="52" t="s">
        <v>9192</v>
      </c>
      <c r="R300" s="52" t="s">
        <v>9192</v>
      </c>
      <c r="S300" s="52" t="s">
        <v>7286</v>
      </c>
      <c r="T300" s="52" t="s">
        <v>7400</v>
      </c>
      <c r="U300" s="52" t="s">
        <v>7531</v>
      </c>
      <c r="V300" s="52" t="s">
        <v>9433</v>
      </c>
      <c r="W300" s="52" t="s">
        <v>9433</v>
      </c>
      <c r="X300" s="52" t="s">
        <v>9433</v>
      </c>
      <c r="Y300" s="52" t="s">
        <v>9433</v>
      </c>
      <c r="Z300" s="52" t="s">
        <v>9433</v>
      </c>
      <c r="AA300" s="52" t="s">
        <v>0</v>
      </c>
      <c r="AB300" s="52" t="s">
        <v>8813</v>
      </c>
      <c r="AC300" s="52" t="s">
        <v>8813</v>
      </c>
      <c r="AD300" s="52" t="s">
        <v>8813</v>
      </c>
    </row>
    <row r="301" spans="1:34" ht="30" customHeight="1">
      <c r="A301" s="62" t="s">
        <v>174</v>
      </c>
      <c r="B301" s="38" t="s">
        <v>0</v>
      </c>
      <c r="C301" s="38" t="s">
        <v>0</v>
      </c>
      <c r="D301" s="38" t="s">
        <v>0</v>
      </c>
      <c r="E301" s="38" t="s">
        <v>0</v>
      </c>
      <c r="F301" s="38" t="s">
        <v>0</v>
      </c>
      <c r="G301" s="38" t="s">
        <v>0</v>
      </c>
      <c r="H301" s="38" t="s">
        <v>0</v>
      </c>
      <c r="I301" s="7" t="s">
        <v>7852</v>
      </c>
      <c r="J301" s="7" t="s">
        <v>7852</v>
      </c>
      <c r="K301" s="7" t="s">
        <v>7077</v>
      </c>
      <c r="L301" s="7" t="s">
        <v>7077</v>
      </c>
      <c r="M301" s="7" t="s">
        <v>9090</v>
      </c>
      <c r="N301" s="36" t="s">
        <v>8039</v>
      </c>
      <c r="O301" s="36" t="s">
        <v>8039</v>
      </c>
      <c r="P301" s="36" t="s">
        <v>7852</v>
      </c>
      <c r="Q301" s="36" t="s">
        <v>8039</v>
      </c>
      <c r="R301" s="36" t="s">
        <v>8039</v>
      </c>
      <c r="S301" s="7" t="s">
        <v>0</v>
      </c>
      <c r="T301" s="7" t="s">
        <v>0</v>
      </c>
      <c r="U301" s="7" t="s">
        <v>7677</v>
      </c>
      <c r="V301" s="36" t="s">
        <v>7852</v>
      </c>
      <c r="W301" s="36" t="s">
        <v>7678</v>
      </c>
      <c r="X301" s="36" t="s">
        <v>7678</v>
      </c>
      <c r="Y301" s="36" t="s">
        <v>7678</v>
      </c>
      <c r="Z301" s="36" t="s">
        <v>7678</v>
      </c>
      <c r="AA301" s="38" t="s">
        <v>0</v>
      </c>
      <c r="AB301" s="36" t="s">
        <v>57</v>
      </c>
      <c r="AC301" s="36" t="s">
        <v>57</v>
      </c>
      <c r="AD301" s="36" t="s">
        <v>57</v>
      </c>
    </row>
    <row r="302" spans="1:34">
      <c r="A302" s="51" t="s">
        <v>935</v>
      </c>
      <c r="B302" s="52" t="s">
        <v>0</v>
      </c>
      <c r="C302" s="52" t="s">
        <v>0</v>
      </c>
      <c r="D302" s="52" t="s">
        <v>0</v>
      </c>
      <c r="E302" s="52" t="s">
        <v>0</v>
      </c>
      <c r="F302" s="52" t="s">
        <v>0</v>
      </c>
      <c r="G302" s="52" t="s">
        <v>0</v>
      </c>
      <c r="H302" s="52" t="s">
        <v>0</v>
      </c>
      <c r="I302" s="52" t="s">
        <v>8610</v>
      </c>
      <c r="J302" s="52" t="s">
        <v>8558</v>
      </c>
      <c r="K302" s="186" t="s">
        <v>7076</v>
      </c>
      <c r="L302" s="186" t="s">
        <v>7076</v>
      </c>
      <c r="M302" s="186" t="s">
        <v>9091</v>
      </c>
      <c r="N302" s="52" t="s">
        <v>8040</v>
      </c>
      <c r="O302" s="52" t="s">
        <v>8040</v>
      </c>
      <c r="P302" s="52" t="s">
        <v>8054</v>
      </c>
      <c r="Q302" s="52" t="s">
        <v>9261</v>
      </c>
      <c r="R302" s="52" t="s">
        <v>9261</v>
      </c>
      <c r="S302" s="186" t="s">
        <v>0</v>
      </c>
      <c r="T302" s="186" t="s">
        <v>0</v>
      </c>
      <c r="U302" s="52" t="s">
        <v>7532</v>
      </c>
      <c r="V302" s="52" t="s">
        <v>9423</v>
      </c>
      <c r="W302" s="52" t="s">
        <v>9538</v>
      </c>
      <c r="X302" s="52" t="s">
        <v>9621</v>
      </c>
      <c r="Y302" s="52" t="s">
        <v>9621</v>
      </c>
      <c r="Z302" s="52" t="s">
        <v>9538</v>
      </c>
      <c r="AA302" s="52" t="s">
        <v>0</v>
      </c>
      <c r="AB302" s="52" t="s">
        <v>8815</v>
      </c>
      <c r="AC302" s="52" t="s">
        <v>8815</v>
      </c>
      <c r="AD302" s="52" t="s">
        <v>8815</v>
      </c>
    </row>
    <row r="303" spans="1:34" ht="30" customHeight="1">
      <c r="A303" s="6" t="s">
        <v>33</v>
      </c>
      <c r="B303" s="36" t="s">
        <v>6943</v>
      </c>
      <c r="C303" s="36" t="s">
        <v>6943</v>
      </c>
      <c r="D303" s="36" t="s">
        <v>6943</v>
      </c>
      <c r="E303" s="36" t="s">
        <v>0</v>
      </c>
      <c r="F303" s="36" t="s">
        <v>57</v>
      </c>
      <c r="G303" s="36" t="s">
        <v>57</v>
      </c>
      <c r="H303" s="36" t="s">
        <v>6318</v>
      </c>
      <c r="I303" s="36" t="s">
        <v>8607</v>
      </c>
      <c r="J303" s="36" t="s">
        <v>8608</v>
      </c>
      <c r="K303" s="36" t="s">
        <v>0</v>
      </c>
      <c r="L303" s="36" t="s">
        <v>0</v>
      </c>
      <c r="M303" s="36" t="s">
        <v>9093</v>
      </c>
      <c r="N303" s="36" t="s">
        <v>0</v>
      </c>
      <c r="O303" s="36" t="s">
        <v>8051</v>
      </c>
      <c r="P303" s="36" t="s">
        <v>8053</v>
      </c>
      <c r="Q303" s="36" t="s">
        <v>9193</v>
      </c>
      <c r="R303" s="36" t="s">
        <v>9193</v>
      </c>
      <c r="S303" s="36" t="s">
        <v>0</v>
      </c>
      <c r="T303" s="36" t="s">
        <v>5512</v>
      </c>
      <c r="U303" s="36" t="s">
        <v>5556</v>
      </c>
      <c r="V303" s="36" t="s">
        <v>4999</v>
      </c>
      <c r="W303" s="36" t="s">
        <v>9727</v>
      </c>
      <c r="X303" s="36" t="s">
        <v>5556</v>
      </c>
      <c r="Y303" s="36" t="s">
        <v>5556</v>
      </c>
      <c r="Z303" s="36" t="s">
        <v>5511</v>
      </c>
      <c r="AA303" s="38" t="s">
        <v>0</v>
      </c>
      <c r="AB303" s="36" t="s">
        <v>6318</v>
      </c>
      <c r="AC303" s="36" t="s">
        <v>6318</v>
      </c>
      <c r="AD303" s="36" t="s">
        <v>6318</v>
      </c>
    </row>
    <row r="304" spans="1:34" ht="18">
      <c r="A304" s="51" t="s">
        <v>935</v>
      </c>
      <c r="B304" s="84" t="s">
        <v>6944</v>
      </c>
      <c r="C304" s="84" t="s">
        <v>6944</v>
      </c>
      <c r="D304" s="84" t="s">
        <v>6944</v>
      </c>
      <c r="E304" s="84" t="s">
        <v>0</v>
      </c>
      <c r="F304" s="84" t="s">
        <v>8363</v>
      </c>
      <c r="G304" s="52" t="s">
        <v>8417</v>
      </c>
      <c r="H304" s="52" t="s">
        <v>8295</v>
      </c>
      <c r="I304" s="52" t="s">
        <v>8609</v>
      </c>
      <c r="J304" s="52" t="s">
        <v>8576</v>
      </c>
      <c r="K304" s="52" t="s">
        <v>9003</v>
      </c>
      <c r="L304" s="52" t="s">
        <v>9003</v>
      </c>
      <c r="M304" s="52" t="s">
        <v>9092</v>
      </c>
      <c r="N304" s="52" t="s">
        <v>8052</v>
      </c>
      <c r="O304" s="52" t="s">
        <v>8052</v>
      </c>
      <c r="P304" s="52" t="s">
        <v>8052</v>
      </c>
      <c r="Q304" s="84" t="s">
        <v>9738</v>
      </c>
      <c r="R304" s="84" t="s">
        <v>9738</v>
      </c>
      <c r="S304" s="52" t="s">
        <v>7226</v>
      </c>
      <c r="T304" s="52" t="s">
        <v>7399</v>
      </c>
      <c r="U304" s="52" t="s">
        <v>7533</v>
      </c>
      <c r="V304" s="52" t="s">
        <v>9432</v>
      </c>
      <c r="W304" s="52" t="s">
        <v>9728</v>
      </c>
      <c r="X304" s="52" t="s">
        <v>9622</v>
      </c>
      <c r="Y304" s="52" t="s">
        <v>9622</v>
      </c>
      <c r="Z304" s="52" t="s">
        <v>9539</v>
      </c>
      <c r="AA304" s="52" t="s">
        <v>0</v>
      </c>
      <c r="AB304" s="52" t="s">
        <v>8812</v>
      </c>
      <c r="AC304" s="52" t="s">
        <v>8812</v>
      </c>
      <c r="AD304" s="52" t="s">
        <v>8812</v>
      </c>
    </row>
    <row r="305" spans="1:30" ht="20.100000000000001" customHeight="1">
      <c r="A305" s="6" t="s">
        <v>34</v>
      </c>
      <c r="B305" s="38" t="s">
        <v>0</v>
      </c>
      <c r="C305" s="38" t="s">
        <v>0</v>
      </c>
      <c r="D305" s="38" t="s">
        <v>0</v>
      </c>
      <c r="E305" s="38" t="s">
        <v>0</v>
      </c>
      <c r="F305" s="38" t="s">
        <v>0</v>
      </c>
      <c r="G305" s="36" t="s">
        <v>8425</v>
      </c>
      <c r="H305" s="38" t="s">
        <v>0</v>
      </c>
      <c r="I305" s="36" t="s">
        <v>8605</v>
      </c>
      <c r="J305" s="36" t="s">
        <v>8425</v>
      </c>
      <c r="K305" s="36" t="s">
        <v>0</v>
      </c>
      <c r="L305" s="36" t="s">
        <v>0</v>
      </c>
      <c r="M305" s="37" t="s">
        <v>9004</v>
      </c>
      <c r="N305" s="36" t="s">
        <v>0</v>
      </c>
      <c r="O305" s="36" t="s">
        <v>0</v>
      </c>
      <c r="P305" s="36" t="s">
        <v>8064</v>
      </c>
      <c r="Q305" s="36" t="s">
        <v>9263</v>
      </c>
      <c r="R305" s="36" t="s">
        <v>9263</v>
      </c>
      <c r="S305" s="37" t="s">
        <v>0</v>
      </c>
      <c r="T305" s="37" t="s">
        <v>0</v>
      </c>
      <c r="U305" s="37" t="s">
        <v>0</v>
      </c>
      <c r="V305" s="37" t="s">
        <v>0</v>
      </c>
      <c r="W305" s="36" t="s">
        <v>181</v>
      </c>
      <c r="X305" s="36" t="s">
        <v>181</v>
      </c>
      <c r="Y305" s="36" t="s">
        <v>181</v>
      </c>
      <c r="Z305" s="36" t="s">
        <v>181</v>
      </c>
      <c r="AA305" s="38" t="s">
        <v>0</v>
      </c>
      <c r="AB305" s="36" t="s">
        <v>0</v>
      </c>
      <c r="AC305" s="36" t="s">
        <v>8841</v>
      </c>
      <c r="AD305" s="36" t="s">
        <v>8841</v>
      </c>
    </row>
    <row r="306" spans="1:30">
      <c r="A306" s="51" t="s">
        <v>935</v>
      </c>
      <c r="B306" s="52" t="s">
        <v>0</v>
      </c>
      <c r="C306" s="52" t="s">
        <v>0</v>
      </c>
      <c r="D306" s="52" t="s">
        <v>0</v>
      </c>
      <c r="E306" s="52" t="s">
        <v>0</v>
      </c>
      <c r="F306" s="52" t="s">
        <v>0</v>
      </c>
      <c r="G306" s="52" t="s">
        <v>8426</v>
      </c>
      <c r="H306" s="52" t="s">
        <v>0</v>
      </c>
      <c r="I306" s="52" t="s">
        <v>8606</v>
      </c>
      <c r="J306" s="52" t="s">
        <v>8555</v>
      </c>
      <c r="K306" s="52" t="s">
        <v>0</v>
      </c>
      <c r="L306" s="52" t="s">
        <v>0</v>
      </c>
      <c r="M306" s="52" t="s">
        <v>7175</v>
      </c>
      <c r="N306" s="52" t="s">
        <v>8063</v>
      </c>
      <c r="O306" s="52" t="s">
        <v>8063</v>
      </c>
      <c r="P306" s="52" t="s">
        <v>8063</v>
      </c>
      <c r="Q306" s="52" t="s">
        <v>9262</v>
      </c>
      <c r="R306" s="52" t="s">
        <v>9262</v>
      </c>
      <c r="S306" s="52" t="s">
        <v>0</v>
      </c>
      <c r="T306" s="52" t="s">
        <v>0</v>
      </c>
      <c r="U306" s="52" t="s">
        <v>0</v>
      </c>
      <c r="V306" s="52" t="s">
        <v>0</v>
      </c>
      <c r="W306" s="52" t="s">
        <v>9540</v>
      </c>
      <c r="X306" s="52" t="s">
        <v>9623</v>
      </c>
      <c r="Y306" s="52" t="s">
        <v>9623</v>
      </c>
      <c r="Z306" s="52" t="s">
        <v>9540</v>
      </c>
      <c r="AA306" s="52" t="s">
        <v>0</v>
      </c>
      <c r="AB306" s="52" t="s">
        <v>0</v>
      </c>
      <c r="AC306" s="52" t="s">
        <v>8863</v>
      </c>
      <c r="AD306" s="52" t="s">
        <v>8863</v>
      </c>
    </row>
    <row r="307" spans="1:30" ht="20.100000000000001" customHeight="1">
      <c r="A307" s="62" t="s">
        <v>183</v>
      </c>
      <c r="B307" s="36" t="s">
        <v>0</v>
      </c>
      <c r="C307" s="36" t="s">
        <v>57</v>
      </c>
      <c r="D307" s="36" t="s">
        <v>57</v>
      </c>
      <c r="E307" s="36" t="s">
        <v>8294</v>
      </c>
      <c r="F307" s="36" t="s">
        <v>8361</v>
      </c>
      <c r="G307" s="36" t="s">
        <v>8556</v>
      </c>
      <c r="H307" s="36" t="s">
        <v>8293</v>
      </c>
      <c r="I307" s="36" t="s">
        <v>8556</v>
      </c>
      <c r="J307" s="36" t="s">
        <v>8556</v>
      </c>
      <c r="K307" s="37" t="s">
        <v>9007</v>
      </c>
      <c r="L307" s="36" t="s">
        <v>0</v>
      </c>
      <c r="M307" s="37" t="s">
        <v>8556</v>
      </c>
      <c r="N307" s="36" t="s">
        <v>0</v>
      </c>
      <c r="O307" s="36" t="s">
        <v>8050</v>
      </c>
      <c r="P307" s="36" t="s">
        <v>8048</v>
      </c>
      <c r="Q307" s="36" t="s">
        <v>596</v>
      </c>
      <c r="R307" s="36" t="s">
        <v>596</v>
      </c>
      <c r="S307" s="37" t="s">
        <v>0</v>
      </c>
      <c r="T307" s="36" t="s">
        <v>596</v>
      </c>
      <c r="U307" s="36" t="s">
        <v>596</v>
      </c>
      <c r="V307" s="36" t="s">
        <v>7855</v>
      </c>
      <c r="W307" s="36" t="s">
        <v>687</v>
      </c>
      <c r="X307" s="36" t="s">
        <v>687</v>
      </c>
      <c r="Y307" s="36" t="s">
        <v>687</v>
      </c>
      <c r="Z307" s="36" t="s">
        <v>687</v>
      </c>
      <c r="AA307" s="38" t="s">
        <v>0</v>
      </c>
      <c r="AB307" s="36" t="s">
        <v>8806</v>
      </c>
      <c r="AC307" s="36" t="s">
        <v>8806</v>
      </c>
      <c r="AD307" s="36" t="s">
        <v>8806</v>
      </c>
    </row>
    <row r="308" spans="1:30">
      <c r="A308" s="51" t="s">
        <v>935</v>
      </c>
      <c r="B308" s="52" t="s">
        <v>0</v>
      </c>
      <c r="C308" s="52" t="s">
        <v>6914</v>
      </c>
      <c r="D308" s="52" t="s">
        <v>6914</v>
      </c>
      <c r="E308" s="52" t="s">
        <v>8240</v>
      </c>
      <c r="F308" s="52" t="s">
        <v>8362</v>
      </c>
      <c r="G308" s="52" t="s">
        <v>8416</v>
      </c>
      <c r="H308" s="52" t="s">
        <v>8292</v>
      </c>
      <c r="I308" s="52" t="s">
        <v>8604</v>
      </c>
      <c r="J308" s="52" t="s">
        <v>8557</v>
      </c>
      <c r="K308" s="186" t="s">
        <v>9008</v>
      </c>
      <c r="L308" s="52" t="s">
        <v>0</v>
      </c>
      <c r="M308" s="186" t="s">
        <v>9006</v>
      </c>
      <c r="N308" s="52" t="s">
        <v>8049</v>
      </c>
      <c r="O308" s="52" t="s">
        <v>8049</v>
      </c>
      <c r="P308" s="52" t="s">
        <v>8049</v>
      </c>
      <c r="Q308" s="52" t="s">
        <v>9194</v>
      </c>
      <c r="R308" s="52" t="s">
        <v>9194</v>
      </c>
      <c r="S308" s="186" t="s">
        <v>0</v>
      </c>
      <c r="T308" s="52" t="s">
        <v>7346</v>
      </c>
      <c r="U308" s="52" t="s">
        <v>7534</v>
      </c>
      <c r="V308" s="52" t="s">
        <v>9431</v>
      </c>
      <c r="W308" s="52" t="s">
        <v>9537</v>
      </c>
      <c r="X308" s="52" t="s">
        <v>9620</v>
      </c>
      <c r="Y308" s="52" t="s">
        <v>9620</v>
      </c>
      <c r="Z308" s="52" t="s">
        <v>9537</v>
      </c>
      <c r="AA308" s="52" t="s">
        <v>0</v>
      </c>
      <c r="AB308" s="52" t="s">
        <v>8805</v>
      </c>
      <c r="AC308" s="52" t="s">
        <v>8805</v>
      </c>
      <c r="AD308" s="52" t="s">
        <v>8805</v>
      </c>
    </row>
    <row r="309" spans="1:30">
      <c r="A309" s="31"/>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77"/>
      <c r="AB309" s="65"/>
      <c r="AC309" s="65"/>
      <c r="AD309" s="65"/>
    </row>
    <row r="310" spans="1:30" ht="20.100000000000001" customHeight="1">
      <c r="A310" s="257" t="s">
        <v>6708</v>
      </c>
      <c r="B310" s="255" t="str">
        <f t="shared" ref="B310:AD310" si="9">B1</f>
        <v>Allianz</v>
      </c>
      <c r="C310" s="255" t="str">
        <f t="shared" si="9"/>
        <v>Allianz SicherheitBest</v>
      </c>
      <c r="D310" s="255" t="str">
        <f t="shared" si="9"/>
        <v>Allianz SicherheitPlus</v>
      </c>
      <c r="E310" s="255" t="str">
        <f t="shared" si="9"/>
        <v>Ammerländer Basic</v>
      </c>
      <c r="F310" s="255" t="str">
        <f t="shared" si="9"/>
        <v>Ammerländer Classic</v>
      </c>
      <c r="G310" s="255" t="str">
        <f t="shared" si="9"/>
        <v>Ammerländer Comfort</v>
      </c>
      <c r="H310" s="255" t="str">
        <f t="shared" si="9"/>
        <v>Ammerländer Economic</v>
      </c>
      <c r="I310" s="255" t="str">
        <f t="shared" si="9"/>
        <v>Ammerländer Excellent</v>
      </c>
      <c r="J310" s="255" t="str">
        <f t="shared" si="9"/>
        <v>Ammerländer Exclusiv</v>
      </c>
      <c r="K310" s="255" t="str">
        <f t="shared" si="9"/>
        <v>Domcura Komfort</v>
      </c>
      <c r="L310" s="255" t="str">
        <f t="shared" si="9"/>
        <v>Domcura Standard</v>
      </c>
      <c r="M310" s="255" t="str">
        <f t="shared" si="9"/>
        <v>Domcura Top</v>
      </c>
      <c r="N310" s="255" t="str">
        <f t="shared" si="9"/>
        <v>Gothaer Basis</v>
      </c>
      <c r="O310" s="255" t="str">
        <f t="shared" si="9"/>
        <v>Gothaer Plus</v>
      </c>
      <c r="P310" s="274" t="str">
        <f t="shared" si="9"/>
        <v>Gothaer Premium</v>
      </c>
      <c r="Q310" s="274" t="str">
        <f t="shared" si="9"/>
        <v>HK Darmstadt Einfach Besser</v>
      </c>
      <c r="R310" s="274" t="str">
        <f t="shared" si="9"/>
        <v>HK Darmstadt Eindach Komplett</v>
      </c>
      <c r="S310" s="255" t="str">
        <f t="shared" si="9"/>
        <v>InterRisk L</v>
      </c>
      <c r="T310" s="255" t="str">
        <f t="shared" si="9"/>
        <v>InterRisk XL</v>
      </c>
      <c r="U310" s="255" t="str">
        <f t="shared" si="9"/>
        <v>InterRisk XXL</v>
      </c>
      <c r="V310" s="255" t="str">
        <f t="shared" si="9"/>
        <v>ITL Classic VS</v>
      </c>
      <c r="W310" s="255" t="str">
        <f t="shared" si="9"/>
        <v>ITL Eurosecure Plus QM afm</v>
      </c>
      <c r="X310" s="255" t="str">
        <f t="shared" si="9"/>
        <v>ITL Infinitus QM</v>
      </c>
      <c r="Y310" s="255" t="str">
        <f t="shared" si="9"/>
        <v>ITL Infinitus VS</v>
      </c>
      <c r="Z310" s="255" t="str">
        <f t="shared" si="9"/>
        <v>ITL Protect Plus VS</v>
      </c>
      <c r="AA310" s="18" t="str">
        <f t="shared" si="9"/>
        <v>Keine</v>
      </c>
      <c r="AB310" s="18" t="str">
        <f t="shared" si="9"/>
        <v>VHV Kl. Garant</v>
      </c>
      <c r="AC310" s="18" t="str">
        <f t="shared" si="9"/>
        <v>VHV Kl. Garant Exkl.</v>
      </c>
      <c r="AD310" s="18" t="str">
        <f t="shared" si="9"/>
        <v>VHV Kl. Garant Exkl.BEST</v>
      </c>
    </row>
    <row r="311" spans="1:30" ht="20.100000000000001" customHeight="1">
      <c r="A311" s="62" t="s">
        <v>21</v>
      </c>
      <c r="B311" s="36" t="s">
        <v>0</v>
      </c>
      <c r="C311" s="36" t="s">
        <v>0</v>
      </c>
      <c r="D311" s="36" t="s">
        <v>0</v>
      </c>
      <c r="E311" s="36" t="s">
        <v>57</v>
      </c>
      <c r="F311" s="36" t="s">
        <v>57</v>
      </c>
      <c r="G311" s="36" t="s">
        <v>57</v>
      </c>
      <c r="H311" s="36" t="s">
        <v>57</v>
      </c>
      <c r="I311" s="36" t="s">
        <v>57</v>
      </c>
      <c r="J311" s="36" t="s">
        <v>57</v>
      </c>
      <c r="K311" s="36" t="s">
        <v>57</v>
      </c>
      <c r="L311" s="36" t="s">
        <v>57</v>
      </c>
      <c r="M311" s="36" t="s">
        <v>57</v>
      </c>
      <c r="N311" s="38" t="s">
        <v>57</v>
      </c>
      <c r="O311" s="38" t="s">
        <v>57</v>
      </c>
      <c r="P311" s="272" t="s">
        <v>57</v>
      </c>
      <c r="Q311" s="272" t="s">
        <v>57</v>
      </c>
      <c r="R311" s="272" t="s">
        <v>57</v>
      </c>
      <c r="S311" s="38" t="s">
        <v>0</v>
      </c>
      <c r="T311" s="38" t="s">
        <v>0</v>
      </c>
      <c r="U311" s="38" t="s">
        <v>57</v>
      </c>
      <c r="V311" s="38" t="s">
        <v>57</v>
      </c>
      <c r="W311" s="38" t="s">
        <v>57</v>
      </c>
      <c r="X311" s="38" t="s">
        <v>57</v>
      </c>
      <c r="Y311" s="38" t="s">
        <v>57</v>
      </c>
      <c r="Z311" s="38" t="s">
        <v>57</v>
      </c>
      <c r="AA311" s="38" t="s">
        <v>0</v>
      </c>
      <c r="AB311" s="38" t="s">
        <v>57</v>
      </c>
      <c r="AC311" s="38" t="s">
        <v>57</v>
      </c>
      <c r="AD311" s="38" t="s">
        <v>57</v>
      </c>
    </row>
    <row r="312" spans="1:30">
      <c r="A312" s="51" t="s">
        <v>935</v>
      </c>
      <c r="B312" s="52" t="s">
        <v>9107</v>
      </c>
      <c r="C312" s="52" t="s">
        <v>9107</v>
      </c>
      <c r="D312" s="52" t="s">
        <v>9107</v>
      </c>
      <c r="E312" s="52" t="s">
        <v>8182</v>
      </c>
      <c r="F312" s="52" t="s">
        <v>8358</v>
      </c>
      <c r="G312" s="52" t="s">
        <v>8415</v>
      </c>
      <c r="H312" s="52" t="s">
        <v>8277</v>
      </c>
      <c r="I312" s="52" t="s">
        <v>8598</v>
      </c>
      <c r="J312" s="52" t="s">
        <v>8530</v>
      </c>
      <c r="K312" s="186" t="s">
        <v>7102</v>
      </c>
      <c r="L312" s="186" t="s">
        <v>7102</v>
      </c>
      <c r="M312" s="186" t="s">
        <v>7102</v>
      </c>
      <c r="N312" s="52" t="s">
        <v>8087</v>
      </c>
      <c r="O312" s="52" t="s">
        <v>8087</v>
      </c>
      <c r="P312" s="273" t="s">
        <v>8087</v>
      </c>
      <c r="Q312" s="273" t="s">
        <v>9195</v>
      </c>
      <c r="R312" s="273" t="s">
        <v>9195</v>
      </c>
      <c r="S312" s="186" t="s">
        <v>0</v>
      </c>
      <c r="T312" s="186" t="s">
        <v>0</v>
      </c>
      <c r="U312" s="52" t="s">
        <v>7552</v>
      </c>
      <c r="V312" s="52" t="s">
        <v>9478</v>
      </c>
      <c r="W312" s="52" t="s">
        <v>9478</v>
      </c>
      <c r="X312" s="52" t="s">
        <v>9478</v>
      </c>
      <c r="Y312" s="52" t="s">
        <v>9478</v>
      </c>
      <c r="Z312" s="52" t="s">
        <v>9478</v>
      </c>
      <c r="AA312" s="52" t="s">
        <v>0</v>
      </c>
      <c r="AB312" s="52" t="s">
        <v>8816</v>
      </c>
      <c r="AC312" s="52" t="s">
        <v>8816</v>
      </c>
      <c r="AD312" s="52" t="s">
        <v>8816</v>
      </c>
    </row>
    <row r="313" spans="1:30" ht="20.100000000000001" customHeight="1">
      <c r="A313" s="62" t="s">
        <v>109</v>
      </c>
      <c r="B313" s="38" t="s">
        <v>6839</v>
      </c>
      <c r="C313" s="38" t="s">
        <v>6839</v>
      </c>
      <c r="D313" s="38" t="s">
        <v>6839</v>
      </c>
      <c r="E313" s="38" t="s">
        <v>847</v>
      </c>
      <c r="F313" s="38" t="s">
        <v>847</v>
      </c>
      <c r="G313" s="38" t="s">
        <v>847</v>
      </c>
      <c r="H313" s="38" t="s">
        <v>847</v>
      </c>
      <c r="I313" s="38" t="s">
        <v>8429</v>
      </c>
      <c r="J313" s="38" t="s">
        <v>847</v>
      </c>
      <c r="K313" s="38" t="s">
        <v>2135</v>
      </c>
      <c r="L313" s="38" t="s">
        <v>2135</v>
      </c>
      <c r="M313" s="38" t="s">
        <v>8429</v>
      </c>
      <c r="N313" s="38" t="s">
        <v>2135</v>
      </c>
      <c r="O313" s="38" t="s">
        <v>2135</v>
      </c>
      <c r="P313" s="272" t="s">
        <v>2135</v>
      </c>
      <c r="Q313" s="272" t="s">
        <v>8429</v>
      </c>
      <c r="R313" s="272" t="s">
        <v>8429</v>
      </c>
      <c r="S313" s="38" t="s">
        <v>847</v>
      </c>
      <c r="T313" s="38" t="s">
        <v>847</v>
      </c>
      <c r="U313" s="38" t="s">
        <v>7544</v>
      </c>
      <c r="V313" s="38" t="s">
        <v>6839</v>
      </c>
      <c r="W313" s="38" t="s">
        <v>6839</v>
      </c>
      <c r="X313" s="38" t="s">
        <v>6839</v>
      </c>
      <c r="Y313" s="38" t="s">
        <v>6839</v>
      </c>
      <c r="Z313" s="38" t="s">
        <v>6839</v>
      </c>
      <c r="AA313" s="38" t="s">
        <v>0</v>
      </c>
      <c r="AB313" s="38" t="s">
        <v>2135</v>
      </c>
      <c r="AC313" s="38" t="s">
        <v>2135</v>
      </c>
      <c r="AD313" s="38" t="s">
        <v>2135</v>
      </c>
    </row>
    <row r="314" spans="1:30">
      <c r="A314" s="51" t="s">
        <v>935</v>
      </c>
      <c r="B314" s="52" t="s">
        <v>6840</v>
      </c>
      <c r="C314" s="52" t="s">
        <v>6840</v>
      </c>
      <c r="D314" s="52" t="s">
        <v>6840</v>
      </c>
      <c r="E314" s="52" t="s">
        <v>8239</v>
      </c>
      <c r="F314" s="52" t="s">
        <v>8239</v>
      </c>
      <c r="G314" s="52" t="s">
        <v>8239</v>
      </c>
      <c r="H314" s="52" t="s">
        <v>8239</v>
      </c>
      <c r="I314" s="52" t="s">
        <v>8603</v>
      </c>
      <c r="J314" s="52" t="s">
        <v>8239</v>
      </c>
      <c r="K314" s="186" t="s">
        <v>7101</v>
      </c>
      <c r="L314" s="186" t="s">
        <v>7101</v>
      </c>
      <c r="M314" s="186" t="s">
        <v>9094</v>
      </c>
      <c r="N314" s="52" t="s">
        <v>8088</v>
      </c>
      <c r="O314" s="52" t="s">
        <v>8088</v>
      </c>
      <c r="P314" s="273" t="s">
        <v>8088</v>
      </c>
      <c r="Q314" s="273" t="s">
        <v>9264</v>
      </c>
      <c r="R314" s="273" t="s">
        <v>9264</v>
      </c>
      <c r="S314" s="52" t="s">
        <v>7278</v>
      </c>
      <c r="T314" s="52" t="s">
        <v>7402</v>
      </c>
      <c r="U314" s="52" t="s">
        <v>7545</v>
      </c>
      <c r="V314" s="52" t="s">
        <v>9477</v>
      </c>
      <c r="W314" s="52" t="s">
        <v>9477</v>
      </c>
      <c r="X314" s="52" t="s">
        <v>9477</v>
      </c>
      <c r="Y314" s="52" t="s">
        <v>9477</v>
      </c>
      <c r="Z314" s="52" t="s">
        <v>9477</v>
      </c>
      <c r="AA314" s="52" t="s">
        <v>0</v>
      </c>
      <c r="AB314" s="52" t="s">
        <v>8817</v>
      </c>
      <c r="AC314" s="52" t="s">
        <v>8817</v>
      </c>
      <c r="AD314" s="52" t="s">
        <v>8817</v>
      </c>
    </row>
    <row r="315" spans="1:30" ht="20.100000000000001" customHeight="1">
      <c r="A315" s="6" t="s">
        <v>5</v>
      </c>
      <c r="B315" s="38" t="s">
        <v>6915</v>
      </c>
      <c r="C315" s="38" t="s">
        <v>6915</v>
      </c>
      <c r="D315" s="38" t="s">
        <v>6915</v>
      </c>
      <c r="E315" s="36" t="s">
        <v>7403</v>
      </c>
      <c r="F315" s="36" t="s">
        <v>7546</v>
      </c>
      <c r="G315" s="36" t="s">
        <v>7546</v>
      </c>
      <c r="H315" s="36" t="s">
        <v>7403</v>
      </c>
      <c r="I315" s="36" t="s">
        <v>7546</v>
      </c>
      <c r="J315" s="36" t="s">
        <v>7546</v>
      </c>
      <c r="K315" s="36" t="s">
        <v>6915</v>
      </c>
      <c r="L315" s="36" t="s">
        <v>6915</v>
      </c>
      <c r="M315" s="36" t="s">
        <v>6915</v>
      </c>
      <c r="N315" s="36" t="s">
        <v>7094</v>
      </c>
      <c r="O315" s="36" t="s">
        <v>7094</v>
      </c>
      <c r="P315" s="275" t="s">
        <v>7094</v>
      </c>
      <c r="Q315" s="275" t="s">
        <v>7546</v>
      </c>
      <c r="R315" s="275" t="s">
        <v>7546</v>
      </c>
      <c r="S315" s="36" t="s">
        <v>7403</v>
      </c>
      <c r="T315" s="36" t="s">
        <v>7403</v>
      </c>
      <c r="U315" s="36" t="s">
        <v>7546</v>
      </c>
      <c r="V315" s="36" t="s">
        <v>7094</v>
      </c>
      <c r="W315" s="36" t="s">
        <v>9546</v>
      </c>
      <c r="X315" s="36" t="s">
        <v>7546</v>
      </c>
      <c r="Y315" s="36" t="s">
        <v>7546</v>
      </c>
      <c r="Z315" s="36" t="s">
        <v>9546</v>
      </c>
      <c r="AA315" s="38" t="s">
        <v>0</v>
      </c>
      <c r="AB315" s="36" t="s">
        <v>6915</v>
      </c>
      <c r="AC315" s="36" t="s">
        <v>6915</v>
      </c>
      <c r="AD315" s="36" t="s">
        <v>6915</v>
      </c>
    </row>
    <row r="316" spans="1:30" ht="18">
      <c r="A316" s="51" t="s">
        <v>935</v>
      </c>
      <c r="B316" s="52" t="s">
        <v>6753</v>
      </c>
      <c r="C316" s="52" t="s">
        <v>6753</v>
      </c>
      <c r="D316" s="52" t="s">
        <v>6753</v>
      </c>
      <c r="E316" s="52" t="s">
        <v>8223</v>
      </c>
      <c r="F316" s="84" t="s">
        <v>8564</v>
      </c>
      <c r="G316" s="84" t="s">
        <v>8563</v>
      </c>
      <c r="H316" s="52" t="s">
        <v>8223</v>
      </c>
      <c r="I316" s="84" t="s">
        <v>8602</v>
      </c>
      <c r="J316" s="84" t="s">
        <v>8562</v>
      </c>
      <c r="K316" s="84" t="s">
        <v>9011</v>
      </c>
      <c r="L316" s="84" t="s">
        <v>9011</v>
      </c>
      <c r="M316" s="84" t="s">
        <v>9011</v>
      </c>
      <c r="N316" s="52" t="s">
        <v>8070</v>
      </c>
      <c r="O316" s="52" t="s">
        <v>8070</v>
      </c>
      <c r="P316" s="273" t="s">
        <v>8070</v>
      </c>
      <c r="Q316" s="273" t="s">
        <v>9265</v>
      </c>
      <c r="R316" s="273" t="s">
        <v>9265</v>
      </c>
      <c r="S316" s="52" t="s">
        <v>7405</v>
      </c>
      <c r="T316" s="52" t="s">
        <v>7404</v>
      </c>
      <c r="U316" s="52" t="s">
        <v>7548</v>
      </c>
      <c r="V316" s="52" t="s">
        <v>9434</v>
      </c>
      <c r="W316" s="52" t="s">
        <v>9434</v>
      </c>
      <c r="X316" s="52" t="s">
        <v>9547</v>
      </c>
      <c r="Y316" s="52" t="s">
        <v>9547</v>
      </c>
      <c r="Z316" s="52" t="s">
        <v>9547</v>
      </c>
      <c r="AA316" s="52" t="s">
        <v>0</v>
      </c>
      <c r="AB316" s="52" t="s">
        <v>8864</v>
      </c>
      <c r="AC316" s="52" t="s">
        <v>8864</v>
      </c>
      <c r="AD316" s="52" t="s">
        <v>8864</v>
      </c>
    </row>
    <row r="317" spans="1:30" ht="20.100000000000001" customHeight="1">
      <c r="A317" s="62" t="s">
        <v>6665</v>
      </c>
      <c r="B317" s="38" t="s">
        <v>113</v>
      </c>
      <c r="C317" s="38" t="s">
        <v>57</v>
      </c>
      <c r="D317" s="38" t="s">
        <v>57</v>
      </c>
      <c r="E317" s="38" t="s">
        <v>0</v>
      </c>
      <c r="F317" s="38" t="s">
        <v>7130</v>
      </c>
      <c r="G317" s="38" t="s">
        <v>57</v>
      </c>
      <c r="H317" s="38" t="s">
        <v>6991</v>
      </c>
      <c r="I317" s="38" t="s">
        <v>57</v>
      </c>
      <c r="J317" s="38" t="s">
        <v>57</v>
      </c>
      <c r="K317" s="38" t="s">
        <v>57</v>
      </c>
      <c r="L317" s="38" t="s">
        <v>113</v>
      </c>
      <c r="M317" s="38" t="s">
        <v>57</v>
      </c>
      <c r="N317" s="278">
        <v>10000</v>
      </c>
      <c r="O317" s="38" t="s">
        <v>57</v>
      </c>
      <c r="P317" s="272" t="s">
        <v>57</v>
      </c>
      <c r="Q317" s="272" t="s">
        <v>57</v>
      </c>
      <c r="R317" s="272" t="s">
        <v>57</v>
      </c>
      <c r="S317" s="116" t="s">
        <v>0</v>
      </c>
      <c r="T317" s="38" t="s">
        <v>197</v>
      </c>
      <c r="U317" s="38" t="s">
        <v>57</v>
      </c>
      <c r="V317" s="38" t="s">
        <v>57</v>
      </c>
      <c r="W317" s="38" t="s">
        <v>57</v>
      </c>
      <c r="X317" s="38" t="s">
        <v>57</v>
      </c>
      <c r="Y317" s="38" t="s">
        <v>57</v>
      </c>
      <c r="Z317" s="38" t="s">
        <v>57</v>
      </c>
      <c r="AA317" s="38" t="s">
        <v>0</v>
      </c>
      <c r="AB317" s="38" t="s">
        <v>57</v>
      </c>
      <c r="AC317" s="38" t="s">
        <v>57</v>
      </c>
      <c r="AD317" s="38" t="s">
        <v>57</v>
      </c>
    </row>
    <row r="318" spans="1:30" ht="18">
      <c r="A318" s="51" t="s">
        <v>935</v>
      </c>
      <c r="B318" s="52" t="s">
        <v>6838</v>
      </c>
      <c r="C318" s="52" t="s">
        <v>6838</v>
      </c>
      <c r="D318" s="52" t="s">
        <v>6838</v>
      </c>
      <c r="E318" s="52" t="s">
        <v>8242</v>
      </c>
      <c r="F318" s="52" t="s">
        <v>8359</v>
      </c>
      <c r="G318" s="52" t="s">
        <v>8414</v>
      </c>
      <c r="H318" s="52" t="s">
        <v>8310</v>
      </c>
      <c r="I318" s="52" t="s">
        <v>8599</v>
      </c>
      <c r="J318" s="52" t="s">
        <v>8561</v>
      </c>
      <c r="K318" s="186" t="s">
        <v>9044</v>
      </c>
      <c r="L318" s="186" t="s">
        <v>9012</v>
      </c>
      <c r="M318" s="186" t="s">
        <v>9044</v>
      </c>
      <c r="N318" s="52" t="s">
        <v>8075</v>
      </c>
      <c r="O318" s="52" t="s">
        <v>8075</v>
      </c>
      <c r="P318" s="273" t="s">
        <v>8075</v>
      </c>
      <c r="Q318" s="273" t="s">
        <v>9266</v>
      </c>
      <c r="R318" s="273" t="s">
        <v>9266</v>
      </c>
      <c r="S318" s="52" t="s">
        <v>7280</v>
      </c>
      <c r="T318" s="52" t="s">
        <v>7406</v>
      </c>
      <c r="U318" s="52" t="s">
        <v>7550</v>
      </c>
      <c r="V318" s="52" t="s">
        <v>9356</v>
      </c>
      <c r="W318" s="52" t="s">
        <v>9495</v>
      </c>
      <c r="X318" s="52" t="s">
        <v>9495</v>
      </c>
      <c r="Y318" s="52" t="s">
        <v>9495</v>
      </c>
      <c r="Z318" s="52" t="s">
        <v>9495</v>
      </c>
      <c r="AA318" s="52" t="s">
        <v>0</v>
      </c>
      <c r="AB318" s="84" t="s">
        <v>8844</v>
      </c>
      <c r="AC318" s="84" t="s">
        <v>8844</v>
      </c>
      <c r="AD318" s="84" t="s">
        <v>8844</v>
      </c>
    </row>
    <row r="319" spans="1:30" ht="30" customHeight="1">
      <c r="A319" s="62" t="s">
        <v>6707</v>
      </c>
      <c r="B319" s="36" t="s">
        <v>0</v>
      </c>
      <c r="C319" s="36" t="s">
        <v>0</v>
      </c>
      <c r="D319" s="36" t="s">
        <v>0</v>
      </c>
      <c r="E319" s="36" t="s">
        <v>0</v>
      </c>
      <c r="F319" s="36" t="s">
        <v>0</v>
      </c>
      <c r="G319" s="36" t="s">
        <v>0</v>
      </c>
      <c r="H319" s="36" t="s">
        <v>0</v>
      </c>
      <c r="I319" s="36" t="s">
        <v>8600</v>
      </c>
      <c r="J319" s="36" t="s">
        <v>0</v>
      </c>
      <c r="K319" s="36" t="s">
        <v>0</v>
      </c>
      <c r="L319" s="36" t="s">
        <v>0</v>
      </c>
      <c r="M319" s="36" t="s">
        <v>6991</v>
      </c>
      <c r="N319" s="116" t="s">
        <v>0</v>
      </c>
      <c r="O319" s="116" t="s">
        <v>0</v>
      </c>
      <c r="P319" s="276" t="s">
        <v>8098</v>
      </c>
      <c r="Q319" s="276" t="s">
        <v>6361</v>
      </c>
      <c r="R319" s="276" t="s">
        <v>6361</v>
      </c>
      <c r="S319" s="116" t="s">
        <v>0</v>
      </c>
      <c r="T319" s="116" t="s">
        <v>0</v>
      </c>
      <c r="U319" s="116" t="s">
        <v>7547</v>
      </c>
      <c r="V319" s="116" t="s">
        <v>0</v>
      </c>
      <c r="W319" s="116" t="s">
        <v>0</v>
      </c>
      <c r="X319" s="116" t="s">
        <v>9552</v>
      </c>
      <c r="Y319" s="116" t="s">
        <v>9552</v>
      </c>
      <c r="Z319" s="116" t="s">
        <v>0</v>
      </c>
      <c r="AA319" s="38" t="s">
        <v>0</v>
      </c>
      <c r="AB319" s="246" t="s">
        <v>0</v>
      </c>
      <c r="AC319" s="246">
        <v>5000</v>
      </c>
      <c r="AD319" s="246">
        <v>5000</v>
      </c>
    </row>
    <row r="320" spans="1:30" ht="18">
      <c r="A320" s="185" t="s">
        <v>935</v>
      </c>
      <c r="B320" s="52" t="s">
        <v>6838</v>
      </c>
      <c r="C320" s="52" t="s">
        <v>6838</v>
      </c>
      <c r="D320" s="52" t="s">
        <v>6838</v>
      </c>
      <c r="E320" s="52" t="s">
        <v>8243</v>
      </c>
      <c r="F320" s="52" t="s">
        <v>8359</v>
      </c>
      <c r="G320" s="52" t="s">
        <v>8414</v>
      </c>
      <c r="H320" s="52" t="s">
        <v>8310</v>
      </c>
      <c r="I320" s="52" t="s">
        <v>8601</v>
      </c>
      <c r="J320" s="52" t="s">
        <v>8561</v>
      </c>
      <c r="K320" s="186" t="s">
        <v>9097</v>
      </c>
      <c r="L320" s="186" t="s">
        <v>9097</v>
      </c>
      <c r="M320" s="186" t="s">
        <v>9096</v>
      </c>
      <c r="N320" s="52" t="s">
        <v>8076</v>
      </c>
      <c r="O320" s="52" t="s">
        <v>8076</v>
      </c>
      <c r="P320" s="273" t="s">
        <v>8097</v>
      </c>
      <c r="Q320" s="273" t="s">
        <v>9267</v>
      </c>
      <c r="R320" s="273" t="s">
        <v>9267</v>
      </c>
      <c r="S320" s="52" t="s">
        <v>7279</v>
      </c>
      <c r="T320" s="52" t="s">
        <v>7407</v>
      </c>
      <c r="U320" s="52" t="s">
        <v>7549</v>
      </c>
      <c r="V320" s="52" t="s">
        <v>9479</v>
      </c>
      <c r="W320" s="52" t="s">
        <v>0</v>
      </c>
      <c r="X320" s="52" t="s">
        <v>9553</v>
      </c>
      <c r="Y320" s="52" t="s">
        <v>9553</v>
      </c>
      <c r="Z320" s="52" t="s">
        <v>9479</v>
      </c>
      <c r="AA320" s="186" t="s">
        <v>0</v>
      </c>
      <c r="AB320" s="84" t="s">
        <v>8845</v>
      </c>
      <c r="AC320" s="84" t="s">
        <v>8843</v>
      </c>
      <c r="AD320" s="84" t="s">
        <v>8843</v>
      </c>
    </row>
    <row r="321" spans="1:30">
      <c r="A321" s="31"/>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c r="AA321" s="53"/>
      <c r="AB321" s="53"/>
      <c r="AC321" s="53"/>
      <c r="AD321" s="53"/>
    </row>
    <row r="322" spans="1:30" ht="20.100000000000001" customHeight="1">
      <c r="A322" s="10" t="s">
        <v>186</v>
      </c>
      <c r="B322" s="18" t="str">
        <f t="shared" ref="B322:AD322" si="10">B1</f>
        <v>Allianz</v>
      </c>
      <c r="C322" s="18" t="str">
        <f t="shared" si="10"/>
        <v>Allianz SicherheitBest</v>
      </c>
      <c r="D322" s="18" t="str">
        <f t="shared" si="10"/>
        <v>Allianz SicherheitPlus</v>
      </c>
      <c r="E322" s="18" t="str">
        <f t="shared" si="10"/>
        <v>Ammerländer Basic</v>
      </c>
      <c r="F322" s="18" t="str">
        <f t="shared" si="10"/>
        <v>Ammerländer Classic</v>
      </c>
      <c r="G322" s="18" t="str">
        <f t="shared" si="10"/>
        <v>Ammerländer Comfort</v>
      </c>
      <c r="H322" s="18" t="str">
        <f t="shared" si="10"/>
        <v>Ammerländer Economic</v>
      </c>
      <c r="I322" s="18" t="str">
        <f t="shared" si="10"/>
        <v>Ammerländer Excellent</v>
      </c>
      <c r="J322" s="18" t="str">
        <f t="shared" si="10"/>
        <v>Ammerländer Exclusiv</v>
      </c>
      <c r="K322" s="18" t="str">
        <f t="shared" si="10"/>
        <v>Domcura Komfort</v>
      </c>
      <c r="L322" s="18" t="str">
        <f t="shared" si="10"/>
        <v>Domcura Standard</v>
      </c>
      <c r="M322" s="18" t="str">
        <f t="shared" si="10"/>
        <v>Domcura Top</v>
      </c>
      <c r="N322" s="18" t="str">
        <f t="shared" si="10"/>
        <v>Gothaer Basis</v>
      </c>
      <c r="O322" s="18" t="str">
        <f t="shared" si="10"/>
        <v>Gothaer Plus</v>
      </c>
      <c r="P322" s="18" t="str">
        <f t="shared" si="10"/>
        <v>Gothaer Premium</v>
      </c>
      <c r="Q322" s="18" t="str">
        <f t="shared" si="10"/>
        <v>HK Darmstadt Einfach Besser</v>
      </c>
      <c r="R322" s="18" t="str">
        <f t="shared" si="10"/>
        <v>HK Darmstadt Eindach Komplett</v>
      </c>
      <c r="S322" s="18" t="str">
        <f t="shared" si="10"/>
        <v>InterRisk L</v>
      </c>
      <c r="T322" s="18" t="str">
        <f t="shared" si="10"/>
        <v>InterRisk XL</v>
      </c>
      <c r="U322" s="18" t="str">
        <f t="shared" si="10"/>
        <v>InterRisk XXL</v>
      </c>
      <c r="V322" s="18" t="str">
        <f t="shared" si="10"/>
        <v>ITL Classic VS</v>
      </c>
      <c r="W322" s="18" t="str">
        <f t="shared" si="10"/>
        <v>ITL Eurosecure Plus QM afm</v>
      </c>
      <c r="X322" s="18" t="str">
        <f t="shared" si="10"/>
        <v>ITL Infinitus QM</v>
      </c>
      <c r="Y322" s="18" t="str">
        <f t="shared" si="10"/>
        <v>ITL Infinitus VS</v>
      </c>
      <c r="Z322" s="18" t="str">
        <f t="shared" si="10"/>
        <v>ITL Protect Plus VS</v>
      </c>
      <c r="AA322" s="18" t="str">
        <f t="shared" si="10"/>
        <v>Keine</v>
      </c>
      <c r="AB322" s="18" t="str">
        <f t="shared" si="10"/>
        <v>VHV Kl. Garant</v>
      </c>
      <c r="AC322" s="18" t="str">
        <f t="shared" si="10"/>
        <v>VHV Kl. Garant Exkl.</v>
      </c>
      <c r="AD322" s="18" t="str">
        <f t="shared" si="10"/>
        <v>VHV Kl. Garant Exkl.BEST</v>
      </c>
    </row>
    <row r="323" spans="1:30" ht="39.950000000000003" customHeight="1">
      <c r="A323" s="90" t="s">
        <v>7134</v>
      </c>
      <c r="B323" s="36" t="s">
        <v>6953</v>
      </c>
      <c r="C323" s="36" t="s">
        <v>6954</v>
      </c>
      <c r="D323" s="36" t="s">
        <v>6953</v>
      </c>
      <c r="E323" s="36" t="s">
        <v>8232</v>
      </c>
      <c r="F323" s="36" t="s">
        <v>8232</v>
      </c>
      <c r="G323" s="36" t="s">
        <v>8232</v>
      </c>
      <c r="H323" s="36" t="s">
        <v>8232</v>
      </c>
      <c r="I323" s="36" t="s">
        <v>8232</v>
      </c>
      <c r="J323" s="36" t="s">
        <v>8232</v>
      </c>
      <c r="K323" s="36" t="s">
        <v>7132</v>
      </c>
      <c r="L323" s="36" t="s">
        <v>7132</v>
      </c>
      <c r="M323" s="36" t="s">
        <v>7132</v>
      </c>
      <c r="N323" s="36" t="s">
        <v>8144</v>
      </c>
      <c r="O323" s="36" t="s">
        <v>8144</v>
      </c>
      <c r="P323" s="36" t="s">
        <v>8144</v>
      </c>
      <c r="Q323" s="36" t="s">
        <v>9339</v>
      </c>
      <c r="R323" s="36" t="s">
        <v>9338</v>
      </c>
      <c r="S323" s="36" t="s">
        <v>7554</v>
      </c>
      <c r="T323" s="36" t="s">
        <v>7554</v>
      </c>
      <c r="U323" s="36" t="s">
        <v>7554</v>
      </c>
      <c r="V323" s="36" t="s">
        <v>9482</v>
      </c>
      <c r="W323" s="38" t="s">
        <v>4974</v>
      </c>
      <c r="X323" s="38" t="s">
        <v>4974</v>
      </c>
      <c r="Y323" s="36" t="s">
        <v>9482</v>
      </c>
      <c r="Z323" s="36" t="s">
        <v>9482</v>
      </c>
      <c r="AA323" s="36" t="s">
        <v>0</v>
      </c>
      <c r="AB323" s="36" t="s">
        <v>8865</v>
      </c>
      <c r="AC323" s="36" t="s">
        <v>8865</v>
      </c>
      <c r="AD323" s="36" t="s">
        <v>8865</v>
      </c>
    </row>
    <row r="324" spans="1:30" ht="18">
      <c r="A324" s="51" t="s">
        <v>935</v>
      </c>
      <c r="B324" s="84" t="s">
        <v>6955</v>
      </c>
      <c r="C324" s="84" t="s">
        <v>6955</v>
      </c>
      <c r="D324" s="84" t="s">
        <v>6955</v>
      </c>
      <c r="E324" s="52" t="s">
        <v>8231</v>
      </c>
      <c r="F324" s="52" t="s">
        <v>8360</v>
      </c>
      <c r="G324" s="52" t="s">
        <v>8413</v>
      </c>
      <c r="H324" s="52" t="s">
        <v>8309</v>
      </c>
      <c r="I324" s="52" t="s">
        <v>8597</v>
      </c>
      <c r="J324" s="52" t="s">
        <v>8529</v>
      </c>
      <c r="K324" s="52" t="s">
        <v>9013</v>
      </c>
      <c r="L324" s="52" t="s">
        <v>9013</v>
      </c>
      <c r="M324" s="52" t="s">
        <v>9013</v>
      </c>
      <c r="N324" s="52" t="s">
        <v>8138</v>
      </c>
      <c r="O324" s="52" t="s">
        <v>8138</v>
      </c>
      <c r="P324" s="52" t="s">
        <v>8138</v>
      </c>
      <c r="Q324" s="84" t="s">
        <v>9337</v>
      </c>
      <c r="R324" s="84" t="s">
        <v>9337</v>
      </c>
      <c r="S324" s="52" t="s">
        <v>7555</v>
      </c>
      <c r="T324" s="52" t="s">
        <v>7555</v>
      </c>
      <c r="U324" s="52" t="s">
        <v>7555</v>
      </c>
      <c r="V324" s="52" t="s">
        <v>5680</v>
      </c>
      <c r="W324" s="52" t="s">
        <v>5680</v>
      </c>
      <c r="X324" s="52" t="s">
        <v>5680</v>
      </c>
      <c r="Y324" s="52" t="s">
        <v>5680</v>
      </c>
      <c r="Z324" s="52" t="s">
        <v>5680</v>
      </c>
      <c r="AA324" s="52" t="s">
        <v>0</v>
      </c>
      <c r="AB324" s="52" t="s">
        <v>8866</v>
      </c>
      <c r="AC324" s="52" t="s">
        <v>8866</v>
      </c>
      <c r="AD324" s="52" t="s">
        <v>8866</v>
      </c>
    </row>
    <row r="325" spans="1:30">
      <c r="A325" s="192"/>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c r="AB325" s="193"/>
      <c r="AC325" s="193"/>
      <c r="AD325" s="193"/>
    </row>
    <row r="326" spans="1:30" ht="20.100000000000001" customHeight="1">
      <c r="A326" s="194" t="s">
        <v>6709</v>
      </c>
      <c r="B326" s="18" t="str">
        <f t="shared" ref="B326:AD326" si="11">B1</f>
        <v>Allianz</v>
      </c>
      <c r="C326" s="18" t="str">
        <f t="shared" si="11"/>
        <v>Allianz SicherheitBest</v>
      </c>
      <c r="D326" s="18" t="str">
        <f t="shared" si="11"/>
        <v>Allianz SicherheitPlus</v>
      </c>
      <c r="E326" s="18" t="str">
        <f t="shared" si="11"/>
        <v>Ammerländer Basic</v>
      </c>
      <c r="F326" s="18" t="str">
        <f t="shared" si="11"/>
        <v>Ammerländer Classic</v>
      </c>
      <c r="G326" s="18" t="str">
        <f t="shared" si="11"/>
        <v>Ammerländer Comfort</v>
      </c>
      <c r="H326" s="18" t="str">
        <f t="shared" si="11"/>
        <v>Ammerländer Economic</v>
      </c>
      <c r="I326" s="18" t="str">
        <f t="shared" si="11"/>
        <v>Ammerländer Excellent</v>
      </c>
      <c r="J326" s="18" t="str">
        <f t="shared" si="11"/>
        <v>Ammerländer Exclusiv</v>
      </c>
      <c r="K326" s="18" t="str">
        <f t="shared" si="11"/>
        <v>Domcura Komfort</v>
      </c>
      <c r="L326" s="18" t="str">
        <f t="shared" si="11"/>
        <v>Domcura Standard</v>
      </c>
      <c r="M326" s="18" t="str">
        <f t="shared" si="11"/>
        <v>Domcura Top</v>
      </c>
      <c r="N326" s="18" t="str">
        <f t="shared" si="11"/>
        <v>Gothaer Basis</v>
      </c>
      <c r="O326" s="18" t="str">
        <f t="shared" si="11"/>
        <v>Gothaer Plus</v>
      </c>
      <c r="P326" s="18" t="str">
        <f t="shared" si="11"/>
        <v>Gothaer Premium</v>
      </c>
      <c r="Q326" s="18" t="str">
        <f t="shared" si="11"/>
        <v>HK Darmstadt Einfach Besser</v>
      </c>
      <c r="R326" s="18" t="str">
        <f t="shared" si="11"/>
        <v>HK Darmstadt Eindach Komplett</v>
      </c>
      <c r="S326" s="18" t="str">
        <f t="shared" si="11"/>
        <v>InterRisk L</v>
      </c>
      <c r="T326" s="18" t="str">
        <f t="shared" si="11"/>
        <v>InterRisk XL</v>
      </c>
      <c r="U326" s="18" t="str">
        <f t="shared" si="11"/>
        <v>InterRisk XXL</v>
      </c>
      <c r="V326" s="18" t="str">
        <f t="shared" si="11"/>
        <v>ITL Classic VS</v>
      </c>
      <c r="W326" s="18" t="str">
        <f t="shared" si="11"/>
        <v>ITL Eurosecure Plus QM afm</v>
      </c>
      <c r="X326" s="18" t="str">
        <f t="shared" si="11"/>
        <v>ITL Infinitus QM</v>
      </c>
      <c r="Y326" s="18" t="str">
        <f t="shared" si="11"/>
        <v>ITL Infinitus VS</v>
      </c>
      <c r="Z326" s="18" t="str">
        <f t="shared" si="11"/>
        <v>ITL Protect Plus VS</v>
      </c>
      <c r="AA326" s="18" t="str">
        <f t="shared" si="11"/>
        <v>Keine</v>
      </c>
      <c r="AB326" s="18" t="str">
        <f t="shared" si="11"/>
        <v>VHV Kl. Garant</v>
      </c>
      <c r="AC326" s="18" t="str">
        <f t="shared" si="11"/>
        <v>VHV Kl. Garant Exkl.</v>
      </c>
      <c r="AD326" s="18" t="str">
        <f t="shared" si="11"/>
        <v>VHV Kl. Garant Exkl.BEST</v>
      </c>
    </row>
    <row r="327" spans="1:30" ht="39.950000000000003" customHeight="1">
      <c r="A327" s="62" t="s">
        <v>8706</v>
      </c>
      <c r="B327" s="38" t="s">
        <v>57</v>
      </c>
      <c r="C327" s="38" t="s">
        <v>57</v>
      </c>
      <c r="D327" s="38" t="s">
        <v>57</v>
      </c>
      <c r="E327" s="36" t="s">
        <v>8707</v>
      </c>
      <c r="F327" s="36" t="s">
        <v>8707</v>
      </c>
      <c r="G327" s="36" t="s">
        <v>8932</v>
      </c>
      <c r="H327" s="36" t="s">
        <v>8707</v>
      </c>
      <c r="I327" s="36" t="s">
        <v>8931</v>
      </c>
      <c r="J327" s="36" t="s">
        <v>8932</v>
      </c>
      <c r="K327" s="116" t="s">
        <v>57</v>
      </c>
      <c r="L327" s="116" t="s">
        <v>57</v>
      </c>
      <c r="M327" s="116" t="s">
        <v>57</v>
      </c>
      <c r="N327" s="116" t="s">
        <v>57</v>
      </c>
      <c r="O327" s="116" t="s">
        <v>57</v>
      </c>
      <c r="P327" s="116" t="s">
        <v>57</v>
      </c>
      <c r="Q327" s="116" t="s">
        <v>9268</v>
      </c>
      <c r="R327" s="116" t="s">
        <v>9268</v>
      </c>
      <c r="S327" s="116" t="s">
        <v>57</v>
      </c>
      <c r="T327" s="116" t="s">
        <v>57</v>
      </c>
      <c r="U327" s="116" t="s">
        <v>57</v>
      </c>
      <c r="V327" s="116" t="s">
        <v>57</v>
      </c>
      <c r="W327" s="116" t="s">
        <v>57</v>
      </c>
      <c r="X327" s="116" t="s">
        <v>8705</v>
      </c>
      <c r="Y327" s="116" t="s">
        <v>8705</v>
      </c>
      <c r="Z327" s="116" t="s">
        <v>57</v>
      </c>
      <c r="AA327" s="38" t="s">
        <v>0</v>
      </c>
      <c r="AB327" s="116" t="s">
        <v>8884</v>
      </c>
      <c r="AC327" s="116" t="s">
        <v>8884</v>
      </c>
      <c r="AD327" s="116" t="s">
        <v>8884</v>
      </c>
    </row>
    <row r="328" spans="1:30" ht="18">
      <c r="A328" s="51" t="s">
        <v>935</v>
      </c>
      <c r="B328" s="52"/>
      <c r="C328" s="52"/>
      <c r="D328" s="52"/>
      <c r="E328" s="52" t="s">
        <v>8700</v>
      </c>
      <c r="F328" s="52" t="s">
        <v>8700</v>
      </c>
      <c r="G328" s="186" t="s">
        <v>8702</v>
      </c>
      <c r="H328" s="52" t="s">
        <v>8700</v>
      </c>
      <c r="I328" s="186" t="s">
        <v>8704</v>
      </c>
      <c r="J328" s="186" t="s">
        <v>8703</v>
      </c>
      <c r="K328" s="52" t="s">
        <v>7092</v>
      </c>
      <c r="L328" s="52" t="s">
        <v>7092</v>
      </c>
      <c r="M328" s="52" t="s">
        <v>7092</v>
      </c>
      <c r="N328" s="52" t="s">
        <v>7980</v>
      </c>
      <c r="O328" s="52" t="s">
        <v>7980</v>
      </c>
      <c r="P328" s="52" t="s">
        <v>7980</v>
      </c>
      <c r="Q328" s="52"/>
      <c r="R328" s="52"/>
      <c r="S328" s="52" t="s">
        <v>7295</v>
      </c>
      <c r="T328" s="52" t="s">
        <v>7295</v>
      </c>
      <c r="U328" s="52" t="s">
        <v>7295</v>
      </c>
      <c r="V328" s="52" t="s">
        <v>9454</v>
      </c>
      <c r="W328" s="52" t="s">
        <v>9454</v>
      </c>
      <c r="X328" s="52" t="s">
        <v>9676</v>
      </c>
      <c r="Y328" s="52" t="s">
        <v>9676</v>
      </c>
      <c r="Z328" s="52" t="s">
        <v>9454</v>
      </c>
      <c r="AA328" s="52" t="s">
        <v>0</v>
      </c>
      <c r="AB328" s="52" t="s">
        <v>7978</v>
      </c>
      <c r="AC328" s="52" t="s">
        <v>7978</v>
      </c>
      <c r="AD328" s="52" t="s">
        <v>7978</v>
      </c>
    </row>
    <row r="329" spans="1:30" ht="20.100000000000001" customHeight="1">
      <c r="A329" s="62" t="s">
        <v>8914</v>
      </c>
      <c r="B329" s="116" t="s">
        <v>0</v>
      </c>
      <c r="C329" s="116" t="s">
        <v>0</v>
      </c>
      <c r="D329" s="116" t="s">
        <v>0</v>
      </c>
      <c r="E329" s="116" t="s">
        <v>57</v>
      </c>
      <c r="F329" s="116" t="s">
        <v>57</v>
      </c>
      <c r="G329" s="116" t="s">
        <v>8457</v>
      </c>
      <c r="H329" s="116" t="s">
        <v>57</v>
      </c>
      <c r="I329" s="116" t="s">
        <v>8457</v>
      </c>
      <c r="J329" s="116" t="s">
        <v>8457</v>
      </c>
      <c r="K329" s="116" t="s">
        <v>0</v>
      </c>
      <c r="L329" s="116" t="s">
        <v>0</v>
      </c>
      <c r="M329" s="116" t="s">
        <v>0</v>
      </c>
      <c r="N329" s="116" t="s">
        <v>0</v>
      </c>
      <c r="O329" s="116" t="s">
        <v>0</v>
      </c>
      <c r="P329" s="116" t="s">
        <v>0</v>
      </c>
      <c r="Q329" s="116" t="s">
        <v>9269</v>
      </c>
      <c r="R329" s="116" t="s">
        <v>9269</v>
      </c>
      <c r="S329" s="116" t="s">
        <v>8135</v>
      </c>
      <c r="T329" s="116" t="s">
        <v>8135</v>
      </c>
      <c r="U329" s="116" t="s">
        <v>8135</v>
      </c>
      <c r="V329" s="116" t="s">
        <v>0</v>
      </c>
      <c r="W329" s="116" t="s">
        <v>0</v>
      </c>
      <c r="X329" s="116" t="s">
        <v>0</v>
      </c>
      <c r="Y329" s="116" t="s">
        <v>0</v>
      </c>
      <c r="Z329" s="116" t="s">
        <v>0</v>
      </c>
      <c r="AA329" s="38" t="s">
        <v>0</v>
      </c>
      <c r="AB329" s="116" t="s">
        <v>0</v>
      </c>
      <c r="AC329" s="116" t="s">
        <v>0</v>
      </c>
      <c r="AD329" s="116" t="s">
        <v>0</v>
      </c>
    </row>
    <row r="330" spans="1:30">
      <c r="A330" s="185" t="s">
        <v>935</v>
      </c>
      <c r="B330" s="186" t="s">
        <v>0</v>
      </c>
      <c r="C330" s="186" t="s">
        <v>0</v>
      </c>
      <c r="D330" s="186" t="s">
        <v>0</v>
      </c>
      <c r="E330" s="186" t="s">
        <v>8691</v>
      </c>
      <c r="F330" s="186" t="s">
        <v>8691</v>
      </c>
      <c r="G330" s="186" t="s">
        <v>8458</v>
      </c>
      <c r="H330" s="186" t="s">
        <v>8691</v>
      </c>
      <c r="I330" s="186" t="s">
        <v>9159</v>
      </c>
      <c r="J330" s="186" t="s">
        <v>8528</v>
      </c>
      <c r="K330" s="186" t="s">
        <v>0</v>
      </c>
      <c r="L330" s="186" t="s">
        <v>0</v>
      </c>
      <c r="M330" s="186" t="s">
        <v>0</v>
      </c>
      <c r="N330" s="52" t="s">
        <v>0</v>
      </c>
      <c r="O330" s="52" t="s">
        <v>0</v>
      </c>
      <c r="P330" s="52" t="s">
        <v>0</v>
      </c>
      <c r="Q330" s="52" t="s">
        <v>9196</v>
      </c>
      <c r="R330" s="52" t="s">
        <v>9196</v>
      </c>
      <c r="S330" s="52" t="s">
        <v>7294</v>
      </c>
      <c r="T330" s="52" t="s">
        <v>7294</v>
      </c>
      <c r="U330" s="52" t="s">
        <v>7294</v>
      </c>
      <c r="V330" s="52" t="s">
        <v>9651</v>
      </c>
      <c r="W330" s="52" t="s">
        <v>9651</v>
      </c>
      <c r="X330" s="52" t="s">
        <v>9651</v>
      </c>
      <c r="Y330" s="52" t="s">
        <v>9651</v>
      </c>
      <c r="Z330" s="52" t="s">
        <v>9651</v>
      </c>
      <c r="AA330" s="186" t="s">
        <v>0</v>
      </c>
      <c r="AB330" s="52" t="s">
        <v>0</v>
      </c>
      <c r="AC330" s="52" t="s">
        <v>0</v>
      </c>
      <c r="AD330" s="52" t="s">
        <v>0</v>
      </c>
    </row>
    <row r="331" spans="1:30" ht="20.100000000000001" customHeight="1">
      <c r="A331" s="62" t="s">
        <v>6711</v>
      </c>
      <c r="B331" s="36" t="s">
        <v>6976</v>
      </c>
      <c r="C331" s="36" t="s">
        <v>6976</v>
      </c>
      <c r="D331" s="36" t="s">
        <v>6976</v>
      </c>
      <c r="E331" s="36" t="s">
        <v>7011</v>
      </c>
      <c r="F331" s="36" t="s">
        <v>7011</v>
      </c>
      <c r="G331" s="36" t="s">
        <v>7011</v>
      </c>
      <c r="H331" s="36" t="s">
        <v>7011</v>
      </c>
      <c r="I331" s="36" t="s">
        <v>7011</v>
      </c>
      <c r="J331" s="36" t="s">
        <v>7011</v>
      </c>
      <c r="K331" s="36" t="s">
        <v>7011</v>
      </c>
      <c r="L331" s="36" t="s">
        <v>7011</v>
      </c>
      <c r="M331" s="36" t="s">
        <v>7011</v>
      </c>
      <c r="N331" s="36" t="s">
        <v>7011</v>
      </c>
      <c r="O331" s="36" t="s">
        <v>7011</v>
      </c>
      <c r="P331" s="36" t="s">
        <v>7011</v>
      </c>
      <c r="Q331" s="36" t="s">
        <v>9197</v>
      </c>
      <c r="R331" s="36" t="s">
        <v>9197</v>
      </c>
      <c r="S331" s="36" t="s">
        <v>7011</v>
      </c>
      <c r="T331" s="36" t="s">
        <v>7011</v>
      </c>
      <c r="U331" s="36" t="s">
        <v>7011</v>
      </c>
      <c r="V331" s="36" t="s">
        <v>7011</v>
      </c>
      <c r="W331" s="36" t="s">
        <v>7011</v>
      </c>
      <c r="X331" s="36" t="s">
        <v>7011</v>
      </c>
      <c r="Y331" s="36" t="s">
        <v>7011</v>
      </c>
      <c r="Z331" s="36" t="s">
        <v>7011</v>
      </c>
      <c r="AA331" s="38" t="s">
        <v>0</v>
      </c>
      <c r="AB331" s="36" t="s">
        <v>7011</v>
      </c>
      <c r="AC331" s="36" t="s">
        <v>7011</v>
      </c>
      <c r="AD331" s="36" t="s">
        <v>7011</v>
      </c>
    </row>
    <row r="332" spans="1:30" ht="18">
      <c r="A332" s="51" t="s">
        <v>935</v>
      </c>
      <c r="B332" s="84" t="s">
        <v>6975</v>
      </c>
      <c r="C332" s="84" t="s">
        <v>6975</v>
      </c>
      <c r="D332" s="84" t="s">
        <v>6975</v>
      </c>
      <c r="E332" s="84" t="s">
        <v>8690</v>
      </c>
      <c r="F332" s="84" t="s">
        <v>8690</v>
      </c>
      <c r="G332" s="84" t="s">
        <v>8690</v>
      </c>
      <c r="H332" s="84" t="s">
        <v>8690</v>
      </c>
      <c r="I332" s="84" t="s">
        <v>8690</v>
      </c>
      <c r="J332" s="84" t="s">
        <v>8690</v>
      </c>
      <c r="K332" s="186" t="s">
        <v>7091</v>
      </c>
      <c r="L332" s="186" t="s">
        <v>7091</v>
      </c>
      <c r="M332" s="186" t="s">
        <v>7091</v>
      </c>
      <c r="N332" s="52" t="s">
        <v>7981</v>
      </c>
      <c r="O332" s="52" t="s">
        <v>7981</v>
      </c>
      <c r="P332" s="52" t="s">
        <v>7981</v>
      </c>
      <c r="Q332" s="52" t="s">
        <v>9198</v>
      </c>
      <c r="R332" s="52" t="s">
        <v>9198</v>
      </c>
      <c r="S332" s="52" t="s">
        <v>7296</v>
      </c>
      <c r="T332" s="52" t="s">
        <v>7296</v>
      </c>
      <c r="U332" s="52" t="s">
        <v>7296</v>
      </c>
      <c r="V332" s="52" t="s">
        <v>9456</v>
      </c>
      <c r="W332" s="52" t="s">
        <v>9456</v>
      </c>
      <c r="X332" s="52" t="s">
        <v>9456</v>
      </c>
      <c r="Y332" s="52" t="s">
        <v>9456</v>
      </c>
      <c r="Z332" s="52" t="s">
        <v>9456</v>
      </c>
      <c r="AA332" s="52" t="s">
        <v>0</v>
      </c>
      <c r="AB332" s="52" t="s">
        <v>8885</v>
      </c>
      <c r="AC332" s="52" t="s">
        <v>8885</v>
      </c>
      <c r="AD332" s="52" t="s">
        <v>8885</v>
      </c>
    </row>
    <row r="333" spans="1:30" ht="39.950000000000003" customHeight="1">
      <c r="A333" s="62" t="s">
        <v>8915</v>
      </c>
      <c r="B333" s="36" t="s">
        <v>8936</v>
      </c>
      <c r="C333" s="36" t="s">
        <v>8936</v>
      </c>
      <c r="D333" s="36" t="s">
        <v>8936</v>
      </c>
      <c r="E333" s="36" t="s">
        <v>8688</v>
      </c>
      <c r="F333" s="36" t="s">
        <v>8688</v>
      </c>
      <c r="G333" s="36" t="s">
        <v>8688</v>
      </c>
      <c r="H333" s="36" t="s">
        <v>8688</v>
      </c>
      <c r="I333" s="36" t="s">
        <v>8688</v>
      </c>
      <c r="J333" s="36" t="s">
        <v>8688</v>
      </c>
      <c r="K333" s="36" t="s">
        <v>9014</v>
      </c>
      <c r="L333" s="36" t="s">
        <v>9014</v>
      </c>
      <c r="M333" s="36" t="s">
        <v>9014</v>
      </c>
      <c r="N333" s="36" t="s">
        <v>8934</v>
      </c>
      <c r="O333" s="36" t="s">
        <v>8934</v>
      </c>
      <c r="P333" s="36" t="s">
        <v>8934</v>
      </c>
      <c r="Q333" s="36" t="s">
        <v>9270</v>
      </c>
      <c r="R333" s="36" t="s">
        <v>9270</v>
      </c>
      <c r="S333" s="36" t="s">
        <v>8933</v>
      </c>
      <c r="T333" s="36" t="s">
        <v>8933</v>
      </c>
      <c r="U333" s="36" t="s">
        <v>8933</v>
      </c>
      <c r="V333" s="36" t="s">
        <v>7775</v>
      </c>
      <c r="W333" s="36" t="s">
        <v>7775</v>
      </c>
      <c r="X333" s="36" t="s">
        <v>7775</v>
      </c>
      <c r="Y333" s="36" t="s">
        <v>7775</v>
      </c>
      <c r="Z333" s="36" t="s">
        <v>7775</v>
      </c>
      <c r="AA333" s="38" t="s">
        <v>0</v>
      </c>
      <c r="AB333" s="36" t="s">
        <v>8935</v>
      </c>
      <c r="AC333" s="36" t="s">
        <v>8935</v>
      </c>
      <c r="AD333" s="36" t="s">
        <v>8935</v>
      </c>
    </row>
    <row r="334" spans="1:30" ht="18">
      <c r="A334" s="51" t="s">
        <v>935</v>
      </c>
      <c r="B334" s="84" t="s">
        <v>6975</v>
      </c>
      <c r="C334" s="84" t="s">
        <v>6975</v>
      </c>
      <c r="D334" s="84" t="s">
        <v>6975</v>
      </c>
      <c r="E334" s="84" t="s">
        <v>8689</v>
      </c>
      <c r="F334" s="84" t="s">
        <v>8689</v>
      </c>
      <c r="G334" s="84" t="s">
        <v>8689</v>
      </c>
      <c r="H334" s="84" t="s">
        <v>8689</v>
      </c>
      <c r="I334" s="84" t="s">
        <v>8689</v>
      </c>
      <c r="J334" s="84" t="s">
        <v>8689</v>
      </c>
      <c r="K334" s="186" t="s">
        <v>9015</v>
      </c>
      <c r="L334" s="186" t="s">
        <v>9015</v>
      </c>
      <c r="M334" s="186" t="s">
        <v>9015</v>
      </c>
      <c r="N334" s="52" t="s">
        <v>8134</v>
      </c>
      <c r="O334" s="52" t="s">
        <v>8134</v>
      </c>
      <c r="P334" s="52" t="s">
        <v>8134</v>
      </c>
      <c r="Q334" s="52" t="s">
        <v>9199</v>
      </c>
      <c r="R334" s="52" t="s">
        <v>9199</v>
      </c>
      <c r="S334" s="52" t="s">
        <v>7293</v>
      </c>
      <c r="T334" s="52" t="s">
        <v>7293</v>
      </c>
      <c r="U334" s="52" t="s">
        <v>7293</v>
      </c>
      <c r="V334" s="52" t="s">
        <v>9455</v>
      </c>
      <c r="W334" s="52" t="s">
        <v>9455</v>
      </c>
      <c r="X334" s="52" t="s">
        <v>9455</v>
      </c>
      <c r="Y334" s="52" t="s">
        <v>9455</v>
      </c>
      <c r="Z334" s="52" t="s">
        <v>9455</v>
      </c>
      <c r="AA334" s="52" t="s">
        <v>0</v>
      </c>
      <c r="AB334" s="52" t="s">
        <v>8886</v>
      </c>
      <c r="AC334" s="52" t="s">
        <v>8886</v>
      </c>
      <c r="AD334" s="52" t="s">
        <v>8886</v>
      </c>
    </row>
    <row r="335" spans="1:30">
      <c r="A335" s="23"/>
      <c r="B335" s="53"/>
      <c r="C335" s="53"/>
      <c r="D335" s="53"/>
      <c r="E335" s="53"/>
      <c r="F335" s="53"/>
      <c r="G335" s="53"/>
      <c r="H335" s="53"/>
      <c r="I335" s="53"/>
      <c r="J335" s="53"/>
      <c r="K335" s="53"/>
      <c r="L335" s="53"/>
      <c r="M335" s="53"/>
      <c r="N335" s="65"/>
      <c r="O335" s="65"/>
      <c r="P335" s="65"/>
      <c r="Q335" s="65"/>
      <c r="R335" s="65"/>
      <c r="S335" s="65"/>
      <c r="T335" s="65"/>
      <c r="U335" s="65"/>
      <c r="V335" s="65"/>
      <c r="W335" s="65"/>
      <c r="X335" s="65"/>
      <c r="Y335" s="65"/>
      <c r="Z335" s="65"/>
      <c r="AA335" s="53"/>
      <c r="AB335" s="65"/>
      <c r="AC335" s="65"/>
      <c r="AD335" s="65"/>
    </row>
    <row r="336" spans="1:30" ht="20.100000000000001" customHeight="1">
      <c r="A336" s="10" t="s">
        <v>267</v>
      </c>
      <c r="B336" s="253" t="str">
        <f t="shared" ref="B336:AD336" si="12">B1</f>
        <v>Allianz</v>
      </c>
      <c r="C336" s="253" t="str">
        <f t="shared" si="12"/>
        <v>Allianz SicherheitBest</v>
      </c>
      <c r="D336" s="253" t="str">
        <f t="shared" si="12"/>
        <v>Allianz SicherheitPlus</v>
      </c>
      <c r="E336" s="253" t="str">
        <f t="shared" si="12"/>
        <v>Ammerländer Basic</v>
      </c>
      <c r="F336" s="253" t="str">
        <f t="shared" si="12"/>
        <v>Ammerländer Classic</v>
      </c>
      <c r="G336" s="253" t="str">
        <f t="shared" si="12"/>
        <v>Ammerländer Comfort</v>
      </c>
      <c r="H336" s="253" t="str">
        <f t="shared" si="12"/>
        <v>Ammerländer Economic</v>
      </c>
      <c r="I336" s="253" t="str">
        <f t="shared" si="12"/>
        <v>Ammerländer Excellent</v>
      </c>
      <c r="J336" s="253" t="str">
        <f t="shared" si="12"/>
        <v>Ammerländer Exclusiv</v>
      </c>
      <c r="K336" s="253" t="str">
        <f t="shared" si="12"/>
        <v>Domcura Komfort</v>
      </c>
      <c r="L336" s="253" t="str">
        <f t="shared" si="12"/>
        <v>Domcura Standard</v>
      </c>
      <c r="M336" s="253" t="str">
        <f t="shared" si="12"/>
        <v>Domcura Top</v>
      </c>
      <c r="N336" s="253" t="str">
        <f t="shared" si="12"/>
        <v>Gothaer Basis</v>
      </c>
      <c r="O336" s="253" t="str">
        <f t="shared" si="12"/>
        <v>Gothaer Plus</v>
      </c>
      <c r="P336" s="253" t="str">
        <f t="shared" si="12"/>
        <v>Gothaer Premium</v>
      </c>
      <c r="Q336" s="253" t="str">
        <f t="shared" si="12"/>
        <v>HK Darmstadt Einfach Besser</v>
      </c>
      <c r="R336" s="253" t="str">
        <f t="shared" si="12"/>
        <v>HK Darmstadt Eindach Komplett</v>
      </c>
      <c r="S336" s="253" t="str">
        <f t="shared" si="12"/>
        <v>InterRisk L</v>
      </c>
      <c r="T336" s="253" t="str">
        <f t="shared" si="12"/>
        <v>InterRisk XL</v>
      </c>
      <c r="U336" s="253" t="str">
        <f t="shared" si="12"/>
        <v>InterRisk XXL</v>
      </c>
      <c r="V336" s="253" t="str">
        <f t="shared" si="12"/>
        <v>ITL Classic VS</v>
      </c>
      <c r="W336" s="253" t="str">
        <f t="shared" si="12"/>
        <v>ITL Eurosecure Plus QM afm</v>
      </c>
      <c r="X336" s="253" t="str">
        <f t="shared" si="12"/>
        <v>ITL Infinitus QM</v>
      </c>
      <c r="Y336" s="253" t="str">
        <f t="shared" si="12"/>
        <v>ITL Infinitus VS</v>
      </c>
      <c r="Z336" s="253" t="str">
        <f t="shared" si="12"/>
        <v>ITL Protect Plus VS</v>
      </c>
      <c r="AA336" s="253" t="str">
        <f t="shared" si="12"/>
        <v>Keine</v>
      </c>
      <c r="AB336" s="253" t="str">
        <f t="shared" si="12"/>
        <v>VHV Kl. Garant</v>
      </c>
      <c r="AC336" s="253" t="str">
        <f t="shared" si="12"/>
        <v>VHV Kl. Garant Exkl.</v>
      </c>
      <c r="AD336" s="253" t="str">
        <f t="shared" si="12"/>
        <v>VHV Kl. Garant Exkl.BEST</v>
      </c>
    </row>
    <row r="337" spans="1:34" s="41" customFormat="1" ht="369.95" customHeight="1">
      <c r="A337" s="284"/>
      <c r="B337" s="44" t="s">
        <v>6971</v>
      </c>
      <c r="C337" s="44" t="s">
        <v>9111</v>
      </c>
      <c r="D337" s="44" t="s">
        <v>9110</v>
      </c>
      <c r="E337" s="44" t="s">
        <v>0</v>
      </c>
      <c r="F337" s="44" t="s">
        <v>8412</v>
      </c>
      <c r="G337" s="44" t="s">
        <v>8491</v>
      </c>
      <c r="H337" s="44" t="s">
        <v>0</v>
      </c>
      <c r="I337" s="44" t="s">
        <v>9127</v>
      </c>
      <c r="J337" s="44" t="s">
        <v>8684</v>
      </c>
      <c r="K337" s="107" t="s">
        <v>8978</v>
      </c>
      <c r="L337" s="107" t="s">
        <v>0</v>
      </c>
      <c r="M337" s="107" t="s">
        <v>9104</v>
      </c>
      <c r="N337" s="74" t="s">
        <v>8059</v>
      </c>
      <c r="O337" s="74" t="s">
        <v>8139</v>
      </c>
      <c r="P337" s="74" t="s">
        <v>8140</v>
      </c>
      <c r="Q337" s="107" t="s">
        <v>9315</v>
      </c>
      <c r="R337" s="107" t="s">
        <v>9315</v>
      </c>
      <c r="S337" s="74" t="s">
        <v>7297</v>
      </c>
      <c r="T337" s="74" t="s">
        <v>7297</v>
      </c>
      <c r="U337" s="74" t="s">
        <v>9665</v>
      </c>
      <c r="V337" s="107" t="s">
        <v>9669</v>
      </c>
      <c r="W337" s="107" t="s">
        <v>9675</v>
      </c>
      <c r="X337" s="107" t="s">
        <v>9671</v>
      </c>
      <c r="Y337" s="107" t="s">
        <v>9671</v>
      </c>
      <c r="Z337" s="107" t="s">
        <v>9674</v>
      </c>
      <c r="AA337" s="36" t="s">
        <v>0</v>
      </c>
      <c r="AB337" s="74" t="s">
        <v>8818</v>
      </c>
      <c r="AC337" s="74" t="s">
        <v>8835</v>
      </c>
      <c r="AD337" s="116" t="s">
        <v>8835</v>
      </c>
      <c r="AE337" s="168"/>
      <c r="AF337" s="5"/>
      <c r="AG337" s="311"/>
      <c r="AH337" s="5"/>
    </row>
    <row r="338" spans="1:34" ht="99.95" customHeight="1">
      <c r="A338" s="51" t="s">
        <v>935</v>
      </c>
      <c r="B338" s="84" t="s">
        <v>6972</v>
      </c>
      <c r="C338" s="84" t="s">
        <v>9112</v>
      </c>
      <c r="D338" s="84" t="s">
        <v>9113</v>
      </c>
      <c r="E338" s="84" t="s">
        <v>0</v>
      </c>
      <c r="F338" s="84" t="s">
        <v>8333</v>
      </c>
      <c r="G338" s="84" t="s">
        <v>8490</v>
      </c>
      <c r="H338" s="84" t="s">
        <v>0</v>
      </c>
      <c r="I338" s="84" t="s">
        <v>9758</v>
      </c>
      <c r="J338" s="84" t="s">
        <v>8685</v>
      </c>
      <c r="K338" s="84" t="s">
        <v>8977</v>
      </c>
      <c r="L338" s="84" t="s">
        <v>0</v>
      </c>
      <c r="M338" s="84" t="s">
        <v>9100</v>
      </c>
      <c r="N338" s="186" t="s">
        <v>7999</v>
      </c>
      <c r="O338" s="186" t="s">
        <v>8142</v>
      </c>
      <c r="P338" s="186" t="s">
        <v>8141</v>
      </c>
      <c r="Q338" s="186" t="s">
        <v>9316</v>
      </c>
      <c r="R338" s="186" t="s">
        <v>9316</v>
      </c>
      <c r="S338" s="186" t="s">
        <v>7298</v>
      </c>
      <c r="T338" s="186" t="s">
        <v>7298</v>
      </c>
      <c r="U338" s="186" t="s">
        <v>9662</v>
      </c>
      <c r="V338" s="186" t="s">
        <v>9670</v>
      </c>
      <c r="W338" s="186" t="s">
        <v>9673</v>
      </c>
      <c r="X338" s="186" t="s">
        <v>9672</v>
      </c>
      <c r="Y338" s="186" t="s">
        <v>9672</v>
      </c>
      <c r="Z338" s="186" t="s">
        <v>9668</v>
      </c>
      <c r="AA338" s="52" t="s">
        <v>0</v>
      </c>
      <c r="AB338" s="186" t="s">
        <v>8819</v>
      </c>
      <c r="AC338" s="186" t="s">
        <v>8836</v>
      </c>
      <c r="AD338" s="186" t="s">
        <v>8836</v>
      </c>
    </row>
    <row r="339" spans="1:34" s="41" customFormat="1" ht="69.95" customHeight="1">
      <c r="A339" s="284"/>
      <c r="B339" s="44" t="s">
        <v>0</v>
      </c>
      <c r="C339" s="44" t="s">
        <v>0</v>
      </c>
      <c r="D339" s="44" t="s">
        <v>0</v>
      </c>
      <c r="E339" s="44" t="s">
        <v>0</v>
      </c>
      <c r="F339" s="44" t="s">
        <v>0</v>
      </c>
      <c r="G339" s="44" t="s">
        <v>0</v>
      </c>
      <c r="H339" s="44" t="s">
        <v>0</v>
      </c>
      <c r="I339" s="44" t="s">
        <v>0</v>
      </c>
      <c r="J339" s="44" t="s">
        <v>0</v>
      </c>
      <c r="K339" s="107" t="s">
        <v>0</v>
      </c>
      <c r="L339" s="107" t="s">
        <v>0</v>
      </c>
      <c r="M339" s="107" t="s">
        <v>0</v>
      </c>
      <c r="N339" s="74" t="s">
        <v>0</v>
      </c>
      <c r="O339" s="74" t="s">
        <v>0</v>
      </c>
      <c r="P339" s="74" t="s">
        <v>0</v>
      </c>
      <c r="Q339" s="107" t="s">
        <v>9745</v>
      </c>
      <c r="R339" s="107" t="s">
        <v>9745</v>
      </c>
      <c r="S339" s="74" t="s">
        <v>0</v>
      </c>
      <c r="T339" s="74" t="s">
        <v>0</v>
      </c>
      <c r="U339" s="74" t="s">
        <v>9660</v>
      </c>
      <c r="V339" s="107" t="s">
        <v>9658</v>
      </c>
      <c r="W339" s="107" t="s">
        <v>9658</v>
      </c>
      <c r="X339" s="107" t="s">
        <v>9657</v>
      </c>
      <c r="Y339" s="107" t="s">
        <v>9657</v>
      </c>
      <c r="Z339" s="107" t="s">
        <v>9658</v>
      </c>
      <c r="AA339" s="36" t="s">
        <v>0</v>
      </c>
      <c r="AB339" s="74" t="s">
        <v>0</v>
      </c>
      <c r="AC339" s="74" t="s">
        <v>0</v>
      </c>
      <c r="AD339" s="116" t="s">
        <v>0</v>
      </c>
      <c r="AE339" s="168"/>
      <c r="AF339" s="5"/>
      <c r="AG339" s="311"/>
    </row>
    <row r="340" spans="1:34" ht="20.100000000000001" customHeight="1">
      <c r="A340" s="51" t="s">
        <v>935</v>
      </c>
      <c r="B340" s="84"/>
      <c r="C340" s="84"/>
      <c r="D340" s="84"/>
      <c r="E340" s="84"/>
      <c r="F340" s="84"/>
      <c r="G340" s="84"/>
      <c r="H340" s="84"/>
      <c r="I340" s="84"/>
      <c r="J340" s="84"/>
      <c r="K340" s="84"/>
      <c r="L340" s="84"/>
      <c r="M340" s="84"/>
      <c r="N340" s="186"/>
      <c r="O340" s="186"/>
      <c r="P340" s="186"/>
      <c r="Q340" s="186" t="s">
        <v>9691</v>
      </c>
      <c r="R340" s="186" t="s">
        <v>9691</v>
      </c>
      <c r="S340" s="186"/>
      <c r="T340" s="186"/>
      <c r="U340" s="186" t="s">
        <v>9663</v>
      </c>
      <c r="V340" s="186" t="s">
        <v>9659</v>
      </c>
      <c r="W340" s="186" t="s">
        <v>9659</v>
      </c>
      <c r="X340" s="186"/>
      <c r="Y340" s="186"/>
      <c r="Z340" s="186" t="s">
        <v>9659</v>
      </c>
      <c r="AA340" s="52"/>
      <c r="AB340" s="186"/>
      <c r="AC340" s="186"/>
      <c r="AD340" s="186"/>
    </row>
    <row r="341" spans="1:34" s="41" customFormat="1" ht="69.95" customHeight="1">
      <c r="A341" s="284"/>
      <c r="B341" s="44" t="s">
        <v>0</v>
      </c>
      <c r="C341" s="44" t="s">
        <v>0</v>
      </c>
      <c r="D341" s="44" t="s">
        <v>0</v>
      </c>
      <c r="E341" s="44" t="s">
        <v>0</v>
      </c>
      <c r="F341" s="44" t="s">
        <v>0</v>
      </c>
      <c r="G341" s="44" t="s">
        <v>0</v>
      </c>
      <c r="H341" s="44" t="s">
        <v>0</v>
      </c>
      <c r="I341" s="44" t="s">
        <v>0</v>
      </c>
      <c r="J341" s="44" t="s">
        <v>0</v>
      </c>
      <c r="K341" s="107" t="s">
        <v>0</v>
      </c>
      <c r="L341" s="107" t="s">
        <v>0</v>
      </c>
      <c r="M341" s="107" t="s">
        <v>0</v>
      </c>
      <c r="N341" s="74" t="s">
        <v>0</v>
      </c>
      <c r="O341" s="74" t="s">
        <v>0</v>
      </c>
      <c r="P341" s="74" t="s">
        <v>0</v>
      </c>
      <c r="Q341" s="107" t="s">
        <v>0</v>
      </c>
      <c r="R341" s="107" t="s">
        <v>0</v>
      </c>
      <c r="S341" s="74" t="s">
        <v>0</v>
      </c>
      <c r="T341" s="74" t="s">
        <v>0</v>
      </c>
      <c r="U341" s="74" t="s">
        <v>9664</v>
      </c>
      <c r="V341" s="107" t="s">
        <v>9639</v>
      </c>
      <c r="W341" s="107" t="s">
        <v>9639</v>
      </c>
      <c r="X341" s="107" t="s">
        <v>9638</v>
      </c>
      <c r="Y341" s="107" t="s">
        <v>9638</v>
      </c>
      <c r="Z341" s="107" t="s">
        <v>9639</v>
      </c>
      <c r="AA341" s="36" t="s">
        <v>0</v>
      </c>
      <c r="AB341" s="74" t="s">
        <v>0</v>
      </c>
      <c r="AC341" s="74" t="s">
        <v>0</v>
      </c>
      <c r="AD341" s="116" t="s">
        <v>0</v>
      </c>
      <c r="AE341" s="168"/>
      <c r="AF341" s="5"/>
      <c r="AG341" s="311"/>
    </row>
    <row r="342" spans="1:34" ht="20.100000000000001" customHeight="1">
      <c r="A342" s="51" t="s">
        <v>935</v>
      </c>
      <c r="B342" s="84"/>
      <c r="C342" s="84"/>
      <c r="D342" s="84"/>
      <c r="E342" s="84"/>
      <c r="F342" s="84"/>
      <c r="G342" s="84"/>
      <c r="H342" s="84"/>
      <c r="I342" s="84"/>
      <c r="J342" s="84"/>
      <c r="K342" s="84"/>
      <c r="L342" s="84"/>
      <c r="M342" s="84"/>
      <c r="N342" s="186"/>
      <c r="O342" s="186"/>
      <c r="P342" s="186"/>
      <c r="Q342" s="186"/>
      <c r="R342" s="186"/>
      <c r="S342" s="186"/>
      <c r="T342" s="186"/>
      <c r="U342" s="186" t="s">
        <v>9661</v>
      </c>
      <c r="V342" s="186" t="s">
        <v>9640</v>
      </c>
      <c r="W342" s="186" t="s">
        <v>9640</v>
      </c>
      <c r="X342" s="186" t="s">
        <v>9641</v>
      </c>
      <c r="Y342" s="186" t="s">
        <v>9641</v>
      </c>
      <c r="Z342" s="186" t="s">
        <v>9640</v>
      </c>
      <c r="AA342" s="52"/>
      <c r="AB342" s="186"/>
      <c r="AC342" s="186"/>
      <c r="AD342" s="186"/>
    </row>
    <row r="343" spans="1:34" s="40" customFormat="1">
      <c r="A343" s="3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3"/>
      <c r="AB343" s="71"/>
      <c r="AC343" s="71"/>
      <c r="AD343" s="71"/>
      <c r="AE343" s="167"/>
      <c r="AF343" s="5"/>
      <c r="AG343" s="311"/>
      <c r="AH343" s="41"/>
    </row>
    <row r="344" spans="1:34" ht="20.100000000000001" customHeight="1">
      <c r="A344" s="22" t="s">
        <v>70</v>
      </c>
      <c r="B344" s="255" t="str">
        <f t="shared" ref="B344:W344" si="13">B1</f>
        <v>Allianz</v>
      </c>
      <c r="C344" s="255" t="str">
        <f t="shared" si="13"/>
        <v>Allianz SicherheitBest</v>
      </c>
      <c r="D344" s="255" t="str">
        <f t="shared" si="13"/>
        <v>Allianz SicherheitPlus</v>
      </c>
      <c r="E344" s="255" t="str">
        <f t="shared" si="13"/>
        <v>Ammerländer Basic</v>
      </c>
      <c r="F344" s="255" t="str">
        <f t="shared" si="13"/>
        <v>Ammerländer Classic</v>
      </c>
      <c r="G344" s="255" t="str">
        <f t="shared" si="13"/>
        <v>Ammerländer Comfort</v>
      </c>
      <c r="H344" s="255" t="str">
        <f t="shared" si="13"/>
        <v>Ammerländer Economic</v>
      </c>
      <c r="I344" s="255" t="str">
        <f t="shared" si="13"/>
        <v>Ammerländer Excellent</v>
      </c>
      <c r="J344" s="255" t="str">
        <f t="shared" si="13"/>
        <v>Ammerländer Exclusiv</v>
      </c>
      <c r="K344" s="255" t="str">
        <f t="shared" si="13"/>
        <v>Domcura Komfort</v>
      </c>
      <c r="L344" s="255" t="str">
        <f t="shared" si="13"/>
        <v>Domcura Standard</v>
      </c>
      <c r="M344" s="255" t="str">
        <f t="shared" si="13"/>
        <v>Domcura Top</v>
      </c>
      <c r="N344" s="255" t="str">
        <f t="shared" si="13"/>
        <v>Gothaer Basis</v>
      </c>
      <c r="O344" s="255" t="str">
        <f t="shared" si="13"/>
        <v>Gothaer Plus</v>
      </c>
      <c r="P344" s="255" t="str">
        <f t="shared" si="13"/>
        <v>Gothaer Premium</v>
      </c>
      <c r="Q344" s="255" t="str">
        <f t="shared" si="13"/>
        <v>HK Darmstadt Einfach Besser</v>
      </c>
      <c r="R344" s="255" t="str">
        <f t="shared" si="13"/>
        <v>HK Darmstadt Eindach Komplett</v>
      </c>
      <c r="S344" s="255" t="str">
        <f t="shared" si="13"/>
        <v>InterRisk L</v>
      </c>
      <c r="T344" s="255" t="str">
        <f t="shared" si="13"/>
        <v>InterRisk XL</v>
      </c>
      <c r="U344" s="255" t="str">
        <f t="shared" si="13"/>
        <v>InterRisk XXL</v>
      </c>
      <c r="V344" s="255" t="str">
        <f t="shared" si="13"/>
        <v>ITL Classic VS</v>
      </c>
      <c r="W344" s="255" t="str">
        <f t="shared" si="13"/>
        <v>ITL Eurosecure Plus QM afm</v>
      </c>
      <c r="X344" s="255" t="str">
        <f t="shared" ref="X344" si="14">X1</f>
        <v>ITL Infinitus QM</v>
      </c>
      <c r="Y344" s="255" t="str">
        <f t="shared" ref="Y344:AD344" si="15">Y1</f>
        <v>ITL Infinitus VS</v>
      </c>
      <c r="Z344" s="255" t="str">
        <f t="shared" si="15"/>
        <v>ITL Protect Plus VS</v>
      </c>
      <c r="AA344" s="255" t="str">
        <f t="shared" si="15"/>
        <v>Keine</v>
      </c>
      <c r="AB344" s="255" t="str">
        <f t="shared" si="15"/>
        <v>VHV Kl. Garant</v>
      </c>
      <c r="AC344" s="255" t="str">
        <f t="shared" si="15"/>
        <v>VHV Kl. Garant Exkl.</v>
      </c>
      <c r="AD344" s="255" t="str">
        <f t="shared" si="15"/>
        <v>VHV Kl. Garant Exkl.BEST</v>
      </c>
    </row>
    <row r="345" spans="1:34" s="95" customFormat="1" ht="20.100000000000001" customHeight="1">
      <c r="A345" s="6"/>
      <c r="B345" s="36" t="s">
        <v>9343</v>
      </c>
      <c r="C345" s="36" t="s">
        <v>9344</v>
      </c>
      <c r="D345" s="36" t="s">
        <v>9344</v>
      </c>
      <c r="E345" s="36" t="s">
        <v>9771</v>
      </c>
      <c r="F345" s="36" t="s">
        <v>9772</v>
      </c>
      <c r="G345" s="36" t="s">
        <v>9777</v>
      </c>
      <c r="H345" s="36" t="s">
        <v>9778</v>
      </c>
      <c r="I345" s="36" t="s">
        <v>9769</v>
      </c>
      <c r="J345" s="36" t="s">
        <v>9774</v>
      </c>
      <c r="K345" s="36" t="s">
        <v>9118</v>
      </c>
      <c r="L345" s="36" t="s">
        <v>9117</v>
      </c>
      <c r="M345" s="36" t="s">
        <v>9116</v>
      </c>
      <c r="N345" s="36" t="s">
        <v>9346</v>
      </c>
      <c r="O345" s="36" t="s">
        <v>9346</v>
      </c>
      <c r="P345" s="36" t="s">
        <v>9346</v>
      </c>
      <c r="Q345" s="36" t="s">
        <v>9736</v>
      </c>
      <c r="R345" s="36" t="s">
        <v>9737</v>
      </c>
      <c r="S345" s="36" t="s">
        <v>9347</v>
      </c>
      <c r="T345" s="36" t="s">
        <v>9348</v>
      </c>
      <c r="U345" s="36" t="s">
        <v>9349</v>
      </c>
      <c r="V345" s="36" t="s">
        <v>9415</v>
      </c>
      <c r="W345" s="36" t="s">
        <v>9685</v>
      </c>
      <c r="X345" s="36" t="s">
        <v>9415</v>
      </c>
      <c r="Y345" s="36" t="s">
        <v>9415</v>
      </c>
      <c r="Z345" s="36" t="s">
        <v>9415</v>
      </c>
      <c r="AA345" s="38" t="s">
        <v>0</v>
      </c>
      <c r="AB345" s="36" t="s">
        <v>9354</v>
      </c>
      <c r="AC345" s="36" t="s">
        <v>9354</v>
      </c>
      <c r="AD345" s="36" t="s">
        <v>9354</v>
      </c>
      <c r="AE345" s="167"/>
      <c r="AF345" s="5"/>
      <c r="AG345" s="311"/>
      <c r="AH345" s="40"/>
    </row>
    <row r="346" spans="1:34">
      <c r="A346" s="31"/>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row>
    <row r="347" spans="1:34" ht="30" customHeight="1">
      <c r="A347" s="94" t="s">
        <v>3183</v>
      </c>
      <c r="B347" s="221" t="s">
        <v>6842</v>
      </c>
      <c r="C347" s="221" t="s">
        <v>6970</v>
      </c>
      <c r="D347" s="221" t="s">
        <v>6917</v>
      </c>
      <c r="E347" s="99" t="s">
        <v>9744</v>
      </c>
      <c r="F347" s="99" t="s">
        <v>9744</v>
      </c>
      <c r="G347" s="99" t="s">
        <v>9770</v>
      </c>
      <c r="H347" s="99" t="s">
        <v>9770</v>
      </c>
      <c r="I347" s="99" t="s">
        <v>9770</v>
      </c>
      <c r="J347" s="99" t="s">
        <v>9770</v>
      </c>
      <c r="K347" s="99" t="s">
        <v>9770</v>
      </c>
      <c r="L347" s="99" t="s">
        <v>9770</v>
      </c>
      <c r="M347" s="99" t="s">
        <v>9770</v>
      </c>
      <c r="N347" s="221" t="s">
        <v>8132</v>
      </c>
      <c r="O347" s="221" t="s">
        <v>8132</v>
      </c>
      <c r="P347" s="221" t="s">
        <v>8132</v>
      </c>
      <c r="Q347" s="99" t="s">
        <v>9744</v>
      </c>
      <c r="R347" s="99" t="s">
        <v>9744</v>
      </c>
      <c r="S347" s="99" t="s">
        <v>9785</v>
      </c>
      <c r="T347" s="99" t="s">
        <v>9785</v>
      </c>
      <c r="U347" s="99" t="s">
        <v>9785</v>
      </c>
      <c r="V347" s="99" t="s">
        <v>9784</v>
      </c>
      <c r="W347" s="99" t="s">
        <v>9784</v>
      </c>
      <c r="X347" s="99" t="s">
        <v>9784</v>
      </c>
      <c r="Y347" s="99" t="s">
        <v>9784</v>
      </c>
      <c r="Z347" s="99" t="s">
        <v>9784</v>
      </c>
      <c r="AA347" s="83" t="s">
        <v>0</v>
      </c>
      <c r="AB347" s="99" t="s">
        <v>9783</v>
      </c>
      <c r="AC347" s="99" t="s">
        <v>9783</v>
      </c>
      <c r="AD347" s="99" t="s">
        <v>9783</v>
      </c>
      <c r="AH347" s="95"/>
    </row>
    <row r="348" spans="1:34">
      <c r="A348" s="12" t="s">
        <v>6722</v>
      </c>
      <c r="B348" s="202" t="s">
        <v>6843</v>
      </c>
      <c r="C348" s="202" t="s">
        <v>6843</v>
      </c>
      <c r="D348" s="202" t="s">
        <v>6843</v>
      </c>
      <c r="E348" s="202" t="s">
        <v>6843</v>
      </c>
      <c r="F348" s="202" t="s">
        <v>6843</v>
      </c>
      <c r="G348" s="202" t="s">
        <v>6843</v>
      </c>
      <c r="H348" s="202" t="s">
        <v>6843</v>
      </c>
      <c r="I348" s="202" t="s">
        <v>6843</v>
      </c>
      <c r="J348" s="202" t="s">
        <v>6843</v>
      </c>
      <c r="K348" s="202" t="s">
        <v>9016</v>
      </c>
      <c r="L348" s="202" t="s">
        <v>9016</v>
      </c>
      <c r="M348" s="202" t="s">
        <v>9016</v>
      </c>
      <c r="N348" s="202" t="s">
        <v>6843</v>
      </c>
      <c r="O348" s="202" t="s">
        <v>6843</v>
      </c>
      <c r="P348" s="202" t="s">
        <v>6843</v>
      </c>
      <c r="Q348" s="202" t="s">
        <v>6843</v>
      </c>
      <c r="R348" s="202" t="s">
        <v>6843</v>
      </c>
      <c r="S348" s="202" t="s">
        <v>6843</v>
      </c>
      <c r="T348" s="202" t="s">
        <v>6843</v>
      </c>
      <c r="U348" s="202" t="s">
        <v>6843</v>
      </c>
      <c r="V348" s="202" t="s">
        <v>6843</v>
      </c>
      <c r="W348" s="202" t="s">
        <v>6843</v>
      </c>
      <c r="X348" s="202" t="s">
        <v>6843</v>
      </c>
      <c r="Y348" s="202" t="s">
        <v>6843</v>
      </c>
      <c r="Z348" s="202" t="s">
        <v>6843</v>
      </c>
      <c r="AA348" s="38" t="s">
        <v>0</v>
      </c>
      <c r="AB348" s="202" t="s">
        <v>6843</v>
      </c>
      <c r="AC348" s="202" t="s">
        <v>6843</v>
      </c>
      <c r="AD348" s="202" t="s">
        <v>6843</v>
      </c>
    </row>
    <row r="349" spans="1:34">
      <c r="AA349" s="78"/>
    </row>
    <row r="351" spans="1:34" ht="125.25" customHeight="1">
      <c r="A351" s="267" t="s">
        <v>6960</v>
      </c>
      <c r="B351" s="23"/>
      <c r="C351" s="23"/>
      <c r="D351" s="23"/>
      <c r="E351" s="73" t="s">
        <v>9750</v>
      </c>
      <c r="F351" s="73" t="s">
        <v>9749</v>
      </c>
      <c r="G351" s="73" t="s">
        <v>9782</v>
      </c>
      <c r="H351" s="73" t="s">
        <v>9775</v>
      </c>
      <c r="I351" s="23"/>
      <c r="J351" s="73" t="s">
        <v>9776</v>
      </c>
      <c r="K351" s="41"/>
      <c r="L351" s="41"/>
      <c r="M351" s="41"/>
      <c r="N351" s="73"/>
      <c r="Q351" s="73" t="s">
        <v>9740</v>
      </c>
      <c r="R351" s="73" t="s">
        <v>9740</v>
      </c>
      <c r="V351" s="73"/>
      <c r="W351" s="73"/>
      <c r="X351" s="73"/>
      <c r="Y351" s="73"/>
      <c r="Z351" s="73"/>
    </row>
    <row r="352" spans="1:34" ht="125.25" customHeight="1">
      <c r="A352" s="267" t="s">
        <v>9747</v>
      </c>
      <c r="B352" s="23" t="s">
        <v>6958</v>
      </c>
      <c r="C352" s="23" t="s">
        <v>6959</v>
      </c>
      <c r="D352" s="23" t="s">
        <v>6958</v>
      </c>
      <c r="E352" s="23" t="s">
        <v>8233</v>
      </c>
      <c r="F352" s="23" t="s">
        <v>8233</v>
      </c>
      <c r="G352" s="23" t="s">
        <v>8233</v>
      </c>
      <c r="H352" s="23" t="s">
        <v>8233</v>
      </c>
      <c r="I352" s="23" t="s">
        <v>8233</v>
      </c>
      <c r="J352" s="23" t="s">
        <v>8233</v>
      </c>
      <c r="K352" s="41"/>
      <c r="L352" s="41"/>
      <c r="M352" s="41"/>
      <c r="N352" s="73" t="s">
        <v>8090</v>
      </c>
      <c r="Q352" s="73"/>
      <c r="R352" s="73"/>
      <c r="V352" s="73" t="s">
        <v>9732</v>
      </c>
      <c r="W352" s="73" t="s">
        <v>9733</v>
      </c>
      <c r="X352" s="73" t="s">
        <v>9732</v>
      </c>
      <c r="Y352" s="73" t="s">
        <v>9732</v>
      </c>
      <c r="Z352" s="73" t="s">
        <v>9732</v>
      </c>
    </row>
    <row r="353" spans="1:34" ht="27">
      <c r="A353" s="323" t="s">
        <v>9734</v>
      </c>
      <c r="V353" s="73" t="s">
        <v>9735</v>
      </c>
      <c r="W353" s="73" t="s">
        <v>9735</v>
      </c>
      <c r="X353" s="73" t="s">
        <v>9735</v>
      </c>
      <c r="Y353" s="73" t="s">
        <v>9735</v>
      </c>
      <c r="Z353" s="73" t="s">
        <v>9735</v>
      </c>
    </row>
    <row r="355" spans="1:34" s="149" customFormat="1" ht="63">
      <c r="A355" s="323" t="s">
        <v>8686</v>
      </c>
      <c r="E355" s="149" t="s">
        <v>0</v>
      </c>
      <c r="F355" s="149" t="s">
        <v>0</v>
      </c>
      <c r="G355" s="149" t="s">
        <v>0</v>
      </c>
      <c r="H355" s="149" t="s">
        <v>0</v>
      </c>
      <c r="I355" s="73" t="s">
        <v>9759</v>
      </c>
      <c r="J355" s="149" t="s">
        <v>0</v>
      </c>
      <c r="Q355" s="73" t="s">
        <v>9325</v>
      </c>
      <c r="R355" s="73" t="s">
        <v>9325</v>
      </c>
      <c r="V355" s="149" t="s">
        <v>9481</v>
      </c>
      <c r="W355" s="149" t="s">
        <v>9481</v>
      </c>
      <c r="X355" s="149" t="s">
        <v>9481</v>
      </c>
      <c r="Y355" s="149" t="s">
        <v>9481</v>
      </c>
      <c r="Z355" s="149" t="s">
        <v>9481</v>
      </c>
      <c r="AE355" s="326"/>
      <c r="AF355" s="5"/>
      <c r="AG355" s="311"/>
      <c r="AH355" s="5"/>
    </row>
    <row r="356" spans="1:34" s="20" customFormat="1" ht="20.100000000000001" customHeight="1">
      <c r="A356" s="323" t="s">
        <v>9548</v>
      </c>
      <c r="B356" s="324"/>
      <c r="C356" s="324"/>
      <c r="D356" s="324"/>
      <c r="E356" s="324" t="s">
        <v>57</v>
      </c>
      <c r="F356" s="324" t="s">
        <v>57</v>
      </c>
      <c r="G356" s="324" t="s">
        <v>57</v>
      </c>
      <c r="H356" s="324" t="s">
        <v>57</v>
      </c>
      <c r="I356" s="324" t="s">
        <v>57</v>
      </c>
      <c r="J356" s="324" t="s">
        <v>57</v>
      </c>
      <c r="K356" s="324"/>
      <c r="L356" s="324"/>
      <c r="M356" s="324"/>
      <c r="N356" s="324"/>
      <c r="O356" s="324"/>
      <c r="P356" s="324"/>
      <c r="Q356" s="324"/>
      <c r="R356" s="324"/>
      <c r="S356" s="324"/>
      <c r="T356" s="324"/>
      <c r="U356" s="324"/>
      <c r="V356" s="324" t="s">
        <v>6361</v>
      </c>
      <c r="W356" s="324"/>
      <c r="X356" s="227"/>
      <c r="Y356" s="227" t="s">
        <v>9549</v>
      </c>
      <c r="Z356" s="227" t="s">
        <v>9549</v>
      </c>
      <c r="AA356" s="324"/>
      <c r="AB356" s="324"/>
      <c r="AC356" s="324"/>
      <c r="AD356" s="324"/>
      <c r="AE356" s="325"/>
      <c r="AF356" s="5"/>
      <c r="AG356" s="311"/>
      <c r="AH356" s="5"/>
    </row>
    <row r="357" spans="1:34" ht="18">
      <c r="E357" s="84" t="s">
        <v>9746</v>
      </c>
      <c r="F357" s="84" t="s">
        <v>9748</v>
      </c>
      <c r="G357" s="84" t="s">
        <v>9779</v>
      </c>
      <c r="H357" s="84" t="s">
        <v>9780</v>
      </c>
      <c r="I357" s="84" t="s">
        <v>9768</v>
      </c>
      <c r="J357" s="84" t="s">
        <v>9781</v>
      </c>
      <c r="AF357" s="149"/>
      <c r="AG357" s="149"/>
      <c r="AH357" s="149"/>
    </row>
    <row r="358" spans="1:34" ht="54">
      <c r="A358" s="5" t="s">
        <v>9558</v>
      </c>
      <c r="X358" s="73"/>
      <c r="Y358" s="73" t="s">
        <v>9559</v>
      </c>
      <c r="AF358" s="20"/>
      <c r="AG358" s="20"/>
      <c r="AH358" s="20"/>
    </row>
    <row r="360" spans="1:34">
      <c r="Y360" s="73"/>
    </row>
  </sheetData>
  <customSheetViews>
    <customSheetView guid="{7F75E596-18F6-4BB0-8B05-898440E130DF}" state="hidden">
      <pane xSplit="1" ySplit="1" topLeftCell="AO202" activePane="bottomRight" state="frozen"/>
      <selection pane="bottomRight" activeCell="AW217" sqref="AW217"/>
      <pageMargins left="0.39370078740157483" right="0.39370078740157483" top="0.98425196850393704" bottom="0.78740157480314965" header="0.51181102362204722" footer="0.51181102362204722"/>
      <printOptions horizontalCentered="1"/>
      <pageSetup paperSize="9" orientation="landscape" verticalDpi="1200" r:id="rId1"/>
      <headerFooter alignWithMargins="0">
        <oddHeader>&amp;R&amp;G</oddHeader>
        <oddFooter>&amp;C&amp;8Bei den Deckungsinhalten handelt es sich nur um Stichworte. Die detaillierten Deckungsumfänge sind den jeweiligen Bedingungen zu entnehmen.</oddFooter>
      </headerFooter>
    </customSheetView>
  </customSheetViews>
  <phoneticPr fontId="1" type="noConversion"/>
  <conditionalFormatting sqref="B30:D30 B245:D245 B205:D205 B191:D191 B187:D187 B185:D185 B109:D109 B107:D107 B74:D74 B66:D66 B281:D281 B285:D285 B271:D271 B42:D42 B141:D141 B156:D156 B154:D154 B150:D150 B70:D70 B215:D215 B199:D199 B111:D111 B97:D97 B152:D152 B93:D93 B12:D12 B101:D101 B103:D103 B99:D99 B201:D201 B183:D183 B129:D129 B135:D135 B78:D78 B179:D179 B181:D181 B209:D209 B213:D213 B119:D119 B121:D121 B123:D123 B125:D125 B133:D133 B127:D127 B131:D131 B137:D137 B139:D139 B145:D145 B158:D158 B160:D160 B162:D162 B165:D165 B95:D95 B86:D86 B189:D189 B203:D203 B229:D229 B207:D207 B221:D221 L221 B211:D211 L211 B34:D34 L34 B249:D249 B171:D171 B227:D227 L227 B76:D76 L76 B38:D38 L38 B82:D82 L82 B217:D217 B143:D143 B14:D14 L14 B219:D219 B6:D6 L6 B8:D8 B10:D10 L10 B84:D84 L84 B223:D223 B231:D231 B345:D345 L345 B26:D26 B28:D28 L28 B24:D24 B20:D20 B22:D22 B32:D32 B36:D36 B40:D40 B44:D44 B46:D46 B48:D48 B54:D54 B52:D52 B50:D50 B56:D56 B60:D60 B64:D64 B68:D68 B117:D117 B195:D195 B197:D197 B253:D253 B337:D337 B251:D251 B239:D239 B237:D237 B257:D257 B193:D193 B175:D175 B265:D265 B247:D247 B261:D261 B269:D269 B259:D259 B16:D16 B62:D62 B113:D113 B167:D167 B105:D105 B2:D2 B4:D4 B91:D91 B235:D235 B243:D243 B255:D255 B241:D241 B263:D263 B72:D72 K203 K207 K217:L217 K8:L8 K223:L223 K231:L231 K24:L24 K20:L20 K22:L22 K32:L32 K36:L36 K40:L40 K44:L44 K46:L46 K48:L48 K54:L54 K52:L52 K50:L50 K56:L56 K60:L60 K64:L64 K68:L68 K117:L117 K195:L195 K197:L197 K253:L253 K337:L337 N165:P165 N158:P158 N152:P152 N150:P150 N154:P154 N156:P156 N12:Q12 N24:P24 N20:P20 N22:P22 N36:P36 N40:P40 N44:Q44 N46:P46 N48:Q48 N50:P50 N68:P68 N78:Q78 N76:P76 N97:P97 N101:P101 N107:P107 N109:P109 N197:P197 N345:P345 N34:Q34 N52:P52 N54:P54 N56:P56 N84:Q84 N86:P86 N103:P103 N119:P119 N121:P121 N123:P123 N125:P125 N127:P127 N129:P129 N137:P137 N162:P162 N179:P179 N181:P181 N183:P183 N185:P185 N187:P187 N189:P189 N195:P195 N213:P213 N215:P215 N221:P221 N209:P209 N82:Q82 N38:Q38 N30:Q30 N60:Q60 N42:Q42 N32:Q32 N64:P64 N66:Q66 N70:Q70 N74:P74 N133:P133 N131:P131 K2:Q2 N6:Q6 K4:Q4 N8:Q8 N10:Q10 K16:Q16 N28:Q28 L26:Q26 K229:Q229 K263:Q263 N93:Q93 N95:Q95 N139:Q139 N135:Q135 N160:Q160 N145:Q145 N217:Q217 N337:Q337 N253:Q253 N231:Q231 L143:Q143 L249:Q249 M245:Q245 M281:Q281 K251:Q251 K261:Q261 K259:Q259 K235:Q235 K241:Q241 N141:Q141 L171:Q171 N191:Q191 K265:Q265 K257:Q257 N227:Q227 K105:Q105 N111:Q111 N199:Q199 N203:Q203 N205:Q205 N201:Q201 N117:Q117 K193:Q193 N285:Q285 K243:Q243 K237:Q237 K239:Q239 N223:Q223 L219:Q219 N211:Q211 M271:Q271 N341:Q341 K341:L341 B341:D341 S107:U107 AA107:AD107 S181:U181 S183:U183 S189:U189 S185:U185 S187:U187 S213:U213 S215:U215 S223:U223 S227:U227 S229:U229 S150:U150 S154:U154 S24:U24 S46:U46 S42:U42 S52:U52 S54:U54 S38:U38 S4:U4 S84:U84 W38 W4 AA257:AD257 AA259:AD259 AA78:AD78 AA10:AD10 AA12:AD12 AA281:AD281 AA285:AD285 AA86:AD86 AA84:AD84 AA76:AD76 AA235:AD235 AA227:AD227 AA229:AD229 AA221:AD221 AA219:AD219 AA213:AD213 AA215:AD215 AA203:AD203 AA205:AD205 AA199:AD199 AA195:AD195 AA197:AD197 AA191:AD191 AA183:AD183 AA189:AD189 AA185:AD185 AA187:AD187 AA179:AD179 AA154:AD154 AA28:AD28 AA24:AD24 AA22:AD22 AA20:AD20 AA103:AD103 AA60:AD60 AA44:AD44 AA48:AD48 AA50:AD50 AA56:AD56 AA66:AD66 AA54:AD54 AA52:AD52 AA42:AD42 AA46:AD46 AA150:AD150 AA4:AD4 AA30:AD30 AA32:AD32 AA36:AD36 AA38:AD38 AA40:AD40 AA68:AD68 AA271:AD271 AA93:AD93 AA97:AD97 AA95:AD95 AA99:AD99 AA131:AD131 AA117:AD117 AA129:AD129 AA123:AD123 AA121:AD121 AA119:AD119 AA127:AD127 AA125:AD125 AA133:AD133 AA137:AD137 AA139:AD139 AA135:AD135 AA145:AD145 AA158:AD158 Z105:AD105 Z160:AD160 Z162:AD162 Z165:AD165 Z34:AD34 Z64:AD64 Z345:AD345 Z111:AD111 Z249:AD249 Z74:AD74 Z209:AD209 Z70:AD70 Z82:AD82 Y339:AD339 Y181:AD181 Y223:AD223 Y211:AD211 Y237:AD237 Y337:AD337 Y253:AD253 Y231:AD231 Y201:AD201 Y241:AD241 Y243:AD243 Y72:AD72 Y341:AD341 Z101:AD101 Z141:AD141 Z171:AD171 Z152:AD152 Z156:AD156 Z251:AD251 Z207:AD207 Z6:AD6 Z8:AD8 Z16:AD16 Y14:AD14 Y239:AD239 Y26:AD26 Y263:AD263 Y265:AD265 Y217:AD217 AA261:AD261 X261:Y261 AA245:AD245 X245:Y245 AA109:AD109 X109:Y109 X193:AD193 X62:AD62 AA255:AD255 AA2:AD2 S143:AD143 K175:AD175 K247:AD247 K269:AD269 K113:AD113 K167:AD167 K91:AD91 S2:Y2 K255:Y255 N14:W14 S239:W239 S26:W26 S263:W263 S265:W265 S217:W217 S16:W16 S8:W8 S6:W6 M207:W207 S251:W251 S156:W156 S152:W152 S171:W171 S141:W141 S101:W101 S211:V211 S237:V237 S193:V193 K62:V62 S337:V337 S253:V253 S231:V231 S201:V201 S241:V241 S243:V243 K72:V72 S341:V341 S97:W97 N99:W99 S109:V109 S179:V179 S199:V199 S203:V203 S205:V205 S191:V191 S221:V221 S219:V219 S235:V235 S195:V195 S197:V197 S133:W133 S131:W131 S117:W117 S137:W137 S129:W129 S123:W123 S121:W121 S119:W119 S139:W139 S127:W127 S135:W135 S125:W125 S158:W158 S145:W145 S95:W95 S93:W93 S32:W32 S66:V66 S68:W68 S12:V12 S10:V10 S22:V22 S20:V20 S30:W30 S28:V28 S36:W36 S40:W40 S56:V56 S50:V50 S48:V48 S44:V44 S60:V60 S76:V76 S78:V78 S86:V86 S103:V103 S271:W271 S281:V281 S285:V285 S245:V245 S257:V257 S259:V259 S261:V261 S105:V105 S160:V160 S162:V162 S165:V165 S34:V34 S64:V64 S345:V345 S111:V111 S249:V249 S74:V74 S209:V209 S70:V70 S82:V82">
    <cfRule type="containsBlanks" dxfId="677" priority="2361" stopIfTrue="1">
      <formula>LEN(TRIM(B2))=0</formula>
    </cfRule>
  </conditionalFormatting>
  <conditionalFormatting sqref="K6 M6">
    <cfRule type="containsBlanks" dxfId="676" priority="800" stopIfTrue="1">
      <formula>LEN(TRIM(K6))=0</formula>
    </cfRule>
  </conditionalFormatting>
  <conditionalFormatting sqref="K10 M10">
    <cfRule type="containsBlanks" dxfId="675" priority="799" stopIfTrue="1">
      <formula>LEN(TRIM(K10))=0</formula>
    </cfRule>
  </conditionalFormatting>
  <conditionalFormatting sqref="L12">
    <cfRule type="containsBlanks" dxfId="674" priority="798" stopIfTrue="1">
      <formula>LEN(TRIM(L12))=0</formula>
    </cfRule>
  </conditionalFormatting>
  <conditionalFormatting sqref="K12 M12">
    <cfRule type="containsBlanks" dxfId="673" priority="797" stopIfTrue="1">
      <formula>LEN(TRIM(K12))=0</formula>
    </cfRule>
  </conditionalFormatting>
  <conditionalFormatting sqref="K14">
    <cfRule type="containsBlanks" dxfId="672" priority="795" stopIfTrue="1">
      <formula>LEN(TRIM(K14))=0</formula>
    </cfRule>
  </conditionalFormatting>
  <conditionalFormatting sqref="M14">
    <cfRule type="containsBlanks" dxfId="671" priority="794" stopIfTrue="1">
      <formula>LEN(TRIM(M14))=0</formula>
    </cfRule>
  </conditionalFormatting>
  <conditionalFormatting sqref="M22 M20 M24">
    <cfRule type="containsBlanks" dxfId="670" priority="793" stopIfTrue="1">
      <formula>LEN(TRIM(M20))=0</formula>
    </cfRule>
  </conditionalFormatting>
  <conditionalFormatting sqref="M32">
    <cfRule type="containsBlanks" dxfId="669" priority="792" stopIfTrue="1">
      <formula>LEN(TRIM(M32))=0</formula>
    </cfRule>
  </conditionalFormatting>
  <conditionalFormatting sqref="M36">
    <cfRule type="containsBlanks" dxfId="668" priority="791" stopIfTrue="1">
      <formula>LEN(TRIM(M36))=0</formula>
    </cfRule>
  </conditionalFormatting>
  <conditionalFormatting sqref="K38 M38">
    <cfRule type="containsBlanks" dxfId="667" priority="790" stopIfTrue="1">
      <formula>LEN(TRIM(K38))=0</formula>
    </cfRule>
  </conditionalFormatting>
  <conditionalFormatting sqref="M40">
    <cfRule type="containsBlanks" dxfId="666" priority="789" stopIfTrue="1">
      <formula>LEN(TRIM(M40))=0</formula>
    </cfRule>
  </conditionalFormatting>
  <conditionalFormatting sqref="L42">
    <cfRule type="containsBlanks" dxfId="665" priority="788" stopIfTrue="1">
      <formula>LEN(TRIM(L42))=0</formula>
    </cfRule>
  </conditionalFormatting>
  <conditionalFormatting sqref="K42 M42">
    <cfRule type="containsBlanks" dxfId="664" priority="787" stopIfTrue="1">
      <formula>LEN(TRIM(K42))=0</formula>
    </cfRule>
  </conditionalFormatting>
  <conditionalFormatting sqref="M44">
    <cfRule type="containsBlanks" dxfId="663" priority="786" stopIfTrue="1">
      <formula>LEN(TRIM(M44))=0</formula>
    </cfRule>
  </conditionalFormatting>
  <conditionalFormatting sqref="M46">
    <cfRule type="containsBlanks" dxfId="662" priority="785" stopIfTrue="1">
      <formula>LEN(TRIM(M46))=0</formula>
    </cfRule>
  </conditionalFormatting>
  <conditionalFormatting sqref="M48">
    <cfRule type="containsBlanks" dxfId="661" priority="784" stopIfTrue="1">
      <formula>LEN(TRIM(M48))=0</formula>
    </cfRule>
  </conditionalFormatting>
  <conditionalFormatting sqref="M50 M52 M54">
    <cfRule type="containsBlanks" dxfId="660" priority="783" stopIfTrue="1">
      <formula>LEN(TRIM(M50))=0</formula>
    </cfRule>
  </conditionalFormatting>
  <conditionalFormatting sqref="M56">
    <cfRule type="containsBlanks" dxfId="659" priority="782" stopIfTrue="1">
      <formula>LEN(TRIM(M56))=0</formula>
    </cfRule>
  </conditionalFormatting>
  <conditionalFormatting sqref="M60">
    <cfRule type="containsBlanks" dxfId="658" priority="781" stopIfTrue="1">
      <formula>LEN(TRIM(M60))=0</formula>
    </cfRule>
  </conditionalFormatting>
  <conditionalFormatting sqref="M64">
    <cfRule type="containsBlanks" dxfId="657" priority="779" stopIfTrue="1">
      <formula>LEN(TRIM(M64))=0</formula>
    </cfRule>
  </conditionalFormatting>
  <conditionalFormatting sqref="L66">
    <cfRule type="containsBlanks" dxfId="656" priority="778" stopIfTrue="1">
      <formula>LEN(TRIM(L66))=0</formula>
    </cfRule>
  </conditionalFormatting>
  <conditionalFormatting sqref="M68">
    <cfRule type="containsBlanks" dxfId="655" priority="777" stopIfTrue="1">
      <formula>LEN(TRIM(M68))=0</formula>
    </cfRule>
  </conditionalFormatting>
  <conditionalFormatting sqref="L70">
    <cfRule type="containsBlanks" dxfId="654" priority="776" stopIfTrue="1">
      <formula>LEN(TRIM(L70))=0</formula>
    </cfRule>
  </conditionalFormatting>
  <conditionalFormatting sqref="L74">
    <cfRule type="containsBlanks" dxfId="653" priority="775" stopIfTrue="1">
      <formula>LEN(TRIM(L74))=0</formula>
    </cfRule>
  </conditionalFormatting>
  <conditionalFormatting sqref="K74 M74">
    <cfRule type="containsBlanks" dxfId="652" priority="774" stopIfTrue="1">
      <formula>LEN(TRIM(K74))=0</formula>
    </cfRule>
  </conditionalFormatting>
  <conditionalFormatting sqref="L78">
    <cfRule type="containsBlanks" dxfId="651" priority="773" stopIfTrue="1">
      <formula>LEN(TRIM(L78))=0</formula>
    </cfRule>
  </conditionalFormatting>
  <conditionalFormatting sqref="K76 M76">
    <cfRule type="containsBlanks" dxfId="650" priority="772" stopIfTrue="1">
      <formula>LEN(TRIM(K76))=0</formula>
    </cfRule>
  </conditionalFormatting>
  <conditionalFormatting sqref="K78 M78">
    <cfRule type="containsBlanks" dxfId="649" priority="771" stopIfTrue="1">
      <formula>LEN(TRIM(K78))=0</formula>
    </cfRule>
  </conditionalFormatting>
  <conditionalFormatting sqref="K82">
    <cfRule type="containsBlanks" dxfId="648" priority="770" stopIfTrue="1">
      <formula>LEN(TRIM(K82))=0</formula>
    </cfRule>
  </conditionalFormatting>
  <conditionalFormatting sqref="M82">
    <cfRule type="containsBlanks" dxfId="647" priority="769" stopIfTrue="1">
      <formula>LEN(TRIM(M82))=0</formula>
    </cfRule>
  </conditionalFormatting>
  <conditionalFormatting sqref="K84">
    <cfRule type="containsBlanks" dxfId="646" priority="768" stopIfTrue="1">
      <formula>LEN(TRIM(K84))=0</formula>
    </cfRule>
  </conditionalFormatting>
  <conditionalFormatting sqref="M84">
    <cfRule type="containsBlanks" dxfId="645" priority="767" stopIfTrue="1">
      <formula>LEN(TRIM(M84))=0</formula>
    </cfRule>
  </conditionalFormatting>
  <conditionalFormatting sqref="L86">
    <cfRule type="containsBlanks" dxfId="644" priority="766" stopIfTrue="1">
      <formula>LEN(TRIM(L86))=0</formula>
    </cfRule>
  </conditionalFormatting>
  <conditionalFormatting sqref="K86">
    <cfRule type="containsBlanks" dxfId="643" priority="765" stopIfTrue="1">
      <formula>LEN(TRIM(K86))=0</formula>
    </cfRule>
  </conditionalFormatting>
  <conditionalFormatting sqref="M86">
    <cfRule type="containsBlanks" dxfId="642" priority="763" stopIfTrue="1">
      <formula>LEN(TRIM(M86))=0</formula>
    </cfRule>
  </conditionalFormatting>
  <conditionalFormatting sqref="L93">
    <cfRule type="containsBlanks" dxfId="641" priority="762" stopIfTrue="1">
      <formula>LEN(TRIM(L93))=0</formula>
    </cfRule>
  </conditionalFormatting>
  <conditionalFormatting sqref="L95">
    <cfRule type="containsBlanks" dxfId="640" priority="761" stopIfTrue="1">
      <formula>LEN(TRIM(L95))=0</formula>
    </cfRule>
  </conditionalFormatting>
  <conditionalFormatting sqref="L97">
    <cfRule type="containsBlanks" dxfId="639" priority="760" stopIfTrue="1">
      <formula>LEN(TRIM(L97))=0</formula>
    </cfRule>
  </conditionalFormatting>
  <conditionalFormatting sqref="L99">
    <cfRule type="containsBlanks" dxfId="638" priority="759" stopIfTrue="1">
      <formula>LEN(TRIM(L99))=0</formula>
    </cfRule>
  </conditionalFormatting>
  <conditionalFormatting sqref="L101">
    <cfRule type="containsBlanks" dxfId="637" priority="758" stopIfTrue="1">
      <formula>LEN(TRIM(L101))=0</formula>
    </cfRule>
  </conditionalFormatting>
  <conditionalFormatting sqref="L103">
    <cfRule type="containsBlanks" dxfId="636" priority="757" stopIfTrue="1">
      <formula>LEN(TRIM(L103))=0</formula>
    </cfRule>
  </conditionalFormatting>
  <conditionalFormatting sqref="L107">
    <cfRule type="containsBlanks" dxfId="635" priority="756" stopIfTrue="1">
      <formula>LEN(TRIM(L107))=0</formula>
    </cfRule>
  </conditionalFormatting>
  <conditionalFormatting sqref="L109">
    <cfRule type="containsBlanks" dxfId="634" priority="754" stopIfTrue="1">
      <formula>LEN(TRIM(L109))=0</formula>
    </cfRule>
  </conditionalFormatting>
  <conditionalFormatting sqref="L111">
    <cfRule type="containsBlanks" dxfId="633" priority="753" stopIfTrue="1">
      <formula>LEN(TRIM(L111))=0</formula>
    </cfRule>
  </conditionalFormatting>
  <conditionalFormatting sqref="M117">
    <cfRule type="containsBlanks" dxfId="632" priority="752" stopIfTrue="1">
      <formula>LEN(TRIM(M117))=0</formula>
    </cfRule>
  </conditionalFormatting>
  <conditionalFormatting sqref="L139 L137 L131 L127 L133 L125 L123 L121 L119 L135 L129 L141">
    <cfRule type="containsBlanks" dxfId="631" priority="751" stopIfTrue="1">
      <formula>LEN(TRIM(L119))=0</formula>
    </cfRule>
  </conditionalFormatting>
  <conditionalFormatting sqref="L165 L162 L160 L158 L145 L152 L150 L154 L156">
    <cfRule type="containsBlanks" dxfId="630" priority="750" stopIfTrue="1">
      <formula>LEN(TRIM(L145))=0</formula>
    </cfRule>
  </conditionalFormatting>
  <conditionalFormatting sqref="L30">
    <cfRule type="containsBlanks" dxfId="629" priority="748" stopIfTrue="1">
      <formula>LEN(TRIM(L30))=0</formula>
    </cfRule>
  </conditionalFormatting>
  <conditionalFormatting sqref="L189 L181 L179 L183 L185 L187 L191">
    <cfRule type="containsBlanks" dxfId="628" priority="746" stopIfTrue="1">
      <formula>LEN(TRIM(L179))=0</formula>
    </cfRule>
  </conditionalFormatting>
  <conditionalFormatting sqref="M195">
    <cfRule type="containsBlanks" dxfId="627" priority="745" stopIfTrue="1">
      <formula>LEN(TRIM(M195))=0</formula>
    </cfRule>
  </conditionalFormatting>
  <conditionalFormatting sqref="M197">
    <cfRule type="containsBlanks" dxfId="626" priority="744" stopIfTrue="1">
      <formula>LEN(TRIM(M197))=0</formula>
    </cfRule>
  </conditionalFormatting>
  <conditionalFormatting sqref="L199">
    <cfRule type="containsBlanks" dxfId="625" priority="743" stopIfTrue="1">
      <formula>LEN(TRIM(L199))=0</formula>
    </cfRule>
  </conditionalFormatting>
  <conditionalFormatting sqref="L201">
    <cfRule type="containsBlanks" dxfId="624" priority="742" stopIfTrue="1">
      <formula>LEN(TRIM(L201))=0</formula>
    </cfRule>
  </conditionalFormatting>
  <conditionalFormatting sqref="L203 L205">
    <cfRule type="containsBlanks" dxfId="623" priority="741" stopIfTrue="1">
      <formula>LEN(TRIM(L203))=0</formula>
    </cfRule>
  </conditionalFormatting>
  <conditionalFormatting sqref="L208">
    <cfRule type="containsBlanks" dxfId="622" priority="740" stopIfTrue="1">
      <formula>LEN(TRIM(L208))=0</formula>
    </cfRule>
  </conditionalFormatting>
  <conditionalFormatting sqref="L209">
    <cfRule type="containsBlanks" dxfId="621" priority="739" stopIfTrue="1">
      <formula>LEN(TRIM(L209))=0</formula>
    </cfRule>
  </conditionalFormatting>
  <conditionalFormatting sqref="K209 M209">
    <cfRule type="containsBlanks" dxfId="620" priority="737" stopIfTrue="1">
      <formula>LEN(TRIM(K209))=0</formula>
    </cfRule>
  </conditionalFormatting>
  <conditionalFormatting sqref="K211">
    <cfRule type="containsBlanks" dxfId="619" priority="736" stopIfTrue="1">
      <formula>LEN(TRIM(K211))=0</formula>
    </cfRule>
  </conditionalFormatting>
  <conditionalFormatting sqref="L213">
    <cfRule type="containsBlanks" dxfId="618" priority="733" stopIfTrue="1">
      <formula>LEN(TRIM(L213))=0</formula>
    </cfRule>
  </conditionalFormatting>
  <conditionalFormatting sqref="K213">
    <cfRule type="containsBlanks" dxfId="617" priority="732" stopIfTrue="1">
      <formula>LEN(TRIM(K213))=0</formula>
    </cfRule>
  </conditionalFormatting>
  <conditionalFormatting sqref="L215">
    <cfRule type="containsBlanks" dxfId="616" priority="731" stopIfTrue="1">
      <formula>LEN(TRIM(L215))=0</formula>
    </cfRule>
  </conditionalFormatting>
  <conditionalFormatting sqref="K215">
    <cfRule type="containsBlanks" dxfId="615" priority="730" stopIfTrue="1">
      <formula>LEN(TRIM(K215))=0</formula>
    </cfRule>
  </conditionalFormatting>
  <conditionalFormatting sqref="M217">
    <cfRule type="containsBlanks" dxfId="614" priority="729" stopIfTrue="1">
      <formula>LEN(TRIM(M217))=0</formula>
    </cfRule>
  </conditionalFormatting>
  <conditionalFormatting sqref="K219">
    <cfRule type="containsBlanks" dxfId="613" priority="728" stopIfTrue="1">
      <formula>LEN(TRIM(K219))=0</formula>
    </cfRule>
  </conditionalFormatting>
  <conditionalFormatting sqref="K106">
    <cfRule type="containsBlanks" dxfId="612" priority="727" stopIfTrue="1">
      <formula>LEN(TRIM(K106))=0</formula>
    </cfRule>
  </conditionalFormatting>
  <conditionalFormatting sqref="K221">
    <cfRule type="containsBlanks" dxfId="611" priority="726" stopIfTrue="1">
      <formula>LEN(TRIM(K221))=0</formula>
    </cfRule>
  </conditionalFormatting>
  <conditionalFormatting sqref="K227">
    <cfRule type="containsBlanks" dxfId="610" priority="725" stopIfTrue="1">
      <formula>LEN(TRIM(K227))=0</formula>
    </cfRule>
  </conditionalFormatting>
  <conditionalFormatting sqref="M337 M341">
    <cfRule type="containsBlanks" dxfId="609" priority="722" stopIfTrue="1">
      <formula>LEN(TRIM(M337))=0</formula>
    </cfRule>
  </conditionalFormatting>
  <conditionalFormatting sqref="L245">
    <cfRule type="containsBlanks" dxfId="608" priority="721" stopIfTrue="1">
      <formula>LEN(TRIM(L245))=0</formula>
    </cfRule>
  </conditionalFormatting>
  <conditionalFormatting sqref="K245">
    <cfRule type="containsBlanks" dxfId="607" priority="719" stopIfTrue="1">
      <formula>LEN(TRIM(K245))=0</formula>
    </cfRule>
  </conditionalFormatting>
  <conditionalFormatting sqref="K249">
    <cfRule type="containsBlanks" dxfId="606" priority="718" stopIfTrue="1">
      <formula>LEN(TRIM(K249))=0</formula>
    </cfRule>
  </conditionalFormatting>
  <conditionalFormatting sqref="M253">
    <cfRule type="containsBlanks" dxfId="605" priority="715" stopIfTrue="1">
      <formula>LEN(TRIM(M253))=0</formula>
    </cfRule>
  </conditionalFormatting>
  <conditionalFormatting sqref="L271">
    <cfRule type="containsBlanks" dxfId="604" priority="714" stopIfTrue="1">
      <formula>LEN(TRIM(L271))=0</formula>
    </cfRule>
  </conditionalFormatting>
  <conditionalFormatting sqref="L281">
    <cfRule type="containsBlanks" dxfId="603" priority="713" stopIfTrue="1">
      <formula>LEN(TRIM(L281))=0</formula>
    </cfRule>
  </conditionalFormatting>
  <conditionalFormatting sqref="L285">
    <cfRule type="containsBlanks" dxfId="602" priority="712" stopIfTrue="1">
      <formula>LEN(TRIM(L285))=0</formula>
    </cfRule>
  </conditionalFormatting>
  <conditionalFormatting sqref="K345 M345">
    <cfRule type="containsBlanks" dxfId="601" priority="711" stopIfTrue="1">
      <formula>LEN(TRIM(K345))=0</formula>
    </cfRule>
  </conditionalFormatting>
  <conditionalFormatting sqref="K189">
    <cfRule type="containsBlanks" dxfId="600" priority="710" stopIfTrue="1">
      <formula>LEN(TRIM(K189))=0</formula>
    </cfRule>
  </conditionalFormatting>
  <conditionalFormatting sqref="K34">
    <cfRule type="containsBlanks" dxfId="599" priority="708" stopIfTrue="1">
      <formula>LEN(TRIM(K34))=0</formula>
    </cfRule>
  </conditionalFormatting>
  <conditionalFormatting sqref="K70">
    <cfRule type="containsBlanks" dxfId="598" priority="707" stopIfTrue="1">
      <formula>LEN(TRIM(K70))=0</formula>
    </cfRule>
  </conditionalFormatting>
  <conditionalFormatting sqref="K154">
    <cfRule type="containsBlanks" dxfId="597" priority="705" stopIfTrue="1">
      <formula>LEN(TRIM(K154))=0</formula>
    </cfRule>
  </conditionalFormatting>
  <conditionalFormatting sqref="K152">
    <cfRule type="containsBlanks" dxfId="596" priority="704" stopIfTrue="1">
      <formula>LEN(TRIM(K152))=0</formula>
    </cfRule>
  </conditionalFormatting>
  <conditionalFormatting sqref="K199">
    <cfRule type="containsBlanks" dxfId="595" priority="703" stopIfTrue="1">
      <formula>LEN(TRIM(K199))=0</formula>
    </cfRule>
  </conditionalFormatting>
  <conditionalFormatting sqref="K205">
    <cfRule type="containsBlanks" dxfId="594" priority="702" stopIfTrue="1">
      <formula>LEN(TRIM(K205))=0</formula>
    </cfRule>
  </conditionalFormatting>
  <conditionalFormatting sqref="K201">
    <cfRule type="containsBlanks" dxfId="593" priority="701" stopIfTrue="1">
      <formula>LEN(TRIM(K201))=0</formula>
    </cfRule>
  </conditionalFormatting>
  <conditionalFormatting sqref="K271">
    <cfRule type="containsBlanks" dxfId="592" priority="700" stopIfTrue="1">
      <formula>LEN(TRIM(K271))=0</formula>
    </cfRule>
  </conditionalFormatting>
  <conditionalFormatting sqref="K281">
    <cfRule type="containsBlanks" dxfId="591" priority="699" stopIfTrue="1">
      <formula>LEN(TRIM(K281))=0</formula>
    </cfRule>
  </conditionalFormatting>
  <conditionalFormatting sqref="K285">
    <cfRule type="containsBlanks" dxfId="590" priority="698" stopIfTrue="1">
      <formula>LEN(TRIM(K285))=0</formula>
    </cfRule>
  </conditionalFormatting>
  <conditionalFormatting sqref="M8">
    <cfRule type="containsBlanks" dxfId="589" priority="697" stopIfTrue="1">
      <formula>LEN(TRIM(M8))=0</formula>
    </cfRule>
  </conditionalFormatting>
  <conditionalFormatting sqref="K28">
    <cfRule type="containsBlanks" dxfId="588" priority="696" stopIfTrue="1">
      <formula>LEN(TRIM(K28))=0</formula>
    </cfRule>
  </conditionalFormatting>
  <conditionalFormatting sqref="K26">
    <cfRule type="containsBlanks" dxfId="587" priority="694" stopIfTrue="1">
      <formula>LEN(TRIM(K26))=0</formula>
    </cfRule>
  </conditionalFormatting>
  <conditionalFormatting sqref="K30">
    <cfRule type="containsBlanks" dxfId="586" priority="693" stopIfTrue="1">
      <formula>LEN(TRIM(K30))=0</formula>
    </cfRule>
  </conditionalFormatting>
  <conditionalFormatting sqref="K66">
    <cfRule type="containsBlanks" dxfId="585" priority="692" stopIfTrue="1">
      <formula>LEN(TRIM(K66))=0</formula>
    </cfRule>
  </conditionalFormatting>
  <conditionalFormatting sqref="K93">
    <cfRule type="containsBlanks" dxfId="584" priority="691" stopIfTrue="1">
      <formula>LEN(TRIM(K93))=0</formula>
    </cfRule>
  </conditionalFormatting>
  <conditionalFormatting sqref="K95">
    <cfRule type="containsBlanks" dxfId="583" priority="690" stopIfTrue="1">
      <formula>LEN(TRIM(K95))=0</formula>
    </cfRule>
  </conditionalFormatting>
  <conditionalFormatting sqref="K97">
    <cfRule type="containsBlanks" dxfId="582" priority="689" stopIfTrue="1">
      <formula>LEN(TRIM(K97))=0</formula>
    </cfRule>
  </conditionalFormatting>
  <conditionalFormatting sqref="K99">
    <cfRule type="containsBlanks" dxfId="581" priority="688" stopIfTrue="1">
      <formula>LEN(TRIM(K99))=0</formula>
    </cfRule>
  </conditionalFormatting>
  <conditionalFormatting sqref="K101">
    <cfRule type="containsBlanks" dxfId="580" priority="687" stopIfTrue="1">
      <formula>LEN(TRIM(K101))=0</formula>
    </cfRule>
  </conditionalFormatting>
  <conditionalFormatting sqref="K103">
    <cfRule type="containsBlanks" dxfId="579" priority="686" stopIfTrue="1">
      <formula>LEN(TRIM(K103))=0</formula>
    </cfRule>
  </conditionalFormatting>
  <conditionalFormatting sqref="K107">
    <cfRule type="containsBlanks" dxfId="578" priority="685" stopIfTrue="1">
      <formula>LEN(TRIM(K107))=0</formula>
    </cfRule>
  </conditionalFormatting>
  <conditionalFormatting sqref="K109">
    <cfRule type="containsBlanks" dxfId="577" priority="684" stopIfTrue="1">
      <formula>LEN(TRIM(K109))=0</formula>
    </cfRule>
  </conditionalFormatting>
  <conditionalFormatting sqref="K111">
    <cfRule type="containsBlanks" dxfId="576" priority="683" stopIfTrue="1">
      <formula>LEN(TRIM(K111))=0</formula>
    </cfRule>
  </conditionalFormatting>
  <conditionalFormatting sqref="K143">
    <cfRule type="containsBlanks" dxfId="575" priority="682" stopIfTrue="1">
      <formula>LEN(TRIM(K143))=0</formula>
    </cfRule>
  </conditionalFormatting>
  <conditionalFormatting sqref="K139 K137 K131 K127 K133 K125 K123 K121 K119 K135 K129 K141">
    <cfRule type="containsBlanks" dxfId="574" priority="681" stopIfTrue="1">
      <formula>LEN(TRIM(K119))=0</formula>
    </cfRule>
  </conditionalFormatting>
  <conditionalFormatting sqref="K145 K150">
    <cfRule type="containsBlanks" dxfId="573" priority="680" stopIfTrue="1">
      <formula>LEN(TRIM(K145))=0</formula>
    </cfRule>
  </conditionalFormatting>
  <conditionalFormatting sqref="K165 K162 K160 K158 K156">
    <cfRule type="containsBlanks" dxfId="572" priority="679" stopIfTrue="1">
      <formula>LEN(TRIM(K156))=0</formula>
    </cfRule>
  </conditionalFormatting>
  <conditionalFormatting sqref="K171">
    <cfRule type="containsBlanks" dxfId="571" priority="678" stopIfTrue="1">
      <formula>LEN(TRIM(K171))=0</formula>
    </cfRule>
  </conditionalFormatting>
  <conditionalFormatting sqref="K181 K179 K183 K185 K187">
    <cfRule type="containsBlanks" dxfId="570" priority="677" stopIfTrue="1">
      <formula>LEN(TRIM(K179))=0</formula>
    </cfRule>
  </conditionalFormatting>
  <conditionalFormatting sqref="K191">
    <cfRule type="containsBlanks" dxfId="569" priority="676" stopIfTrue="1">
      <formula>LEN(TRIM(K191))=0</formula>
    </cfRule>
  </conditionalFormatting>
  <conditionalFormatting sqref="M106">
    <cfRule type="containsBlanks" dxfId="568" priority="675" stopIfTrue="1">
      <formula>LEN(TRIM(M106))=0</formula>
    </cfRule>
  </conditionalFormatting>
  <conditionalFormatting sqref="M93">
    <cfRule type="containsBlanks" dxfId="567" priority="674" stopIfTrue="1">
      <formula>LEN(TRIM(M93))=0</formula>
    </cfRule>
  </conditionalFormatting>
  <conditionalFormatting sqref="M95">
    <cfRule type="containsBlanks" dxfId="566" priority="673" stopIfTrue="1">
      <formula>LEN(TRIM(M95))=0</formula>
    </cfRule>
  </conditionalFormatting>
  <conditionalFormatting sqref="M97">
    <cfRule type="containsBlanks" dxfId="565" priority="672" stopIfTrue="1">
      <formula>LEN(TRIM(M97))=0</formula>
    </cfRule>
  </conditionalFormatting>
  <conditionalFormatting sqref="M99">
    <cfRule type="containsBlanks" dxfId="564" priority="671" stopIfTrue="1">
      <formula>LEN(TRIM(M99))=0</formula>
    </cfRule>
  </conditionalFormatting>
  <conditionalFormatting sqref="M101">
    <cfRule type="containsBlanks" dxfId="563" priority="670" stopIfTrue="1">
      <formula>LEN(TRIM(M101))=0</formula>
    </cfRule>
  </conditionalFormatting>
  <conditionalFormatting sqref="M103">
    <cfRule type="containsBlanks" dxfId="562" priority="669" stopIfTrue="1">
      <formula>LEN(TRIM(M103))=0</formula>
    </cfRule>
  </conditionalFormatting>
  <conditionalFormatting sqref="M107">
    <cfRule type="containsBlanks" dxfId="561" priority="668" stopIfTrue="1">
      <formula>LEN(TRIM(M107))=0</formula>
    </cfRule>
  </conditionalFormatting>
  <conditionalFormatting sqref="M109">
    <cfRule type="containsBlanks" dxfId="560" priority="667" stopIfTrue="1">
      <formula>LEN(TRIM(M109))=0</formula>
    </cfRule>
  </conditionalFormatting>
  <conditionalFormatting sqref="M111">
    <cfRule type="containsBlanks" dxfId="559" priority="666" stopIfTrue="1">
      <formula>LEN(TRIM(M111))=0</formula>
    </cfRule>
  </conditionalFormatting>
  <conditionalFormatting sqref="M181">
    <cfRule type="containsBlanks" dxfId="558" priority="665" stopIfTrue="1">
      <formula>LEN(TRIM(M181))=0</formula>
    </cfRule>
  </conditionalFormatting>
  <conditionalFormatting sqref="M179">
    <cfRule type="containsBlanks" dxfId="557" priority="664" stopIfTrue="1">
      <formula>LEN(TRIM(M179))=0</formula>
    </cfRule>
  </conditionalFormatting>
  <conditionalFormatting sqref="M183 M185 M187">
    <cfRule type="containsBlanks" dxfId="556" priority="663" stopIfTrue="1">
      <formula>LEN(TRIM(M183))=0</formula>
    </cfRule>
  </conditionalFormatting>
  <conditionalFormatting sqref="M189">
    <cfRule type="containsBlanks" dxfId="555" priority="662" stopIfTrue="1">
      <formula>LEN(TRIM(M189))=0</formula>
    </cfRule>
  </conditionalFormatting>
  <conditionalFormatting sqref="M191">
    <cfRule type="containsBlanks" dxfId="554" priority="661" stopIfTrue="1">
      <formula>LEN(TRIM(M191))=0</formula>
    </cfRule>
  </conditionalFormatting>
  <conditionalFormatting sqref="M211">
    <cfRule type="containsBlanks" dxfId="553" priority="660" stopIfTrue="1">
      <formula>LEN(TRIM(M211))=0</formula>
    </cfRule>
  </conditionalFormatting>
  <conditionalFormatting sqref="M213">
    <cfRule type="containsBlanks" dxfId="552" priority="659" stopIfTrue="1">
      <formula>LEN(TRIM(M213))=0</formula>
    </cfRule>
  </conditionalFormatting>
  <conditionalFormatting sqref="M215">
    <cfRule type="containsBlanks" dxfId="551" priority="658" stopIfTrue="1">
      <formula>LEN(TRIM(M215))=0</formula>
    </cfRule>
  </conditionalFormatting>
  <conditionalFormatting sqref="M221">
    <cfRule type="containsBlanks" dxfId="550" priority="657" stopIfTrue="1">
      <formula>LEN(TRIM(M221))=0</formula>
    </cfRule>
  </conditionalFormatting>
  <conditionalFormatting sqref="M223">
    <cfRule type="containsBlanks" dxfId="549" priority="656" stopIfTrue="1">
      <formula>LEN(TRIM(M223))=0</formula>
    </cfRule>
  </conditionalFormatting>
  <conditionalFormatting sqref="M227">
    <cfRule type="containsBlanks" dxfId="548" priority="655" stopIfTrue="1">
      <formula>LEN(TRIM(M227))=0</formula>
    </cfRule>
  </conditionalFormatting>
  <conditionalFormatting sqref="M231">
    <cfRule type="containsBlanks" dxfId="547" priority="654" stopIfTrue="1">
      <formula>LEN(TRIM(M231))=0</formula>
    </cfRule>
  </conditionalFormatting>
  <conditionalFormatting sqref="M199">
    <cfRule type="containsBlanks" dxfId="546" priority="651" stopIfTrue="1">
      <formula>LEN(TRIM(M199))=0</formula>
    </cfRule>
  </conditionalFormatting>
  <conditionalFormatting sqref="M201">
    <cfRule type="containsBlanks" dxfId="545" priority="650" stopIfTrue="1">
      <formula>LEN(TRIM(M201))=0</formula>
    </cfRule>
  </conditionalFormatting>
  <conditionalFormatting sqref="M203">
    <cfRule type="containsBlanks" dxfId="544" priority="649" stopIfTrue="1">
      <formula>LEN(TRIM(M203))=0</formula>
    </cfRule>
  </conditionalFormatting>
  <conditionalFormatting sqref="M205">
    <cfRule type="containsBlanks" dxfId="543" priority="648" stopIfTrue="1">
      <formula>LEN(TRIM(M205))=0</formula>
    </cfRule>
  </conditionalFormatting>
  <conditionalFormatting sqref="M28">
    <cfRule type="containsBlanks" dxfId="542" priority="647" stopIfTrue="1">
      <formula>LEN(TRIM(M28))=0</formula>
    </cfRule>
  </conditionalFormatting>
  <conditionalFormatting sqref="M30">
    <cfRule type="containsBlanks" dxfId="541" priority="646" stopIfTrue="1">
      <formula>LEN(TRIM(M30))=0</formula>
    </cfRule>
  </conditionalFormatting>
  <conditionalFormatting sqref="M34">
    <cfRule type="containsBlanks" dxfId="540" priority="645" stopIfTrue="1">
      <formula>LEN(TRIM(M34))=0</formula>
    </cfRule>
  </conditionalFormatting>
  <conditionalFormatting sqref="M66">
    <cfRule type="containsBlanks" dxfId="539" priority="644" stopIfTrue="1">
      <formula>LEN(TRIM(M66))=0</formula>
    </cfRule>
  </conditionalFormatting>
  <conditionalFormatting sqref="M70">
    <cfRule type="containsBlanks" dxfId="538" priority="643" stopIfTrue="1">
      <formula>LEN(TRIM(M70))=0</formula>
    </cfRule>
  </conditionalFormatting>
  <conditionalFormatting sqref="M139 M137 M131 M127 M133 M125 M123 M121 M119 M135 M129 M141">
    <cfRule type="containsBlanks" dxfId="537" priority="642" stopIfTrue="1">
      <formula>LEN(TRIM(M119))=0</formula>
    </cfRule>
  </conditionalFormatting>
  <conditionalFormatting sqref="M145 M150">
    <cfRule type="containsBlanks" dxfId="536" priority="641" stopIfTrue="1">
      <formula>LEN(TRIM(M145))=0</formula>
    </cfRule>
  </conditionalFormatting>
  <conditionalFormatting sqref="M152">
    <cfRule type="containsBlanks" dxfId="535" priority="640" stopIfTrue="1">
      <formula>LEN(TRIM(M152))=0</formula>
    </cfRule>
  </conditionalFormatting>
  <conditionalFormatting sqref="M154">
    <cfRule type="containsBlanks" dxfId="534" priority="639" stopIfTrue="1">
      <formula>LEN(TRIM(M154))=0</formula>
    </cfRule>
  </conditionalFormatting>
  <conditionalFormatting sqref="M165 M162 M160 M158 M156">
    <cfRule type="containsBlanks" dxfId="533" priority="638" stopIfTrue="1">
      <formula>LEN(TRIM(M156))=0</formula>
    </cfRule>
  </conditionalFormatting>
  <conditionalFormatting sqref="M173">
    <cfRule type="containsBlanks" dxfId="532" priority="637" stopIfTrue="1">
      <formula>LEN(TRIM(M173))=0</formula>
    </cfRule>
  </conditionalFormatting>
  <conditionalFormatting sqref="M285">
    <cfRule type="containsBlanks" dxfId="531" priority="636" stopIfTrue="1">
      <formula>LEN(TRIM(M285))=0</formula>
    </cfRule>
  </conditionalFormatting>
  <conditionalFormatting sqref="F72 F263 F241 F255 F243 F235 F91 F4 F2 F105 F167 F113 F62 F16 F259 F269 F261 F247 F265 F175 F193 F257 F237 F239 F251 F337 F253 F197 F195 F117 F68 F64 F60 F56 F50 F52 F54 F48 F46 F44 F40 F36 F32 F22 F20 F24 F28 F26 F345 F231 F223 F84 F10 F8 F6 F219 F14 F143 F217 F82 F38 F76 F227 F171 F249 F34 F211 F221 F207 F203 F189 F86 F95 F165 F162 F160 F158 F145 F139 F137 F131 F127 F133 F125 F123 F121 F119 F213 F209 F181 F179 F78 F135 F129 F183 F201 F99 F103 F101 F12 F93 F152 F97 F111 F199 F215 F70 F150 F154 F156 F141 F42 F271 F285 F281 F66 F74 F107 F109 F185 F187 F191 F205 F245 F30 F341">
    <cfRule type="containsBlanks" dxfId="530" priority="632" stopIfTrue="1">
      <formula>LEN(TRIM(F2))=0</formula>
    </cfRule>
  </conditionalFormatting>
  <conditionalFormatting sqref="F229">
    <cfRule type="containsBlanks" dxfId="529" priority="631" stopIfTrue="1">
      <formula>LEN(TRIM(F229))=0</formula>
    </cfRule>
  </conditionalFormatting>
  <conditionalFormatting sqref="J30 J245 J205 J191 J187 J185 J109 J107 J74 J66 J281 J285 J271 J42 J141 J156 J154 J150 J70 J215 J199 J111 J97 J152 J93 J12 J101 J103 J99 J201 J183 J129 J135 J78 J179 J181 J209 J213 J119 J121 J123 J125 J133 J127 J131 J137 J139 J145 J158 J160 J162 J165 J95 J86 J189 J203 J207 J221 J211 J34 J249 J171 J227 J76 J38 J82 J217 J143 J14 J219 J6 J8 J10 J84 J223 J231 J345 J26 J28 J24 J20 J22 J32 J36 J40 J44 J46 J48 J54 J52 J50 J56 J60 J64 J68 J117 J195 J197 J253 J337 J251 J239 J237 J257 J193 J175 J265 J247 J261 J269 J259 J16 J62 J113 J167 J105 J2 J4 J91 J235 J243 J255 J241 J263 J72 J341">
    <cfRule type="containsBlanks" dxfId="528" priority="630" stopIfTrue="1">
      <formula>LEN(TRIM(J2))=0</formula>
    </cfRule>
  </conditionalFormatting>
  <conditionalFormatting sqref="J229">
    <cfRule type="containsBlanks" dxfId="527" priority="629" stopIfTrue="1">
      <formula>LEN(TRIM(J229))=0</formula>
    </cfRule>
  </conditionalFormatting>
  <conditionalFormatting sqref="H229 H30 H245 H205 H191 H187 H185 H109 H107 H74 H66 H281 H285 H271 H42 H141 H156 H154 H150 H70 H215 H199 H111 H97 H152 H93 H12 H101 H103 H99 H201 H183 H129 H135 H78 H179 H181 H209 H213 H119 H121 H123 H125 H133 H127 H131 H137 H139 H145 H158 H160 H162 H165 H95 H86 H189 H203 H207 H221 H211 H34 H249 H171 H227 H76 H38 H82 H217 H143 H14 H219 H6 H8 H10 H84 H223 H231 H345 H26 H28 H24 H20 H22 H32 H36 H40 H44 H46 H48 H54 H52 H50 H56 H60 H64 H68 H117 H195 H197 H253 H337 H251 H239 H237 H257 H193 H175 H265 H247 H261 H269 H259 H16 H62 H113 H167 H105 H2 H4 H91 H235 H243 H255 H241 H263 H72 H341">
    <cfRule type="containsBlanks" dxfId="526" priority="628" stopIfTrue="1">
      <formula>LEN(TRIM(H2))=0</formula>
    </cfRule>
  </conditionalFormatting>
  <conditionalFormatting sqref="G30 G245 G205 G191 G187 G185 G109 G107 G74 G66 G281 G285 G271 G42 G141 G156 G154 G150 G70 G215 G199 G111 G97 G152 G93 G12 G101 G103 G99 G201 G183 G129 G135 G78 G179 G181 G209 G213 G119 G121 G123 G125 G133 G127 G131 G137 G139 G145 G158 G160 G162 G165 G95 G86 G189 G203 G207 G221 G211 G34 G249 G171 G227 G76 G38 G82 G217 G143 G14 G219 G6 G8 G10 G84 G223 G231 G345 G26 G28 G24 G20 G22 G32 G36 G40 G44 G46 G48 G54 G52 G50 G56 G60 G64 G68 G117 G195 G197 G253 G337 G251 G239 G237 G257 G193 G175 G265 G247 G261 G269 G259 G16 G62 G113 G167 G105 G2 G4 G91 G235 G243 G255 G241 G263 G72 G341">
    <cfRule type="containsBlanks" dxfId="525" priority="627" stopIfTrue="1">
      <formula>LEN(TRIM(G2))=0</formula>
    </cfRule>
  </conditionalFormatting>
  <conditionalFormatting sqref="G229">
    <cfRule type="containsBlanks" dxfId="524" priority="626" stopIfTrue="1">
      <formula>LEN(TRIM(G229))=0</formula>
    </cfRule>
  </conditionalFormatting>
  <conditionalFormatting sqref="E72 E263 E241 E255 E243 E235 E91 E4 E2 E105 E167 E113 E62 E16 E259 E269 E261 E247 E265 E175 E193 E257 E237 E239 E251 E337 E253 E197 E195 E117 E68 E64 E60 E56 E50 E52 E54 E48 E46 E44 E40 E36 E32 E22 E20 E24 E28 E26 E345 E231 E223 E84 E10 E8 E6 E219 E14 E143 E217 E82 E38 E76 E227 E171 E249 E34 E211 E221 E207 E203 E189 E86 E95 E165 E162 E160 E158 E145 E139 E137 E131 E127 E133 E125 E123 E121 E119 E213 E209 E181 E179 E78 E135 E129 E183 E201 E99 E103 E101 E12 E93 E152 E97 E111 E199 E215 E70 E150 E154 E156 E141 E42 E271 E285 E281 E66 E74 E107 E109 E185 E187 E191 E205 E245 E30 E341">
    <cfRule type="containsBlanks" dxfId="523" priority="625" stopIfTrue="1">
      <formula>LEN(TRIM(E2))=0</formula>
    </cfRule>
  </conditionalFormatting>
  <conditionalFormatting sqref="E229">
    <cfRule type="containsBlanks" dxfId="522" priority="624" stopIfTrue="1">
      <formula>LEN(TRIM(E229))=0</formula>
    </cfRule>
  </conditionalFormatting>
  <conditionalFormatting sqref="Q345">
    <cfRule type="containsBlanks" dxfId="521" priority="616" stopIfTrue="1">
      <formula>LEN(TRIM(Q345))=0</formula>
    </cfRule>
  </conditionalFormatting>
  <conditionalFormatting sqref="R345">
    <cfRule type="containsBlanks" dxfId="520" priority="615" stopIfTrue="1">
      <formula>LEN(TRIM(R345))=0</formula>
    </cfRule>
  </conditionalFormatting>
  <conditionalFormatting sqref="Q20">
    <cfRule type="containsBlanks" dxfId="519" priority="614" stopIfTrue="1">
      <formula>LEN(TRIM(Q20))=0</formula>
    </cfRule>
  </conditionalFormatting>
  <conditionalFormatting sqref="Q24">
    <cfRule type="containsBlanks" dxfId="518" priority="613" stopIfTrue="1">
      <formula>LEN(TRIM(Q24))=0</formula>
    </cfRule>
  </conditionalFormatting>
  <conditionalFormatting sqref="Q22">
    <cfRule type="containsBlanks" dxfId="517" priority="612" stopIfTrue="1">
      <formula>LEN(TRIM(Q22))=0</formula>
    </cfRule>
  </conditionalFormatting>
  <conditionalFormatting sqref="Q46">
    <cfRule type="containsBlanks" dxfId="516" priority="611" stopIfTrue="1">
      <formula>LEN(TRIM(Q46))=0</formula>
    </cfRule>
  </conditionalFormatting>
  <conditionalFormatting sqref="Q50">
    <cfRule type="containsBlanks" dxfId="515" priority="610" stopIfTrue="1">
      <formula>LEN(TRIM(Q50))=0</formula>
    </cfRule>
  </conditionalFormatting>
  <conditionalFormatting sqref="Q52">
    <cfRule type="containsBlanks" dxfId="514" priority="608" stopIfTrue="1">
      <formula>LEN(TRIM(Q52))=0</formula>
    </cfRule>
  </conditionalFormatting>
  <conditionalFormatting sqref="Q54">
    <cfRule type="containsBlanks" dxfId="513" priority="607" stopIfTrue="1">
      <formula>LEN(TRIM(Q54))=0</formula>
    </cfRule>
  </conditionalFormatting>
  <conditionalFormatting sqref="Q56">
    <cfRule type="containsBlanks" dxfId="512" priority="606" stopIfTrue="1">
      <formula>LEN(TRIM(Q56))=0</formula>
    </cfRule>
  </conditionalFormatting>
  <conditionalFormatting sqref="Q58">
    <cfRule type="containsBlanks" dxfId="511" priority="605" stopIfTrue="1">
      <formula>LEN(TRIM(Q58))=0</formula>
    </cfRule>
  </conditionalFormatting>
  <conditionalFormatting sqref="Q36">
    <cfRule type="containsBlanks" dxfId="510" priority="604" stopIfTrue="1">
      <formula>LEN(TRIM(Q36))=0</formula>
    </cfRule>
  </conditionalFormatting>
  <conditionalFormatting sqref="Q76">
    <cfRule type="containsBlanks" dxfId="509" priority="602" stopIfTrue="1">
      <formula>LEN(TRIM(Q76))=0</formula>
    </cfRule>
  </conditionalFormatting>
  <conditionalFormatting sqref="Q74">
    <cfRule type="containsBlanks" dxfId="508" priority="601" stopIfTrue="1">
      <formula>LEN(TRIM(Q74))=0</formula>
    </cfRule>
  </conditionalFormatting>
  <conditionalFormatting sqref="Q97">
    <cfRule type="containsBlanks" dxfId="507" priority="599" stopIfTrue="1">
      <formula>LEN(TRIM(Q97))=0</formula>
    </cfRule>
  </conditionalFormatting>
  <conditionalFormatting sqref="Q101">
    <cfRule type="containsBlanks" dxfId="506" priority="598" stopIfTrue="1">
      <formula>LEN(TRIM(Q101))=0</formula>
    </cfRule>
  </conditionalFormatting>
  <conditionalFormatting sqref="Q103">
    <cfRule type="containsBlanks" dxfId="505" priority="597" stopIfTrue="1">
      <formula>LEN(TRIM(Q103))=0</formula>
    </cfRule>
  </conditionalFormatting>
  <conditionalFormatting sqref="Q107">
    <cfRule type="containsBlanks" dxfId="504" priority="596" stopIfTrue="1">
      <formula>LEN(TRIM(Q107))=0</formula>
    </cfRule>
  </conditionalFormatting>
  <conditionalFormatting sqref="Q109">
    <cfRule type="containsBlanks" dxfId="503" priority="595" stopIfTrue="1">
      <formula>LEN(TRIM(Q109))=0</formula>
    </cfRule>
  </conditionalFormatting>
  <conditionalFormatting sqref="Q179">
    <cfRule type="containsBlanks" dxfId="502" priority="594" stopIfTrue="1">
      <formula>LEN(TRIM(Q179))=0</formula>
    </cfRule>
  </conditionalFormatting>
  <conditionalFormatting sqref="Q181">
    <cfRule type="containsBlanks" dxfId="501" priority="593" stopIfTrue="1">
      <formula>LEN(TRIM(Q181))=0</formula>
    </cfRule>
  </conditionalFormatting>
  <conditionalFormatting sqref="Q183">
    <cfRule type="containsBlanks" dxfId="500" priority="592" stopIfTrue="1">
      <formula>LEN(TRIM(Q183))=0</formula>
    </cfRule>
  </conditionalFormatting>
  <conditionalFormatting sqref="Q187">
    <cfRule type="containsBlanks" dxfId="499" priority="590" stopIfTrue="1">
      <formula>LEN(TRIM(Q187))=0</formula>
    </cfRule>
  </conditionalFormatting>
  <conditionalFormatting sqref="Q185">
    <cfRule type="containsBlanks" dxfId="498" priority="589" stopIfTrue="1">
      <formula>LEN(TRIM(Q185))=0</formula>
    </cfRule>
  </conditionalFormatting>
  <conditionalFormatting sqref="Q189">
    <cfRule type="containsBlanks" dxfId="497" priority="588" stopIfTrue="1">
      <formula>LEN(TRIM(Q189))=0</formula>
    </cfRule>
  </conditionalFormatting>
  <conditionalFormatting sqref="Q195">
    <cfRule type="containsBlanks" dxfId="496" priority="587" stopIfTrue="1">
      <formula>LEN(TRIM(Q195))=0</formula>
    </cfRule>
  </conditionalFormatting>
  <conditionalFormatting sqref="Q197">
    <cfRule type="containsBlanks" dxfId="495" priority="586" stopIfTrue="1">
      <formula>LEN(TRIM(Q197))=0</formula>
    </cfRule>
  </conditionalFormatting>
  <conditionalFormatting sqref="Q137">
    <cfRule type="containsBlanks" dxfId="494" priority="580" stopIfTrue="1">
      <formula>LEN(TRIM(Q137))=0</formula>
    </cfRule>
  </conditionalFormatting>
  <conditionalFormatting sqref="Q129">
    <cfRule type="containsBlanks" dxfId="493" priority="579" stopIfTrue="1">
      <formula>LEN(TRIM(Q129))=0</formula>
    </cfRule>
  </conditionalFormatting>
  <conditionalFormatting sqref="Q127">
    <cfRule type="containsBlanks" dxfId="492" priority="578" stopIfTrue="1">
      <formula>LEN(TRIM(Q127))=0</formula>
    </cfRule>
  </conditionalFormatting>
  <conditionalFormatting sqref="Q123">
    <cfRule type="containsBlanks" dxfId="491" priority="577" stopIfTrue="1">
      <formula>LEN(TRIM(Q123))=0</formula>
    </cfRule>
  </conditionalFormatting>
  <conditionalFormatting sqref="Q121">
    <cfRule type="containsBlanks" dxfId="490" priority="576" stopIfTrue="1">
      <formula>LEN(TRIM(Q121))=0</formula>
    </cfRule>
  </conditionalFormatting>
  <conditionalFormatting sqref="Q119">
    <cfRule type="containsBlanks" dxfId="489" priority="575" stopIfTrue="1">
      <formula>LEN(TRIM(Q119))=0</formula>
    </cfRule>
  </conditionalFormatting>
  <conditionalFormatting sqref="Q148">
    <cfRule type="containsBlanks" dxfId="488" priority="574" stopIfTrue="1">
      <formula>LEN(TRIM(Q148))=0</formula>
    </cfRule>
  </conditionalFormatting>
  <conditionalFormatting sqref="Q150">
    <cfRule type="containsBlanks" dxfId="487" priority="573" stopIfTrue="1">
      <formula>LEN(TRIM(Q150))=0</formula>
    </cfRule>
  </conditionalFormatting>
  <conditionalFormatting sqref="Q158">
    <cfRule type="containsBlanks" dxfId="486" priority="572" stopIfTrue="1">
      <formula>LEN(TRIM(Q158))=0</formula>
    </cfRule>
  </conditionalFormatting>
  <conditionalFormatting sqref="Q156">
    <cfRule type="containsBlanks" dxfId="485" priority="571" stopIfTrue="1">
      <formula>LEN(TRIM(Q156))=0</formula>
    </cfRule>
  </conditionalFormatting>
  <conditionalFormatting sqref="Q152">
    <cfRule type="containsBlanks" dxfId="484" priority="570" stopIfTrue="1">
      <formula>LEN(TRIM(Q152))=0</formula>
    </cfRule>
  </conditionalFormatting>
  <conditionalFormatting sqref="Q154">
    <cfRule type="containsBlanks" dxfId="483" priority="569" stopIfTrue="1">
      <formula>LEN(TRIM(Q154))=0</formula>
    </cfRule>
  </conditionalFormatting>
  <conditionalFormatting sqref="Q166">
    <cfRule type="containsBlanks" dxfId="482" priority="568" stopIfTrue="1">
      <formula>LEN(TRIM(Q166))=0</formula>
    </cfRule>
  </conditionalFormatting>
  <conditionalFormatting sqref="Q125">
    <cfRule type="containsBlanks" dxfId="481" priority="567" stopIfTrue="1">
      <formula>LEN(TRIM(Q125))=0</formula>
    </cfRule>
  </conditionalFormatting>
  <conditionalFormatting sqref="Q162">
    <cfRule type="containsBlanks" dxfId="480" priority="566" stopIfTrue="1">
      <formula>LEN(TRIM(Q162))=0</formula>
    </cfRule>
  </conditionalFormatting>
  <conditionalFormatting sqref="Q131">
    <cfRule type="containsBlanks" dxfId="479" priority="565" stopIfTrue="1">
      <formula>LEN(TRIM(Q131))=0</formula>
    </cfRule>
  </conditionalFormatting>
  <conditionalFormatting sqref="Q133">
    <cfRule type="containsBlanks" dxfId="478" priority="564" stopIfTrue="1">
      <formula>LEN(TRIM(Q133))=0</formula>
    </cfRule>
  </conditionalFormatting>
  <conditionalFormatting sqref="Q170">
    <cfRule type="containsBlanks" dxfId="477" priority="563" stopIfTrue="1">
      <formula>LEN(TRIM(Q170))=0</formula>
    </cfRule>
  </conditionalFormatting>
  <conditionalFormatting sqref="Q172">
    <cfRule type="containsBlanks" dxfId="476" priority="562" stopIfTrue="1">
      <formula>LEN(TRIM(Q172))=0</formula>
    </cfRule>
  </conditionalFormatting>
  <conditionalFormatting sqref="Q174">
    <cfRule type="containsBlanks" dxfId="475" priority="561" stopIfTrue="1">
      <formula>LEN(TRIM(Q174))=0</formula>
    </cfRule>
  </conditionalFormatting>
  <conditionalFormatting sqref="Q40">
    <cfRule type="containsBlanks" dxfId="474" priority="560" stopIfTrue="1">
      <formula>LEN(TRIM(Q40))=0</formula>
    </cfRule>
  </conditionalFormatting>
  <conditionalFormatting sqref="Q274">
    <cfRule type="containsBlanks" dxfId="473" priority="559" stopIfTrue="1">
      <formula>LEN(TRIM(Q274))=0</formula>
    </cfRule>
  </conditionalFormatting>
  <conditionalFormatting sqref="Q276">
    <cfRule type="containsBlanks" dxfId="472" priority="558" stopIfTrue="1">
      <formula>LEN(TRIM(Q276))=0</formula>
    </cfRule>
  </conditionalFormatting>
  <conditionalFormatting sqref="Q278">
    <cfRule type="containsBlanks" dxfId="471" priority="557" stopIfTrue="1">
      <formula>LEN(TRIM(Q278))=0</formula>
    </cfRule>
  </conditionalFormatting>
  <conditionalFormatting sqref="Q280">
    <cfRule type="containsBlanks" dxfId="470" priority="556" stopIfTrue="1">
      <formula>LEN(TRIM(Q280))=0</formula>
    </cfRule>
  </conditionalFormatting>
  <conditionalFormatting sqref="R16">
    <cfRule type="containsBlanks" dxfId="469" priority="553" stopIfTrue="1">
      <formula>LEN(TRIM(R16))=0</formula>
    </cfRule>
  </conditionalFormatting>
  <conditionalFormatting sqref="Q272">
    <cfRule type="containsBlanks" dxfId="468" priority="552" stopIfTrue="1">
      <formula>LEN(TRIM(Q272))=0</formula>
    </cfRule>
  </conditionalFormatting>
  <conditionalFormatting sqref="Q213">
    <cfRule type="containsBlanks" dxfId="467" priority="548" stopIfTrue="1">
      <formula>LEN(TRIM(Q213))=0</formula>
    </cfRule>
  </conditionalFormatting>
  <conditionalFormatting sqref="Q215">
    <cfRule type="containsBlanks" dxfId="466" priority="547" stopIfTrue="1">
      <formula>LEN(TRIM(Q215))=0</formula>
    </cfRule>
  </conditionalFormatting>
  <conditionalFormatting sqref="Q64">
    <cfRule type="containsBlanks" dxfId="465" priority="546" stopIfTrue="1">
      <formula>LEN(TRIM(Q64))=0</formula>
    </cfRule>
  </conditionalFormatting>
  <conditionalFormatting sqref="R12 R2 R6 R4 R8 R10">
    <cfRule type="containsBlanks" dxfId="464" priority="545" stopIfTrue="1">
      <formula>LEN(TRIM(R2))=0</formula>
    </cfRule>
  </conditionalFormatting>
  <conditionalFormatting sqref="R28">
    <cfRule type="containsBlanks" dxfId="463" priority="544" stopIfTrue="1">
      <formula>LEN(TRIM(R28))=0</formula>
    </cfRule>
  </conditionalFormatting>
  <conditionalFormatting sqref="R26">
    <cfRule type="containsBlanks" dxfId="462" priority="543" stopIfTrue="1">
      <formula>LEN(TRIM(R26))=0</formula>
    </cfRule>
  </conditionalFormatting>
  <conditionalFormatting sqref="R20">
    <cfRule type="containsBlanks" dxfId="461" priority="542" stopIfTrue="1">
      <formula>LEN(TRIM(R20))=0</formula>
    </cfRule>
  </conditionalFormatting>
  <conditionalFormatting sqref="R24">
    <cfRule type="containsBlanks" dxfId="460" priority="541" stopIfTrue="1">
      <formula>LEN(TRIM(R24))=0</formula>
    </cfRule>
  </conditionalFormatting>
  <conditionalFormatting sqref="R22">
    <cfRule type="containsBlanks" dxfId="459" priority="540" stopIfTrue="1">
      <formula>LEN(TRIM(R22))=0</formula>
    </cfRule>
  </conditionalFormatting>
  <conditionalFormatting sqref="R34 R30 R32">
    <cfRule type="containsBlanks" dxfId="458" priority="538" stopIfTrue="1">
      <formula>LEN(TRIM(R30))=0</formula>
    </cfRule>
  </conditionalFormatting>
  <conditionalFormatting sqref="R36">
    <cfRule type="containsBlanks" dxfId="457" priority="537" stopIfTrue="1">
      <formula>LEN(TRIM(R36))=0</formula>
    </cfRule>
  </conditionalFormatting>
  <conditionalFormatting sqref="R263">
    <cfRule type="containsBlanks" dxfId="456" priority="536" stopIfTrue="1">
      <formula>LEN(TRIM(R263))=0</formula>
    </cfRule>
  </conditionalFormatting>
  <conditionalFormatting sqref="R44 R48 R38 R60 R42">
    <cfRule type="containsBlanks" dxfId="455" priority="530" stopIfTrue="1">
      <formula>LEN(TRIM(R38))=0</formula>
    </cfRule>
  </conditionalFormatting>
  <conditionalFormatting sqref="Q68">
    <cfRule type="containsBlanks" dxfId="454" priority="534" stopIfTrue="1">
      <formula>LEN(TRIM(Q68))=0</formula>
    </cfRule>
  </conditionalFormatting>
  <conditionalFormatting sqref="R68">
    <cfRule type="containsBlanks" dxfId="453" priority="533" stopIfTrue="1">
      <formula>LEN(TRIM(R68))=0</formula>
    </cfRule>
  </conditionalFormatting>
  <conditionalFormatting sqref="Q209">
    <cfRule type="containsBlanks" dxfId="452" priority="532" stopIfTrue="1">
      <formula>LEN(TRIM(Q209))=0</formula>
    </cfRule>
  </conditionalFormatting>
  <conditionalFormatting sqref="R209">
    <cfRule type="containsBlanks" dxfId="451" priority="531" stopIfTrue="1">
      <formula>LEN(TRIM(R209))=0</formula>
    </cfRule>
  </conditionalFormatting>
  <conditionalFormatting sqref="R46">
    <cfRule type="containsBlanks" dxfId="450" priority="529" stopIfTrue="1">
      <formula>LEN(TRIM(R46))=0</formula>
    </cfRule>
  </conditionalFormatting>
  <conditionalFormatting sqref="R50">
    <cfRule type="containsBlanks" dxfId="449" priority="528" stopIfTrue="1">
      <formula>LEN(TRIM(R50))=0</formula>
    </cfRule>
  </conditionalFormatting>
  <conditionalFormatting sqref="R52">
    <cfRule type="containsBlanks" dxfId="448" priority="527" stopIfTrue="1">
      <formula>LEN(TRIM(R52))=0</formula>
    </cfRule>
  </conditionalFormatting>
  <conditionalFormatting sqref="R54">
    <cfRule type="containsBlanks" dxfId="447" priority="526" stopIfTrue="1">
      <formula>LEN(TRIM(R54))=0</formula>
    </cfRule>
  </conditionalFormatting>
  <conditionalFormatting sqref="R56">
    <cfRule type="containsBlanks" dxfId="446" priority="525" stopIfTrue="1">
      <formula>LEN(TRIM(R56))=0</formula>
    </cfRule>
  </conditionalFormatting>
  <conditionalFormatting sqref="R58">
    <cfRule type="containsBlanks" dxfId="445" priority="524" stopIfTrue="1">
      <formula>LEN(TRIM(R58))=0</formula>
    </cfRule>
  </conditionalFormatting>
  <conditionalFormatting sqref="R40">
    <cfRule type="containsBlanks" dxfId="444" priority="523" stopIfTrue="1">
      <formula>LEN(TRIM(R40))=0</formula>
    </cfRule>
  </conditionalFormatting>
  <conditionalFormatting sqref="R66">
    <cfRule type="containsBlanks" dxfId="443" priority="522" stopIfTrue="1">
      <formula>LEN(TRIM(R66))=0</formula>
    </cfRule>
  </conditionalFormatting>
  <conditionalFormatting sqref="R64">
    <cfRule type="containsBlanks" dxfId="442" priority="521" stopIfTrue="1">
      <formula>LEN(TRIM(R64))=0</formula>
    </cfRule>
  </conditionalFormatting>
  <conditionalFormatting sqref="R70">
    <cfRule type="containsBlanks" dxfId="441" priority="520" stopIfTrue="1">
      <formula>LEN(TRIM(R70))=0</formula>
    </cfRule>
  </conditionalFormatting>
  <conditionalFormatting sqref="R78 R84 R82">
    <cfRule type="containsBlanks" dxfId="440" priority="519" stopIfTrue="1">
      <formula>LEN(TRIM(R78))=0</formula>
    </cfRule>
  </conditionalFormatting>
  <conditionalFormatting sqref="R76">
    <cfRule type="containsBlanks" dxfId="439" priority="518" stopIfTrue="1">
      <formula>LEN(TRIM(R76))=0</formula>
    </cfRule>
  </conditionalFormatting>
  <conditionalFormatting sqref="R74">
    <cfRule type="containsBlanks" dxfId="438" priority="517" stopIfTrue="1">
      <formula>LEN(TRIM(R74))=0</formula>
    </cfRule>
  </conditionalFormatting>
  <conditionalFormatting sqref="Q86">
    <cfRule type="containsBlanks" dxfId="437" priority="516" stopIfTrue="1">
      <formula>LEN(TRIM(Q86))=0</formula>
    </cfRule>
  </conditionalFormatting>
  <conditionalFormatting sqref="R86">
    <cfRule type="containsBlanks" dxfId="436" priority="515" stopIfTrue="1">
      <formula>LEN(TRIM(R86))=0</formula>
    </cfRule>
  </conditionalFormatting>
  <conditionalFormatting sqref="R93 R95">
    <cfRule type="containsBlanks" dxfId="435" priority="514" stopIfTrue="1">
      <formula>LEN(TRIM(R93))=0</formula>
    </cfRule>
  </conditionalFormatting>
  <conditionalFormatting sqref="R97">
    <cfRule type="containsBlanks" dxfId="434" priority="513" stopIfTrue="1">
      <formula>LEN(TRIM(R97))=0</formula>
    </cfRule>
  </conditionalFormatting>
  <conditionalFormatting sqref="R105 R111">
    <cfRule type="containsBlanks" dxfId="433" priority="512" stopIfTrue="1">
      <formula>LEN(TRIM(R105))=0</formula>
    </cfRule>
  </conditionalFormatting>
  <conditionalFormatting sqref="R101">
    <cfRule type="containsBlanks" dxfId="432" priority="511" stopIfTrue="1">
      <formula>LEN(TRIM(R101))=0</formula>
    </cfRule>
  </conditionalFormatting>
  <conditionalFormatting sqref="R103">
    <cfRule type="containsBlanks" dxfId="431" priority="510" stopIfTrue="1">
      <formula>LEN(TRIM(R103))=0</formula>
    </cfRule>
  </conditionalFormatting>
  <conditionalFormatting sqref="R107">
    <cfRule type="containsBlanks" dxfId="430" priority="509" stopIfTrue="1">
      <formula>LEN(TRIM(R107))=0</formula>
    </cfRule>
  </conditionalFormatting>
  <conditionalFormatting sqref="R109">
    <cfRule type="containsBlanks" dxfId="429" priority="508" stopIfTrue="1">
      <formula>LEN(TRIM(R109))=0</formula>
    </cfRule>
  </conditionalFormatting>
  <conditionalFormatting sqref="R139 R135 R160 R145 R143 R141 R117">
    <cfRule type="containsBlanks" dxfId="428" priority="507" stopIfTrue="1">
      <formula>LEN(TRIM(R117))=0</formula>
    </cfRule>
  </conditionalFormatting>
  <conditionalFormatting sqref="R137">
    <cfRule type="containsBlanks" dxfId="427" priority="506" stopIfTrue="1">
      <formula>LEN(TRIM(R137))=0</formula>
    </cfRule>
  </conditionalFormatting>
  <conditionalFormatting sqref="R129">
    <cfRule type="containsBlanks" dxfId="426" priority="505" stopIfTrue="1">
      <formula>LEN(TRIM(R129))=0</formula>
    </cfRule>
  </conditionalFormatting>
  <conditionalFormatting sqref="R127">
    <cfRule type="containsBlanks" dxfId="425" priority="504" stopIfTrue="1">
      <formula>LEN(TRIM(R127))=0</formula>
    </cfRule>
  </conditionalFormatting>
  <conditionalFormatting sqref="R123">
    <cfRule type="containsBlanks" dxfId="424" priority="503" stopIfTrue="1">
      <formula>LEN(TRIM(R123))=0</formula>
    </cfRule>
  </conditionalFormatting>
  <conditionalFormatting sqref="R121">
    <cfRule type="containsBlanks" dxfId="423" priority="502" stopIfTrue="1">
      <formula>LEN(TRIM(R121))=0</formula>
    </cfRule>
  </conditionalFormatting>
  <conditionalFormatting sqref="R119">
    <cfRule type="containsBlanks" dxfId="422" priority="501" stopIfTrue="1">
      <formula>LEN(TRIM(R119))=0</formula>
    </cfRule>
  </conditionalFormatting>
  <conditionalFormatting sqref="R148">
    <cfRule type="containsBlanks" dxfId="421" priority="500" stopIfTrue="1">
      <formula>LEN(TRIM(R148))=0</formula>
    </cfRule>
  </conditionalFormatting>
  <conditionalFormatting sqref="R150">
    <cfRule type="containsBlanks" dxfId="420" priority="499" stopIfTrue="1">
      <formula>LEN(TRIM(R150))=0</formula>
    </cfRule>
  </conditionalFormatting>
  <conditionalFormatting sqref="R158">
    <cfRule type="containsBlanks" dxfId="419" priority="498" stopIfTrue="1">
      <formula>LEN(TRIM(R158))=0</formula>
    </cfRule>
  </conditionalFormatting>
  <conditionalFormatting sqref="R156">
    <cfRule type="containsBlanks" dxfId="418" priority="497" stopIfTrue="1">
      <formula>LEN(TRIM(R156))=0</formula>
    </cfRule>
  </conditionalFormatting>
  <conditionalFormatting sqref="R152">
    <cfRule type="containsBlanks" dxfId="417" priority="496" stopIfTrue="1">
      <formula>LEN(TRIM(R152))=0</formula>
    </cfRule>
  </conditionalFormatting>
  <conditionalFormatting sqref="R154">
    <cfRule type="containsBlanks" dxfId="416" priority="495" stopIfTrue="1">
      <formula>LEN(TRIM(R154))=0</formula>
    </cfRule>
  </conditionalFormatting>
  <conditionalFormatting sqref="R166">
    <cfRule type="containsBlanks" dxfId="415" priority="494" stopIfTrue="1">
      <formula>LEN(TRIM(R166))=0</formula>
    </cfRule>
  </conditionalFormatting>
  <conditionalFormatting sqref="R125">
    <cfRule type="containsBlanks" dxfId="414" priority="493" stopIfTrue="1">
      <formula>LEN(TRIM(R125))=0</formula>
    </cfRule>
  </conditionalFormatting>
  <conditionalFormatting sqref="R162">
    <cfRule type="containsBlanks" dxfId="413" priority="492" stopIfTrue="1">
      <formula>LEN(TRIM(R162))=0</formula>
    </cfRule>
  </conditionalFormatting>
  <conditionalFormatting sqref="R131">
    <cfRule type="containsBlanks" dxfId="412" priority="491" stopIfTrue="1">
      <formula>LEN(TRIM(R131))=0</formula>
    </cfRule>
  </conditionalFormatting>
  <conditionalFormatting sqref="R133">
    <cfRule type="containsBlanks" dxfId="411" priority="490" stopIfTrue="1">
      <formula>LEN(TRIM(R133))=0</formula>
    </cfRule>
  </conditionalFormatting>
  <conditionalFormatting sqref="R171">
    <cfRule type="containsBlanks" dxfId="410" priority="489" stopIfTrue="1">
      <formula>LEN(TRIM(R171))=0</formula>
    </cfRule>
  </conditionalFormatting>
  <conditionalFormatting sqref="R170">
    <cfRule type="containsBlanks" dxfId="409" priority="488" stopIfTrue="1">
      <formula>LEN(TRIM(R170))=0</formula>
    </cfRule>
  </conditionalFormatting>
  <conditionalFormatting sqref="R172">
    <cfRule type="containsBlanks" dxfId="408" priority="487" stopIfTrue="1">
      <formula>LEN(TRIM(R172))=0</formula>
    </cfRule>
  </conditionalFormatting>
  <conditionalFormatting sqref="R174">
    <cfRule type="containsBlanks" dxfId="407" priority="486" stopIfTrue="1">
      <formula>LEN(TRIM(R174))=0</formula>
    </cfRule>
  </conditionalFormatting>
  <conditionalFormatting sqref="R191 R199 R203 R205 R201 R193">
    <cfRule type="containsBlanks" dxfId="406" priority="485" stopIfTrue="1">
      <formula>LEN(TRIM(R191))=0</formula>
    </cfRule>
  </conditionalFormatting>
  <conditionalFormatting sqref="R179">
    <cfRule type="containsBlanks" dxfId="405" priority="484" stopIfTrue="1">
      <formula>LEN(TRIM(R179))=0</formula>
    </cfRule>
  </conditionalFormatting>
  <conditionalFormatting sqref="R181">
    <cfRule type="containsBlanks" dxfId="404" priority="483" stopIfTrue="1">
      <formula>LEN(TRIM(R181))=0</formula>
    </cfRule>
  </conditionalFormatting>
  <conditionalFormatting sqref="R183">
    <cfRule type="containsBlanks" dxfId="403" priority="482" stopIfTrue="1">
      <formula>LEN(TRIM(R183))=0</formula>
    </cfRule>
  </conditionalFormatting>
  <conditionalFormatting sqref="R187">
    <cfRule type="containsBlanks" dxfId="402" priority="481" stopIfTrue="1">
      <formula>LEN(TRIM(R187))=0</formula>
    </cfRule>
  </conditionalFormatting>
  <conditionalFormatting sqref="R185">
    <cfRule type="containsBlanks" dxfId="401" priority="480" stopIfTrue="1">
      <formula>LEN(TRIM(R185))=0</formula>
    </cfRule>
  </conditionalFormatting>
  <conditionalFormatting sqref="R189">
    <cfRule type="containsBlanks" dxfId="400" priority="479" stopIfTrue="1">
      <formula>LEN(TRIM(R189))=0</formula>
    </cfRule>
  </conditionalFormatting>
  <conditionalFormatting sqref="R195">
    <cfRule type="containsBlanks" dxfId="399" priority="478" stopIfTrue="1">
      <formula>LEN(TRIM(R195))=0</formula>
    </cfRule>
  </conditionalFormatting>
  <conditionalFormatting sqref="R197">
    <cfRule type="containsBlanks" dxfId="398" priority="477" stopIfTrue="1">
      <formula>LEN(TRIM(R197))=0</formula>
    </cfRule>
  </conditionalFormatting>
  <conditionalFormatting sqref="R229 R227 R223 R219 R211">
    <cfRule type="containsBlanks" dxfId="397" priority="476" stopIfTrue="1">
      <formula>LEN(TRIM(R211))=0</formula>
    </cfRule>
  </conditionalFormatting>
  <conditionalFormatting sqref="R213">
    <cfRule type="containsBlanks" dxfId="396" priority="475" stopIfTrue="1">
      <formula>LEN(TRIM(R213))=0</formula>
    </cfRule>
  </conditionalFormatting>
  <conditionalFormatting sqref="R215">
    <cfRule type="containsBlanks" dxfId="395" priority="474" stopIfTrue="1">
      <formula>LEN(TRIM(R215))=0</formula>
    </cfRule>
  </conditionalFormatting>
  <conditionalFormatting sqref="R231 R243 R237">
    <cfRule type="containsBlanks" dxfId="394" priority="473" stopIfTrue="1">
      <formula>LEN(TRIM(R231))=0</formula>
    </cfRule>
  </conditionalFormatting>
  <conditionalFormatting sqref="R253">
    <cfRule type="containsBlanks" dxfId="393" priority="472" stopIfTrue="1">
      <formula>LEN(TRIM(R253))=0</formula>
    </cfRule>
  </conditionalFormatting>
  <conditionalFormatting sqref="R261 R259 R257">
    <cfRule type="containsBlanks" dxfId="392" priority="471" stopIfTrue="1">
      <formula>LEN(TRIM(R257))=0</formula>
    </cfRule>
  </conditionalFormatting>
  <conditionalFormatting sqref="R265">
    <cfRule type="containsBlanks" dxfId="391" priority="470" stopIfTrue="1">
      <formula>LEN(TRIM(R265))=0</formula>
    </cfRule>
  </conditionalFormatting>
  <conditionalFormatting sqref="R281 R285 R271">
    <cfRule type="containsBlanks" dxfId="390" priority="469" stopIfTrue="1">
      <formula>LEN(TRIM(R271))=0</formula>
    </cfRule>
  </conditionalFormatting>
  <conditionalFormatting sqref="R274">
    <cfRule type="containsBlanks" dxfId="389" priority="468" stopIfTrue="1">
      <formula>LEN(TRIM(R274))=0</formula>
    </cfRule>
  </conditionalFormatting>
  <conditionalFormatting sqref="R276">
    <cfRule type="containsBlanks" dxfId="388" priority="467" stopIfTrue="1">
      <formula>LEN(TRIM(R276))=0</formula>
    </cfRule>
  </conditionalFormatting>
  <conditionalFormatting sqref="R278">
    <cfRule type="containsBlanks" dxfId="387" priority="466" stopIfTrue="1">
      <formula>LEN(TRIM(R278))=0</formula>
    </cfRule>
  </conditionalFormatting>
  <conditionalFormatting sqref="R280">
    <cfRule type="containsBlanks" dxfId="386" priority="465" stopIfTrue="1">
      <formula>LEN(TRIM(R280))=0</formula>
    </cfRule>
  </conditionalFormatting>
  <conditionalFormatting sqref="R272">
    <cfRule type="containsBlanks" dxfId="385" priority="464" stopIfTrue="1">
      <formula>LEN(TRIM(R272))=0</formula>
    </cfRule>
  </conditionalFormatting>
  <conditionalFormatting sqref="R337 R341">
    <cfRule type="containsBlanks" dxfId="384" priority="463" stopIfTrue="1">
      <formula>LEN(TRIM(R337))=0</formula>
    </cfRule>
  </conditionalFormatting>
  <conditionalFormatting sqref="V181">
    <cfRule type="containsBlanks" dxfId="383" priority="461" stopIfTrue="1">
      <formula>LEN(TRIM(V181))=0</formula>
    </cfRule>
  </conditionalFormatting>
  <conditionalFormatting sqref="V183">
    <cfRule type="containsBlanks" dxfId="382" priority="460" stopIfTrue="1">
      <formula>LEN(TRIM(V183))=0</formula>
    </cfRule>
  </conditionalFormatting>
  <conditionalFormatting sqref="V187">
    <cfRule type="containsBlanks" dxfId="381" priority="457" stopIfTrue="1">
      <formula>LEN(TRIM(V187))=0</formula>
    </cfRule>
  </conditionalFormatting>
  <conditionalFormatting sqref="V185">
    <cfRule type="containsBlanks" dxfId="380" priority="455" stopIfTrue="1">
      <formula>LEN(TRIM(V185))=0</formula>
    </cfRule>
  </conditionalFormatting>
  <conditionalFormatting sqref="V213 V215">
    <cfRule type="containsBlanks" dxfId="379" priority="454" stopIfTrue="1">
      <formula>LEN(TRIM(V213))=0</formula>
    </cfRule>
  </conditionalFormatting>
  <conditionalFormatting sqref="V223">
    <cfRule type="containsBlanks" dxfId="378" priority="453" stopIfTrue="1">
      <formula>LEN(TRIM(V223))=0</formula>
    </cfRule>
  </conditionalFormatting>
  <conditionalFormatting sqref="V225">
    <cfRule type="containsBlanks" dxfId="377" priority="452" stopIfTrue="1">
      <formula>LEN(TRIM(V225))=0</formula>
    </cfRule>
  </conditionalFormatting>
  <conditionalFormatting sqref="V227">
    <cfRule type="containsBlanks" dxfId="376" priority="451" stopIfTrue="1">
      <formula>LEN(TRIM(V227))=0</formula>
    </cfRule>
  </conditionalFormatting>
  <conditionalFormatting sqref="V229">
    <cfRule type="containsBlanks" dxfId="375" priority="450" stopIfTrue="1">
      <formula>LEN(TRIM(V229))=0</formula>
    </cfRule>
  </conditionalFormatting>
  <conditionalFormatting sqref="R251">
    <cfRule type="containsBlanks" dxfId="374" priority="449" stopIfTrue="1">
      <formula>LEN(TRIM(R251))=0</formula>
    </cfRule>
  </conditionalFormatting>
  <conditionalFormatting sqref="R249">
    <cfRule type="containsBlanks" dxfId="373" priority="448" stopIfTrue="1">
      <formula>LEN(TRIM(R249))=0</formula>
    </cfRule>
  </conditionalFormatting>
  <conditionalFormatting sqref="R245">
    <cfRule type="containsBlanks" dxfId="372" priority="447" stopIfTrue="1">
      <formula>LEN(TRIM(R245))=0</formula>
    </cfRule>
  </conditionalFormatting>
  <conditionalFormatting sqref="R241">
    <cfRule type="containsBlanks" dxfId="371" priority="446" stopIfTrue="1">
      <formula>LEN(TRIM(R241))=0</formula>
    </cfRule>
  </conditionalFormatting>
  <conditionalFormatting sqref="R239">
    <cfRule type="containsBlanks" dxfId="370" priority="445" stopIfTrue="1">
      <formula>LEN(TRIM(R239))=0</formula>
    </cfRule>
  </conditionalFormatting>
  <conditionalFormatting sqref="R235">
    <cfRule type="containsBlanks" dxfId="369" priority="444" stopIfTrue="1">
      <formula>LEN(TRIM(R235))=0</formula>
    </cfRule>
  </conditionalFormatting>
  <conditionalFormatting sqref="R217">
    <cfRule type="containsBlanks" dxfId="368" priority="443" stopIfTrue="1">
      <formula>LEN(TRIM(R217))=0</formula>
    </cfRule>
  </conditionalFormatting>
  <conditionalFormatting sqref="V275">
    <cfRule type="containsBlanks" dxfId="367" priority="442" stopIfTrue="1">
      <formula>LEN(TRIM(V275))=0</formula>
    </cfRule>
  </conditionalFormatting>
  <conditionalFormatting sqref="V154">
    <cfRule type="containsBlanks" dxfId="366" priority="441" stopIfTrue="1">
      <formula>LEN(TRIM(V154))=0</formula>
    </cfRule>
  </conditionalFormatting>
  <conditionalFormatting sqref="V24">
    <cfRule type="containsBlanks" dxfId="365" priority="440" stopIfTrue="1">
      <formula>LEN(TRIM(V24))=0</formula>
    </cfRule>
  </conditionalFormatting>
  <conditionalFormatting sqref="V46">
    <cfRule type="containsBlanks" dxfId="364" priority="439" stopIfTrue="1">
      <formula>LEN(TRIM(V46))=0</formula>
    </cfRule>
  </conditionalFormatting>
  <conditionalFormatting sqref="V42">
    <cfRule type="containsBlanks" dxfId="363" priority="438" stopIfTrue="1">
      <formula>LEN(TRIM(V42))=0</formula>
    </cfRule>
  </conditionalFormatting>
  <conditionalFormatting sqref="V52">
    <cfRule type="containsBlanks" dxfId="362" priority="437" stopIfTrue="1">
      <formula>LEN(TRIM(V52))=0</formula>
    </cfRule>
  </conditionalFormatting>
  <conditionalFormatting sqref="V54">
    <cfRule type="containsBlanks" dxfId="361" priority="436" stopIfTrue="1">
      <formula>LEN(TRIM(V54))=0</formula>
    </cfRule>
  </conditionalFormatting>
  <conditionalFormatting sqref="V58">
    <cfRule type="containsBlanks" dxfId="360" priority="435" stopIfTrue="1">
      <formula>LEN(TRIM(V58))=0</formula>
    </cfRule>
  </conditionalFormatting>
  <conditionalFormatting sqref="V38">
    <cfRule type="containsBlanks" dxfId="359" priority="434" stopIfTrue="1">
      <formula>LEN(TRIM(V38))=0</formula>
    </cfRule>
  </conditionalFormatting>
  <conditionalFormatting sqref="V4">
    <cfRule type="containsBlanks" dxfId="358" priority="433" stopIfTrue="1">
      <formula>LEN(TRIM(V4))=0</formula>
    </cfRule>
  </conditionalFormatting>
  <conditionalFormatting sqref="Z97">
    <cfRule type="containsBlanks" dxfId="357" priority="431" stopIfTrue="1">
      <formula>LEN(TRIM(Z97))=0</formula>
    </cfRule>
  </conditionalFormatting>
  <conditionalFormatting sqref="Z99">
    <cfRule type="containsBlanks" dxfId="356" priority="430" stopIfTrue="1">
      <formula>LEN(TRIM(Z99))=0</formula>
    </cfRule>
  </conditionalFormatting>
  <conditionalFormatting sqref="Z179">
    <cfRule type="containsBlanks" dxfId="355" priority="426" stopIfTrue="1">
      <formula>LEN(TRIM(Z179))=0</formula>
    </cfRule>
  </conditionalFormatting>
  <conditionalFormatting sqref="Z285 Z281">
    <cfRule type="containsBlanks" dxfId="354" priority="373" stopIfTrue="1">
      <formula>LEN(TRIM(Z281))=0</formula>
    </cfRule>
  </conditionalFormatting>
  <conditionalFormatting sqref="Z183">
    <cfRule type="containsBlanks" dxfId="353" priority="424" stopIfTrue="1">
      <formula>LEN(TRIM(Z183))=0</formula>
    </cfRule>
  </conditionalFormatting>
  <conditionalFormatting sqref="Z187">
    <cfRule type="containsBlanks" dxfId="352" priority="422" stopIfTrue="1">
      <formula>LEN(TRIM(Z187))=0</formula>
    </cfRule>
  </conditionalFormatting>
  <conditionalFormatting sqref="Z185">
    <cfRule type="containsBlanks" dxfId="351" priority="421" stopIfTrue="1">
      <formula>LEN(TRIM(Z185))=0</formula>
    </cfRule>
  </conditionalFormatting>
  <conditionalFormatting sqref="Z199">
    <cfRule type="containsBlanks" dxfId="350" priority="420" stopIfTrue="1">
      <formula>LEN(TRIM(Z199))=0</formula>
    </cfRule>
  </conditionalFormatting>
  <conditionalFormatting sqref="Z203">
    <cfRule type="containsBlanks" dxfId="349" priority="419" stopIfTrue="1">
      <formula>LEN(TRIM(Z203))=0</formula>
    </cfRule>
  </conditionalFormatting>
  <conditionalFormatting sqref="Z205">
    <cfRule type="containsBlanks" dxfId="348" priority="418" stopIfTrue="1">
      <formula>LEN(TRIM(Z205))=0</formula>
    </cfRule>
  </conditionalFormatting>
  <conditionalFormatting sqref="Z191">
    <cfRule type="containsBlanks" dxfId="347" priority="417" stopIfTrue="1">
      <formula>LEN(TRIM(Z191))=0</formula>
    </cfRule>
  </conditionalFormatting>
  <conditionalFormatting sqref="Z213">
    <cfRule type="containsBlanks" dxfId="346" priority="415" stopIfTrue="1">
      <formula>LEN(TRIM(Z213))=0</formula>
    </cfRule>
  </conditionalFormatting>
  <conditionalFormatting sqref="Z215">
    <cfRule type="containsBlanks" dxfId="345" priority="414" stopIfTrue="1">
      <formula>LEN(TRIM(Z215))=0</formula>
    </cfRule>
  </conditionalFormatting>
  <conditionalFormatting sqref="Z221">
    <cfRule type="containsBlanks" dxfId="344" priority="413" stopIfTrue="1">
      <formula>LEN(TRIM(Z221))=0</formula>
    </cfRule>
  </conditionalFormatting>
  <conditionalFormatting sqref="Z225">
    <cfRule type="containsBlanks" dxfId="343" priority="411" stopIfTrue="1">
      <formula>LEN(TRIM(Z225))=0</formula>
    </cfRule>
  </conditionalFormatting>
  <conditionalFormatting sqref="Z227">
    <cfRule type="containsBlanks" dxfId="342" priority="410" stopIfTrue="1">
      <formula>LEN(TRIM(Z227))=0</formula>
    </cfRule>
  </conditionalFormatting>
  <conditionalFormatting sqref="Z229">
    <cfRule type="containsBlanks" dxfId="341" priority="409" stopIfTrue="1">
      <formula>LEN(TRIM(Z229))=0</formula>
    </cfRule>
  </conditionalFormatting>
  <conditionalFormatting sqref="Z219">
    <cfRule type="containsBlanks" dxfId="340" priority="408" stopIfTrue="1">
      <formula>LEN(TRIM(Z219))=0</formula>
    </cfRule>
  </conditionalFormatting>
  <conditionalFormatting sqref="Z235">
    <cfRule type="containsBlanks" dxfId="339" priority="407" stopIfTrue="1">
      <formula>LEN(TRIM(Z235))=0</formula>
    </cfRule>
  </conditionalFormatting>
  <conditionalFormatting sqref="Z197 Z195">
    <cfRule type="containsBlanks" dxfId="338" priority="406" stopIfTrue="1">
      <formula>LEN(TRIM(Z195))=0</formula>
    </cfRule>
  </conditionalFormatting>
  <conditionalFormatting sqref="Z125 Z135 Z127 Z139 Z119 Z121 Z123 Z129 Z137 Z117 Z131 Z133">
    <cfRule type="containsBlanks" dxfId="337" priority="404" stopIfTrue="1">
      <formula>LEN(TRIM(Z117))=0</formula>
    </cfRule>
  </conditionalFormatting>
  <conditionalFormatting sqref="Z154">
    <cfRule type="containsBlanks" dxfId="336" priority="403" stopIfTrue="1">
      <formula>LEN(TRIM(Z154))=0</formula>
    </cfRule>
  </conditionalFormatting>
  <conditionalFormatting sqref="Z158">
    <cfRule type="containsBlanks" dxfId="335" priority="402" stopIfTrue="1">
      <formula>LEN(TRIM(Z158))=0</formula>
    </cfRule>
  </conditionalFormatting>
  <conditionalFormatting sqref="Z145">
    <cfRule type="containsBlanks" dxfId="334" priority="401" stopIfTrue="1">
      <formula>LEN(TRIM(Z145))=0</formula>
    </cfRule>
  </conditionalFormatting>
  <conditionalFormatting sqref="Z93 Z95">
    <cfRule type="containsBlanks" dxfId="333" priority="400" stopIfTrue="1">
      <formula>LEN(TRIM(Z93))=0</formula>
    </cfRule>
  </conditionalFormatting>
  <conditionalFormatting sqref="Z32">
    <cfRule type="containsBlanks" dxfId="332" priority="399" stopIfTrue="1">
      <formula>LEN(TRIM(Z32))=0</formula>
    </cfRule>
  </conditionalFormatting>
  <conditionalFormatting sqref="Z66">
    <cfRule type="containsBlanks" dxfId="331" priority="398" stopIfTrue="1">
      <formula>LEN(TRIM(Z66))=0</formula>
    </cfRule>
  </conditionalFormatting>
  <conditionalFormatting sqref="Z68">
    <cfRule type="containsBlanks" dxfId="330" priority="397" stopIfTrue="1">
      <formula>LEN(TRIM(Z68))=0</formula>
    </cfRule>
  </conditionalFormatting>
  <conditionalFormatting sqref="Z275">
    <cfRule type="containsBlanks" dxfId="329" priority="396" stopIfTrue="1">
      <formula>LEN(TRIM(Z275))=0</formula>
    </cfRule>
  </conditionalFormatting>
  <conditionalFormatting sqref="Z12">
    <cfRule type="containsBlanks" dxfId="328" priority="395" stopIfTrue="1">
      <formula>LEN(TRIM(Z12))=0</formula>
    </cfRule>
  </conditionalFormatting>
  <conditionalFormatting sqref="Z10">
    <cfRule type="containsBlanks" dxfId="327" priority="394" stopIfTrue="1">
      <formula>LEN(TRIM(Z10))=0</formula>
    </cfRule>
  </conditionalFormatting>
  <conditionalFormatting sqref="Z4">
    <cfRule type="containsBlanks" dxfId="326" priority="393" stopIfTrue="1">
      <formula>LEN(TRIM(Z4))=0</formula>
    </cfRule>
  </conditionalFormatting>
  <conditionalFormatting sqref="Z2">
    <cfRule type="containsBlanks" dxfId="325" priority="392" stopIfTrue="1">
      <formula>LEN(TRIM(Z2))=0</formula>
    </cfRule>
  </conditionalFormatting>
  <conditionalFormatting sqref="Z20 Z22">
    <cfRule type="containsBlanks" dxfId="324" priority="391" stopIfTrue="1">
      <formula>LEN(TRIM(Z20))=0</formula>
    </cfRule>
  </conditionalFormatting>
  <conditionalFormatting sqref="Z24">
    <cfRule type="containsBlanks" dxfId="323" priority="390" stopIfTrue="1">
      <formula>LEN(TRIM(Z24))=0</formula>
    </cfRule>
  </conditionalFormatting>
  <conditionalFormatting sqref="Z28 Z30">
    <cfRule type="containsBlanks" dxfId="322" priority="389" stopIfTrue="1">
      <formula>LEN(TRIM(Z28))=0</formula>
    </cfRule>
  </conditionalFormatting>
  <conditionalFormatting sqref="Z36">
    <cfRule type="containsBlanks" dxfId="321" priority="388" stopIfTrue="1">
      <formula>LEN(TRIM(Z36))=0</formula>
    </cfRule>
  </conditionalFormatting>
  <conditionalFormatting sqref="Z38">
    <cfRule type="containsBlanks" dxfId="320" priority="387" stopIfTrue="1">
      <formula>LEN(TRIM(Z38))=0</formula>
    </cfRule>
  </conditionalFormatting>
  <conditionalFormatting sqref="Z40">
    <cfRule type="containsBlanks" dxfId="319" priority="386" stopIfTrue="1">
      <formula>LEN(TRIM(Z40))=0</formula>
    </cfRule>
  </conditionalFormatting>
  <conditionalFormatting sqref="Z44 Z48 Z50 Z56">
    <cfRule type="containsBlanks" dxfId="318" priority="385" stopIfTrue="1">
      <formula>LEN(TRIM(Z44))=0</formula>
    </cfRule>
  </conditionalFormatting>
  <conditionalFormatting sqref="Z46">
    <cfRule type="containsBlanks" dxfId="317" priority="384" stopIfTrue="1">
      <formula>LEN(TRIM(Z46))=0</formula>
    </cfRule>
  </conditionalFormatting>
  <conditionalFormatting sqref="Z42">
    <cfRule type="containsBlanks" dxfId="316" priority="383" stopIfTrue="1">
      <formula>LEN(TRIM(Z42))=0</formula>
    </cfRule>
  </conditionalFormatting>
  <conditionalFormatting sqref="Z52">
    <cfRule type="containsBlanks" dxfId="315" priority="382" stopIfTrue="1">
      <formula>LEN(TRIM(Z52))=0</formula>
    </cfRule>
  </conditionalFormatting>
  <conditionalFormatting sqref="Z54">
    <cfRule type="containsBlanks" dxfId="314" priority="381" stopIfTrue="1">
      <formula>LEN(TRIM(Z54))=0</formula>
    </cfRule>
  </conditionalFormatting>
  <conditionalFormatting sqref="Z58">
    <cfRule type="containsBlanks" dxfId="313" priority="380" stopIfTrue="1">
      <formula>LEN(TRIM(Z58))=0</formula>
    </cfRule>
  </conditionalFormatting>
  <conditionalFormatting sqref="Z60">
    <cfRule type="containsBlanks" dxfId="312" priority="379" stopIfTrue="1">
      <formula>LEN(TRIM(Z60))=0</formula>
    </cfRule>
  </conditionalFormatting>
  <conditionalFormatting sqref="Z76">
    <cfRule type="containsBlanks" dxfId="311" priority="378" stopIfTrue="1">
      <formula>LEN(TRIM(Z76))=0</formula>
    </cfRule>
  </conditionalFormatting>
  <conditionalFormatting sqref="Z86">
    <cfRule type="containsBlanks" dxfId="310" priority="377" stopIfTrue="1">
      <formula>LEN(TRIM(Z86))=0</formula>
    </cfRule>
  </conditionalFormatting>
  <conditionalFormatting sqref="Z103">
    <cfRule type="containsBlanks" dxfId="309" priority="376" stopIfTrue="1">
      <formula>LEN(TRIM(Z103))=0</formula>
    </cfRule>
  </conditionalFormatting>
  <conditionalFormatting sqref="Z271">
    <cfRule type="containsBlanks" dxfId="308" priority="374" stopIfTrue="1">
      <formula>LEN(TRIM(Z271))=0</formula>
    </cfRule>
  </conditionalFormatting>
  <conditionalFormatting sqref="Y93">
    <cfRule type="containsBlanks" dxfId="307" priority="371" stopIfTrue="1">
      <formula>LEN(TRIM(Y93))=0</formula>
    </cfRule>
  </conditionalFormatting>
  <conditionalFormatting sqref="Y101">
    <cfRule type="containsBlanks" dxfId="306" priority="370" stopIfTrue="1">
      <formula>LEN(TRIM(Y101))=0</formula>
    </cfRule>
  </conditionalFormatting>
  <conditionalFormatting sqref="Y97">
    <cfRule type="containsBlanks" dxfId="305" priority="369" stopIfTrue="1">
      <formula>LEN(TRIM(Y97))=0</formula>
    </cfRule>
  </conditionalFormatting>
  <conditionalFormatting sqref="Y99">
    <cfRule type="containsBlanks" dxfId="304" priority="368" stopIfTrue="1">
      <formula>LEN(TRIM(Y99))=0</formula>
    </cfRule>
  </conditionalFormatting>
  <conditionalFormatting sqref="Y107">
    <cfRule type="containsBlanks" dxfId="303" priority="366" stopIfTrue="1">
      <formula>LEN(TRIM(Y107))=0</formula>
    </cfRule>
  </conditionalFormatting>
  <conditionalFormatting sqref="Y111">
    <cfRule type="containsBlanks" dxfId="302" priority="364" stopIfTrue="1">
      <formula>LEN(TRIM(Y111))=0</formula>
    </cfRule>
  </conditionalFormatting>
  <conditionalFormatting sqref="Y103">
    <cfRule type="containsBlanks" dxfId="301" priority="363" stopIfTrue="1">
      <formula>LEN(TRIM(Y103))=0</formula>
    </cfRule>
  </conditionalFormatting>
  <conditionalFormatting sqref="Y95">
    <cfRule type="containsBlanks" dxfId="300" priority="362" stopIfTrue="1">
      <formula>LEN(TRIM(Y95))=0</formula>
    </cfRule>
  </conditionalFormatting>
  <conditionalFormatting sqref="Y249">
    <cfRule type="containsBlanks" dxfId="299" priority="360" stopIfTrue="1">
      <formula>LEN(TRIM(Y249))=0</formula>
    </cfRule>
  </conditionalFormatting>
  <conditionalFormatting sqref="Y199">
    <cfRule type="containsBlanks" dxfId="298" priority="359" stopIfTrue="1">
      <formula>LEN(TRIM(Y199))=0</formula>
    </cfRule>
  </conditionalFormatting>
  <conditionalFormatting sqref="Y203">
    <cfRule type="containsBlanks" dxfId="297" priority="358" stopIfTrue="1">
      <formula>LEN(TRIM(Y203))=0</formula>
    </cfRule>
  </conditionalFormatting>
  <conditionalFormatting sqref="Y205">
    <cfRule type="containsBlanks" dxfId="296" priority="356" stopIfTrue="1">
      <formula>LEN(TRIM(Y205))=0</formula>
    </cfRule>
  </conditionalFormatting>
  <conditionalFormatting sqref="Y74">
    <cfRule type="containsBlanks" dxfId="295" priority="355" stopIfTrue="1">
      <formula>LEN(TRIM(Y74))=0</formula>
    </cfRule>
  </conditionalFormatting>
  <conditionalFormatting sqref="Y179">
    <cfRule type="containsBlanks" dxfId="294" priority="354" stopIfTrue="1">
      <formula>LEN(TRIM(Y179))=0</formula>
    </cfRule>
  </conditionalFormatting>
  <conditionalFormatting sqref="Y183">
    <cfRule type="containsBlanks" dxfId="293" priority="353" stopIfTrue="1">
      <formula>LEN(TRIM(Y183))=0</formula>
    </cfRule>
  </conditionalFormatting>
  <conditionalFormatting sqref="Y54">
    <cfRule type="containsBlanks" dxfId="292" priority="295" stopIfTrue="1">
      <formula>LEN(TRIM(Y54))=0</formula>
    </cfRule>
  </conditionalFormatting>
  <conditionalFormatting sqref="Y187">
    <cfRule type="containsBlanks" dxfId="291" priority="351" stopIfTrue="1">
      <formula>LEN(TRIM(Y187))=0</formula>
    </cfRule>
  </conditionalFormatting>
  <conditionalFormatting sqref="Y185">
    <cfRule type="containsBlanks" dxfId="290" priority="350" stopIfTrue="1">
      <formula>LEN(TRIM(Y185))=0</formula>
    </cfRule>
  </conditionalFormatting>
  <conditionalFormatting sqref="Y251">
    <cfRule type="containsBlanks" dxfId="289" priority="349" stopIfTrue="1">
      <formula>LEN(TRIM(Y251))=0</formula>
    </cfRule>
  </conditionalFormatting>
  <conditionalFormatting sqref="Y191">
    <cfRule type="containsBlanks" dxfId="288" priority="348" stopIfTrue="1">
      <formula>LEN(TRIM(Y191))=0</formula>
    </cfRule>
  </conditionalFormatting>
  <conditionalFormatting sqref="Y195">
    <cfRule type="containsBlanks" dxfId="287" priority="347" stopIfTrue="1">
      <formula>LEN(TRIM(Y195))=0</formula>
    </cfRule>
  </conditionalFormatting>
  <conditionalFormatting sqref="Y197">
    <cfRule type="containsBlanks" dxfId="286" priority="346" stopIfTrue="1">
      <formula>LEN(TRIM(Y197))=0</formula>
    </cfRule>
  </conditionalFormatting>
  <conditionalFormatting sqref="Y209">
    <cfRule type="containsBlanks" dxfId="285" priority="345" stopIfTrue="1">
      <formula>LEN(TRIM(Y209))=0</formula>
    </cfRule>
  </conditionalFormatting>
  <conditionalFormatting sqref="Y215 Y213">
    <cfRule type="containsBlanks" dxfId="284" priority="344" stopIfTrue="1">
      <formula>LEN(TRIM(Y213))=0</formula>
    </cfRule>
  </conditionalFormatting>
  <conditionalFormatting sqref="Y221">
    <cfRule type="containsBlanks" dxfId="283" priority="343" stopIfTrue="1">
      <formula>LEN(TRIM(Y221))=0</formula>
    </cfRule>
  </conditionalFormatting>
  <conditionalFormatting sqref="Y225">
    <cfRule type="containsBlanks" dxfId="282" priority="342" stopIfTrue="1">
      <formula>LEN(TRIM(Y225))=0</formula>
    </cfRule>
  </conditionalFormatting>
  <conditionalFormatting sqref="Y227">
    <cfRule type="containsBlanks" dxfId="281" priority="341" stopIfTrue="1">
      <formula>LEN(TRIM(Y227))=0</formula>
    </cfRule>
  </conditionalFormatting>
  <conditionalFormatting sqref="Y229">
    <cfRule type="containsBlanks" dxfId="280" priority="340" stopIfTrue="1">
      <formula>LEN(TRIM(Y229))=0</formula>
    </cfRule>
  </conditionalFormatting>
  <conditionalFormatting sqref="Y219">
    <cfRule type="containsBlanks" dxfId="279" priority="339" stopIfTrue="1">
      <formula>LEN(TRIM(Y219))=0</formula>
    </cfRule>
  </conditionalFormatting>
  <conditionalFormatting sqref="Y235">
    <cfRule type="containsBlanks" dxfId="278" priority="338" stopIfTrue="1">
      <formula>LEN(TRIM(Y235))=0</formula>
    </cfRule>
  </conditionalFormatting>
  <conditionalFormatting sqref="Y42">
    <cfRule type="containsBlanks" dxfId="277" priority="297" stopIfTrue="1">
      <formula>LEN(TRIM(Y42))=0</formula>
    </cfRule>
  </conditionalFormatting>
  <conditionalFormatting sqref="Y141">
    <cfRule type="containsBlanks" dxfId="276" priority="336" stopIfTrue="1">
      <formula>LEN(TRIM(Y141))=0</formula>
    </cfRule>
  </conditionalFormatting>
  <conditionalFormatting sqref="Y171">
    <cfRule type="containsBlanks" dxfId="275" priority="335" stopIfTrue="1">
      <formula>LEN(TRIM(Y171))=0</formula>
    </cfRule>
  </conditionalFormatting>
  <conditionalFormatting sqref="Y131 Y117 Y129 Y123 Y121 Y119 Y127 Y125">
    <cfRule type="containsBlanks" dxfId="274" priority="334" stopIfTrue="1">
      <formula>LEN(TRIM(Y117))=0</formula>
    </cfRule>
  </conditionalFormatting>
  <conditionalFormatting sqref="Y133 Y137 Y135">
    <cfRule type="containsBlanks" dxfId="273" priority="333" stopIfTrue="1">
      <formula>LEN(TRIM(Y133))=0</formula>
    </cfRule>
  </conditionalFormatting>
  <conditionalFormatting sqref="Y152">
    <cfRule type="containsBlanks" dxfId="272" priority="332" stopIfTrue="1">
      <formula>LEN(TRIM(Y152))=0</formula>
    </cfRule>
  </conditionalFormatting>
  <conditionalFormatting sqref="Y154">
    <cfRule type="containsBlanks" dxfId="271" priority="331" stopIfTrue="1">
      <formula>LEN(TRIM(Y154))=0</formula>
    </cfRule>
  </conditionalFormatting>
  <conditionalFormatting sqref="Y145">
    <cfRule type="containsBlanks" dxfId="270" priority="330" stopIfTrue="1">
      <formula>LEN(TRIM(Y145))=0</formula>
    </cfRule>
  </conditionalFormatting>
  <conditionalFormatting sqref="Y156">
    <cfRule type="containsBlanks" dxfId="269" priority="329" stopIfTrue="1">
      <formula>LEN(TRIM(Y156))=0</formula>
    </cfRule>
  </conditionalFormatting>
  <conditionalFormatting sqref="Y158">
    <cfRule type="containsBlanks" dxfId="268" priority="328" stopIfTrue="1">
      <formula>LEN(TRIM(Y158))=0</formula>
    </cfRule>
  </conditionalFormatting>
  <conditionalFormatting sqref="Y160">
    <cfRule type="containsBlanks" dxfId="267" priority="327" stopIfTrue="1">
      <formula>LEN(TRIM(Y160))=0</formula>
    </cfRule>
  </conditionalFormatting>
  <conditionalFormatting sqref="Y162">
    <cfRule type="containsBlanks" dxfId="266" priority="326" stopIfTrue="1">
      <formula>LEN(TRIM(Y162))=0</formula>
    </cfRule>
  </conditionalFormatting>
  <conditionalFormatting sqref="Y165">
    <cfRule type="containsBlanks" dxfId="265" priority="325" stopIfTrue="1">
      <formula>LEN(TRIM(Y165))=0</formula>
    </cfRule>
  </conditionalFormatting>
  <conditionalFormatting sqref="Y28">
    <cfRule type="containsBlanks" dxfId="264" priority="324" stopIfTrue="1">
      <formula>LEN(TRIM(Y28))=0</formula>
    </cfRule>
  </conditionalFormatting>
  <conditionalFormatting sqref="Y30">
    <cfRule type="containsBlanks" dxfId="263" priority="323" stopIfTrue="1">
      <formula>LEN(TRIM(Y30))=0</formula>
    </cfRule>
  </conditionalFormatting>
  <conditionalFormatting sqref="Y34">
    <cfRule type="containsBlanks" dxfId="262" priority="322" stopIfTrue="1">
      <formula>LEN(TRIM(Y34))=0</formula>
    </cfRule>
  </conditionalFormatting>
  <conditionalFormatting sqref="Y32">
    <cfRule type="containsBlanks" dxfId="261" priority="321" stopIfTrue="1">
      <formula>LEN(TRIM(Y32))=0</formula>
    </cfRule>
  </conditionalFormatting>
  <conditionalFormatting sqref="Y36">
    <cfRule type="containsBlanks" dxfId="260" priority="320" stopIfTrue="1">
      <formula>LEN(TRIM(Y36))=0</formula>
    </cfRule>
  </conditionalFormatting>
  <conditionalFormatting sqref="Y22 Y20">
    <cfRule type="containsBlanks" dxfId="259" priority="319" stopIfTrue="1">
      <formula>LEN(TRIM(Y20))=0</formula>
    </cfRule>
  </conditionalFormatting>
  <conditionalFormatting sqref="Y24">
    <cfRule type="containsBlanks" dxfId="258" priority="318" stopIfTrue="1">
      <formula>LEN(TRIM(Y24))=0</formula>
    </cfRule>
  </conditionalFormatting>
  <conditionalFormatting sqref="Y64">
    <cfRule type="containsBlanks" dxfId="257" priority="317" stopIfTrue="1">
      <formula>LEN(TRIM(Y64))=0</formula>
    </cfRule>
  </conditionalFormatting>
  <conditionalFormatting sqref="Y66">
    <cfRule type="containsBlanks" dxfId="256" priority="316" stopIfTrue="1">
      <formula>LEN(TRIM(Y66))=0</formula>
    </cfRule>
  </conditionalFormatting>
  <conditionalFormatting sqref="Y68">
    <cfRule type="containsBlanks" dxfId="255" priority="315" stopIfTrue="1">
      <formula>LEN(TRIM(Y68))=0</formula>
    </cfRule>
  </conditionalFormatting>
  <conditionalFormatting sqref="Y82">
    <cfRule type="containsBlanks" dxfId="254" priority="313" stopIfTrue="1">
      <formula>LEN(TRIM(Y82))=0</formula>
    </cfRule>
  </conditionalFormatting>
  <conditionalFormatting sqref="Y275">
    <cfRule type="containsBlanks" dxfId="253" priority="311" stopIfTrue="1">
      <formula>LEN(TRIM(Y275))=0</formula>
    </cfRule>
  </conditionalFormatting>
  <conditionalFormatting sqref="Y285">
    <cfRule type="containsBlanks" dxfId="252" priority="310" stopIfTrue="1">
      <formula>LEN(TRIM(Y285))=0</formula>
    </cfRule>
  </conditionalFormatting>
  <conditionalFormatting sqref="Y6">
    <cfRule type="containsBlanks" dxfId="251" priority="309" stopIfTrue="1">
      <formula>LEN(TRIM(Y6))=0</formula>
    </cfRule>
  </conditionalFormatting>
  <conditionalFormatting sqref="Y76">
    <cfRule type="containsBlanks" dxfId="250" priority="308" stopIfTrue="1">
      <formula>LEN(TRIM(Y76))=0</formula>
    </cfRule>
  </conditionalFormatting>
  <conditionalFormatting sqref="Y86">
    <cfRule type="containsBlanks" dxfId="249" priority="306" stopIfTrue="1">
      <formula>LEN(TRIM(Y86))=0</formula>
    </cfRule>
  </conditionalFormatting>
  <conditionalFormatting sqref="Y8">
    <cfRule type="containsBlanks" dxfId="248" priority="305" stopIfTrue="1">
      <formula>LEN(TRIM(Y8))=0</formula>
    </cfRule>
  </conditionalFormatting>
  <conditionalFormatting sqref="Y281">
    <cfRule type="containsBlanks" dxfId="247" priority="304" stopIfTrue="1">
      <formula>LEN(TRIM(Y281))=0</formula>
    </cfRule>
  </conditionalFormatting>
  <conditionalFormatting sqref="Y271">
    <cfRule type="containsBlanks" dxfId="246" priority="303" stopIfTrue="1">
      <formula>LEN(TRIM(Y271))=0</formula>
    </cfRule>
  </conditionalFormatting>
  <conditionalFormatting sqref="Y345">
    <cfRule type="containsBlanks" dxfId="245" priority="302" stopIfTrue="1">
      <formula>LEN(TRIM(Y345))=0</formula>
    </cfRule>
  </conditionalFormatting>
  <conditionalFormatting sqref="Y38">
    <cfRule type="containsBlanks" dxfId="244" priority="301" stopIfTrue="1">
      <formula>LEN(TRIM(Y38))=0</formula>
    </cfRule>
  </conditionalFormatting>
  <conditionalFormatting sqref="Y40">
    <cfRule type="containsBlanks" dxfId="243" priority="300" stopIfTrue="1">
      <formula>LEN(TRIM(Y40))=0</formula>
    </cfRule>
  </conditionalFormatting>
  <conditionalFormatting sqref="Y56 Y50 Y48 Y44">
    <cfRule type="containsBlanks" dxfId="242" priority="299" stopIfTrue="1">
      <formula>LEN(TRIM(Y44))=0</formula>
    </cfRule>
  </conditionalFormatting>
  <conditionalFormatting sqref="Y46">
    <cfRule type="containsBlanks" dxfId="241" priority="298" stopIfTrue="1">
      <formula>LEN(TRIM(Y46))=0</formula>
    </cfRule>
  </conditionalFormatting>
  <conditionalFormatting sqref="Y52">
    <cfRule type="containsBlanks" dxfId="240" priority="296" stopIfTrue="1">
      <formula>LEN(TRIM(Y52))=0</formula>
    </cfRule>
  </conditionalFormatting>
  <conditionalFormatting sqref="Y58">
    <cfRule type="containsBlanks" dxfId="239" priority="294" stopIfTrue="1">
      <formula>LEN(TRIM(Y58))=0</formula>
    </cfRule>
  </conditionalFormatting>
  <conditionalFormatting sqref="Y60">
    <cfRule type="containsBlanks" dxfId="238" priority="293" stopIfTrue="1">
      <formula>LEN(TRIM(Y60))=0</formula>
    </cfRule>
  </conditionalFormatting>
  <conditionalFormatting sqref="Y12">
    <cfRule type="containsBlanks" dxfId="237" priority="291" stopIfTrue="1">
      <formula>LEN(TRIM(Y12))=0</formula>
    </cfRule>
  </conditionalFormatting>
  <conditionalFormatting sqref="Y10">
    <cfRule type="containsBlanks" dxfId="236" priority="290" stopIfTrue="1">
      <formula>LEN(TRIM(Y10))=0</formula>
    </cfRule>
  </conditionalFormatting>
  <conditionalFormatting sqref="Y4">
    <cfRule type="containsBlanks" dxfId="235" priority="289" stopIfTrue="1">
      <formula>LEN(TRIM(Y4))=0</formula>
    </cfRule>
  </conditionalFormatting>
  <conditionalFormatting sqref="Z255">
    <cfRule type="containsBlanks" dxfId="234" priority="285" stopIfTrue="1">
      <formula>LEN(TRIM(Z255))=0</formula>
    </cfRule>
  </conditionalFormatting>
  <conditionalFormatting sqref="N339:P339 K339:L339 B339:D339 S339:U339">
    <cfRule type="containsBlanks" dxfId="233" priority="283" stopIfTrue="1">
      <formula>LEN(TRIM(B339))=0</formula>
    </cfRule>
  </conditionalFormatting>
  <conditionalFormatting sqref="M339">
    <cfRule type="containsBlanks" dxfId="232" priority="282" stopIfTrue="1">
      <formula>LEN(TRIM(M339))=0</formula>
    </cfRule>
  </conditionalFormatting>
  <conditionalFormatting sqref="F339">
    <cfRule type="containsBlanks" dxfId="231" priority="280" stopIfTrue="1">
      <formula>LEN(TRIM(F339))=0</formula>
    </cfRule>
  </conditionalFormatting>
  <conditionalFormatting sqref="J339">
    <cfRule type="containsBlanks" dxfId="230" priority="279" stopIfTrue="1">
      <formula>LEN(TRIM(J339))=0</formula>
    </cfRule>
  </conditionalFormatting>
  <conditionalFormatting sqref="H339">
    <cfRule type="containsBlanks" dxfId="229" priority="278" stopIfTrue="1">
      <formula>LEN(TRIM(H339))=0</formula>
    </cfRule>
  </conditionalFormatting>
  <conditionalFormatting sqref="G339">
    <cfRule type="containsBlanks" dxfId="228" priority="277" stopIfTrue="1">
      <formula>LEN(TRIM(G339))=0</formula>
    </cfRule>
  </conditionalFormatting>
  <conditionalFormatting sqref="E339">
    <cfRule type="containsBlanks" dxfId="227" priority="276" stopIfTrue="1">
      <formula>LEN(TRIM(E339))=0</formula>
    </cfRule>
  </conditionalFormatting>
  <conditionalFormatting sqref="V339">
    <cfRule type="containsBlanks" dxfId="226" priority="274" stopIfTrue="1">
      <formula>LEN(TRIM(V339))=0</formula>
    </cfRule>
  </conditionalFormatting>
  <conditionalFormatting sqref="W20 W22">
    <cfRule type="containsBlanks" dxfId="225" priority="273" stopIfTrue="1">
      <formula>LEN(TRIM(W20))=0</formula>
    </cfRule>
  </conditionalFormatting>
  <conditionalFormatting sqref="W24">
    <cfRule type="containsBlanks" dxfId="224" priority="272" stopIfTrue="1">
      <formula>LEN(TRIM(W24))=0</formula>
    </cfRule>
  </conditionalFormatting>
  <conditionalFormatting sqref="W28">
    <cfRule type="containsBlanks" dxfId="223" priority="269" stopIfTrue="1">
      <formula>LEN(TRIM(W28))=0</formula>
    </cfRule>
  </conditionalFormatting>
  <conditionalFormatting sqref="W34">
    <cfRule type="containsBlanks" dxfId="222" priority="265" stopIfTrue="1">
      <formula>LEN(TRIM(W34))=0</formula>
    </cfRule>
  </conditionalFormatting>
  <conditionalFormatting sqref="W62">
    <cfRule type="containsBlanks" dxfId="221" priority="252" stopIfTrue="1">
      <formula>LEN(TRIM(W62))=0</formula>
    </cfRule>
  </conditionalFormatting>
  <conditionalFormatting sqref="W44 W48 W50 W56">
    <cfRule type="containsBlanks" dxfId="220" priority="251" stopIfTrue="1">
      <formula>LEN(TRIM(W44))=0</formula>
    </cfRule>
  </conditionalFormatting>
  <conditionalFormatting sqref="W46">
    <cfRule type="containsBlanks" dxfId="219" priority="250" stopIfTrue="1">
      <formula>LEN(TRIM(W46))=0</formula>
    </cfRule>
  </conditionalFormatting>
  <conditionalFormatting sqref="W42">
    <cfRule type="containsBlanks" dxfId="218" priority="249" stopIfTrue="1">
      <formula>LEN(TRIM(W42))=0</formula>
    </cfRule>
  </conditionalFormatting>
  <conditionalFormatting sqref="W52">
    <cfRule type="containsBlanks" dxfId="217" priority="248" stopIfTrue="1">
      <formula>LEN(TRIM(W52))=0</formula>
    </cfRule>
  </conditionalFormatting>
  <conditionalFormatting sqref="W54">
    <cfRule type="containsBlanks" dxfId="216" priority="247" stopIfTrue="1">
      <formula>LEN(TRIM(W54))=0</formula>
    </cfRule>
  </conditionalFormatting>
  <conditionalFormatting sqref="W58">
    <cfRule type="containsBlanks" dxfId="215" priority="246" stopIfTrue="1">
      <formula>LEN(TRIM(W58))=0</formula>
    </cfRule>
  </conditionalFormatting>
  <conditionalFormatting sqref="W60">
    <cfRule type="containsBlanks" dxfId="214" priority="245" stopIfTrue="1">
      <formula>LEN(TRIM(W60))=0</formula>
    </cfRule>
  </conditionalFormatting>
  <conditionalFormatting sqref="W70">
    <cfRule type="containsBlanks" dxfId="213" priority="241" stopIfTrue="1">
      <formula>LEN(TRIM(W70))=0</formula>
    </cfRule>
  </conditionalFormatting>
  <conditionalFormatting sqref="W253">
    <cfRule type="containsBlanks" dxfId="212" priority="240" stopIfTrue="1">
      <formula>LEN(TRIM(W253))=0</formula>
    </cfRule>
  </conditionalFormatting>
  <conditionalFormatting sqref="W337">
    <cfRule type="containsBlanks" dxfId="211" priority="239" stopIfTrue="1">
      <formula>LEN(TRIM(W337))=0</formula>
    </cfRule>
  </conditionalFormatting>
  <conditionalFormatting sqref="W105">
    <cfRule type="containsBlanks" dxfId="210" priority="230" stopIfTrue="1">
      <formula>LEN(TRIM(W105))=0</formula>
    </cfRule>
  </conditionalFormatting>
  <conditionalFormatting sqref="W103">
    <cfRule type="containsBlanks" dxfId="209" priority="229" stopIfTrue="1">
      <formula>LEN(TRIM(W103))=0</formula>
    </cfRule>
  </conditionalFormatting>
  <conditionalFormatting sqref="W111">
    <cfRule type="containsBlanks" dxfId="208" priority="224" stopIfTrue="1">
      <formula>LEN(TRIM(W111))=0</formula>
    </cfRule>
  </conditionalFormatting>
  <conditionalFormatting sqref="W154">
    <cfRule type="containsBlanks" dxfId="207" priority="218" stopIfTrue="1">
      <formula>LEN(TRIM(W154))=0</formula>
    </cfRule>
  </conditionalFormatting>
  <conditionalFormatting sqref="W160">
    <cfRule type="containsBlanks" dxfId="206" priority="213" stopIfTrue="1">
      <formula>LEN(TRIM(W160))=0</formula>
    </cfRule>
  </conditionalFormatting>
  <conditionalFormatting sqref="W162 W165">
    <cfRule type="containsBlanks" dxfId="205" priority="212" stopIfTrue="1">
      <formula>LEN(TRIM(W162))=0</formula>
    </cfRule>
  </conditionalFormatting>
  <conditionalFormatting sqref="W179">
    <cfRule type="containsBlanks" dxfId="204" priority="208" stopIfTrue="1">
      <formula>LEN(TRIM(W179))=0</formula>
    </cfRule>
  </conditionalFormatting>
  <conditionalFormatting sqref="W181">
    <cfRule type="containsBlanks" dxfId="203" priority="207" stopIfTrue="1">
      <formula>LEN(TRIM(W181))=0</formula>
    </cfRule>
  </conditionalFormatting>
  <conditionalFormatting sqref="W183">
    <cfRule type="containsBlanks" dxfId="202" priority="206" stopIfTrue="1">
      <formula>LEN(TRIM(W183))=0</formula>
    </cfRule>
  </conditionalFormatting>
  <conditionalFormatting sqref="W187">
    <cfRule type="containsBlanks" dxfId="201" priority="204" stopIfTrue="1">
      <formula>LEN(TRIM(W187))=0</formula>
    </cfRule>
  </conditionalFormatting>
  <conditionalFormatting sqref="W185">
    <cfRule type="containsBlanks" dxfId="200" priority="203" stopIfTrue="1">
      <formula>LEN(TRIM(W185))=0</formula>
    </cfRule>
  </conditionalFormatting>
  <conditionalFormatting sqref="W191">
    <cfRule type="containsBlanks" dxfId="199" priority="202" stopIfTrue="1">
      <formula>LEN(TRIM(W191))=0</formula>
    </cfRule>
  </conditionalFormatting>
  <conditionalFormatting sqref="W193">
    <cfRule type="containsBlanks" dxfId="198" priority="201" stopIfTrue="1">
      <formula>LEN(TRIM(W193))=0</formula>
    </cfRule>
  </conditionalFormatting>
  <conditionalFormatting sqref="W197 W195">
    <cfRule type="containsBlanks" dxfId="197" priority="200" stopIfTrue="1">
      <formula>LEN(TRIM(W195))=0</formula>
    </cfRule>
  </conditionalFormatting>
  <conditionalFormatting sqref="W199">
    <cfRule type="containsBlanks" dxfId="196" priority="199" stopIfTrue="1">
      <formula>LEN(TRIM(W199))=0</formula>
    </cfRule>
  </conditionalFormatting>
  <conditionalFormatting sqref="W203">
    <cfRule type="containsBlanks" dxfId="195" priority="198" stopIfTrue="1">
      <formula>LEN(TRIM(W203))=0</formula>
    </cfRule>
  </conditionalFormatting>
  <conditionalFormatting sqref="W205">
    <cfRule type="containsBlanks" dxfId="194" priority="197" stopIfTrue="1">
      <formula>LEN(TRIM(W205))=0</formula>
    </cfRule>
  </conditionalFormatting>
  <conditionalFormatting sqref="W201">
    <cfRule type="containsBlanks" dxfId="193" priority="196" stopIfTrue="1">
      <formula>LEN(TRIM(W201))=0</formula>
    </cfRule>
  </conditionalFormatting>
  <conditionalFormatting sqref="W209">
    <cfRule type="containsBlanks" dxfId="192" priority="195" stopIfTrue="1">
      <formula>LEN(TRIM(W209))=0</formula>
    </cfRule>
  </conditionalFormatting>
  <conditionalFormatting sqref="W211">
    <cfRule type="containsBlanks" dxfId="191" priority="194" stopIfTrue="1">
      <formula>LEN(TRIM(W211))=0</formula>
    </cfRule>
  </conditionalFormatting>
  <conditionalFormatting sqref="W213 W215">
    <cfRule type="containsBlanks" dxfId="190" priority="193" stopIfTrue="1">
      <formula>LEN(TRIM(W213))=0</formula>
    </cfRule>
  </conditionalFormatting>
  <conditionalFormatting sqref="W219">
    <cfRule type="containsBlanks" dxfId="189" priority="192" stopIfTrue="1">
      <formula>LEN(TRIM(W219))=0</formula>
    </cfRule>
  </conditionalFormatting>
  <conditionalFormatting sqref="W221">
    <cfRule type="containsBlanks" dxfId="188" priority="191" stopIfTrue="1">
      <formula>LEN(TRIM(W221))=0</formula>
    </cfRule>
  </conditionalFormatting>
  <conditionalFormatting sqref="W231">
    <cfRule type="containsBlanks" dxfId="187" priority="190" stopIfTrue="1">
      <formula>LEN(TRIM(W231))=0</formula>
    </cfRule>
  </conditionalFormatting>
  <conditionalFormatting sqref="W223">
    <cfRule type="containsBlanks" dxfId="186" priority="189" stopIfTrue="1">
      <formula>LEN(TRIM(W223))=0</formula>
    </cfRule>
  </conditionalFormatting>
  <conditionalFormatting sqref="W225">
    <cfRule type="containsBlanks" dxfId="185" priority="188" stopIfTrue="1">
      <formula>LEN(TRIM(W225))=0</formula>
    </cfRule>
  </conditionalFormatting>
  <conditionalFormatting sqref="W227">
    <cfRule type="containsBlanks" dxfId="184" priority="187" stopIfTrue="1">
      <formula>LEN(TRIM(W227))=0</formula>
    </cfRule>
  </conditionalFormatting>
  <conditionalFormatting sqref="W229">
    <cfRule type="containsBlanks" dxfId="183" priority="186" stopIfTrue="1">
      <formula>LEN(TRIM(W229))=0</formula>
    </cfRule>
  </conditionalFormatting>
  <conditionalFormatting sqref="W235">
    <cfRule type="containsBlanks" dxfId="182" priority="185" stopIfTrue="1">
      <formula>LEN(TRIM(W235))=0</formula>
    </cfRule>
  </conditionalFormatting>
  <conditionalFormatting sqref="W237">
    <cfRule type="containsBlanks" dxfId="181" priority="184" stopIfTrue="1">
      <formula>LEN(TRIM(W237))=0</formula>
    </cfRule>
  </conditionalFormatting>
  <conditionalFormatting sqref="W241">
    <cfRule type="containsBlanks" dxfId="180" priority="183" stopIfTrue="1">
      <formula>LEN(TRIM(W241))=0</formula>
    </cfRule>
  </conditionalFormatting>
  <conditionalFormatting sqref="W243">
    <cfRule type="containsBlanks" dxfId="179" priority="181" stopIfTrue="1">
      <formula>LEN(TRIM(W243))=0</formula>
    </cfRule>
  </conditionalFormatting>
  <conditionalFormatting sqref="W249">
    <cfRule type="containsBlanks" dxfId="178" priority="180" stopIfTrue="1">
      <formula>LEN(TRIM(W249))=0</formula>
    </cfRule>
  </conditionalFormatting>
  <conditionalFormatting sqref="W66">
    <cfRule type="containsBlanks" dxfId="177" priority="178" stopIfTrue="1">
      <formula>LEN(TRIM(W66))=0</formula>
    </cfRule>
  </conditionalFormatting>
  <conditionalFormatting sqref="W64">
    <cfRule type="containsBlanks" dxfId="176" priority="177" stopIfTrue="1">
      <formula>LEN(TRIM(W64))=0</formula>
    </cfRule>
  </conditionalFormatting>
  <conditionalFormatting sqref="W72">
    <cfRule type="containsBlanks" dxfId="175" priority="176" stopIfTrue="1">
      <formula>LEN(TRIM(W72))=0</formula>
    </cfRule>
  </conditionalFormatting>
  <conditionalFormatting sqref="W74">
    <cfRule type="containsBlanks" dxfId="174" priority="175" stopIfTrue="1">
      <formula>LEN(TRIM(W74))=0</formula>
    </cfRule>
  </conditionalFormatting>
  <conditionalFormatting sqref="W76">
    <cfRule type="containsBlanks" dxfId="173" priority="174" stopIfTrue="1">
      <formula>LEN(TRIM(W76))=0</formula>
    </cfRule>
  </conditionalFormatting>
  <conditionalFormatting sqref="W82">
    <cfRule type="containsBlanks" dxfId="172" priority="173" stopIfTrue="1">
      <formula>LEN(TRIM(W82))=0</formula>
    </cfRule>
  </conditionalFormatting>
  <conditionalFormatting sqref="W86">
    <cfRule type="containsBlanks" dxfId="171" priority="171" stopIfTrue="1">
      <formula>LEN(TRIM(W86))=0</formula>
    </cfRule>
  </conditionalFormatting>
  <conditionalFormatting sqref="W275">
    <cfRule type="containsBlanks" dxfId="170" priority="170" stopIfTrue="1">
      <formula>LEN(TRIM(W275))=0</formula>
    </cfRule>
  </conditionalFormatting>
  <conditionalFormatting sqref="W285 W281">
    <cfRule type="containsBlanks" dxfId="169" priority="169" stopIfTrue="1">
      <formula>LEN(TRIM(W281))=0</formula>
    </cfRule>
  </conditionalFormatting>
  <conditionalFormatting sqref="W339">
    <cfRule type="containsBlanks" dxfId="168" priority="168" stopIfTrue="1">
      <formula>LEN(TRIM(W339))=0</formula>
    </cfRule>
  </conditionalFormatting>
  <conditionalFormatting sqref="W341">
    <cfRule type="containsBlanks" dxfId="167" priority="167" stopIfTrue="1">
      <formula>LEN(TRIM(W341))=0</formula>
    </cfRule>
  </conditionalFormatting>
  <conditionalFormatting sqref="W345">
    <cfRule type="containsBlanks" dxfId="166" priority="166" stopIfTrue="1">
      <formula>LEN(TRIM(W345))=0</formula>
    </cfRule>
  </conditionalFormatting>
  <conditionalFormatting sqref="W12">
    <cfRule type="containsBlanks" dxfId="165" priority="164" stopIfTrue="1">
      <formula>LEN(TRIM(W12))=0</formula>
    </cfRule>
  </conditionalFormatting>
  <conditionalFormatting sqref="W10">
    <cfRule type="containsBlanks" dxfId="164" priority="163" stopIfTrue="1">
      <formula>LEN(TRIM(W10))=0</formula>
    </cfRule>
  </conditionalFormatting>
  <conditionalFormatting sqref="X30">
    <cfRule type="containsBlanks" dxfId="163" priority="138" stopIfTrue="1">
      <formula>LEN(TRIM(X30))=0</formula>
    </cfRule>
  </conditionalFormatting>
  <conditionalFormatting sqref="W245">
    <cfRule type="containsBlanks" dxfId="162" priority="159" stopIfTrue="1">
      <formula>LEN(TRIM(W245))=0</formula>
    </cfRule>
  </conditionalFormatting>
  <conditionalFormatting sqref="Z245">
    <cfRule type="containsBlanks" dxfId="161" priority="158" stopIfTrue="1">
      <formula>LEN(TRIM(Z245))=0</formula>
    </cfRule>
  </conditionalFormatting>
  <conditionalFormatting sqref="X4">
    <cfRule type="containsBlanks" dxfId="160" priority="156" stopIfTrue="1">
      <formula>LEN(TRIM(X4))=0</formula>
    </cfRule>
  </conditionalFormatting>
  <conditionalFormatting sqref="X6">
    <cfRule type="containsBlanks" dxfId="159" priority="153" stopIfTrue="1">
      <formula>LEN(TRIM(X6))=0</formula>
    </cfRule>
  </conditionalFormatting>
  <conditionalFormatting sqref="X8">
    <cfRule type="containsBlanks" dxfId="158" priority="152" stopIfTrue="1">
      <formula>LEN(TRIM(X8))=0</formula>
    </cfRule>
  </conditionalFormatting>
  <conditionalFormatting sqref="X10">
    <cfRule type="containsBlanks" dxfId="157" priority="151" stopIfTrue="1">
      <formula>LEN(TRIM(X10))=0</formula>
    </cfRule>
  </conditionalFormatting>
  <conditionalFormatting sqref="X12">
    <cfRule type="containsBlanks" dxfId="156" priority="150" stopIfTrue="1">
      <formula>LEN(TRIM(X12))=0</formula>
    </cfRule>
  </conditionalFormatting>
  <conditionalFormatting sqref="X14">
    <cfRule type="containsBlanks" dxfId="155" priority="147" stopIfTrue="1">
      <formula>LEN(TRIM(X14))=0</formula>
    </cfRule>
  </conditionalFormatting>
  <conditionalFormatting sqref="Y16">
    <cfRule type="containsBlanks" dxfId="154" priority="146" stopIfTrue="1">
      <formula>LEN(TRIM(Y16))=0</formula>
    </cfRule>
  </conditionalFormatting>
  <conditionalFormatting sqref="X16">
    <cfRule type="containsBlanks" dxfId="153" priority="144" stopIfTrue="1">
      <formula>LEN(TRIM(X16))=0</formula>
    </cfRule>
  </conditionalFormatting>
  <conditionalFormatting sqref="X20">
    <cfRule type="containsBlanks" dxfId="152" priority="143" stopIfTrue="1">
      <formula>LEN(TRIM(X20))=0</formula>
    </cfRule>
  </conditionalFormatting>
  <conditionalFormatting sqref="X22">
    <cfRule type="containsBlanks" dxfId="151" priority="142" stopIfTrue="1">
      <formula>LEN(TRIM(X22))=0</formula>
    </cfRule>
  </conditionalFormatting>
  <conditionalFormatting sqref="X24">
    <cfRule type="containsBlanks" dxfId="150" priority="141" stopIfTrue="1">
      <formula>LEN(TRIM(X24))=0</formula>
    </cfRule>
  </conditionalFormatting>
  <conditionalFormatting sqref="X26">
    <cfRule type="containsBlanks" dxfId="149" priority="140" stopIfTrue="1">
      <formula>LEN(TRIM(X26))=0</formula>
    </cfRule>
  </conditionalFormatting>
  <conditionalFormatting sqref="X28">
    <cfRule type="containsBlanks" dxfId="148" priority="139" stopIfTrue="1">
      <formula>LEN(TRIM(X28))=0</formula>
    </cfRule>
  </conditionalFormatting>
  <conditionalFormatting sqref="X32">
    <cfRule type="containsBlanks" dxfId="147" priority="137" stopIfTrue="1">
      <formula>LEN(TRIM(X32))=0</formula>
    </cfRule>
  </conditionalFormatting>
  <conditionalFormatting sqref="X34">
    <cfRule type="containsBlanks" dxfId="146" priority="136" stopIfTrue="1">
      <formula>LEN(TRIM(X34))=0</formula>
    </cfRule>
  </conditionalFormatting>
  <conditionalFormatting sqref="X36">
    <cfRule type="containsBlanks" dxfId="145" priority="135" stopIfTrue="1">
      <formula>LEN(TRIM(X36))=0</formula>
    </cfRule>
  </conditionalFormatting>
  <conditionalFormatting sqref="X38">
    <cfRule type="containsBlanks" dxfId="144" priority="134" stopIfTrue="1">
      <formula>LEN(TRIM(X38))=0</formula>
    </cfRule>
  </conditionalFormatting>
  <conditionalFormatting sqref="X40">
    <cfRule type="containsBlanks" dxfId="143" priority="133" stopIfTrue="1">
      <formula>LEN(TRIM(X40))=0</formula>
    </cfRule>
  </conditionalFormatting>
  <conditionalFormatting sqref="X42">
    <cfRule type="containsBlanks" dxfId="142" priority="132" stopIfTrue="1">
      <formula>LEN(TRIM(X42))=0</formula>
    </cfRule>
  </conditionalFormatting>
  <conditionalFormatting sqref="X44">
    <cfRule type="containsBlanks" dxfId="141" priority="131" stopIfTrue="1">
      <formula>LEN(TRIM(X44))=0</formula>
    </cfRule>
  </conditionalFormatting>
  <conditionalFormatting sqref="X46">
    <cfRule type="containsBlanks" dxfId="140" priority="130" stopIfTrue="1">
      <formula>LEN(TRIM(X46))=0</formula>
    </cfRule>
  </conditionalFormatting>
  <conditionalFormatting sqref="X48">
    <cfRule type="containsBlanks" dxfId="139" priority="129" stopIfTrue="1">
      <formula>LEN(TRIM(X48))=0</formula>
    </cfRule>
  </conditionalFormatting>
  <conditionalFormatting sqref="X50">
    <cfRule type="containsBlanks" dxfId="138" priority="128" stopIfTrue="1">
      <formula>LEN(TRIM(X50))=0</formula>
    </cfRule>
  </conditionalFormatting>
  <conditionalFormatting sqref="X52">
    <cfRule type="containsBlanks" dxfId="137" priority="127" stopIfTrue="1">
      <formula>LEN(TRIM(X52))=0</formula>
    </cfRule>
  </conditionalFormatting>
  <conditionalFormatting sqref="X54">
    <cfRule type="containsBlanks" dxfId="136" priority="126" stopIfTrue="1">
      <formula>LEN(TRIM(X54))=0</formula>
    </cfRule>
  </conditionalFormatting>
  <conditionalFormatting sqref="X56">
    <cfRule type="containsBlanks" dxfId="135" priority="125" stopIfTrue="1">
      <formula>LEN(TRIM(X56))=0</formula>
    </cfRule>
  </conditionalFormatting>
  <conditionalFormatting sqref="X58">
    <cfRule type="containsBlanks" dxfId="134" priority="124" stopIfTrue="1">
      <formula>LEN(TRIM(X58))=0</formula>
    </cfRule>
  </conditionalFormatting>
  <conditionalFormatting sqref="X60">
    <cfRule type="containsBlanks" dxfId="133" priority="123" stopIfTrue="1">
      <formula>LEN(TRIM(X60))=0</formula>
    </cfRule>
  </conditionalFormatting>
  <conditionalFormatting sqref="X64">
    <cfRule type="containsBlanks" dxfId="132" priority="122" stopIfTrue="1">
      <formula>LEN(TRIM(X64))=0</formula>
    </cfRule>
  </conditionalFormatting>
  <conditionalFormatting sqref="X66">
    <cfRule type="containsBlanks" dxfId="131" priority="121" stopIfTrue="1">
      <formula>LEN(TRIM(X66))=0</formula>
    </cfRule>
  </conditionalFormatting>
  <conditionalFormatting sqref="X68">
    <cfRule type="containsBlanks" dxfId="130" priority="120" stopIfTrue="1">
      <formula>LEN(TRIM(X68))=0</formula>
    </cfRule>
  </conditionalFormatting>
  <conditionalFormatting sqref="X70">
    <cfRule type="containsBlanks" dxfId="129" priority="118" stopIfTrue="1">
      <formula>LEN(TRIM(X70))=0</formula>
    </cfRule>
  </conditionalFormatting>
  <conditionalFormatting sqref="X72">
    <cfRule type="containsBlanks" dxfId="128" priority="117" stopIfTrue="1">
      <formula>LEN(TRIM(X72))=0</formula>
    </cfRule>
  </conditionalFormatting>
  <conditionalFormatting sqref="X74">
    <cfRule type="containsBlanks" dxfId="127" priority="116" stopIfTrue="1">
      <formula>LEN(TRIM(X74))=0</formula>
    </cfRule>
  </conditionalFormatting>
  <conditionalFormatting sqref="X76">
    <cfRule type="containsBlanks" dxfId="126" priority="115" stopIfTrue="1">
      <formula>LEN(TRIM(X76))=0</formula>
    </cfRule>
  </conditionalFormatting>
  <conditionalFormatting sqref="X78">
    <cfRule type="containsBlanks" dxfId="125" priority="114" stopIfTrue="1">
      <formula>LEN(TRIM(X78))=0</formula>
    </cfRule>
  </conditionalFormatting>
  <conditionalFormatting sqref="Y78">
    <cfRule type="containsBlanks" dxfId="124" priority="113" stopIfTrue="1">
      <formula>LEN(TRIM(Y78))=0</formula>
    </cfRule>
  </conditionalFormatting>
  <conditionalFormatting sqref="W78">
    <cfRule type="containsBlanks" dxfId="123" priority="112" stopIfTrue="1">
      <formula>LEN(TRIM(W78))=0</formula>
    </cfRule>
  </conditionalFormatting>
  <conditionalFormatting sqref="Z78">
    <cfRule type="containsBlanks" dxfId="122" priority="111" stopIfTrue="1">
      <formula>LEN(TRIM(Z78))=0</formula>
    </cfRule>
  </conditionalFormatting>
  <conditionalFormatting sqref="X82">
    <cfRule type="containsBlanks" dxfId="121" priority="110" stopIfTrue="1">
      <formula>LEN(TRIM(X82))=0</formula>
    </cfRule>
  </conditionalFormatting>
  <conditionalFormatting sqref="X84">
    <cfRule type="containsBlanks" dxfId="120" priority="109" stopIfTrue="1">
      <formula>LEN(TRIM(X84))=0</formula>
    </cfRule>
  </conditionalFormatting>
  <conditionalFormatting sqref="Y84">
    <cfRule type="containsBlanks" dxfId="119" priority="108" stopIfTrue="1">
      <formula>LEN(TRIM(Y84))=0</formula>
    </cfRule>
  </conditionalFormatting>
  <conditionalFormatting sqref="W84">
    <cfRule type="containsBlanks" dxfId="118" priority="107" stopIfTrue="1">
      <formula>LEN(TRIM(W84))=0</formula>
    </cfRule>
  </conditionalFormatting>
  <conditionalFormatting sqref="Z84">
    <cfRule type="containsBlanks" dxfId="117" priority="106" stopIfTrue="1">
      <formula>LEN(TRIM(Z84))=0</formula>
    </cfRule>
  </conditionalFormatting>
  <conditionalFormatting sqref="V84">
    <cfRule type="containsBlanks" dxfId="116" priority="105" stopIfTrue="1">
      <formula>LEN(TRIM(V84))=0</formula>
    </cfRule>
  </conditionalFormatting>
  <conditionalFormatting sqref="X86">
    <cfRule type="containsBlanks" dxfId="115" priority="104" stopIfTrue="1">
      <formula>LEN(TRIM(X86))=0</formula>
    </cfRule>
  </conditionalFormatting>
  <conditionalFormatting sqref="X93">
    <cfRule type="containsBlanks" dxfId="114" priority="103" stopIfTrue="1">
      <formula>LEN(TRIM(X93))=0</formula>
    </cfRule>
  </conditionalFormatting>
  <conditionalFormatting sqref="X95">
    <cfRule type="containsBlanks" dxfId="113" priority="102" stopIfTrue="1">
      <formula>LEN(TRIM(X95))=0</formula>
    </cfRule>
  </conditionalFormatting>
  <conditionalFormatting sqref="X103">
    <cfRule type="containsBlanks" dxfId="112" priority="101" stopIfTrue="1">
      <formula>LEN(TRIM(X103))=0</formula>
    </cfRule>
  </conditionalFormatting>
  <conditionalFormatting sqref="X101">
    <cfRule type="containsBlanks" dxfId="111" priority="100" stopIfTrue="1">
      <formula>LEN(TRIM(X101))=0</formula>
    </cfRule>
  </conditionalFormatting>
  <conditionalFormatting sqref="X97">
    <cfRule type="containsBlanks" dxfId="110" priority="99" stopIfTrue="1">
      <formula>LEN(TRIM(X97))=0</formula>
    </cfRule>
  </conditionalFormatting>
  <conditionalFormatting sqref="X99">
    <cfRule type="containsBlanks" dxfId="109" priority="98" stopIfTrue="1">
      <formula>LEN(TRIM(X99))=0</formula>
    </cfRule>
  </conditionalFormatting>
  <conditionalFormatting sqref="X105">
    <cfRule type="containsBlanks" dxfId="108" priority="97" stopIfTrue="1">
      <formula>LEN(TRIM(X105))=0</formula>
    </cfRule>
  </conditionalFormatting>
  <conditionalFormatting sqref="X107">
    <cfRule type="containsBlanks" dxfId="107" priority="96" stopIfTrue="1">
      <formula>LEN(TRIM(X107))=0</formula>
    </cfRule>
  </conditionalFormatting>
  <conditionalFormatting sqref="W109">
    <cfRule type="containsBlanks" dxfId="106" priority="95" stopIfTrue="1">
      <formula>LEN(TRIM(W109))=0</formula>
    </cfRule>
  </conditionalFormatting>
  <conditionalFormatting sqref="Z109">
    <cfRule type="containsBlanks" dxfId="105" priority="94" stopIfTrue="1">
      <formula>LEN(TRIM(Z109))=0</formula>
    </cfRule>
  </conditionalFormatting>
  <conditionalFormatting sqref="X111">
    <cfRule type="containsBlanks" dxfId="104" priority="93" stopIfTrue="1">
      <formula>LEN(TRIM(X111))=0</formula>
    </cfRule>
  </conditionalFormatting>
  <conditionalFormatting sqref="Y139">
    <cfRule type="containsBlanks" dxfId="103" priority="92" stopIfTrue="1">
      <formula>LEN(TRIM(Y139))=0</formula>
    </cfRule>
  </conditionalFormatting>
  <conditionalFormatting sqref="X171">
    <cfRule type="containsBlanks" dxfId="102" priority="91" stopIfTrue="1">
      <formula>LEN(TRIM(X171))=0</formula>
    </cfRule>
  </conditionalFormatting>
  <conditionalFormatting sqref="X141">
    <cfRule type="containsBlanks" dxfId="101" priority="90" stopIfTrue="1">
      <formula>LEN(TRIM(X141))=0</formula>
    </cfRule>
  </conditionalFormatting>
  <conditionalFormatting sqref="X131 X117 X129 X123 X121 X119 X127 X125">
    <cfRule type="containsBlanks" dxfId="100" priority="89" stopIfTrue="1">
      <formula>LEN(TRIM(X117))=0</formula>
    </cfRule>
  </conditionalFormatting>
  <conditionalFormatting sqref="X133 X137 X135">
    <cfRule type="containsBlanks" dxfId="99" priority="88" stopIfTrue="1">
      <formula>LEN(TRIM(X133))=0</formula>
    </cfRule>
  </conditionalFormatting>
  <conditionalFormatting sqref="X139">
    <cfRule type="containsBlanks" dxfId="98" priority="87" stopIfTrue="1">
      <formula>LEN(TRIM(X139))=0</formula>
    </cfRule>
  </conditionalFormatting>
  <conditionalFormatting sqref="X152">
    <cfRule type="containsBlanks" dxfId="97" priority="86" stopIfTrue="1">
      <formula>LEN(TRIM(X152))=0</formula>
    </cfRule>
  </conditionalFormatting>
  <conditionalFormatting sqref="X154">
    <cfRule type="containsBlanks" dxfId="96" priority="85" stopIfTrue="1">
      <formula>LEN(TRIM(X154))=0</formula>
    </cfRule>
  </conditionalFormatting>
  <conditionalFormatting sqref="X145">
    <cfRule type="containsBlanks" dxfId="95" priority="84" stopIfTrue="1">
      <formula>LEN(TRIM(X145))=0</formula>
    </cfRule>
  </conditionalFormatting>
  <conditionalFormatting sqref="X156">
    <cfRule type="containsBlanks" dxfId="94" priority="83" stopIfTrue="1">
      <formula>LEN(TRIM(X156))=0</formula>
    </cfRule>
  </conditionalFormatting>
  <conditionalFormatting sqref="X158">
    <cfRule type="containsBlanks" dxfId="93" priority="82" stopIfTrue="1">
      <formula>LEN(TRIM(X158))=0</formula>
    </cfRule>
  </conditionalFormatting>
  <conditionalFormatting sqref="X160">
    <cfRule type="containsBlanks" dxfId="92" priority="81" stopIfTrue="1">
      <formula>LEN(TRIM(X160))=0</formula>
    </cfRule>
  </conditionalFormatting>
  <conditionalFormatting sqref="X162">
    <cfRule type="containsBlanks" dxfId="91" priority="80" stopIfTrue="1">
      <formula>LEN(TRIM(X162))=0</formula>
    </cfRule>
  </conditionalFormatting>
  <conditionalFormatting sqref="X165">
    <cfRule type="containsBlanks" dxfId="90" priority="79" stopIfTrue="1">
      <formula>LEN(TRIM(X165))=0</formula>
    </cfRule>
  </conditionalFormatting>
  <conditionalFormatting sqref="X179">
    <cfRule type="containsBlanks" dxfId="89" priority="78" stopIfTrue="1">
      <formula>LEN(TRIM(X179))=0</formula>
    </cfRule>
  </conditionalFormatting>
  <conditionalFormatting sqref="X181">
    <cfRule type="containsBlanks" dxfId="88" priority="77" stopIfTrue="1">
      <formula>LEN(TRIM(X181))=0</formula>
    </cfRule>
  </conditionalFormatting>
  <conditionalFormatting sqref="X183">
    <cfRule type="containsBlanks" dxfId="87" priority="76" stopIfTrue="1">
      <formula>LEN(TRIM(X183))=0</formula>
    </cfRule>
  </conditionalFormatting>
  <conditionalFormatting sqref="X275">
    <cfRule type="containsBlanks" dxfId="86" priority="14" stopIfTrue="1">
      <formula>LEN(TRIM(X275))=0</formula>
    </cfRule>
  </conditionalFormatting>
  <conditionalFormatting sqref="X187">
    <cfRule type="containsBlanks" dxfId="85" priority="74" stopIfTrue="1">
      <formula>LEN(TRIM(X187))=0</formula>
    </cfRule>
  </conditionalFormatting>
  <conditionalFormatting sqref="X185">
    <cfRule type="containsBlanks" dxfId="84" priority="73" stopIfTrue="1">
      <formula>LEN(TRIM(X185))=0</formula>
    </cfRule>
  </conditionalFormatting>
  <conditionalFormatting sqref="X285">
    <cfRule type="containsBlanks" dxfId="83" priority="13" stopIfTrue="1">
      <formula>LEN(TRIM(X285))=0</formula>
    </cfRule>
  </conditionalFormatting>
  <conditionalFormatting sqref="X189">
    <cfRule type="containsBlanks" dxfId="82" priority="70" stopIfTrue="1">
      <formula>LEN(TRIM(X189))=0</formula>
    </cfRule>
  </conditionalFormatting>
  <conditionalFormatting sqref="Y189">
    <cfRule type="containsBlanks" dxfId="81" priority="68" stopIfTrue="1">
      <formula>LEN(TRIM(Y189))=0</formula>
    </cfRule>
  </conditionalFormatting>
  <conditionalFormatting sqref="W189">
    <cfRule type="containsBlanks" dxfId="80" priority="67" stopIfTrue="1">
      <formula>LEN(TRIM(W189))=0</formula>
    </cfRule>
  </conditionalFormatting>
  <conditionalFormatting sqref="X191">
    <cfRule type="containsBlanks" dxfId="79" priority="66" stopIfTrue="1">
      <formula>LEN(TRIM(X191))=0</formula>
    </cfRule>
  </conditionalFormatting>
  <conditionalFormatting sqref="Z189">
    <cfRule type="containsBlanks" dxfId="78" priority="65" stopIfTrue="1">
      <formula>LEN(TRIM(Z189))=0</formula>
    </cfRule>
  </conditionalFormatting>
  <conditionalFormatting sqref="V189">
    <cfRule type="containsBlanks" dxfId="77" priority="64" stopIfTrue="1">
      <formula>LEN(TRIM(V189))=0</formula>
    </cfRule>
  </conditionalFormatting>
  <conditionalFormatting sqref="X195">
    <cfRule type="containsBlanks" dxfId="76" priority="63" stopIfTrue="1">
      <formula>LEN(TRIM(X195))=0</formula>
    </cfRule>
  </conditionalFormatting>
  <conditionalFormatting sqref="X199">
    <cfRule type="containsBlanks" dxfId="75" priority="62" stopIfTrue="1">
      <formula>LEN(TRIM(X199))=0</formula>
    </cfRule>
  </conditionalFormatting>
  <conditionalFormatting sqref="X197">
    <cfRule type="containsBlanks" dxfId="74" priority="61" stopIfTrue="1">
      <formula>LEN(TRIM(X197))=0</formula>
    </cfRule>
  </conditionalFormatting>
  <conditionalFormatting sqref="X201">
    <cfRule type="containsBlanks" dxfId="73" priority="60" stopIfTrue="1">
      <formula>LEN(TRIM(X201))=0</formula>
    </cfRule>
  </conditionalFormatting>
  <conditionalFormatting sqref="X203">
    <cfRule type="containsBlanks" dxfId="72" priority="59" stopIfTrue="1">
      <formula>LEN(TRIM(X203))=0</formula>
    </cfRule>
  </conditionalFormatting>
  <conditionalFormatting sqref="X205">
    <cfRule type="containsBlanks" dxfId="71" priority="58" stopIfTrue="1">
      <formula>LEN(TRIM(X205))=0</formula>
    </cfRule>
  </conditionalFormatting>
  <conditionalFormatting sqref="X281">
    <cfRule type="containsBlanks" dxfId="70" priority="12" stopIfTrue="1">
      <formula>LEN(TRIM(X281))=0</formula>
    </cfRule>
  </conditionalFormatting>
  <conditionalFormatting sqref="X207">
    <cfRule type="containsBlanks" dxfId="69" priority="54" stopIfTrue="1">
      <formula>LEN(TRIM(X207))=0</formula>
    </cfRule>
  </conditionalFormatting>
  <conditionalFormatting sqref="Y207">
    <cfRule type="containsBlanks" dxfId="68" priority="51" stopIfTrue="1">
      <formula>LEN(TRIM(Y207))=0</formula>
    </cfRule>
  </conditionalFormatting>
  <conditionalFormatting sqref="X209">
    <cfRule type="containsBlanks" dxfId="67" priority="50" stopIfTrue="1">
      <formula>LEN(TRIM(X209))=0</formula>
    </cfRule>
  </conditionalFormatting>
  <conditionalFormatting sqref="X211">
    <cfRule type="containsBlanks" dxfId="66" priority="49" stopIfTrue="1">
      <formula>LEN(TRIM(X211))=0</formula>
    </cfRule>
  </conditionalFormatting>
  <conditionalFormatting sqref="X215 X213">
    <cfRule type="containsBlanks" dxfId="65" priority="48" stopIfTrue="1">
      <formula>LEN(TRIM(X213))=0</formula>
    </cfRule>
  </conditionalFormatting>
  <conditionalFormatting sqref="X217">
    <cfRule type="containsBlanks" dxfId="64" priority="46" stopIfTrue="1">
      <formula>LEN(TRIM(X217))=0</formula>
    </cfRule>
  </conditionalFormatting>
  <conditionalFormatting sqref="X219">
    <cfRule type="containsBlanks" dxfId="63" priority="45" stopIfTrue="1">
      <formula>LEN(TRIM(X219))=0</formula>
    </cfRule>
  </conditionalFormatting>
  <conditionalFormatting sqref="X221">
    <cfRule type="containsBlanks" dxfId="62" priority="44" stopIfTrue="1">
      <formula>LEN(TRIM(X221))=0</formula>
    </cfRule>
  </conditionalFormatting>
  <conditionalFormatting sqref="X231">
    <cfRule type="containsBlanks" dxfId="61" priority="43" stopIfTrue="1">
      <formula>LEN(TRIM(X231))=0</formula>
    </cfRule>
  </conditionalFormatting>
  <conditionalFormatting sqref="X223">
    <cfRule type="containsBlanks" dxfId="60" priority="42" stopIfTrue="1">
      <formula>LEN(TRIM(X223))=0</formula>
    </cfRule>
  </conditionalFormatting>
  <conditionalFormatting sqref="X225">
    <cfRule type="containsBlanks" dxfId="59" priority="41" stopIfTrue="1">
      <formula>LEN(TRIM(X225))=0</formula>
    </cfRule>
  </conditionalFormatting>
  <conditionalFormatting sqref="X227">
    <cfRule type="containsBlanks" dxfId="58" priority="40" stopIfTrue="1">
      <formula>LEN(TRIM(X227))=0</formula>
    </cfRule>
  </conditionalFormatting>
  <conditionalFormatting sqref="X229">
    <cfRule type="containsBlanks" dxfId="57" priority="39" stopIfTrue="1">
      <formula>LEN(TRIM(X229))=0</formula>
    </cfRule>
  </conditionalFormatting>
  <conditionalFormatting sqref="X235">
    <cfRule type="containsBlanks" dxfId="56" priority="38" stopIfTrue="1">
      <formula>LEN(TRIM(X235))=0</formula>
    </cfRule>
  </conditionalFormatting>
  <conditionalFormatting sqref="X237">
    <cfRule type="containsBlanks" dxfId="55" priority="37" stopIfTrue="1">
      <formula>LEN(TRIM(X237))=0</formula>
    </cfRule>
  </conditionalFormatting>
  <conditionalFormatting sqref="X241">
    <cfRule type="containsBlanks" dxfId="54" priority="36" stopIfTrue="1">
      <formula>LEN(TRIM(X241))=0</formula>
    </cfRule>
  </conditionalFormatting>
  <conditionalFormatting sqref="X243">
    <cfRule type="containsBlanks" dxfId="53" priority="35" stopIfTrue="1">
      <formula>LEN(TRIM(X243))=0</formula>
    </cfRule>
  </conditionalFormatting>
  <conditionalFormatting sqref="X249">
    <cfRule type="containsBlanks" dxfId="52" priority="32" stopIfTrue="1">
      <formula>LEN(TRIM(X249))=0</formula>
    </cfRule>
  </conditionalFormatting>
  <conditionalFormatting sqref="X251">
    <cfRule type="containsBlanks" dxfId="51" priority="31" stopIfTrue="1">
      <formula>LEN(TRIM(X251))=0</formula>
    </cfRule>
  </conditionalFormatting>
  <conditionalFormatting sqref="X253">
    <cfRule type="containsBlanks" dxfId="50" priority="30" stopIfTrue="1">
      <formula>LEN(TRIM(X253))=0</formula>
    </cfRule>
  </conditionalFormatting>
  <conditionalFormatting sqref="X339 X341 X337">
    <cfRule type="containsBlanks" dxfId="49" priority="15" stopIfTrue="1">
      <formula>LEN(TRIM(X337))=0</formula>
    </cfRule>
  </conditionalFormatting>
  <conditionalFormatting sqref="Z257 Z259">
    <cfRule type="containsBlanks" dxfId="48" priority="26" stopIfTrue="1">
      <formula>LEN(TRIM(Z257))=0</formula>
    </cfRule>
  </conditionalFormatting>
  <conditionalFormatting sqref="Y257 Y259">
    <cfRule type="containsBlanks" dxfId="47" priority="25" stopIfTrue="1">
      <formula>LEN(TRIM(Y257))=0</formula>
    </cfRule>
  </conditionalFormatting>
  <conditionalFormatting sqref="X257 X259">
    <cfRule type="containsBlanks" dxfId="46" priority="24" stopIfTrue="1">
      <formula>LEN(TRIM(X257))=0</formula>
    </cfRule>
  </conditionalFormatting>
  <conditionalFormatting sqref="W257 W259">
    <cfRule type="containsBlanks" dxfId="45" priority="23" stopIfTrue="1">
      <formula>LEN(TRIM(W257))=0</formula>
    </cfRule>
  </conditionalFormatting>
  <conditionalFormatting sqref="Z261">
    <cfRule type="containsBlanks" dxfId="44" priority="22" stopIfTrue="1">
      <formula>LEN(TRIM(Z261))=0</formula>
    </cfRule>
  </conditionalFormatting>
  <conditionalFormatting sqref="W261">
    <cfRule type="containsBlanks" dxfId="43" priority="20" stopIfTrue="1">
      <formula>LEN(TRIM(W261))=0</formula>
    </cfRule>
  </conditionalFormatting>
  <conditionalFormatting sqref="X263">
    <cfRule type="containsBlanks" dxfId="42" priority="19" stopIfTrue="1">
      <formula>LEN(TRIM(X263))=0</formula>
    </cfRule>
  </conditionalFormatting>
  <conditionalFormatting sqref="X265">
    <cfRule type="containsBlanks" dxfId="41" priority="18" stopIfTrue="1">
      <formula>LEN(TRIM(X265))=0</formula>
    </cfRule>
  </conditionalFormatting>
  <conditionalFormatting sqref="X271">
    <cfRule type="containsBlanks" dxfId="40" priority="17" stopIfTrue="1">
      <formula>LEN(TRIM(X271))=0</formula>
    </cfRule>
  </conditionalFormatting>
  <conditionalFormatting sqref="X345">
    <cfRule type="containsBlanks" dxfId="39" priority="16" stopIfTrue="1">
      <formula>LEN(TRIM(X345))=0</formula>
    </cfRule>
  </conditionalFormatting>
  <conditionalFormatting sqref="V107 Z107">
    <cfRule type="containsBlanks" dxfId="38" priority="11" stopIfTrue="1">
      <formula>LEN(TRIM(V107))=0</formula>
    </cfRule>
  </conditionalFormatting>
  <conditionalFormatting sqref="W107">
    <cfRule type="containsBlanks" dxfId="37" priority="10" stopIfTrue="1">
      <formula>LEN(TRIM(W107))=0</formula>
    </cfRule>
  </conditionalFormatting>
  <conditionalFormatting sqref="Y105">
    <cfRule type="containsBlanks" dxfId="36" priority="9" stopIfTrue="1">
      <formula>LEN(TRIM(Y105))=0</formula>
    </cfRule>
  </conditionalFormatting>
  <conditionalFormatting sqref="Y70">
    <cfRule type="containsBlanks" dxfId="35" priority="8" stopIfTrue="1">
      <formula>LEN(TRIM(Y70))=0</formula>
    </cfRule>
  </conditionalFormatting>
  <conditionalFormatting sqref="Q339">
    <cfRule type="containsBlanks" dxfId="34" priority="7" stopIfTrue="1">
      <formula>LEN(TRIM(Q339))=0</formula>
    </cfRule>
  </conditionalFormatting>
  <conditionalFormatting sqref="R339">
    <cfRule type="containsBlanks" dxfId="33" priority="6" stopIfTrue="1">
      <formula>LEN(TRIM(R339))=0</formula>
    </cfRule>
  </conditionalFormatting>
  <conditionalFormatting sqref="I72 I263 I241 I243 I235 I91 I4 I2 I105 I167 I113 I62 I16 I269 I261 I247 I265 I175 I193 I237 I239 I251 I337 I253 I197 I195 I117 I68 I64 I60 I56 I50 I52 I54 I48 I46 I44 I40 I36 I32 I22 I20 I24 I28 I26 I345 I231 I223 I84 I10 I8 I6 I219 I14 I143 I217 I82 I38 I76 I227 I171 I249 I34 I211 I221 I207 I203 I189 I86 I95 I165 I162 I160 I158 I145 I139 I137 I131 I127 I133 I125 I123 I121 I119 I213 I209 I181 I179 I78 I135 I129 I183 I201 I99 I103 I101 I12 I93 I152 I97 I111 I199 I215 I70 I150 I154 I156 I141 I42 I271 I285 I281 I66 I74 I107 I109 I185 I187 I191 I205 I245 I30 I341">
    <cfRule type="containsBlanks" dxfId="32" priority="5" stopIfTrue="1">
      <formula>LEN(TRIM(I2))=0</formula>
    </cfRule>
  </conditionalFormatting>
  <conditionalFormatting sqref="I229">
    <cfRule type="containsBlanks" dxfId="31" priority="4" stopIfTrue="1">
      <formula>LEN(TRIM(I229))=0</formula>
    </cfRule>
  </conditionalFormatting>
  <conditionalFormatting sqref="I339">
    <cfRule type="containsBlanks" dxfId="30" priority="3" stopIfTrue="1">
      <formula>LEN(TRIM(I339))=0</formula>
    </cfRule>
  </conditionalFormatting>
  <conditionalFormatting sqref="I255 I259 I257">
    <cfRule type="containsBlanks" dxfId="29" priority="2" stopIfTrue="1">
      <formula>LEN(TRIM(I255))=0</formula>
    </cfRule>
  </conditionalFormatting>
  <printOptions horizontalCentered="1"/>
  <pageMargins left="0.39370078740157483" right="0.39370078740157483" top="0.98425196850393704" bottom="0.78740157480314965" header="0.51181102362204722" footer="0.51181102362204722"/>
  <pageSetup paperSize="9" orientation="landscape" verticalDpi="1200" r:id="rId2"/>
  <headerFooter alignWithMargins="0">
    <oddHeader>&amp;R&amp;G</oddHeader>
    <oddFooter>&amp;C&amp;8Bei den Deckungsinhalten handelt es sich nur um Stichworte. Die detaillierten Deckungsumfänge sind den jeweiligen Bedingungen zu entnehmen.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357"/>
  <sheetViews>
    <sheetView topLeftCell="AY1" workbookViewId="0">
      <selection activeCell="BI1" sqref="BI1:BI1048576"/>
    </sheetView>
  </sheetViews>
  <sheetFormatPr baseColWidth="10" defaultRowHeight="12.75"/>
  <cols>
    <col min="1" max="1" width="39.7109375" style="5" customWidth="1"/>
    <col min="2" max="2" width="42.140625" style="5" customWidth="1"/>
    <col min="3" max="8" width="21.7109375" style="5" customWidth="1"/>
    <col min="9" max="9" width="24.28515625" style="5" customWidth="1"/>
    <col min="10" max="10" width="21.7109375" style="5" customWidth="1"/>
    <col min="11" max="12" width="24.28515625" style="5" customWidth="1"/>
    <col min="13" max="13" width="21.7109375" style="5" customWidth="1"/>
    <col min="14" max="14" width="24.28515625" style="5" customWidth="1"/>
    <col min="15" max="15" width="21.7109375" style="5" customWidth="1"/>
    <col min="16" max="17" width="24.28515625" style="5" customWidth="1"/>
    <col min="18" max="18" width="21.7109375" style="5" customWidth="1"/>
    <col min="19" max="19" width="24.28515625" style="5" customWidth="1"/>
    <col min="20" max="32" width="21.7109375" style="5" customWidth="1"/>
    <col min="33" max="35" width="24.28515625" style="5" customWidth="1"/>
    <col min="36" max="55" width="21.7109375" style="5" customWidth="1"/>
    <col min="56" max="56" width="24.28515625" style="5" customWidth="1"/>
    <col min="57" max="57" width="21.7109375" style="5" customWidth="1"/>
    <col min="58" max="58" width="24.28515625" style="5" customWidth="1"/>
    <col min="59" max="59" width="21.7109375" style="5" customWidth="1"/>
    <col min="60" max="61" width="24.28515625" style="5" customWidth="1"/>
    <col min="62" max="72" width="21.7109375" style="5" customWidth="1"/>
    <col min="73" max="74" width="21.7109375" style="41" customWidth="1"/>
    <col min="75" max="83" width="21.7109375" style="5" customWidth="1"/>
    <col min="84" max="84" width="21.7109375" style="175" customWidth="1"/>
  </cols>
  <sheetData>
    <row r="1" spans="1:84" ht="18">
      <c r="A1" s="47"/>
      <c r="B1" s="199" t="s">
        <v>6721</v>
      </c>
      <c r="C1" s="104" t="s">
        <v>5146</v>
      </c>
      <c r="D1" s="104" t="s">
        <v>5147</v>
      </c>
      <c r="E1" s="104" t="s">
        <v>3738</v>
      </c>
      <c r="F1" s="104" t="s">
        <v>3739</v>
      </c>
      <c r="G1" s="103" t="s">
        <v>5490</v>
      </c>
      <c r="H1" s="103" t="s">
        <v>5491</v>
      </c>
      <c r="I1" s="314" t="s">
        <v>9142</v>
      </c>
      <c r="J1" s="75" t="s">
        <v>9160</v>
      </c>
      <c r="K1" s="314" t="s">
        <v>9124</v>
      </c>
      <c r="L1" s="253" t="s">
        <v>9141</v>
      </c>
      <c r="M1" s="75" t="s">
        <v>9161</v>
      </c>
      <c r="N1" s="314" t="s">
        <v>9140</v>
      </c>
      <c r="O1" s="75" t="s">
        <v>9163</v>
      </c>
      <c r="P1" s="253" t="s">
        <v>9119</v>
      </c>
      <c r="Q1" s="253" t="s">
        <v>9751</v>
      </c>
      <c r="R1" s="75" t="s">
        <v>9162</v>
      </c>
      <c r="S1" s="253" t="s">
        <v>9139</v>
      </c>
      <c r="T1" s="49" t="s">
        <v>3292</v>
      </c>
      <c r="U1" s="49" t="s">
        <v>3293</v>
      </c>
      <c r="V1" s="142" t="s">
        <v>5743</v>
      </c>
      <c r="W1" s="49" t="s">
        <v>4390</v>
      </c>
      <c r="X1" s="49" t="s">
        <v>6505</v>
      </c>
      <c r="Y1" s="49" t="s">
        <v>2320</v>
      </c>
      <c r="Z1" s="49" t="s">
        <v>2321</v>
      </c>
      <c r="AA1" s="49" t="s">
        <v>2322</v>
      </c>
      <c r="AB1" s="50" t="s">
        <v>5322</v>
      </c>
      <c r="AC1" s="50" t="s">
        <v>5323</v>
      </c>
      <c r="AD1" s="50" t="s">
        <v>5324</v>
      </c>
      <c r="AE1" s="75" t="s">
        <v>6977</v>
      </c>
      <c r="AF1" s="101" t="s">
        <v>6978</v>
      </c>
      <c r="AG1" s="253" t="s">
        <v>8937</v>
      </c>
      <c r="AH1" s="253" t="s">
        <v>8938</v>
      </c>
      <c r="AI1" s="253" t="s">
        <v>8939</v>
      </c>
      <c r="AJ1" s="49" t="s">
        <v>3437</v>
      </c>
      <c r="AK1" s="49" t="s">
        <v>404</v>
      </c>
      <c r="AL1" s="49" t="s">
        <v>405</v>
      </c>
      <c r="AM1" s="49" t="s">
        <v>346</v>
      </c>
      <c r="AN1" s="49" t="s">
        <v>347</v>
      </c>
      <c r="AO1" s="49" t="s">
        <v>891</v>
      </c>
      <c r="AP1" s="101" t="s">
        <v>6325</v>
      </c>
      <c r="AQ1" s="101" t="s">
        <v>4113</v>
      </c>
      <c r="AR1" s="49" t="s">
        <v>909</v>
      </c>
      <c r="AS1" s="49" t="s">
        <v>6299</v>
      </c>
      <c r="AT1" s="49" t="s">
        <v>6300</v>
      </c>
      <c r="AU1" s="49" t="s">
        <v>6301</v>
      </c>
      <c r="AV1" s="75" t="s">
        <v>856</v>
      </c>
      <c r="AW1" s="75" t="s">
        <v>857</v>
      </c>
      <c r="AX1" s="75" t="s">
        <v>1263</v>
      </c>
      <c r="AY1" s="75" t="s">
        <v>1291</v>
      </c>
      <c r="AZ1" s="49" t="s">
        <v>3466</v>
      </c>
      <c r="BA1" s="103" t="s">
        <v>3467</v>
      </c>
      <c r="BB1" s="49" t="s">
        <v>3468</v>
      </c>
      <c r="BC1" s="101" t="s">
        <v>4828</v>
      </c>
      <c r="BD1" s="319" t="s">
        <v>9483</v>
      </c>
      <c r="BE1" s="101" t="s">
        <v>5029</v>
      </c>
      <c r="BF1" s="253" t="s">
        <v>9550</v>
      </c>
      <c r="BG1" s="101" t="s">
        <v>4829</v>
      </c>
      <c r="BH1" s="253" t="s">
        <v>9484</v>
      </c>
      <c r="BI1" s="253" t="s">
        <v>9355</v>
      </c>
      <c r="BJ1" s="101" t="s">
        <v>4830</v>
      </c>
      <c r="BK1" s="75" t="s">
        <v>265</v>
      </c>
      <c r="BL1" s="75" t="s">
        <v>266</v>
      </c>
      <c r="BM1" s="75" t="s">
        <v>55</v>
      </c>
      <c r="BN1" s="102" t="s">
        <v>3838</v>
      </c>
      <c r="BO1" s="102" t="s">
        <v>6269</v>
      </c>
      <c r="BP1" s="48" t="s">
        <v>2217</v>
      </c>
      <c r="BQ1" s="48" t="s">
        <v>2216</v>
      </c>
      <c r="BR1" s="75" t="s">
        <v>2615</v>
      </c>
      <c r="BS1" s="75" t="s">
        <v>2617</v>
      </c>
      <c r="BT1" s="75" t="s">
        <v>2616</v>
      </c>
      <c r="BU1" s="75" t="s">
        <v>2814</v>
      </c>
      <c r="BV1" s="75" t="s">
        <v>661</v>
      </c>
      <c r="BW1" s="75" t="s">
        <v>662</v>
      </c>
      <c r="BX1" s="101" t="s">
        <v>3752</v>
      </c>
      <c r="BY1" s="101" t="s">
        <v>3753</v>
      </c>
      <c r="BZ1" s="101" t="s">
        <v>6267</v>
      </c>
      <c r="CA1" s="101" t="s">
        <v>8708</v>
      </c>
      <c r="CB1" s="101" t="s">
        <v>8709</v>
      </c>
      <c r="CC1" s="75" t="s">
        <v>301</v>
      </c>
      <c r="CD1" s="75" t="s">
        <v>302</v>
      </c>
      <c r="CE1" s="48" t="s">
        <v>3204</v>
      </c>
      <c r="CF1" s="172" t="s">
        <v>849</v>
      </c>
    </row>
    <row r="2" spans="1:84" ht="18">
      <c r="A2" s="181" t="s">
        <v>6846</v>
      </c>
      <c r="B2" s="200"/>
      <c r="C2" s="36" t="s">
        <v>1349</v>
      </c>
      <c r="D2" s="36" t="s">
        <v>1349</v>
      </c>
      <c r="E2" s="36" t="s">
        <v>1349</v>
      </c>
      <c r="F2" s="36" t="s">
        <v>1349</v>
      </c>
      <c r="G2" s="36" t="s">
        <v>1349</v>
      </c>
      <c r="H2" s="36" t="s">
        <v>1349</v>
      </c>
      <c r="I2" s="36" t="s">
        <v>6847</v>
      </c>
      <c r="J2" s="36" t="s">
        <v>1349</v>
      </c>
      <c r="K2" s="36" t="s">
        <v>6847</v>
      </c>
      <c r="L2" s="36" t="s">
        <v>6847</v>
      </c>
      <c r="M2" s="36" t="s">
        <v>1349</v>
      </c>
      <c r="N2" s="36" t="s">
        <v>6847</v>
      </c>
      <c r="O2" s="36" t="s">
        <v>1349</v>
      </c>
      <c r="P2" s="36" t="s">
        <v>8073</v>
      </c>
      <c r="Q2" s="36" t="s">
        <v>8073</v>
      </c>
      <c r="R2" s="36" t="s">
        <v>1349</v>
      </c>
      <c r="S2" s="36" t="s">
        <v>6848</v>
      </c>
      <c r="T2" s="36" t="s">
        <v>3433</v>
      </c>
      <c r="U2" s="36" t="s">
        <v>402</v>
      </c>
      <c r="V2" s="143" t="s">
        <v>5710</v>
      </c>
      <c r="W2" s="36" t="s">
        <v>402</v>
      </c>
      <c r="X2" s="36" t="s">
        <v>1349</v>
      </c>
      <c r="Y2" s="36" t="s">
        <v>1349</v>
      </c>
      <c r="Z2" s="36" t="s">
        <v>1349</v>
      </c>
      <c r="AA2" s="36" t="s">
        <v>1349</v>
      </c>
      <c r="AB2" s="36" t="s">
        <v>1349</v>
      </c>
      <c r="AC2" s="36" t="s">
        <v>1349</v>
      </c>
      <c r="AD2" s="36" t="s">
        <v>1349</v>
      </c>
      <c r="AE2" s="36" t="s">
        <v>1349</v>
      </c>
      <c r="AF2" s="36" t="s">
        <v>1349</v>
      </c>
      <c r="AG2" s="36" t="s">
        <v>8761</v>
      </c>
      <c r="AH2" s="36" t="s">
        <v>8760</v>
      </c>
      <c r="AI2" s="36" t="s">
        <v>8760</v>
      </c>
      <c r="AJ2" s="212" t="s">
        <v>1349</v>
      </c>
      <c r="AK2" s="212" t="s">
        <v>1349</v>
      </c>
      <c r="AL2" s="212" t="s">
        <v>1349</v>
      </c>
      <c r="AM2" s="212" t="s">
        <v>1349</v>
      </c>
      <c r="AN2" s="212" t="s">
        <v>1349</v>
      </c>
      <c r="AO2" s="212" t="s">
        <v>4210</v>
      </c>
      <c r="AP2" s="212" t="s">
        <v>1349</v>
      </c>
      <c r="AQ2" s="212" t="s">
        <v>1349</v>
      </c>
      <c r="AR2" s="212" t="s">
        <v>1349</v>
      </c>
      <c r="AS2" s="212" t="s">
        <v>1349</v>
      </c>
      <c r="AT2" s="212" t="s">
        <v>1349</v>
      </c>
      <c r="AU2" s="212" t="s">
        <v>1349</v>
      </c>
      <c r="AV2" s="212" t="s">
        <v>1349</v>
      </c>
      <c r="AW2" s="212" t="s">
        <v>1349</v>
      </c>
      <c r="AX2" s="212" t="s">
        <v>1350</v>
      </c>
      <c r="AY2" s="212" t="s">
        <v>1350</v>
      </c>
      <c r="AZ2" s="212" t="s">
        <v>1349</v>
      </c>
      <c r="BA2" s="212" t="s">
        <v>1349</v>
      </c>
      <c r="BB2" s="212" t="s">
        <v>1349</v>
      </c>
      <c r="BC2" s="212" t="s">
        <v>5325</v>
      </c>
      <c r="BD2" s="36" t="s">
        <v>7767</v>
      </c>
      <c r="BE2" s="212" t="s">
        <v>402</v>
      </c>
      <c r="BF2" s="36" t="s">
        <v>7565</v>
      </c>
      <c r="BG2" s="212" t="s">
        <v>1349</v>
      </c>
      <c r="BH2" s="36" t="s">
        <v>8758</v>
      </c>
      <c r="BI2" s="36" t="s">
        <v>8758</v>
      </c>
      <c r="BJ2" s="212" t="s">
        <v>1349</v>
      </c>
      <c r="BK2" s="212" t="s">
        <v>1349</v>
      </c>
      <c r="BL2" s="212" t="s">
        <v>1349</v>
      </c>
      <c r="BM2" s="212" t="s">
        <v>0</v>
      </c>
      <c r="BN2" s="212" t="s">
        <v>1349</v>
      </c>
      <c r="BO2" s="212" t="s">
        <v>1349</v>
      </c>
      <c r="BP2" s="212" t="s">
        <v>1349</v>
      </c>
      <c r="BQ2" s="212" t="s">
        <v>1349</v>
      </c>
      <c r="BR2" s="212" t="s">
        <v>1349</v>
      </c>
      <c r="BS2" s="212" t="s">
        <v>1349</v>
      </c>
      <c r="BT2" s="212" t="s">
        <v>1349</v>
      </c>
      <c r="BU2" s="212" t="s">
        <v>1402</v>
      </c>
      <c r="BV2" s="212" t="s">
        <v>1349</v>
      </c>
      <c r="BW2" s="212" t="s">
        <v>1349</v>
      </c>
      <c r="BX2" s="212" t="s">
        <v>1349</v>
      </c>
      <c r="BY2" s="212" t="s">
        <v>1349</v>
      </c>
      <c r="BZ2" s="212" t="s">
        <v>1349</v>
      </c>
      <c r="CA2" s="212" t="s">
        <v>1349</v>
      </c>
      <c r="CB2" s="212" t="s">
        <v>1349</v>
      </c>
      <c r="CC2" s="212" t="s">
        <v>1349</v>
      </c>
      <c r="CD2" s="212" t="s">
        <v>1349</v>
      </c>
      <c r="CE2" s="212" t="s">
        <v>3212</v>
      </c>
      <c r="CF2" s="212" t="s">
        <v>402</v>
      </c>
    </row>
    <row r="3" spans="1:84" ht="18">
      <c r="A3" s="51" t="s">
        <v>935</v>
      </c>
      <c r="B3" s="51"/>
      <c r="C3" s="52" t="s">
        <v>1633</v>
      </c>
      <c r="D3" s="52" t="s">
        <v>1633</v>
      </c>
      <c r="E3" s="52" t="s">
        <v>2796</v>
      </c>
      <c r="F3" s="52" t="s">
        <v>2796</v>
      </c>
      <c r="G3" s="52" t="s">
        <v>1476</v>
      </c>
      <c r="H3" s="52" t="s">
        <v>1476</v>
      </c>
      <c r="I3" s="52" t="s">
        <v>8217</v>
      </c>
      <c r="J3" s="52" t="s">
        <v>1633</v>
      </c>
      <c r="K3" s="52" t="s">
        <v>8217</v>
      </c>
      <c r="L3" s="52" t="s">
        <v>8217</v>
      </c>
      <c r="M3" s="52" t="s">
        <v>1633</v>
      </c>
      <c r="N3" s="52" t="s">
        <v>8217</v>
      </c>
      <c r="O3" s="52" t="s">
        <v>1633</v>
      </c>
      <c r="P3" s="52" t="s">
        <v>8217</v>
      </c>
      <c r="Q3" s="52" t="s">
        <v>8217</v>
      </c>
      <c r="R3" s="52" t="s">
        <v>1633</v>
      </c>
      <c r="S3" s="52" t="s">
        <v>8217</v>
      </c>
      <c r="T3" s="52" t="s">
        <v>3286</v>
      </c>
      <c r="U3" s="52" t="s">
        <v>3289</v>
      </c>
      <c r="V3" s="84" t="s">
        <v>1025</v>
      </c>
      <c r="W3" s="52" t="s">
        <v>4452</v>
      </c>
      <c r="X3" s="52" t="s">
        <v>6381</v>
      </c>
      <c r="Y3" s="52" t="s">
        <v>2419</v>
      </c>
      <c r="Z3" s="52" t="s">
        <v>2419</v>
      </c>
      <c r="AA3" s="52" t="s">
        <v>2419</v>
      </c>
      <c r="AB3" s="52" t="s">
        <v>4630</v>
      </c>
      <c r="AC3" s="52" t="s">
        <v>4630</v>
      </c>
      <c r="AD3" s="52" t="s">
        <v>4630</v>
      </c>
      <c r="AE3" s="52" t="s">
        <v>6058</v>
      </c>
      <c r="AF3" s="52" t="s">
        <v>6058</v>
      </c>
      <c r="AG3" s="186" t="s">
        <v>7088</v>
      </c>
      <c r="AH3" s="186" t="s">
        <v>7088</v>
      </c>
      <c r="AI3" s="186" t="s">
        <v>7088</v>
      </c>
      <c r="AJ3" s="52" t="s">
        <v>6085</v>
      </c>
      <c r="AK3" s="52" t="s">
        <v>1926</v>
      </c>
      <c r="AL3" s="52" t="s">
        <v>1926</v>
      </c>
      <c r="AM3" s="52" t="s">
        <v>5451</v>
      </c>
      <c r="AN3" s="52" t="s">
        <v>5451</v>
      </c>
      <c r="AO3" s="52" t="s">
        <v>4267</v>
      </c>
      <c r="AP3" s="52" t="s">
        <v>2597</v>
      </c>
      <c r="AQ3" s="52" t="s">
        <v>2597</v>
      </c>
      <c r="AR3" s="52"/>
      <c r="AS3" s="52" t="s">
        <v>2055</v>
      </c>
      <c r="AT3" s="52" t="s">
        <v>2055</v>
      </c>
      <c r="AU3" s="52" t="s">
        <v>2055</v>
      </c>
      <c r="AV3" s="52" t="s">
        <v>4296</v>
      </c>
      <c r="AW3" s="52" t="s">
        <v>4296</v>
      </c>
      <c r="AX3" s="52" t="s">
        <v>1356</v>
      </c>
      <c r="AY3" s="52" t="s">
        <v>1356</v>
      </c>
      <c r="AZ3" s="52" t="s">
        <v>3655</v>
      </c>
      <c r="BA3" s="52" t="s">
        <v>3570</v>
      </c>
      <c r="BB3" s="52" t="s">
        <v>3548</v>
      </c>
      <c r="BC3" s="52" t="s">
        <v>4928</v>
      </c>
      <c r="BD3" s="52" t="s">
        <v>7769</v>
      </c>
      <c r="BE3" s="52" t="s">
        <v>4928</v>
      </c>
      <c r="BF3" s="52" t="s">
        <v>7558</v>
      </c>
      <c r="BG3" s="52" t="s">
        <v>4971</v>
      </c>
      <c r="BH3" s="52" t="s">
        <v>7803</v>
      </c>
      <c r="BI3" s="52" t="s">
        <v>7803</v>
      </c>
      <c r="BJ3" s="52" t="s">
        <v>4971</v>
      </c>
      <c r="BK3" s="52"/>
      <c r="BL3" s="52"/>
      <c r="BM3" s="52" t="s">
        <v>0</v>
      </c>
      <c r="BN3" s="52" t="s">
        <v>2317</v>
      </c>
      <c r="BO3" s="52"/>
      <c r="BP3" s="52" t="s">
        <v>2317</v>
      </c>
      <c r="BQ3" s="52" t="s">
        <v>2317</v>
      </c>
      <c r="BR3" s="52" t="s">
        <v>2722</v>
      </c>
      <c r="BS3" s="52" t="s">
        <v>2722</v>
      </c>
      <c r="BT3" s="52" t="s">
        <v>2722</v>
      </c>
      <c r="BU3" s="84" t="s">
        <v>5075</v>
      </c>
      <c r="BV3" s="84"/>
      <c r="BW3" s="52"/>
      <c r="BX3" s="52" t="s">
        <v>3907</v>
      </c>
      <c r="BY3" s="52" t="s">
        <v>3900</v>
      </c>
      <c r="BZ3" s="52"/>
      <c r="CA3" s="52" t="s">
        <v>3143</v>
      </c>
      <c r="CB3" s="52" t="s">
        <v>3143</v>
      </c>
      <c r="CC3" s="52"/>
      <c r="CD3" s="52"/>
      <c r="CE3" s="52" t="s">
        <v>3211</v>
      </c>
      <c r="CF3" s="52" t="s">
        <v>2208</v>
      </c>
    </row>
    <row r="4" spans="1:84" ht="27">
      <c r="A4" s="181" t="s">
        <v>6513</v>
      </c>
      <c r="B4" s="200"/>
      <c r="C4" s="212" t="s">
        <v>74</v>
      </c>
      <c r="D4" s="212" t="s">
        <v>74</v>
      </c>
      <c r="E4" s="212" t="s">
        <v>74</v>
      </c>
      <c r="F4" s="212" t="s">
        <v>74</v>
      </c>
      <c r="G4" s="212" t="s">
        <v>74</v>
      </c>
      <c r="H4" s="212" t="s">
        <v>693</v>
      </c>
      <c r="I4" s="36" t="s">
        <v>6845</v>
      </c>
      <c r="J4" s="212" t="s">
        <v>1635</v>
      </c>
      <c r="K4" s="36" t="s">
        <v>6845</v>
      </c>
      <c r="L4" s="36" t="s">
        <v>6845</v>
      </c>
      <c r="M4" s="212" t="s">
        <v>1635</v>
      </c>
      <c r="N4" s="36" t="s">
        <v>6845</v>
      </c>
      <c r="O4" s="212" t="s">
        <v>1635</v>
      </c>
      <c r="P4" s="36" t="s">
        <v>6845</v>
      </c>
      <c r="Q4" s="36" t="s">
        <v>6845</v>
      </c>
      <c r="R4" s="212" t="s">
        <v>1635</v>
      </c>
      <c r="S4" s="36" t="s">
        <v>6845</v>
      </c>
      <c r="T4" s="212" t="s">
        <v>3291</v>
      </c>
      <c r="U4" s="212" t="s">
        <v>402</v>
      </c>
      <c r="V4" s="212" t="s">
        <v>5711</v>
      </c>
      <c r="W4" s="212" t="s">
        <v>58</v>
      </c>
      <c r="X4" s="213" t="s">
        <v>6382</v>
      </c>
      <c r="Y4" s="213" t="s">
        <v>74</v>
      </c>
      <c r="Z4" s="213" t="s">
        <v>74</v>
      </c>
      <c r="AA4" s="213" t="s">
        <v>74</v>
      </c>
      <c r="AB4" s="212" t="s">
        <v>74</v>
      </c>
      <c r="AC4" s="212" t="s">
        <v>74</v>
      </c>
      <c r="AD4" s="212" t="s">
        <v>74</v>
      </c>
      <c r="AE4" s="213" t="s">
        <v>1782</v>
      </c>
      <c r="AF4" s="213" t="s">
        <v>1782</v>
      </c>
      <c r="AG4" s="7" t="s">
        <v>1782</v>
      </c>
      <c r="AH4" s="7" t="s">
        <v>1782</v>
      </c>
      <c r="AI4" s="7" t="s">
        <v>1782</v>
      </c>
      <c r="AJ4" s="213" t="s">
        <v>251</v>
      </c>
      <c r="AK4" s="213" t="s">
        <v>74</v>
      </c>
      <c r="AL4" s="213" t="s">
        <v>74</v>
      </c>
      <c r="AM4" s="212" t="s">
        <v>74</v>
      </c>
      <c r="AN4" s="212" t="s">
        <v>74</v>
      </c>
      <c r="AO4" s="212" t="s">
        <v>4235</v>
      </c>
      <c r="AP4" s="212" t="s">
        <v>74</v>
      </c>
      <c r="AQ4" s="212" t="s">
        <v>3902</v>
      </c>
      <c r="AR4" s="212" t="s">
        <v>74</v>
      </c>
      <c r="AS4" s="212" t="s">
        <v>74</v>
      </c>
      <c r="AT4" s="212" t="s">
        <v>74</v>
      </c>
      <c r="AU4" s="212" t="s">
        <v>74</v>
      </c>
      <c r="AV4" s="212" t="s">
        <v>74</v>
      </c>
      <c r="AW4" s="212" t="s">
        <v>74</v>
      </c>
      <c r="AX4" s="212" t="s">
        <v>74</v>
      </c>
      <c r="AY4" s="212" t="s">
        <v>74</v>
      </c>
      <c r="AZ4" s="212" t="s">
        <v>74</v>
      </c>
      <c r="BA4" s="212" t="s">
        <v>74</v>
      </c>
      <c r="BB4" s="212" t="s">
        <v>598</v>
      </c>
      <c r="BC4" s="214" t="s">
        <v>58</v>
      </c>
      <c r="BD4" s="7" t="s">
        <v>7768</v>
      </c>
      <c r="BE4" s="214" t="s">
        <v>402</v>
      </c>
      <c r="BF4" s="36" t="s">
        <v>7565</v>
      </c>
      <c r="BG4" s="212" t="s">
        <v>74</v>
      </c>
      <c r="BH4" s="7" t="s">
        <v>7768</v>
      </c>
      <c r="BI4" s="7" t="s">
        <v>7768</v>
      </c>
      <c r="BJ4" s="212" t="s">
        <v>74</v>
      </c>
      <c r="BK4" s="212" t="s">
        <v>74</v>
      </c>
      <c r="BL4" s="212" t="s">
        <v>74</v>
      </c>
      <c r="BM4" s="214" t="s">
        <v>0</v>
      </c>
      <c r="BN4" s="212" t="s">
        <v>74</v>
      </c>
      <c r="BO4" s="212" t="s">
        <v>5076</v>
      </c>
      <c r="BP4" s="212" t="s">
        <v>74</v>
      </c>
      <c r="BQ4" s="212" t="s">
        <v>74</v>
      </c>
      <c r="BR4" s="212" t="s">
        <v>74</v>
      </c>
      <c r="BS4" s="212" t="s">
        <v>74</v>
      </c>
      <c r="BT4" s="212" t="s">
        <v>74</v>
      </c>
      <c r="BU4" s="212" t="s">
        <v>5076</v>
      </c>
      <c r="BV4" s="212" t="s">
        <v>74</v>
      </c>
      <c r="BW4" s="212" t="s">
        <v>74</v>
      </c>
      <c r="BX4" s="212" t="s">
        <v>3902</v>
      </c>
      <c r="BY4" s="212" t="s">
        <v>3902</v>
      </c>
      <c r="BZ4" s="212" t="s">
        <v>5076</v>
      </c>
      <c r="CA4" s="212" t="s">
        <v>74</v>
      </c>
      <c r="CB4" s="212" t="s">
        <v>74</v>
      </c>
      <c r="CC4" s="212" t="s">
        <v>74</v>
      </c>
      <c r="CD4" s="212" t="s">
        <v>74</v>
      </c>
      <c r="CE4" s="212" t="s">
        <v>74</v>
      </c>
      <c r="CF4" s="214" t="s">
        <v>58</v>
      </c>
    </row>
    <row r="5" spans="1:84">
      <c r="A5" s="51" t="s">
        <v>935</v>
      </c>
      <c r="B5" s="51"/>
      <c r="C5" s="52" t="s">
        <v>2316</v>
      </c>
      <c r="D5" s="52" t="s">
        <v>2316</v>
      </c>
      <c r="E5" s="52" t="s">
        <v>2794</v>
      </c>
      <c r="F5" s="52" t="s">
        <v>2794</v>
      </c>
      <c r="G5" s="52" t="s">
        <v>1419</v>
      </c>
      <c r="H5" s="52" t="s">
        <v>1407</v>
      </c>
      <c r="I5" s="52" t="s">
        <v>8216</v>
      </c>
      <c r="J5" s="52" t="s">
        <v>1634</v>
      </c>
      <c r="K5" s="52" t="s">
        <v>8216</v>
      </c>
      <c r="L5" s="52" t="s">
        <v>8216</v>
      </c>
      <c r="M5" s="52" t="s">
        <v>1634</v>
      </c>
      <c r="N5" s="52" t="s">
        <v>8216</v>
      </c>
      <c r="O5" s="52" t="s">
        <v>1634</v>
      </c>
      <c r="P5" s="52" t="s">
        <v>8216</v>
      </c>
      <c r="Q5" s="52" t="s">
        <v>8216</v>
      </c>
      <c r="R5" s="52" t="s">
        <v>1634</v>
      </c>
      <c r="S5" s="52" t="s">
        <v>8216</v>
      </c>
      <c r="T5" s="52" t="s">
        <v>5539</v>
      </c>
      <c r="U5" s="52" t="s">
        <v>5539</v>
      </c>
      <c r="V5" s="84" t="s">
        <v>1025</v>
      </c>
      <c r="W5" s="52" t="s">
        <v>0</v>
      </c>
      <c r="X5" s="52" t="s">
        <v>6383</v>
      </c>
      <c r="Y5" s="52" t="s">
        <v>2420</v>
      </c>
      <c r="Z5" s="52" t="s">
        <v>2420</v>
      </c>
      <c r="AA5" s="52" t="s">
        <v>2420</v>
      </c>
      <c r="AB5" s="52" t="s">
        <v>4631</v>
      </c>
      <c r="AC5" s="52" t="s">
        <v>4631</v>
      </c>
      <c r="AD5" s="52" t="s">
        <v>4631</v>
      </c>
      <c r="AE5" s="52" t="s">
        <v>6057</v>
      </c>
      <c r="AF5" s="52" t="s">
        <v>6057</v>
      </c>
      <c r="AG5" s="186" t="s">
        <v>7096</v>
      </c>
      <c r="AH5" s="186" t="s">
        <v>7096</v>
      </c>
      <c r="AI5" s="186" t="s">
        <v>7096</v>
      </c>
      <c r="AJ5" s="52" t="s">
        <v>6086</v>
      </c>
      <c r="AK5" s="52" t="s">
        <v>1924</v>
      </c>
      <c r="AL5" s="52" t="s">
        <v>1924</v>
      </c>
      <c r="AM5" s="52" t="s">
        <v>5452</v>
      </c>
      <c r="AN5" s="52" t="s">
        <v>5452</v>
      </c>
      <c r="AO5" s="52" t="s">
        <v>4268</v>
      </c>
      <c r="AP5" s="52" t="s">
        <v>1025</v>
      </c>
      <c r="AQ5" s="52" t="s">
        <v>1025</v>
      </c>
      <c r="AR5" s="52"/>
      <c r="AS5" s="52" t="s">
        <v>2054</v>
      </c>
      <c r="AT5" s="52" t="s">
        <v>2054</v>
      </c>
      <c r="AU5" s="52" t="s">
        <v>2054</v>
      </c>
      <c r="AV5" s="52" t="s">
        <v>4369</v>
      </c>
      <c r="AW5" s="52" t="s">
        <v>4369</v>
      </c>
      <c r="AX5" s="52" t="s">
        <v>1351</v>
      </c>
      <c r="AY5" s="52" t="s">
        <v>1351</v>
      </c>
      <c r="AZ5" s="52" t="s">
        <v>3657</v>
      </c>
      <c r="BA5" s="52" t="s">
        <v>3582</v>
      </c>
      <c r="BB5" s="52" t="s">
        <v>3489</v>
      </c>
      <c r="BC5" s="52" t="s">
        <v>4971</v>
      </c>
      <c r="BD5" s="52" t="s">
        <v>7769</v>
      </c>
      <c r="BE5" s="52" t="s">
        <v>4971</v>
      </c>
      <c r="BF5" s="52" t="s">
        <v>7558</v>
      </c>
      <c r="BG5" s="52" t="s">
        <v>5021</v>
      </c>
      <c r="BH5" s="52" t="s">
        <v>7804</v>
      </c>
      <c r="BI5" s="52" t="s">
        <v>7804</v>
      </c>
      <c r="BJ5" s="52" t="s">
        <v>5021</v>
      </c>
      <c r="BK5" s="52"/>
      <c r="BL5" s="52"/>
      <c r="BM5" s="52" t="s">
        <v>0</v>
      </c>
      <c r="BN5" s="52" t="s">
        <v>3897</v>
      </c>
      <c r="BO5" s="52" t="s">
        <v>0</v>
      </c>
      <c r="BP5" s="52" t="s">
        <v>2316</v>
      </c>
      <c r="BQ5" s="52" t="s">
        <v>2316</v>
      </c>
      <c r="BR5" s="52" t="s">
        <v>2700</v>
      </c>
      <c r="BS5" s="52" t="s">
        <v>2700</v>
      </c>
      <c r="BT5" s="52" t="s">
        <v>2700</v>
      </c>
      <c r="BU5" s="84" t="s">
        <v>2892</v>
      </c>
      <c r="BV5" s="84"/>
      <c r="BW5" s="52"/>
      <c r="BX5" s="52" t="s">
        <v>3908</v>
      </c>
      <c r="BY5" s="52" t="s">
        <v>3903</v>
      </c>
      <c r="BZ5" s="52"/>
      <c r="CA5" s="52" t="s">
        <v>3144</v>
      </c>
      <c r="CB5" s="52" t="s">
        <v>3144</v>
      </c>
      <c r="CC5" s="52"/>
      <c r="CD5" s="52"/>
      <c r="CE5" s="52" t="s">
        <v>3263</v>
      </c>
      <c r="CF5" s="52" t="s">
        <v>0</v>
      </c>
    </row>
    <row r="6" spans="1:84" ht="27">
      <c r="A6" s="6" t="s">
        <v>6514</v>
      </c>
      <c r="B6" s="200"/>
      <c r="C6" s="36" t="s">
        <v>214</v>
      </c>
      <c r="D6" s="36" t="s">
        <v>214</v>
      </c>
      <c r="E6" s="36" t="s">
        <v>214</v>
      </c>
      <c r="F6" s="36" t="s">
        <v>2795</v>
      </c>
      <c r="G6" s="38" t="s">
        <v>214</v>
      </c>
      <c r="H6" s="38" t="s">
        <v>215</v>
      </c>
      <c r="I6" s="36" t="s">
        <v>214</v>
      </c>
      <c r="J6" s="38" t="s">
        <v>214</v>
      </c>
      <c r="K6" s="36" t="s">
        <v>214</v>
      </c>
      <c r="L6" s="36" t="s">
        <v>214</v>
      </c>
      <c r="M6" s="38" t="s">
        <v>214</v>
      </c>
      <c r="N6" s="36" t="s">
        <v>214</v>
      </c>
      <c r="O6" s="38" t="s">
        <v>198</v>
      </c>
      <c r="P6" s="36" t="s">
        <v>5498</v>
      </c>
      <c r="Q6" s="36" t="s">
        <v>5498</v>
      </c>
      <c r="R6" s="38" t="s">
        <v>67</v>
      </c>
      <c r="S6" s="36" t="s">
        <v>215</v>
      </c>
      <c r="T6" s="36" t="s">
        <v>3287</v>
      </c>
      <c r="U6" s="36" t="s">
        <v>3287</v>
      </c>
      <c r="V6" s="36" t="s">
        <v>394</v>
      </c>
      <c r="W6" s="36" t="s">
        <v>58</v>
      </c>
      <c r="X6" s="36" t="s">
        <v>201</v>
      </c>
      <c r="Y6" s="7" t="s">
        <v>13</v>
      </c>
      <c r="Z6" s="7" t="s">
        <v>13</v>
      </c>
      <c r="AA6" s="7" t="s">
        <v>13</v>
      </c>
      <c r="AB6" s="38" t="s">
        <v>192</v>
      </c>
      <c r="AC6" s="36" t="s">
        <v>201</v>
      </c>
      <c r="AD6" s="36" t="s">
        <v>13</v>
      </c>
      <c r="AE6" s="7" t="s">
        <v>67</v>
      </c>
      <c r="AF6" s="7" t="s">
        <v>67</v>
      </c>
      <c r="AG6" s="36" t="s">
        <v>214</v>
      </c>
      <c r="AH6" s="36" t="s">
        <v>215</v>
      </c>
      <c r="AI6" s="36" t="s">
        <v>215</v>
      </c>
      <c r="AJ6" s="7" t="s">
        <v>200</v>
      </c>
      <c r="AK6" s="7" t="s">
        <v>13</v>
      </c>
      <c r="AL6" s="37" t="s">
        <v>4198</v>
      </c>
      <c r="AM6" s="36" t="s">
        <v>214</v>
      </c>
      <c r="AN6" s="36" t="s">
        <v>214</v>
      </c>
      <c r="AO6" s="38" t="s">
        <v>58</v>
      </c>
      <c r="AP6" s="38" t="s">
        <v>214</v>
      </c>
      <c r="AQ6" s="38" t="s">
        <v>214</v>
      </c>
      <c r="AR6" s="38" t="s">
        <v>13</v>
      </c>
      <c r="AS6" s="38" t="s">
        <v>13</v>
      </c>
      <c r="AT6" s="38" t="s">
        <v>192</v>
      </c>
      <c r="AU6" s="38" t="s">
        <v>192</v>
      </c>
      <c r="AV6" s="36" t="s">
        <v>4368</v>
      </c>
      <c r="AW6" s="36" t="s">
        <v>4368</v>
      </c>
      <c r="AX6" s="38" t="s">
        <v>214</v>
      </c>
      <c r="AY6" s="38" t="s">
        <v>214</v>
      </c>
      <c r="AZ6" s="36" t="s">
        <v>13</v>
      </c>
      <c r="BA6" s="36" t="s">
        <v>13</v>
      </c>
      <c r="BB6" s="36" t="s">
        <v>3550</v>
      </c>
      <c r="BC6" s="38" t="s">
        <v>58</v>
      </c>
      <c r="BD6" s="36" t="s">
        <v>9690</v>
      </c>
      <c r="BE6" s="38" t="s">
        <v>402</v>
      </c>
      <c r="BF6" s="36" t="s">
        <v>7566</v>
      </c>
      <c r="BG6" s="38" t="s">
        <v>13</v>
      </c>
      <c r="BH6" s="38" t="s">
        <v>13</v>
      </c>
      <c r="BI6" s="38" t="s">
        <v>13</v>
      </c>
      <c r="BJ6" s="38" t="s">
        <v>13</v>
      </c>
      <c r="BK6" s="38" t="s">
        <v>192</v>
      </c>
      <c r="BL6" s="38" t="s">
        <v>201</v>
      </c>
      <c r="BM6" s="38" t="s">
        <v>0</v>
      </c>
      <c r="BN6" s="38" t="s">
        <v>200</v>
      </c>
      <c r="BO6" s="38" t="s">
        <v>214</v>
      </c>
      <c r="BP6" s="38" t="s">
        <v>214</v>
      </c>
      <c r="BQ6" s="38" t="s">
        <v>214</v>
      </c>
      <c r="BR6" s="38" t="s">
        <v>214</v>
      </c>
      <c r="BS6" s="38" t="s">
        <v>214</v>
      </c>
      <c r="BT6" s="38" t="s">
        <v>214</v>
      </c>
      <c r="BU6" s="36" t="s">
        <v>2818</v>
      </c>
      <c r="BV6" s="36" t="s">
        <v>13</v>
      </c>
      <c r="BW6" s="38" t="s">
        <v>201</v>
      </c>
      <c r="BX6" s="36" t="s">
        <v>3761</v>
      </c>
      <c r="BY6" s="36" t="s">
        <v>3761</v>
      </c>
      <c r="BZ6" s="36" t="s">
        <v>214</v>
      </c>
      <c r="CA6" s="38" t="s">
        <v>200</v>
      </c>
      <c r="CB6" s="38" t="s">
        <v>201</v>
      </c>
      <c r="CC6" s="38" t="s">
        <v>13</v>
      </c>
      <c r="CD6" s="38" t="s">
        <v>13</v>
      </c>
      <c r="CE6" s="38" t="s">
        <v>13</v>
      </c>
      <c r="CF6" s="38" t="s">
        <v>58</v>
      </c>
    </row>
    <row r="7" spans="1:84">
      <c r="A7" s="51" t="s">
        <v>935</v>
      </c>
      <c r="B7" s="51"/>
      <c r="C7" s="52" t="s">
        <v>2315</v>
      </c>
      <c r="D7" s="52" t="s">
        <v>2315</v>
      </c>
      <c r="E7" s="52" t="s">
        <v>2794</v>
      </c>
      <c r="F7" s="52" t="s">
        <v>2794</v>
      </c>
      <c r="G7" s="52" t="s">
        <v>1427</v>
      </c>
      <c r="H7" s="52" t="s">
        <v>1413</v>
      </c>
      <c r="I7" s="52" t="s">
        <v>8218</v>
      </c>
      <c r="J7" s="52" t="s">
        <v>1636</v>
      </c>
      <c r="K7" s="52" t="s">
        <v>8218</v>
      </c>
      <c r="L7" s="52" t="s">
        <v>8218</v>
      </c>
      <c r="M7" s="52" t="s">
        <v>1636</v>
      </c>
      <c r="N7" s="52" t="s">
        <v>8218</v>
      </c>
      <c r="O7" s="52" t="s">
        <v>5269</v>
      </c>
      <c r="P7" s="52" t="s">
        <v>8642</v>
      </c>
      <c r="Q7" s="52" t="s">
        <v>8642</v>
      </c>
      <c r="R7" s="52" t="s">
        <v>5820</v>
      </c>
      <c r="S7" s="52" t="s">
        <v>8572</v>
      </c>
      <c r="T7" s="52" t="s">
        <v>6292</v>
      </c>
      <c r="U7" s="52" t="s">
        <v>6292</v>
      </c>
      <c r="V7" s="84"/>
      <c r="W7" s="52" t="s">
        <v>0</v>
      </c>
      <c r="X7" s="52" t="s">
        <v>6384</v>
      </c>
      <c r="Y7" s="52" t="s">
        <v>2421</v>
      </c>
      <c r="Z7" s="52" t="s">
        <v>2421</v>
      </c>
      <c r="AA7" s="52" t="s">
        <v>2421</v>
      </c>
      <c r="AB7" s="52" t="s">
        <v>4633</v>
      </c>
      <c r="AC7" s="52" t="s">
        <v>4633</v>
      </c>
      <c r="AD7" s="52" t="s">
        <v>4632</v>
      </c>
      <c r="AE7" s="52" t="s">
        <v>6082</v>
      </c>
      <c r="AF7" s="52" t="s">
        <v>6081</v>
      </c>
      <c r="AG7" s="186" t="s">
        <v>7089</v>
      </c>
      <c r="AH7" s="186" t="s">
        <v>7124</v>
      </c>
      <c r="AI7" s="186" t="s">
        <v>7176</v>
      </c>
      <c r="AJ7" s="52" t="s">
        <v>6087</v>
      </c>
      <c r="AK7" s="52" t="s">
        <v>1923</v>
      </c>
      <c r="AL7" s="52" t="s">
        <v>4199</v>
      </c>
      <c r="AM7" s="52" t="s">
        <v>5450</v>
      </c>
      <c r="AN7" s="52" t="s">
        <v>5450</v>
      </c>
      <c r="AO7" s="52" t="s">
        <v>4269</v>
      </c>
      <c r="AP7" s="38" t="s">
        <v>0</v>
      </c>
      <c r="AQ7" s="52" t="s">
        <v>6328</v>
      </c>
      <c r="AR7" s="52"/>
      <c r="AS7" s="52" t="s">
        <v>1025</v>
      </c>
      <c r="AT7" s="52" t="s">
        <v>1025</v>
      </c>
      <c r="AU7" s="52" t="s">
        <v>1025</v>
      </c>
      <c r="AV7" s="52" t="s">
        <v>4367</v>
      </c>
      <c r="AW7" s="52" t="s">
        <v>4367</v>
      </c>
      <c r="AX7" s="52" t="s">
        <v>1352</v>
      </c>
      <c r="AY7" s="52" t="s">
        <v>1352</v>
      </c>
      <c r="AZ7" s="52" t="s">
        <v>3656</v>
      </c>
      <c r="BA7" s="52" t="s">
        <v>3571</v>
      </c>
      <c r="BB7" s="52" t="s">
        <v>3549</v>
      </c>
      <c r="BC7" s="52" t="s">
        <v>4928</v>
      </c>
      <c r="BD7" s="52" t="s">
        <v>7769</v>
      </c>
      <c r="BE7" s="52" t="s">
        <v>4928</v>
      </c>
      <c r="BF7" s="52" t="s">
        <v>0</v>
      </c>
      <c r="BG7" s="52" t="s">
        <v>5020</v>
      </c>
      <c r="BH7" s="52" t="s">
        <v>7802</v>
      </c>
      <c r="BI7" s="52" t="s">
        <v>7802</v>
      </c>
      <c r="BJ7" s="52" t="s">
        <v>5020</v>
      </c>
      <c r="BK7" s="52"/>
      <c r="BL7" s="52"/>
      <c r="BM7" s="52" t="s">
        <v>0</v>
      </c>
      <c r="BN7" s="52" t="s">
        <v>3873</v>
      </c>
      <c r="BO7" s="52" t="s">
        <v>1636</v>
      </c>
      <c r="BP7" s="52" t="s">
        <v>2315</v>
      </c>
      <c r="BQ7" s="52" t="s">
        <v>2315</v>
      </c>
      <c r="BR7" s="52" t="s">
        <v>2721</v>
      </c>
      <c r="BS7" s="52" t="s">
        <v>2721</v>
      </c>
      <c r="BT7" s="52" t="s">
        <v>2721</v>
      </c>
      <c r="BU7" s="84" t="s">
        <v>2819</v>
      </c>
      <c r="BV7" s="84"/>
      <c r="BW7" s="52"/>
      <c r="BX7" s="52" t="s">
        <v>3823</v>
      </c>
      <c r="BY7" s="52" t="s">
        <v>3901</v>
      </c>
      <c r="BZ7" s="52" t="s">
        <v>6162</v>
      </c>
      <c r="CA7" s="52" t="s">
        <v>3134</v>
      </c>
      <c r="CB7" s="52" t="s">
        <v>3089</v>
      </c>
      <c r="CC7" s="52"/>
      <c r="CD7" s="52"/>
      <c r="CE7" s="52" t="s">
        <v>3262</v>
      </c>
      <c r="CF7" s="52" t="s">
        <v>0</v>
      </c>
    </row>
    <row r="8" spans="1:84" ht="27">
      <c r="A8" s="6" t="s">
        <v>6718</v>
      </c>
      <c r="B8" s="200" t="s">
        <v>7125</v>
      </c>
      <c r="C8" s="38" t="s">
        <v>22</v>
      </c>
      <c r="D8" s="38" t="s">
        <v>22</v>
      </c>
      <c r="E8" s="38" t="s">
        <v>22</v>
      </c>
      <c r="F8" s="38" t="s">
        <v>22</v>
      </c>
      <c r="G8" s="36" t="s">
        <v>1482</v>
      </c>
      <c r="H8" s="36" t="s">
        <v>1482</v>
      </c>
      <c r="I8" s="38" t="s">
        <v>22</v>
      </c>
      <c r="J8" s="38" t="s">
        <v>22</v>
      </c>
      <c r="K8" s="38" t="s">
        <v>22</v>
      </c>
      <c r="L8" s="36" t="s">
        <v>8484</v>
      </c>
      <c r="M8" s="38" t="s">
        <v>22</v>
      </c>
      <c r="N8" s="38" t="s">
        <v>22</v>
      </c>
      <c r="O8" s="36" t="s">
        <v>5268</v>
      </c>
      <c r="P8" s="36" t="s">
        <v>8484</v>
      </c>
      <c r="Q8" s="36" t="s">
        <v>8484</v>
      </c>
      <c r="R8" s="36" t="s">
        <v>5282</v>
      </c>
      <c r="S8" s="36" t="s">
        <v>8484</v>
      </c>
      <c r="T8" s="36" t="s">
        <v>3288</v>
      </c>
      <c r="U8" s="36" t="s">
        <v>3288</v>
      </c>
      <c r="V8" s="143" t="s">
        <v>5713</v>
      </c>
      <c r="W8" s="36" t="s">
        <v>2210</v>
      </c>
      <c r="X8" s="36" t="s">
        <v>6387</v>
      </c>
      <c r="Y8" s="7" t="s">
        <v>22</v>
      </c>
      <c r="Z8" s="7" t="s">
        <v>22</v>
      </c>
      <c r="AA8" s="7" t="s">
        <v>22</v>
      </c>
      <c r="AB8" s="36" t="s">
        <v>4636</v>
      </c>
      <c r="AC8" s="38" t="s">
        <v>22</v>
      </c>
      <c r="AD8" s="36" t="s">
        <v>4636</v>
      </c>
      <c r="AE8" s="7" t="s">
        <v>22</v>
      </c>
      <c r="AF8" s="7" t="s">
        <v>22</v>
      </c>
      <c r="AG8" s="7" t="s">
        <v>22</v>
      </c>
      <c r="AH8" s="7" t="s">
        <v>7127</v>
      </c>
      <c r="AI8" s="7" t="s">
        <v>7178</v>
      </c>
      <c r="AJ8" s="7" t="s">
        <v>22</v>
      </c>
      <c r="AK8" s="7" t="s">
        <v>22</v>
      </c>
      <c r="AL8" s="7" t="s">
        <v>22</v>
      </c>
      <c r="AM8" s="38" t="s">
        <v>22</v>
      </c>
      <c r="AN8" s="38" t="s">
        <v>22</v>
      </c>
      <c r="AO8" s="38" t="s">
        <v>401</v>
      </c>
      <c r="AP8" s="36" t="s">
        <v>401</v>
      </c>
      <c r="AQ8" s="36" t="s">
        <v>401</v>
      </c>
      <c r="AR8" s="38" t="s">
        <v>22</v>
      </c>
      <c r="AS8" s="38" t="s">
        <v>22</v>
      </c>
      <c r="AT8" s="38" t="s">
        <v>22</v>
      </c>
      <c r="AU8" s="38" t="s">
        <v>22</v>
      </c>
      <c r="AV8" s="38" t="s">
        <v>22</v>
      </c>
      <c r="AW8" s="38" t="s">
        <v>22</v>
      </c>
      <c r="AX8" s="38" t="s">
        <v>22</v>
      </c>
      <c r="AY8" s="38" t="s">
        <v>22</v>
      </c>
      <c r="AZ8" s="38" t="s">
        <v>263</v>
      </c>
      <c r="BA8" s="36" t="s">
        <v>4522</v>
      </c>
      <c r="BB8" s="36" t="s">
        <v>5745</v>
      </c>
      <c r="BC8" s="36" t="s">
        <v>84</v>
      </c>
      <c r="BD8" s="36" t="s">
        <v>7770</v>
      </c>
      <c r="BE8" s="36" t="s">
        <v>4929</v>
      </c>
      <c r="BF8" s="36" t="s">
        <v>7617</v>
      </c>
      <c r="BG8" s="38" t="s">
        <v>22</v>
      </c>
      <c r="BH8" s="36" t="s">
        <v>7806</v>
      </c>
      <c r="BI8" s="36" t="s">
        <v>7806</v>
      </c>
      <c r="BJ8" s="38" t="s">
        <v>22</v>
      </c>
      <c r="BK8" s="36" t="s">
        <v>550</v>
      </c>
      <c r="BL8" s="36" t="s">
        <v>572</v>
      </c>
      <c r="BM8" s="38" t="s">
        <v>0</v>
      </c>
      <c r="BN8" s="38" t="s">
        <v>22</v>
      </c>
      <c r="BO8" s="36" t="s">
        <v>401</v>
      </c>
      <c r="BP8" s="38" t="s">
        <v>22</v>
      </c>
      <c r="BQ8" s="38" t="s">
        <v>22</v>
      </c>
      <c r="BR8" s="38" t="s">
        <v>22</v>
      </c>
      <c r="BS8" s="38" t="s">
        <v>22</v>
      </c>
      <c r="BT8" s="38" t="s">
        <v>22</v>
      </c>
      <c r="BU8" s="36" t="s">
        <v>5072</v>
      </c>
      <c r="BV8" s="36" t="s">
        <v>681</v>
      </c>
      <c r="BW8" s="38" t="s">
        <v>681</v>
      </c>
      <c r="BX8" s="36" t="s">
        <v>3762</v>
      </c>
      <c r="BY8" s="36" t="s">
        <v>3762</v>
      </c>
      <c r="BZ8" s="36" t="s">
        <v>2210</v>
      </c>
      <c r="CA8" s="38" t="s">
        <v>22</v>
      </c>
      <c r="CB8" s="38" t="s">
        <v>22</v>
      </c>
      <c r="CC8" s="38" t="s">
        <v>22</v>
      </c>
      <c r="CD8" s="38" t="s">
        <v>22</v>
      </c>
      <c r="CE8" s="38" t="s">
        <v>22</v>
      </c>
      <c r="CF8" s="36" t="s">
        <v>2210</v>
      </c>
    </row>
    <row r="9" spans="1:84" ht="27">
      <c r="A9" s="51" t="s">
        <v>935</v>
      </c>
      <c r="B9" s="51"/>
      <c r="C9" s="52" t="s">
        <v>1442</v>
      </c>
      <c r="D9" s="52" t="s">
        <v>1442</v>
      </c>
      <c r="E9" s="52" t="s">
        <v>2793</v>
      </c>
      <c r="F9" s="52" t="s">
        <v>2793</v>
      </c>
      <c r="G9" s="52" t="s">
        <v>1479</v>
      </c>
      <c r="H9" s="52" t="s">
        <v>1479</v>
      </c>
      <c r="I9" s="52" t="s">
        <v>8219</v>
      </c>
      <c r="J9" s="52" t="s">
        <v>1442</v>
      </c>
      <c r="K9" s="52" t="s">
        <v>8219</v>
      </c>
      <c r="L9" s="84" t="s">
        <v>8485</v>
      </c>
      <c r="M9" s="52" t="s">
        <v>1442</v>
      </c>
      <c r="N9" s="52" t="s">
        <v>8219</v>
      </c>
      <c r="O9" s="52" t="s">
        <v>5266</v>
      </c>
      <c r="P9" s="84" t="s">
        <v>8643</v>
      </c>
      <c r="Q9" s="84" t="s">
        <v>8643</v>
      </c>
      <c r="R9" s="52" t="s">
        <v>5281</v>
      </c>
      <c r="S9" s="84" t="s">
        <v>8567</v>
      </c>
      <c r="T9" s="52" t="s">
        <v>5540</v>
      </c>
      <c r="U9" s="52" t="s">
        <v>5540</v>
      </c>
      <c r="V9" s="84"/>
      <c r="W9" s="52" t="s">
        <v>4453</v>
      </c>
      <c r="X9" s="52" t="s">
        <v>6388</v>
      </c>
      <c r="Y9" s="52" t="s">
        <v>2422</v>
      </c>
      <c r="Z9" s="52" t="s">
        <v>2422</v>
      </c>
      <c r="AA9" s="52" t="s">
        <v>2422</v>
      </c>
      <c r="AB9" s="52" t="s">
        <v>5918</v>
      </c>
      <c r="AC9" s="52" t="s">
        <v>5918</v>
      </c>
      <c r="AD9" s="52" t="s">
        <v>5951</v>
      </c>
      <c r="AE9" s="52" t="s">
        <v>1687</v>
      </c>
      <c r="AF9" s="52" t="s">
        <v>1687</v>
      </c>
      <c r="AG9" s="186" t="s">
        <v>7090</v>
      </c>
      <c r="AH9" s="186" t="s">
        <v>7126</v>
      </c>
      <c r="AI9" s="186" t="s">
        <v>7177</v>
      </c>
      <c r="AJ9" s="52" t="s">
        <v>1443</v>
      </c>
      <c r="AK9" s="52" t="s">
        <v>1443</v>
      </c>
      <c r="AL9" s="52" t="s">
        <v>1443</v>
      </c>
      <c r="AM9" s="52" t="s">
        <v>1443</v>
      </c>
      <c r="AN9" s="52" t="s">
        <v>1443</v>
      </c>
      <c r="AO9" s="52" t="s">
        <v>4270</v>
      </c>
      <c r="AP9" s="52" t="s">
        <v>2599</v>
      </c>
      <c r="AQ9" s="52" t="s">
        <v>2599</v>
      </c>
      <c r="AR9" s="52"/>
      <c r="AS9" s="52" t="s">
        <v>1963</v>
      </c>
      <c r="AT9" s="52" t="s">
        <v>1963</v>
      </c>
      <c r="AU9" s="52" t="s">
        <v>1963</v>
      </c>
      <c r="AV9" s="52" t="s">
        <v>1442</v>
      </c>
      <c r="AW9" s="52" t="s">
        <v>1442</v>
      </c>
      <c r="AX9" s="52" t="s">
        <v>1687</v>
      </c>
      <c r="AY9" s="52" t="s">
        <v>1687</v>
      </c>
      <c r="AZ9" s="52" t="s">
        <v>3659</v>
      </c>
      <c r="BA9" s="52" t="s">
        <v>4526</v>
      </c>
      <c r="BB9" s="52" t="s">
        <v>4523</v>
      </c>
      <c r="BC9" s="52" t="s">
        <v>4931</v>
      </c>
      <c r="BD9" s="52" t="s">
        <v>7771</v>
      </c>
      <c r="BE9" s="52" t="s">
        <v>4930</v>
      </c>
      <c r="BF9" s="52" t="s">
        <v>7772</v>
      </c>
      <c r="BG9" s="52" t="s">
        <v>4568</v>
      </c>
      <c r="BH9" s="52" t="s">
        <v>7805</v>
      </c>
      <c r="BI9" s="52" t="s">
        <v>7805</v>
      </c>
      <c r="BJ9" s="52" t="s">
        <v>4568</v>
      </c>
      <c r="BK9" s="52"/>
      <c r="BL9" s="52"/>
      <c r="BM9" s="52" t="s">
        <v>0</v>
      </c>
      <c r="BN9" s="52" t="s">
        <v>1687</v>
      </c>
      <c r="BO9" s="52" t="s">
        <v>6270</v>
      </c>
      <c r="BP9" s="52" t="s">
        <v>1442</v>
      </c>
      <c r="BQ9" s="52" t="s">
        <v>1442</v>
      </c>
      <c r="BR9" s="52" t="s">
        <v>2729</v>
      </c>
      <c r="BS9" s="52" t="s">
        <v>2729</v>
      </c>
      <c r="BT9" s="52" t="s">
        <v>2729</v>
      </c>
      <c r="BU9" s="84" t="s">
        <v>5074</v>
      </c>
      <c r="BV9" s="84"/>
      <c r="BW9" s="52"/>
      <c r="BX9" s="52" t="s">
        <v>3909</v>
      </c>
      <c r="BY9" s="52" t="s">
        <v>3837</v>
      </c>
      <c r="BZ9" s="52" t="s">
        <v>6266</v>
      </c>
      <c r="CA9" s="52" t="s">
        <v>1442</v>
      </c>
      <c r="CB9" s="52" t="s">
        <v>1442</v>
      </c>
      <c r="CC9" s="52"/>
      <c r="CD9" s="52"/>
      <c r="CE9" s="52" t="s">
        <v>1442</v>
      </c>
      <c r="CF9" s="52" t="s">
        <v>2209</v>
      </c>
    </row>
    <row r="10" spans="1:84" ht="18">
      <c r="A10" s="82" t="s">
        <v>6515</v>
      </c>
      <c r="B10" s="200"/>
      <c r="C10" s="36"/>
      <c r="D10" s="38"/>
      <c r="E10" s="38"/>
      <c r="F10" s="36"/>
      <c r="G10" s="38"/>
      <c r="H10" s="38"/>
      <c r="I10" s="38" t="s">
        <v>0</v>
      </c>
      <c r="J10" s="38"/>
      <c r="K10" s="159" t="s">
        <v>8687</v>
      </c>
      <c r="L10" s="159" t="s">
        <v>8687</v>
      </c>
      <c r="M10" s="38"/>
      <c r="N10" s="159" t="s">
        <v>8306</v>
      </c>
      <c r="O10" s="38"/>
      <c r="P10" s="159" t="s">
        <v>8687</v>
      </c>
      <c r="Q10" s="159" t="s">
        <v>8687</v>
      </c>
      <c r="R10" s="38"/>
      <c r="S10" s="159" t="s">
        <v>8687</v>
      </c>
      <c r="T10" s="38"/>
      <c r="U10" s="38"/>
      <c r="V10" s="143"/>
      <c r="W10" s="38"/>
      <c r="X10" s="36"/>
      <c r="Y10" s="38"/>
      <c r="Z10" s="38"/>
      <c r="AA10" s="38"/>
      <c r="AB10" s="38"/>
      <c r="AC10" s="38"/>
      <c r="AD10" s="38"/>
      <c r="AE10" s="7"/>
      <c r="AF10" s="7"/>
      <c r="AG10" s="159" t="s">
        <v>6983</v>
      </c>
      <c r="AH10" s="159" t="s">
        <v>6983</v>
      </c>
      <c r="AI10" s="159" t="s">
        <v>6983</v>
      </c>
      <c r="AJ10" s="225"/>
      <c r="AK10" s="215"/>
      <c r="AL10" s="225"/>
      <c r="AM10" s="113"/>
      <c r="AN10" s="113"/>
      <c r="AO10" s="113"/>
      <c r="AP10" s="113"/>
      <c r="AQ10" s="113"/>
      <c r="AR10" s="113"/>
      <c r="AS10" s="113"/>
      <c r="AT10" s="113"/>
      <c r="AU10" s="113"/>
      <c r="AV10" s="113"/>
      <c r="AW10" s="113"/>
      <c r="AX10" s="113"/>
      <c r="AY10" s="113"/>
      <c r="AZ10" s="113"/>
      <c r="BA10" s="113"/>
      <c r="BB10" s="113"/>
      <c r="BC10" s="113"/>
      <c r="BD10" s="159" t="s">
        <v>7567</v>
      </c>
      <c r="BE10" s="113"/>
      <c r="BF10" s="159" t="s">
        <v>7567</v>
      </c>
      <c r="BG10" s="113"/>
      <c r="BH10" s="159" t="s">
        <v>7567</v>
      </c>
      <c r="BI10" s="159" t="s">
        <v>7567</v>
      </c>
      <c r="BJ10" s="113"/>
      <c r="BK10" s="114"/>
      <c r="BL10" s="114"/>
      <c r="BM10" s="113"/>
      <c r="BN10" s="113"/>
      <c r="BO10" s="113"/>
      <c r="BP10" s="113"/>
      <c r="BQ10" s="113"/>
      <c r="BR10" s="113"/>
      <c r="BS10" s="113"/>
      <c r="BT10" s="113"/>
      <c r="BU10" s="114"/>
      <c r="BV10" s="114"/>
      <c r="BW10" s="113"/>
      <c r="BX10" s="113"/>
      <c r="BY10" s="113"/>
      <c r="BZ10" s="113"/>
      <c r="CA10" s="113"/>
      <c r="CB10" s="113"/>
      <c r="CC10" s="113"/>
      <c r="CD10" s="113"/>
      <c r="CE10" s="113"/>
      <c r="CF10" s="113"/>
    </row>
    <row r="11" spans="1:84">
      <c r="A11" s="51" t="s">
        <v>935</v>
      </c>
      <c r="B11" s="51"/>
      <c r="C11" s="52"/>
      <c r="D11" s="52"/>
      <c r="E11" s="52"/>
      <c r="F11" s="52"/>
      <c r="G11" s="52"/>
      <c r="H11" s="52"/>
      <c r="I11" s="52" t="s">
        <v>5680</v>
      </c>
      <c r="J11" s="52"/>
      <c r="K11" s="52" t="s">
        <v>8391</v>
      </c>
      <c r="L11" s="52" t="s">
        <v>8486</v>
      </c>
      <c r="M11" s="52"/>
      <c r="N11" s="52" t="s">
        <v>8307</v>
      </c>
      <c r="O11" s="52"/>
      <c r="P11" s="52" t="s">
        <v>8644</v>
      </c>
      <c r="Q11" s="52" t="s">
        <v>9130</v>
      </c>
      <c r="R11" s="52"/>
      <c r="S11" s="52" t="s">
        <v>8568</v>
      </c>
      <c r="T11" s="52"/>
      <c r="U11" s="52"/>
      <c r="V11" s="84"/>
      <c r="W11" s="52"/>
      <c r="X11" s="52"/>
      <c r="Y11" s="52"/>
      <c r="Z11" s="52"/>
      <c r="AA11" s="52"/>
      <c r="AB11" s="52"/>
      <c r="AC11" s="52"/>
      <c r="AD11" s="52"/>
      <c r="AE11" s="52"/>
      <c r="AF11" s="52"/>
      <c r="AG11" s="186" t="s">
        <v>7060</v>
      </c>
      <c r="AH11" s="186" t="s">
        <v>6982</v>
      </c>
      <c r="AI11" s="186" t="s">
        <v>6982</v>
      </c>
      <c r="AJ11" s="52"/>
      <c r="AK11" s="52"/>
      <c r="AL11" s="52"/>
      <c r="AM11" s="52"/>
      <c r="AN11" s="52"/>
      <c r="AO11" s="52"/>
      <c r="AP11" s="52"/>
      <c r="AQ11" s="52"/>
      <c r="AR11" s="52"/>
      <c r="AS11" s="52"/>
      <c r="AT11" s="52"/>
      <c r="AU11" s="52"/>
      <c r="AV11" s="52"/>
      <c r="AW11" s="52"/>
      <c r="AX11" s="52"/>
      <c r="AY11" s="52"/>
      <c r="AZ11" s="52"/>
      <c r="BA11" s="52"/>
      <c r="BB11" s="52"/>
      <c r="BC11" s="52"/>
      <c r="BD11" s="52" t="s">
        <v>7685</v>
      </c>
      <c r="BE11" s="52"/>
      <c r="BF11" s="52" t="s">
        <v>7785</v>
      </c>
      <c r="BG11" s="52"/>
      <c r="BH11" s="52" t="s">
        <v>7862</v>
      </c>
      <c r="BI11" s="52" t="s">
        <v>7786</v>
      </c>
      <c r="BJ11" s="52"/>
      <c r="BK11" s="52"/>
      <c r="BL11" s="52"/>
      <c r="BM11" s="52"/>
      <c r="BN11" s="52"/>
      <c r="BO11" s="52"/>
      <c r="BP11" s="52"/>
      <c r="BQ11" s="52"/>
      <c r="BR11" s="52"/>
      <c r="BS11" s="52"/>
      <c r="BT11" s="52"/>
      <c r="BU11" s="84"/>
      <c r="BV11" s="84"/>
      <c r="BW11" s="52"/>
      <c r="BX11" s="52"/>
      <c r="BY11" s="52"/>
      <c r="BZ11" s="52"/>
      <c r="CA11" s="52"/>
      <c r="CB11" s="52"/>
      <c r="CC11" s="52"/>
      <c r="CD11" s="52"/>
      <c r="CE11" s="52"/>
      <c r="CF11" s="52"/>
    </row>
    <row r="12" spans="1:84" ht="27">
      <c r="A12" s="182" t="s">
        <v>6980</v>
      </c>
      <c r="B12" s="200"/>
      <c r="C12" s="212" t="s">
        <v>57</v>
      </c>
      <c r="D12" s="214" t="s">
        <v>57</v>
      </c>
      <c r="E12" s="214" t="s">
        <v>0</v>
      </c>
      <c r="F12" s="212" t="s">
        <v>4492</v>
      </c>
      <c r="G12" s="214" t="s">
        <v>57</v>
      </c>
      <c r="H12" s="214" t="s">
        <v>57</v>
      </c>
      <c r="I12" s="36" t="s">
        <v>0</v>
      </c>
      <c r="J12" s="214" t="s">
        <v>57</v>
      </c>
      <c r="K12" s="36" t="s">
        <v>57</v>
      </c>
      <c r="L12" s="36" t="s">
        <v>57</v>
      </c>
      <c r="M12" s="214" t="s">
        <v>57</v>
      </c>
      <c r="N12" s="36" t="s">
        <v>57</v>
      </c>
      <c r="O12" s="214" t="s">
        <v>57</v>
      </c>
      <c r="P12" s="36" t="s">
        <v>57</v>
      </c>
      <c r="Q12" s="36" t="s">
        <v>57</v>
      </c>
      <c r="R12" s="214" t="s">
        <v>57</v>
      </c>
      <c r="S12" s="36" t="s">
        <v>57</v>
      </c>
      <c r="T12" s="214" t="s">
        <v>5538</v>
      </c>
      <c r="U12" s="214" t="s">
        <v>5538</v>
      </c>
      <c r="V12" s="217" t="s">
        <v>57</v>
      </c>
      <c r="W12" s="214" t="s">
        <v>57</v>
      </c>
      <c r="X12" s="212" t="s">
        <v>6390</v>
      </c>
      <c r="Y12" s="214" t="s">
        <v>0</v>
      </c>
      <c r="Z12" s="214" t="s">
        <v>0</v>
      </c>
      <c r="AA12" s="214" t="s">
        <v>0</v>
      </c>
      <c r="AB12" s="214" t="s">
        <v>57</v>
      </c>
      <c r="AC12" s="214" t="s">
        <v>57</v>
      </c>
      <c r="AD12" s="214" t="s">
        <v>57</v>
      </c>
      <c r="AE12" s="213" t="s">
        <v>57</v>
      </c>
      <c r="AF12" s="213" t="s">
        <v>57</v>
      </c>
      <c r="AG12" s="36" t="s">
        <v>57</v>
      </c>
      <c r="AH12" s="36" t="s">
        <v>57</v>
      </c>
      <c r="AI12" s="36" t="s">
        <v>57</v>
      </c>
      <c r="AJ12" s="218" t="s">
        <v>0</v>
      </c>
      <c r="AK12" s="213" t="s">
        <v>0</v>
      </c>
      <c r="AL12" s="218" t="s">
        <v>0</v>
      </c>
      <c r="AM12" s="214" t="s">
        <v>57</v>
      </c>
      <c r="AN12" s="214" t="s">
        <v>57</v>
      </c>
      <c r="AO12" s="214" t="s">
        <v>0</v>
      </c>
      <c r="AP12" s="214" t="s">
        <v>0</v>
      </c>
      <c r="AQ12" s="214" t="s">
        <v>0</v>
      </c>
      <c r="AR12" s="214" t="s">
        <v>0</v>
      </c>
      <c r="AS12" s="214" t="s">
        <v>57</v>
      </c>
      <c r="AT12" s="214" t="s">
        <v>57</v>
      </c>
      <c r="AU12" s="214" t="s">
        <v>57</v>
      </c>
      <c r="AV12" s="214" t="s">
        <v>0</v>
      </c>
      <c r="AW12" s="214" t="s">
        <v>0</v>
      </c>
      <c r="AX12" s="214" t="s">
        <v>57</v>
      </c>
      <c r="AY12" s="214" t="s">
        <v>57</v>
      </c>
      <c r="AZ12" s="214" t="s">
        <v>57</v>
      </c>
      <c r="BA12" s="214" t="s">
        <v>57</v>
      </c>
      <c r="BB12" s="214" t="s">
        <v>57</v>
      </c>
      <c r="BC12" s="214" t="s">
        <v>57</v>
      </c>
      <c r="BD12" s="36" t="s">
        <v>57</v>
      </c>
      <c r="BE12" s="214" t="s">
        <v>57</v>
      </c>
      <c r="BF12" s="36" t="s">
        <v>57</v>
      </c>
      <c r="BG12" s="214" t="s">
        <v>57</v>
      </c>
      <c r="BH12" s="36" t="s">
        <v>57</v>
      </c>
      <c r="BI12" s="36" t="s">
        <v>57</v>
      </c>
      <c r="BJ12" s="214" t="s">
        <v>57</v>
      </c>
      <c r="BK12" s="212" t="s">
        <v>551</v>
      </c>
      <c r="BL12" s="212" t="s">
        <v>573</v>
      </c>
      <c r="BM12" s="214" t="s">
        <v>0</v>
      </c>
      <c r="BN12" s="214" t="s">
        <v>57</v>
      </c>
      <c r="BO12" s="214" t="s">
        <v>57</v>
      </c>
      <c r="BP12" s="214" t="s">
        <v>57</v>
      </c>
      <c r="BQ12" s="214" t="s">
        <v>57</v>
      </c>
      <c r="BR12" s="214" t="s">
        <v>0</v>
      </c>
      <c r="BS12" s="214" t="s">
        <v>0</v>
      </c>
      <c r="BT12" s="214" t="s">
        <v>0</v>
      </c>
      <c r="BU12" s="212" t="s">
        <v>0</v>
      </c>
      <c r="BV12" s="212" t="s">
        <v>57</v>
      </c>
      <c r="BW12" s="214" t="s">
        <v>57</v>
      </c>
      <c r="BX12" s="214" t="s">
        <v>57</v>
      </c>
      <c r="BY12" s="214" t="s">
        <v>57</v>
      </c>
      <c r="BZ12" s="214" t="s">
        <v>0</v>
      </c>
      <c r="CA12" s="214" t="s">
        <v>57</v>
      </c>
      <c r="CB12" s="214" t="s">
        <v>57</v>
      </c>
      <c r="CC12" s="214" t="s">
        <v>57</v>
      </c>
      <c r="CD12" s="214" t="s">
        <v>57</v>
      </c>
      <c r="CE12" s="214" t="s">
        <v>0</v>
      </c>
      <c r="CF12" s="214" t="s">
        <v>0</v>
      </c>
    </row>
    <row r="13" spans="1:84">
      <c r="A13" s="51" t="s">
        <v>935</v>
      </c>
      <c r="B13" s="51"/>
      <c r="C13" s="52" t="s">
        <v>5159</v>
      </c>
      <c r="D13" s="52" t="s">
        <v>5198</v>
      </c>
      <c r="E13" s="52" t="s">
        <v>0</v>
      </c>
      <c r="F13" s="52" t="s">
        <v>4493</v>
      </c>
      <c r="G13" s="52" t="s">
        <v>5507</v>
      </c>
      <c r="H13" s="52" t="s">
        <v>5507</v>
      </c>
      <c r="I13" s="84" t="s">
        <v>5680</v>
      </c>
      <c r="J13" s="52" t="s">
        <v>5758</v>
      </c>
      <c r="K13" s="52" t="s">
        <v>8392</v>
      </c>
      <c r="L13" s="84" t="s">
        <v>8487</v>
      </c>
      <c r="M13" s="52" t="s">
        <v>5825</v>
      </c>
      <c r="N13" s="52" t="s">
        <v>8308</v>
      </c>
      <c r="O13" s="52" t="s">
        <v>5797</v>
      </c>
      <c r="P13" s="84" t="s">
        <v>8645</v>
      </c>
      <c r="Q13" s="84" t="s">
        <v>9131</v>
      </c>
      <c r="R13" s="52" t="s">
        <v>5823</v>
      </c>
      <c r="S13" s="84" t="s">
        <v>8569</v>
      </c>
      <c r="T13" s="52" t="s">
        <v>3285</v>
      </c>
      <c r="U13" s="52" t="s">
        <v>3285</v>
      </c>
      <c r="V13" s="84"/>
      <c r="W13" s="52" t="s">
        <v>4454</v>
      </c>
      <c r="X13" s="52" t="s">
        <v>6389</v>
      </c>
      <c r="Y13" s="52" t="s">
        <v>0</v>
      </c>
      <c r="Z13" s="52" t="s">
        <v>0</v>
      </c>
      <c r="AA13" s="52" t="s">
        <v>0</v>
      </c>
      <c r="AB13" s="52" t="s">
        <v>5920</v>
      </c>
      <c r="AC13" s="52" t="s">
        <v>5920</v>
      </c>
      <c r="AD13" s="52" t="s">
        <v>5953</v>
      </c>
      <c r="AE13" s="52" t="s">
        <v>6056</v>
      </c>
      <c r="AF13" s="52" t="s">
        <v>6056</v>
      </c>
      <c r="AG13" s="186" t="s">
        <v>7059</v>
      </c>
      <c r="AH13" s="186" t="s">
        <v>6981</v>
      </c>
      <c r="AI13" s="186" t="s">
        <v>6981</v>
      </c>
      <c r="AJ13" s="52" t="s">
        <v>0</v>
      </c>
      <c r="AK13" s="52" t="s">
        <v>0</v>
      </c>
      <c r="AL13" s="52" t="s">
        <v>0</v>
      </c>
      <c r="AM13" s="52" t="s">
        <v>5380</v>
      </c>
      <c r="AN13" s="52" t="s">
        <v>5380</v>
      </c>
      <c r="AO13" s="52" t="s">
        <v>0</v>
      </c>
      <c r="AP13" s="52" t="s">
        <v>0</v>
      </c>
      <c r="AQ13" s="52" t="s">
        <v>0</v>
      </c>
      <c r="AR13" s="52"/>
      <c r="AS13" s="52" t="s">
        <v>2010</v>
      </c>
      <c r="AT13" s="52" t="s">
        <v>2010</v>
      </c>
      <c r="AU13" s="52" t="s">
        <v>2010</v>
      </c>
      <c r="AV13" s="52" t="s">
        <v>0</v>
      </c>
      <c r="AW13" s="52" t="s">
        <v>0</v>
      </c>
      <c r="AX13" s="52" t="s">
        <v>1354</v>
      </c>
      <c r="AY13" s="52" t="s">
        <v>1354</v>
      </c>
      <c r="AZ13" s="52" t="s">
        <v>3568</v>
      </c>
      <c r="BA13" s="52" t="s">
        <v>3568</v>
      </c>
      <c r="BB13" s="52" t="s">
        <v>3568</v>
      </c>
      <c r="BC13" s="52" t="s">
        <v>4879</v>
      </c>
      <c r="BD13" s="52" t="s">
        <v>7686</v>
      </c>
      <c r="BE13" s="52" t="s">
        <v>4916</v>
      </c>
      <c r="BF13" s="52" t="s">
        <v>7784</v>
      </c>
      <c r="BG13" s="52" t="s">
        <v>4915</v>
      </c>
      <c r="BH13" s="52" t="s">
        <v>7863</v>
      </c>
      <c r="BI13" s="52" t="s">
        <v>7783</v>
      </c>
      <c r="BJ13" s="52" t="s">
        <v>5479</v>
      </c>
      <c r="BK13" s="52"/>
      <c r="BL13" s="52"/>
      <c r="BM13" s="52" t="s">
        <v>0</v>
      </c>
      <c r="BN13" s="52" t="s">
        <v>3864</v>
      </c>
      <c r="BO13" s="52" t="s">
        <v>6355</v>
      </c>
      <c r="BP13" s="52" t="s">
        <v>2253</v>
      </c>
      <c r="BQ13" s="52" t="s">
        <v>2253</v>
      </c>
      <c r="BR13" s="52" t="s">
        <v>0</v>
      </c>
      <c r="BS13" s="52" t="s">
        <v>0</v>
      </c>
      <c r="BT13" s="52" t="s">
        <v>0</v>
      </c>
      <c r="BU13" s="84" t="s">
        <v>0</v>
      </c>
      <c r="BV13" s="84"/>
      <c r="BW13" s="52"/>
      <c r="BX13" s="52" t="s">
        <v>3910</v>
      </c>
      <c r="BY13" s="52" t="s">
        <v>3904</v>
      </c>
      <c r="BZ13" s="52"/>
      <c r="CA13" s="52" t="s">
        <v>3145</v>
      </c>
      <c r="CB13" s="52" t="s">
        <v>3145</v>
      </c>
      <c r="CC13" s="52"/>
      <c r="CD13" s="52"/>
      <c r="CE13" s="52" t="s">
        <v>0</v>
      </c>
      <c r="CF13" s="52" t="s">
        <v>0</v>
      </c>
    </row>
    <row r="14" spans="1:84" ht="27">
      <c r="A14" s="62" t="s">
        <v>8648</v>
      </c>
      <c r="B14" s="200" t="s">
        <v>8646</v>
      </c>
      <c r="C14" s="36" t="s">
        <v>0</v>
      </c>
      <c r="D14" s="38" t="s">
        <v>0</v>
      </c>
      <c r="E14" s="38" t="s">
        <v>0</v>
      </c>
      <c r="F14" s="36" t="s">
        <v>0</v>
      </c>
      <c r="G14" s="38" t="s">
        <v>5493</v>
      </c>
      <c r="H14" s="38" t="s">
        <v>5493</v>
      </c>
      <c r="I14" s="38" t="s">
        <v>0</v>
      </c>
      <c r="J14" s="38" t="s">
        <v>0</v>
      </c>
      <c r="K14" s="38" t="s">
        <v>0</v>
      </c>
      <c r="L14" s="38" t="s">
        <v>0</v>
      </c>
      <c r="M14" s="38" t="s">
        <v>0</v>
      </c>
      <c r="N14" s="38" t="s">
        <v>0</v>
      </c>
      <c r="O14" s="38" t="s">
        <v>6275</v>
      </c>
      <c r="P14" s="36" t="s">
        <v>8675</v>
      </c>
      <c r="Q14" s="36" t="s">
        <v>9135</v>
      </c>
      <c r="R14" s="38" t="s">
        <v>0</v>
      </c>
      <c r="S14" s="38" t="s">
        <v>0</v>
      </c>
      <c r="T14" s="38" t="s">
        <v>0</v>
      </c>
      <c r="U14" s="38" t="s">
        <v>0</v>
      </c>
      <c r="V14" s="153" t="s">
        <v>5493</v>
      </c>
      <c r="W14" s="38" t="s">
        <v>0</v>
      </c>
      <c r="X14" s="36" t="s">
        <v>0</v>
      </c>
      <c r="Y14" s="38" t="s">
        <v>0</v>
      </c>
      <c r="Z14" s="38" t="s">
        <v>0</v>
      </c>
      <c r="AA14" s="38" t="s">
        <v>0</v>
      </c>
      <c r="AB14" s="38" t="s">
        <v>0</v>
      </c>
      <c r="AC14" s="38" t="s">
        <v>0</v>
      </c>
      <c r="AD14" s="38" t="s">
        <v>0</v>
      </c>
      <c r="AE14" s="7" t="s">
        <v>0</v>
      </c>
      <c r="AF14" s="7" t="s">
        <v>0</v>
      </c>
      <c r="AG14" s="38" t="s">
        <v>0</v>
      </c>
      <c r="AH14" s="38" t="s">
        <v>0</v>
      </c>
      <c r="AI14" s="36" t="s">
        <v>8950</v>
      </c>
      <c r="AJ14" s="34" t="s">
        <v>0</v>
      </c>
      <c r="AK14" s="7" t="s">
        <v>0</v>
      </c>
      <c r="AL14" s="34" t="s">
        <v>0</v>
      </c>
      <c r="AM14" s="38" t="s">
        <v>0</v>
      </c>
      <c r="AN14" s="38" t="s">
        <v>0</v>
      </c>
      <c r="AO14" s="38" t="s">
        <v>0</v>
      </c>
      <c r="AP14" s="38" t="s">
        <v>0</v>
      </c>
      <c r="AQ14" s="38" t="s">
        <v>0</v>
      </c>
      <c r="AR14" s="38" t="s">
        <v>0</v>
      </c>
      <c r="AS14" s="38" t="s">
        <v>0</v>
      </c>
      <c r="AT14" s="38" t="s">
        <v>0</v>
      </c>
      <c r="AU14" s="38" t="s">
        <v>0</v>
      </c>
      <c r="AV14" s="38" t="s">
        <v>4732</v>
      </c>
      <c r="AW14" s="38" t="s">
        <v>0</v>
      </c>
      <c r="AX14" s="38" t="s">
        <v>0</v>
      </c>
      <c r="AY14" s="38" t="s">
        <v>0</v>
      </c>
      <c r="AZ14" s="38" t="s">
        <v>0</v>
      </c>
      <c r="BA14" s="38" t="s">
        <v>0</v>
      </c>
      <c r="BB14" s="38" t="s">
        <v>0</v>
      </c>
      <c r="BC14" s="38" t="s">
        <v>0</v>
      </c>
      <c r="BD14" s="38" t="s">
        <v>0</v>
      </c>
      <c r="BE14" s="38" t="s">
        <v>0</v>
      </c>
      <c r="BF14" s="38" t="s">
        <v>0</v>
      </c>
      <c r="BG14" s="38" t="s">
        <v>0</v>
      </c>
      <c r="BH14" s="38" t="s">
        <v>0</v>
      </c>
      <c r="BI14" s="38" t="s">
        <v>0</v>
      </c>
      <c r="BJ14" s="38" t="s">
        <v>0</v>
      </c>
      <c r="BK14" s="36" t="s">
        <v>0</v>
      </c>
      <c r="BL14" s="36" t="s">
        <v>0</v>
      </c>
      <c r="BM14" s="38" t="s">
        <v>0</v>
      </c>
      <c r="BN14" s="38" t="s">
        <v>0</v>
      </c>
      <c r="BO14" s="38" t="s">
        <v>57</v>
      </c>
      <c r="BP14" s="38" t="s">
        <v>0</v>
      </c>
      <c r="BQ14" s="38" t="s">
        <v>0</v>
      </c>
      <c r="BR14" s="38" t="s">
        <v>0</v>
      </c>
      <c r="BS14" s="38" t="s">
        <v>0</v>
      </c>
      <c r="BT14" s="38" t="s">
        <v>0</v>
      </c>
      <c r="BU14" s="36" t="s">
        <v>0</v>
      </c>
      <c r="BV14" s="36" t="s">
        <v>0</v>
      </c>
      <c r="BW14" s="38" t="s">
        <v>0</v>
      </c>
      <c r="BX14" s="38" t="s">
        <v>0</v>
      </c>
      <c r="BY14" s="38" t="s">
        <v>0</v>
      </c>
      <c r="BZ14" s="38" t="s">
        <v>0</v>
      </c>
      <c r="CA14" s="38" t="s">
        <v>0</v>
      </c>
      <c r="CB14" s="38" t="s">
        <v>0</v>
      </c>
      <c r="CC14" s="38" t="s">
        <v>0</v>
      </c>
      <c r="CD14" s="38" t="s">
        <v>0</v>
      </c>
      <c r="CE14" s="38" t="s">
        <v>0</v>
      </c>
      <c r="CF14" s="38" t="s">
        <v>4732</v>
      </c>
    </row>
    <row r="15" spans="1:84" ht="18">
      <c r="A15" s="51" t="s">
        <v>935</v>
      </c>
      <c r="B15" s="51"/>
      <c r="C15" s="52"/>
      <c r="D15" s="52"/>
      <c r="E15" s="52"/>
      <c r="F15" s="52"/>
      <c r="G15" s="52"/>
      <c r="H15" s="52"/>
      <c r="I15" s="52" t="s">
        <v>5680</v>
      </c>
      <c r="J15" s="52" t="s">
        <v>0</v>
      </c>
      <c r="K15" s="52" t="s">
        <v>5680</v>
      </c>
      <c r="L15" s="52" t="s">
        <v>5680</v>
      </c>
      <c r="M15" s="52" t="s">
        <v>0</v>
      </c>
      <c r="N15" s="52" t="s">
        <v>5680</v>
      </c>
      <c r="O15" s="52" t="s">
        <v>5794</v>
      </c>
      <c r="P15" s="84" t="s">
        <v>8647</v>
      </c>
      <c r="Q15" s="84" t="s">
        <v>9136</v>
      </c>
      <c r="R15" s="52" t="s">
        <v>0</v>
      </c>
      <c r="S15" s="52" t="s">
        <v>5680</v>
      </c>
      <c r="T15" s="52"/>
      <c r="U15" s="52"/>
      <c r="V15" s="84"/>
      <c r="W15" s="52"/>
      <c r="X15" s="52" t="s">
        <v>0</v>
      </c>
      <c r="Y15" s="52"/>
      <c r="Z15" s="52"/>
      <c r="AA15" s="52"/>
      <c r="AB15" s="52"/>
      <c r="AC15" s="52"/>
      <c r="AD15" s="52"/>
      <c r="AE15" s="52" t="s">
        <v>0</v>
      </c>
      <c r="AF15" s="52" t="s">
        <v>0</v>
      </c>
      <c r="AG15" s="52" t="s">
        <v>0</v>
      </c>
      <c r="AH15" s="52" t="s">
        <v>0</v>
      </c>
      <c r="AI15" s="52" t="s">
        <v>8947</v>
      </c>
      <c r="AJ15" s="52"/>
      <c r="AK15" s="52"/>
      <c r="AL15" s="52"/>
      <c r="AM15" s="52"/>
      <c r="AN15" s="52"/>
      <c r="AO15" s="52"/>
      <c r="AP15" s="52"/>
      <c r="AQ15" s="52"/>
      <c r="AR15" s="52"/>
      <c r="AS15" s="52"/>
      <c r="AT15" s="52"/>
      <c r="AU15" s="52"/>
      <c r="AV15" s="52"/>
      <c r="AW15" s="52"/>
      <c r="AX15" s="52"/>
      <c r="AY15" s="52"/>
      <c r="AZ15" s="52"/>
      <c r="BA15" s="52"/>
      <c r="BB15" s="52"/>
      <c r="BC15" s="52"/>
      <c r="BD15" s="52" t="s">
        <v>0</v>
      </c>
      <c r="BE15" s="52"/>
      <c r="BF15" s="52" t="s">
        <v>0</v>
      </c>
      <c r="BG15" s="52"/>
      <c r="BH15" s="52" t="s">
        <v>0</v>
      </c>
      <c r="BI15" s="52" t="s">
        <v>0</v>
      </c>
      <c r="BJ15" s="52"/>
      <c r="BK15" s="52"/>
      <c r="BL15" s="52"/>
      <c r="BM15" s="52"/>
      <c r="BN15" s="52"/>
      <c r="BO15" s="52" t="s">
        <v>6356</v>
      </c>
      <c r="BP15" s="52"/>
      <c r="BQ15" s="52"/>
      <c r="BR15" s="52"/>
      <c r="BS15" s="52"/>
      <c r="BT15" s="52"/>
      <c r="BU15" s="84"/>
      <c r="BV15" s="84"/>
      <c r="BW15" s="52"/>
      <c r="BX15" s="52"/>
      <c r="BY15" s="52"/>
      <c r="BZ15" s="52"/>
      <c r="CA15" s="52"/>
      <c r="CB15" s="52"/>
      <c r="CC15" s="52"/>
      <c r="CD15" s="52"/>
      <c r="CE15" s="52"/>
      <c r="CF15" s="52"/>
    </row>
    <row r="16" spans="1:84" ht="18">
      <c r="A16" s="181" t="s">
        <v>6516</v>
      </c>
      <c r="B16" s="200"/>
      <c r="C16" s="114" t="s">
        <v>57</v>
      </c>
      <c r="D16" s="113" t="s">
        <v>57</v>
      </c>
      <c r="E16" s="113" t="s">
        <v>0</v>
      </c>
      <c r="F16" s="113" t="s">
        <v>0</v>
      </c>
      <c r="G16" s="113" t="s">
        <v>57</v>
      </c>
      <c r="H16" s="113" t="s">
        <v>57</v>
      </c>
      <c r="I16" s="38" t="s">
        <v>0</v>
      </c>
      <c r="J16" s="113" t="s">
        <v>57</v>
      </c>
      <c r="K16" s="38" t="s">
        <v>0</v>
      </c>
      <c r="L16" s="38" t="s">
        <v>0</v>
      </c>
      <c r="M16" s="113" t="s">
        <v>57</v>
      </c>
      <c r="N16" s="38" t="s">
        <v>0</v>
      </c>
      <c r="O16" s="113" t="s">
        <v>57</v>
      </c>
      <c r="P16" s="38" t="s">
        <v>0</v>
      </c>
      <c r="Q16" s="36" t="s">
        <v>9128</v>
      </c>
      <c r="R16" s="113" t="s">
        <v>57</v>
      </c>
      <c r="S16" s="38" t="s">
        <v>0</v>
      </c>
      <c r="T16" s="113" t="s">
        <v>57</v>
      </c>
      <c r="U16" s="113" t="s">
        <v>57</v>
      </c>
      <c r="V16" s="221" t="s">
        <v>57</v>
      </c>
      <c r="W16" s="114" t="s">
        <v>0</v>
      </c>
      <c r="X16" s="114" t="s">
        <v>57</v>
      </c>
      <c r="Y16" s="113" t="s">
        <v>0</v>
      </c>
      <c r="Z16" s="113" t="s">
        <v>0</v>
      </c>
      <c r="AA16" s="113" t="s">
        <v>0</v>
      </c>
      <c r="AB16" s="113" t="s">
        <v>57</v>
      </c>
      <c r="AC16" s="113" t="s">
        <v>57</v>
      </c>
      <c r="AD16" s="113" t="s">
        <v>57</v>
      </c>
      <c r="AE16" s="215" t="s">
        <v>57</v>
      </c>
      <c r="AF16" s="215" t="s">
        <v>57</v>
      </c>
      <c r="AG16" s="38" t="s">
        <v>0</v>
      </c>
      <c r="AH16" s="38" t="s">
        <v>0</v>
      </c>
      <c r="AI16" s="38" t="s">
        <v>0</v>
      </c>
      <c r="AJ16" s="218" t="s">
        <v>57</v>
      </c>
      <c r="AK16" s="213" t="s">
        <v>0</v>
      </c>
      <c r="AL16" s="213" t="s">
        <v>0</v>
      </c>
      <c r="AM16" s="214" t="s">
        <v>57</v>
      </c>
      <c r="AN16" s="214" t="s">
        <v>57</v>
      </c>
      <c r="AO16" s="212" t="s">
        <v>4237</v>
      </c>
      <c r="AP16" s="212" t="s">
        <v>1658</v>
      </c>
      <c r="AQ16" s="212" t="s">
        <v>1658</v>
      </c>
      <c r="AR16" s="214" t="s">
        <v>0</v>
      </c>
      <c r="AS16" s="214" t="s">
        <v>57</v>
      </c>
      <c r="AT16" s="214" t="s">
        <v>57</v>
      </c>
      <c r="AU16" s="214" t="s">
        <v>57</v>
      </c>
      <c r="AV16" s="214" t="s">
        <v>0</v>
      </c>
      <c r="AW16" s="214" t="s">
        <v>0</v>
      </c>
      <c r="AX16" s="214" t="s">
        <v>57</v>
      </c>
      <c r="AY16" s="214" t="s">
        <v>57</v>
      </c>
      <c r="AZ16" s="214" t="s">
        <v>57</v>
      </c>
      <c r="BA16" s="214" t="s">
        <v>57</v>
      </c>
      <c r="BB16" s="214" t="s">
        <v>57</v>
      </c>
      <c r="BC16" s="214" t="s">
        <v>57</v>
      </c>
      <c r="BD16" s="38" t="s">
        <v>0</v>
      </c>
      <c r="BE16" s="214" t="s">
        <v>57</v>
      </c>
      <c r="BF16" s="38" t="s">
        <v>0</v>
      </c>
      <c r="BG16" s="214" t="s">
        <v>57</v>
      </c>
      <c r="BH16" s="38" t="s">
        <v>0</v>
      </c>
      <c r="BI16" s="38" t="s">
        <v>0</v>
      </c>
      <c r="BJ16" s="214" t="s">
        <v>57</v>
      </c>
      <c r="BK16" s="212" t="s">
        <v>57</v>
      </c>
      <c r="BL16" s="212" t="s">
        <v>57</v>
      </c>
      <c r="BM16" s="214" t="s">
        <v>0</v>
      </c>
      <c r="BN16" s="212" t="s">
        <v>57</v>
      </c>
      <c r="BO16" s="212" t="s">
        <v>0</v>
      </c>
      <c r="BP16" s="214" t="s">
        <v>0</v>
      </c>
      <c r="BQ16" s="214" t="s">
        <v>0</v>
      </c>
      <c r="BR16" s="214" t="s">
        <v>0</v>
      </c>
      <c r="BS16" s="214" t="s">
        <v>0</v>
      </c>
      <c r="BT16" s="214" t="s">
        <v>0</v>
      </c>
      <c r="BU16" s="212" t="s">
        <v>0</v>
      </c>
      <c r="BV16" s="212" t="s">
        <v>57</v>
      </c>
      <c r="BW16" s="214" t="s">
        <v>57</v>
      </c>
      <c r="BX16" s="214" t="s">
        <v>57</v>
      </c>
      <c r="BY16" s="214" t="s">
        <v>57</v>
      </c>
      <c r="BZ16" s="214" t="s">
        <v>0</v>
      </c>
      <c r="CA16" s="214" t="s">
        <v>57</v>
      </c>
      <c r="CB16" s="214" t="s">
        <v>57</v>
      </c>
      <c r="CC16" s="214" t="s">
        <v>0</v>
      </c>
      <c r="CD16" s="214" t="s">
        <v>0</v>
      </c>
      <c r="CE16" s="214" t="s">
        <v>0</v>
      </c>
      <c r="CF16" s="214" t="s">
        <v>0</v>
      </c>
    </row>
    <row r="17" spans="1:84">
      <c r="A17" s="51" t="s">
        <v>935</v>
      </c>
      <c r="B17" s="51"/>
      <c r="C17" s="52" t="s">
        <v>5160</v>
      </c>
      <c r="D17" s="52" t="s">
        <v>5199</v>
      </c>
      <c r="E17" s="52" t="s">
        <v>0</v>
      </c>
      <c r="F17" s="52" t="s">
        <v>0</v>
      </c>
      <c r="G17" s="52" t="s">
        <v>1159</v>
      </c>
      <c r="H17" s="52" t="s">
        <v>1159</v>
      </c>
      <c r="I17" s="52" t="s">
        <v>5680</v>
      </c>
      <c r="J17" s="52" t="s">
        <v>5759</v>
      </c>
      <c r="K17" s="52" t="s">
        <v>5680</v>
      </c>
      <c r="L17" s="52" t="s">
        <v>5680</v>
      </c>
      <c r="M17" s="52" t="s">
        <v>5824</v>
      </c>
      <c r="N17" s="52" t="s">
        <v>5680</v>
      </c>
      <c r="O17" s="52" t="s">
        <v>5796</v>
      </c>
      <c r="P17" s="52" t="s">
        <v>5680</v>
      </c>
      <c r="Q17" s="84" t="s">
        <v>9129</v>
      </c>
      <c r="R17" s="52" t="s">
        <v>5822</v>
      </c>
      <c r="S17" s="52" t="s">
        <v>5680</v>
      </c>
      <c r="T17" s="52" t="s">
        <v>3285</v>
      </c>
      <c r="U17" s="52" t="s">
        <v>3285</v>
      </c>
      <c r="V17" s="84"/>
      <c r="W17" s="52" t="s">
        <v>0</v>
      </c>
      <c r="X17" s="52" t="s">
        <v>6391</v>
      </c>
      <c r="Y17" s="52" t="s">
        <v>0</v>
      </c>
      <c r="Z17" s="52" t="s">
        <v>0</v>
      </c>
      <c r="AA17" s="52" t="s">
        <v>0</v>
      </c>
      <c r="AB17" s="52" t="s">
        <v>5919</v>
      </c>
      <c r="AC17" s="52" t="s">
        <v>5919</v>
      </c>
      <c r="AD17" s="52" t="s">
        <v>5952</v>
      </c>
      <c r="AE17" s="52" t="s">
        <v>6055</v>
      </c>
      <c r="AF17" s="52" t="s">
        <v>6055</v>
      </c>
      <c r="AG17" s="52" t="s">
        <v>0</v>
      </c>
      <c r="AH17" s="52" t="s">
        <v>0</v>
      </c>
      <c r="AI17" s="52" t="s">
        <v>0</v>
      </c>
      <c r="AJ17" s="52" t="s">
        <v>3438</v>
      </c>
      <c r="AK17" s="52" t="s">
        <v>0</v>
      </c>
      <c r="AL17" s="52" t="s">
        <v>0</v>
      </c>
      <c r="AM17" s="52" t="s">
        <v>5380</v>
      </c>
      <c r="AN17" s="52" t="s">
        <v>5380</v>
      </c>
      <c r="AO17" s="52" t="s">
        <v>4236</v>
      </c>
      <c r="AP17" s="52" t="s">
        <v>1025</v>
      </c>
      <c r="AQ17" s="52" t="s">
        <v>1025</v>
      </c>
      <c r="AR17" s="52"/>
      <c r="AS17" s="52" t="s">
        <v>2011</v>
      </c>
      <c r="AT17" s="52" t="s">
        <v>2011</v>
      </c>
      <c r="AU17" s="52" t="s">
        <v>2011</v>
      </c>
      <c r="AV17" s="52" t="s">
        <v>0</v>
      </c>
      <c r="AW17" s="52" t="s">
        <v>0</v>
      </c>
      <c r="AX17" s="52" t="s">
        <v>1353</v>
      </c>
      <c r="AY17" s="52" t="s">
        <v>1353</v>
      </c>
      <c r="AZ17" s="52" t="s">
        <v>3569</v>
      </c>
      <c r="BA17" s="52" t="s">
        <v>3569</v>
      </c>
      <c r="BB17" s="52" t="s">
        <v>3569</v>
      </c>
      <c r="BC17" s="52" t="s">
        <v>4878</v>
      </c>
      <c r="BD17" s="52" t="s">
        <v>0</v>
      </c>
      <c r="BE17" s="52" t="s">
        <v>4917</v>
      </c>
      <c r="BF17" s="52" t="s">
        <v>0</v>
      </c>
      <c r="BG17" s="52" t="s">
        <v>4879</v>
      </c>
      <c r="BH17" s="52" t="s">
        <v>0</v>
      </c>
      <c r="BI17" s="52" t="s">
        <v>0</v>
      </c>
      <c r="BJ17" s="52" t="s">
        <v>5000</v>
      </c>
      <c r="BK17" s="52"/>
      <c r="BL17" s="52"/>
      <c r="BM17" s="52" t="s">
        <v>0</v>
      </c>
      <c r="BN17" s="52" t="s">
        <v>1025</v>
      </c>
      <c r="BO17" s="52" t="s">
        <v>0</v>
      </c>
      <c r="BP17" s="52" t="s">
        <v>0</v>
      </c>
      <c r="BQ17" s="52" t="s">
        <v>0</v>
      </c>
      <c r="BR17" s="52" t="s">
        <v>0</v>
      </c>
      <c r="BS17" s="52" t="s">
        <v>0</v>
      </c>
      <c r="BT17" s="52" t="s">
        <v>0</v>
      </c>
      <c r="BU17" s="84" t="s">
        <v>0</v>
      </c>
      <c r="BV17" s="84"/>
      <c r="BW17" s="52"/>
      <c r="BX17" s="52" t="s">
        <v>3911</v>
      </c>
      <c r="BY17" s="52" t="s">
        <v>3905</v>
      </c>
      <c r="BZ17" s="52"/>
      <c r="CA17" s="52" t="s">
        <v>3145</v>
      </c>
      <c r="CB17" s="52" t="s">
        <v>3145</v>
      </c>
      <c r="CC17" s="52"/>
      <c r="CD17" s="52"/>
      <c r="CE17" s="52" t="s">
        <v>0</v>
      </c>
      <c r="CF17" s="52" t="s">
        <v>0</v>
      </c>
    </row>
    <row r="18" spans="1:84">
      <c r="A18" s="20"/>
      <c r="B18" s="20"/>
      <c r="C18" s="53"/>
      <c r="D18" s="53"/>
      <c r="E18" s="53"/>
      <c r="F18" s="53"/>
      <c r="G18" s="53"/>
      <c r="H18" s="53"/>
      <c r="I18" s="53"/>
      <c r="J18" s="53"/>
      <c r="K18" s="53"/>
      <c r="L18" s="53"/>
      <c r="M18" s="53"/>
      <c r="N18" s="53"/>
      <c r="O18" s="53"/>
      <c r="P18" s="53"/>
      <c r="Q18" s="53"/>
      <c r="R18" s="53"/>
      <c r="S18" s="53"/>
      <c r="T18" s="53"/>
      <c r="U18" s="53"/>
      <c r="V18" s="7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65"/>
      <c r="BV18" s="65"/>
      <c r="BW18" s="53"/>
      <c r="BX18" s="53"/>
      <c r="BY18" s="53"/>
      <c r="BZ18" s="53"/>
      <c r="CA18" s="53"/>
      <c r="CB18" s="53"/>
      <c r="CC18" s="53"/>
      <c r="CD18" s="53"/>
      <c r="CE18" s="53"/>
      <c r="CF18" s="173"/>
    </row>
    <row r="19" spans="1:84" ht="18">
      <c r="A19" s="10" t="s">
        <v>1</v>
      </c>
      <c r="B19" s="24"/>
      <c r="C19" s="25" t="str">
        <f>C1</f>
        <v>ADCURI Basis-Schutz</v>
      </c>
      <c r="D19" s="25" t="str">
        <f t="shared" ref="D19:CC19" si="0">D1</f>
        <v>ADCURI Top-Schutz</v>
      </c>
      <c r="E19" s="25" t="str">
        <f t="shared" si="0"/>
        <v>Allianz</v>
      </c>
      <c r="F19" s="25" t="str">
        <f t="shared" si="0"/>
        <v>Allianz inkl. SicherheitPlus</v>
      </c>
      <c r="G19" s="25" t="str">
        <f t="shared" si="0"/>
        <v>Alte Leipziger classic</v>
      </c>
      <c r="H19" s="25" t="str">
        <f t="shared" si="0"/>
        <v>Alte Leipziger comfort</v>
      </c>
      <c r="I19" s="255" t="str">
        <f>I1</f>
        <v>Ammerländer Basic
(2019-02)</v>
      </c>
      <c r="J19" s="25" t="str">
        <f t="shared" si="0"/>
        <v>Ammerländer Classic
(2016-01)</v>
      </c>
      <c r="K19" s="255" t="str">
        <f>K1</f>
        <v>Ammerländer Classic
(2019-02)</v>
      </c>
      <c r="L19" s="255" t="str">
        <f>L1</f>
        <v>Ammerländer Comfort
(2019-02)</v>
      </c>
      <c r="M19" s="25" t="str">
        <f t="shared" si="0"/>
        <v>Ammerländer Comfort
(2016-01)</v>
      </c>
      <c r="N19" s="255" t="str">
        <f>N1</f>
        <v>Ammerländer Economic
(2019-02)</v>
      </c>
      <c r="O19" s="25" t="str">
        <f t="shared" si="0"/>
        <v>Ammerländer Excellent
(2016-01)</v>
      </c>
      <c r="P19" s="255" t="str">
        <f>P1</f>
        <v>Ammerländer Excellent
(2019-02)</v>
      </c>
      <c r="Q19" s="255" t="str">
        <f>Q1</f>
        <v>Ammerländer Excellent
(2020-02)</v>
      </c>
      <c r="R19" s="25" t="str">
        <f>R1</f>
        <v>Ammerländer Exclusiv
(2016-01)</v>
      </c>
      <c r="S19" s="255" t="str">
        <f>S1</f>
        <v>Ammerländer Exclusiv
(2019-02)</v>
      </c>
      <c r="T19" s="25" t="str">
        <f t="shared" si="0"/>
        <v>ARAG Komfort (Wohnfläche)</v>
      </c>
      <c r="U19" s="25" t="str">
        <f t="shared" si="0"/>
        <v>ARAG Premium (Wohnfläche)</v>
      </c>
      <c r="V19" s="25" t="str">
        <f t="shared" si="0"/>
        <v>AXA BOXflex</v>
      </c>
      <c r="W19" s="25" t="str">
        <f t="shared" si="0"/>
        <v>Baden Badener TOP</v>
      </c>
      <c r="X19" s="25" t="str">
        <f t="shared" si="0"/>
        <v>Concordia Sorglos</v>
      </c>
      <c r="Y19" s="25" t="str">
        <f t="shared" si="0"/>
        <v>Debeka Basis</v>
      </c>
      <c r="Z19" s="25" t="str">
        <f t="shared" si="0"/>
        <v>Debeka Standard</v>
      </c>
      <c r="AA19" s="25" t="str">
        <f t="shared" si="0"/>
        <v>Debeka Top</v>
      </c>
      <c r="AB19" s="25" t="str">
        <f t="shared" si="0"/>
        <v>die Bayerische (Komfort)</v>
      </c>
      <c r="AC19" s="25" t="str">
        <f t="shared" si="0"/>
        <v>die Bayerische (Prestige)</v>
      </c>
      <c r="AD19" s="25" t="str">
        <f t="shared" si="0"/>
        <v>die Bayerische (Smart)</v>
      </c>
      <c r="AE19" s="25" t="str">
        <f t="shared" si="0"/>
        <v>Domcura Komfort
(Stand 2014-10)</v>
      </c>
      <c r="AF19" s="25" t="str">
        <f t="shared" si="0"/>
        <v>Domcura Top
(Stand 2014-10)</v>
      </c>
      <c r="AG19" s="255" t="str">
        <f>AG1</f>
        <v>Domcura Standard
(2016-10-01)</v>
      </c>
      <c r="AH19" s="255" t="str">
        <f>AH1</f>
        <v>Domcura Komfort
(2016-10-01)</v>
      </c>
      <c r="AI19" s="255" t="str">
        <f>AI1</f>
        <v>Domcura Top
(2016-10-01)</v>
      </c>
      <c r="AJ19" s="25" t="str">
        <f t="shared" si="0"/>
        <v>ERGO Hausrat Spezial</v>
      </c>
      <c r="AK19" s="25" t="str">
        <f t="shared" si="0"/>
        <v>Generali Basis</v>
      </c>
      <c r="AL19" s="25" t="str">
        <f t="shared" si="0"/>
        <v>Generali KomfortPlus</v>
      </c>
      <c r="AM19" s="25" t="str">
        <f t="shared" si="0"/>
        <v>Gothaer Top</v>
      </c>
      <c r="AN19" s="25" t="str">
        <f t="shared" si="0"/>
        <v>Gothaer Top Plus</v>
      </c>
      <c r="AO19" s="25" t="str">
        <f t="shared" si="0"/>
        <v>HDI Privatschutz</v>
      </c>
      <c r="AP19" s="25" t="str">
        <f t="shared" si="0"/>
        <v>Helvetia Basis</v>
      </c>
      <c r="AQ19" s="25" t="str">
        <f t="shared" si="0"/>
        <v>Helvetia Komfort</v>
      </c>
      <c r="AR19" s="25" t="str">
        <f t="shared" si="0"/>
        <v>HFK Rundumschutz</v>
      </c>
      <c r="AS19" s="25" t="str">
        <f t="shared" si="0"/>
        <v>HKD Einfach Gut</v>
      </c>
      <c r="AT19" s="25" t="str">
        <f t="shared" si="0"/>
        <v>HKD Einfach Besser</v>
      </c>
      <c r="AU19" s="25" t="str">
        <f t="shared" si="0"/>
        <v>HKD Einfach Komplett</v>
      </c>
      <c r="AV19" s="25" t="str">
        <f t="shared" si="0"/>
        <v>HUK Classic</v>
      </c>
      <c r="AW19" s="25" t="str">
        <f t="shared" si="0"/>
        <v>HUK Plus</v>
      </c>
      <c r="AX19" s="25" t="str">
        <f t="shared" si="0"/>
        <v>Ideal Exklusiv</v>
      </c>
      <c r="AY19" s="25" t="str">
        <f t="shared" si="0"/>
        <v>Ideal Klassik</v>
      </c>
      <c r="AZ19" s="25" t="str">
        <f t="shared" si="0"/>
        <v>InterRisk L</v>
      </c>
      <c r="BA19" s="25" t="str">
        <f t="shared" si="0"/>
        <v>InterRisk XL</v>
      </c>
      <c r="BB19" s="25" t="str">
        <f t="shared" si="0"/>
        <v>InterRisk XXL</v>
      </c>
      <c r="BC19" s="25" t="str">
        <f t="shared" si="0"/>
        <v>ITL afm Eurosecure Plus</v>
      </c>
      <c r="BD19" s="255" t="str">
        <f>BD1</f>
        <v>ITL Eurosecure Plus afm
Stand 2013-08</v>
      </c>
      <c r="BE19" s="25" t="str">
        <f t="shared" si="0"/>
        <v>ITL afm Infinitus</v>
      </c>
      <c r="BF19" s="255" t="str">
        <f>BF1</f>
        <v>ITL Infinitus
Stand 2013-08</v>
      </c>
      <c r="BG19" s="25" t="str">
        <f t="shared" si="0"/>
        <v>ITL afm Protect Plus</v>
      </c>
      <c r="BH19" s="255" t="str">
        <f>BH1</f>
        <v>ITL Protect Plus afm
Stand 2013-08</v>
      </c>
      <c r="BI19" s="255" t="str">
        <f>BI1</f>
        <v>ITL Classic
Stand 2013-08</v>
      </c>
      <c r="BJ19" s="25" t="str">
        <f t="shared" si="0"/>
        <v>ITL Classic</v>
      </c>
      <c r="BK19" s="25" t="str">
        <f t="shared" si="0"/>
        <v>Janitos Balance</v>
      </c>
      <c r="BL19" s="25" t="str">
        <f t="shared" si="0"/>
        <v>Janitos Best Selection</v>
      </c>
      <c r="BM19" s="25" t="str">
        <f t="shared" si="0"/>
        <v>Keine</v>
      </c>
      <c r="BN19" s="25" t="str">
        <f t="shared" si="0"/>
        <v>Nürnberger KomplettSchutz</v>
      </c>
      <c r="BO19" s="25" t="str">
        <f t="shared" si="0"/>
        <v>NV Premium. 2.0</v>
      </c>
      <c r="BP19" s="25" t="str">
        <f t="shared" si="0"/>
        <v>Prokundo ExklusivPaket</v>
      </c>
      <c r="BQ19" s="25" t="str">
        <f t="shared" si="0"/>
        <v>Prokundo Komfort</v>
      </c>
      <c r="BR19" s="25" t="str">
        <f t="shared" si="0"/>
        <v>Provinzial Kompakt</v>
      </c>
      <c r="BS19" s="25" t="str">
        <f t="shared" si="0"/>
        <v>Provinzial Rundum inkl. Plus</v>
      </c>
      <c r="BT19" s="25" t="str">
        <f t="shared" si="0"/>
        <v>Provinzial Rundumschutz</v>
      </c>
      <c r="BU19" s="25" t="str">
        <f t="shared" si="0"/>
        <v>R+V PrivatPolice</v>
      </c>
      <c r="BV19" s="25" t="str">
        <f t="shared" si="0"/>
        <v>SLP Prima</v>
      </c>
      <c r="BW19" s="25" t="str">
        <f t="shared" si="0"/>
        <v>SLP Prima Plus</v>
      </c>
      <c r="BX19" s="25" t="str">
        <f t="shared" si="0"/>
        <v>VdVA Classic</v>
      </c>
      <c r="BY19" s="25" t="str">
        <f t="shared" si="0"/>
        <v>VdVA Exclusiv</v>
      </c>
      <c r="BZ19" s="25" t="str">
        <f t="shared" si="0"/>
        <v>VGH Standard</v>
      </c>
      <c r="CA19" s="25" t="str">
        <f>CA1</f>
        <v>VHV Klassik Garant
(Stand 2015-04)</v>
      </c>
      <c r="CB19" s="25" t="str">
        <f>CB1</f>
        <v>VHV Klassik Garant Exkl.
(Stand 2015-04)</v>
      </c>
      <c r="CC19" s="25" t="str">
        <f t="shared" si="0"/>
        <v>VWB Komfort</v>
      </c>
      <c r="CD19" s="25" t="str">
        <f t="shared" ref="CD19:CF19" si="1">CD1</f>
        <v>VWB Komfort Plus</v>
      </c>
      <c r="CE19" s="25" t="str">
        <f t="shared" si="1"/>
        <v>WÜBA Plus</v>
      </c>
      <c r="CF19" s="25" t="str">
        <f t="shared" si="1"/>
        <v>Zurich Maklerkonzept</v>
      </c>
    </row>
    <row r="20" spans="1:84">
      <c r="A20" s="62" t="s">
        <v>85</v>
      </c>
      <c r="B20" s="200"/>
      <c r="C20" s="36" t="s">
        <v>57</v>
      </c>
      <c r="D20" s="36" t="s">
        <v>57</v>
      </c>
      <c r="E20" s="36" t="s">
        <v>57</v>
      </c>
      <c r="F20" s="36" t="s">
        <v>57</v>
      </c>
      <c r="G20" s="36" t="s">
        <v>57</v>
      </c>
      <c r="H20" s="36" t="s">
        <v>57</v>
      </c>
      <c r="I20" s="36" t="s">
        <v>57</v>
      </c>
      <c r="J20" s="36" t="s">
        <v>57</v>
      </c>
      <c r="K20" s="36" t="s">
        <v>57</v>
      </c>
      <c r="L20" s="36" t="s">
        <v>57</v>
      </c>
      <c r="M20" s="36" t="s">
        <v>57</v>
      </c>
      <c r="N20" s="36" t="s">
        <v>57</v>
      </c>
      <c r="O20" s="36" t="s">
        <v>57</v>
      </c>
      <c r="P20" s="36" t="s">
        <v>57</v>
      </c>
      <c r="Q20" s="36" t="s">
        <v>57</v>
      </c>
      <c r="R20" s="36" t="s">
        <v>57</v>
      </c>
      <c r="S20" s="36" t="s">
        <v>57</v>
      </c>
      <c r="T20" s="36" t="s">
        <v>57</v>
      </c>
      <c r="U20" s="36" t="s">
        <v>57</v>
      </c>
      <c r="V20" s="145" t="s">
        <v>57</v>
      </c>
      <c r="W20" s="36" t="s">
        <v>57</v>
      </c>
      <c r="X20" s="36" t="s">
        <v>57</v>
      </c>
      <c r="Y20" s="36" t="s">
        <v>57</v>
      </c>
      <c r="Z20" s="36" t="s">
        <v>57</v>
      </c>
      <c r="AA20" s="36" t="s">
        <v>57</v>
      </c>
      <c r="AB20" s="36" t="s">
        <v>57</v>
      </c>
      <c r="AC20" s="36" t="s">
        <v>57</v>
      </c>
      <c r="AD20" s="36" t="s">
        <v>57</v>
      </c>
      <c r="AE20" s="7" t="s">
        <v>57</v>
      </c>
      <c r="AF20" s="7" t="s">
        <v>57</v>
      </c>
      <c r="AG20" s="36" t="s">
        <v>57</v>
      </c>
      <c r="AH20" s="36" t="s">
        <v>57</v>
      </c>
      <c r="AI20" s="36" t="s">
        <v>57</v>
      </c>
      <c r="AJ20" s="34" t="s">
        <v>57</v>
      </c>
      <c r="AK20" s="7" t="s">
        <v>57</v>
      </c>
      <c r="AL20" s="7" t="s">
        <v>57</v>
      </c>
      <c r="AM20" s="36" t="s">
        <v>57</v>
      </c>
      <c r="AN20" s="36" t="s">
        <v>57</v>
      </c>
      <c r="AO20" s="36" t="s">
        <v>57</v>
      </c>
      <c r="AP20" s="36" t="s">
        <v>57</v>
      </c>
      <c r="AQ20" s="36" t="s">
        <v>57</v>
      </c>
      <c r="AR20" s="36" t="s">
        <v>57</v>
      </c>
      <c r="AS20" s="36" t="s">
        <v>57</v>
      </c>
      <c r="AT20" s="36" t="s">
        <v>57</v>
      </c>
      <c r="AU20" s="36" t="s">
        <v>57</v>
      </c>
      <c r="AV20" s="36" t="s">
        <v>57</v>
      </c>
      <c r="AW20" s="36" t="s">
        <v>57</v>
      </c>
      <c r="AX20" s="36" t="s">
        <v>57</v>
      </c>
      <c r="AY20" s="36" t="s">
        <v>57</v>
      </c>
      <c r="AZ20" s="36" t="s">
        <v>57</v>
      </c>
      <c r="BA20" s="36" t="s">
        <v>57</v>
      </c>
      <c r="BB20" s="36" t="s">
        <v>57</v>
      </c>
      <c r="BC20" s="36" t="s">
        <v>57</v>
      </c>
      <c r="BD20" s="36" t="s">
        <v>57</v>
      </c>
      <c r="BE20" s="36" t="s">
        <v>57</v>
      </c>
      <c r="BF20" s="36" t="s">
        <v>57</v>
      </c>
      <c r="BG20" s="36" t="s">
        <v>57</v>
      </c>
      <c r="BH20" s="36" t="s">
        <v>57</v>
      </c>
      <c r="BI20" s="36" t="s">
        <v>57</v>
      </c>
      <c r="BJ20" s="36" t="s">
        <v>57</v>
      </c>
      <c r="BK20" s="36" t="s">
        <v>57</v>
      </c>
      <c r="BL20" s="36" t="s">
        <v>57</v>
      </c>
      <c r="BM20" s="36" t="s">
        <v>0</v>
      </c>
      <c r="BN20" s="36" t="s">
        <v>57</v>
      </c>
      <c r="BO20" s="36" t="s">
        <v>57</v>
      </c>
      <c r="BP20" s="36" t="s">
        <v>57</v>
      </c>
      <c r="BQ20" s="36" t="s">
        <v>57</v>
      </c>
      <c r="BR20" s="36" t="s">
        <v>57</v>
      </c>
      <c r="BS20" s="36" t="s">
        <v>57</v>
      </c>
      <c r="BT20" s="36" t="s">
        <v>57</v>
      </c>
      <c r="BU20" s="36" t="s">
        <v>57</v>
      </c>
      <c r="BV20" s="36" t="s">
        <v>57</v>
      </c>
      <c r="BW20" s="36" t="s">
        <v>57</v>
      </c>
      <c r="BX20" s="36" t="s">
        <v>57</v>
      </c>
      <c r="BY20" s="36" t="s">
        <v>57</v>
      </c>
      <c r="BZ20" s="36" t="s">
        <v>57</v>
      </c>
      <c r="CA20" s="36" t="s">
        <v>57</v>
      </c>
      <c r="CB20" s="36" t="s">
        <v>57</v>
      </c>
      <c r="CC20" s="36" t="s">
        <v>57</v>
      </c>
      <c r="CD20" s="36" t="s">
        <v>57</v>
      </c>
      <c r="CE20" s="36" t="s">
        <v>57</v>
      </c>
      <c r="CF20" s="36" t="s">
        <v>57</v>
      </c>
    </row>
    <row r="21" spans="1:84">
      <c r="A21" s="51" t="s">
        <v>935</v>
      </c>
      <c r="B21" s="51"/>
      <c r="C21" s="52" t="s">
        <v>1637</v>
      </c>
      <c r="D21" s="52" t="s">
        <v>1637</v>
      </c>
      <c r="E21" s="52" t="s">
        <v>2736</v>
      </c>
      <c r="F21" s="52" t="s">
        <v>2736</v>
      </c>
      <c r="G21" s="52" t="s">
        <v>1455</v>
      </c>
      <c r="H21" s="52" t="s">
        <v>1455</v>
      </c>
      <c r="I21" s="52" t="s">
        <v>8193</v>
      </c>
      <c r="J21" s="52" t="s">
        <v>1637</v>
      </c>
      <c r="K21" s="52" t="s">
        <v>8193</v>
      </c>
      <c r="L21" s="52" t="s">
        <v>8193</v>
      </c>
      <c r="M21" s="52" t="s">
        <v>1637</v>
      </c>
      <c r="N21" s="52" t="s">
        <v>8193</v>
      </c>
      <c r="O21" s="52" t="s">
        <v>1637</v>
      </c>
      <c r="P21" s="52" t="s">
        <v>8193</v>
      </c>
      <c r="Q21" s="52" t="s">
        <v>8193</v>
      </c>
      <c r="R21" s="52" t="s">
        <v>1637</v>
      </c>
      <c r="S21" s="52" t="s">
        <v>8193</v>
      </c>
      <c r="T21" s="52" t="s">
        <v>5553</v>
      </c>
      <c r="U21" s="52" t="s">
        <v>5554</v>
      </c>
      <c r="V21" s="84" t="s">
        <v>1025</v>
      </c>
      <c r="W21" s="52" t="s">
        <v>4399</v>
      </c>
      <c r="X21" s="52" t="s">
        <v>6392</v>
      </c>
      <c r="Y21" s="52" t="s">
        <v>2401</v>
      </c>
      <c r="Z21" s="52" t="s">
        <v>2401</v>
      </c>
      <c r="AA21" s="52" t="s">
        <v>2401</v>
      </c>
      <c r="AB21" s="52" t="s">
        <v>4645</v>
      </c>
      <c r="AC21" s="52" t="s">
        <v>4645</v>
      </c>
      <c r="AD21" s="52" t="s">
        <v>4645</v>
      </c>
      <c r="AE21" s="52" t="s">
        <v>6033</v>
      </c>
      <c r="AF21" s="52" t="s">
        <v>6033</v>
      </c>
      <c r="AG21" s="186" t="s">
        <v>7050</v>
      </c>
      <c r="AH21" s="186" t="s">
        <v>7050</v>
      </c>
      <c r="AI21" s="186" t="s">
        <v>7050</v>
      </c>
      <c r="AJ21" s="52" t="s">
        <v>6089</v>
      </c>
      <c r="AK21" s="52" t="s">
        <v>1881</v>
      </c>
      <c r="AL21" s="52" t="s">
        <v>1881</v>
      </c>
      <c r="AM21" s="52" t="s">
        <v>5437</v>
      </c>
      <c r="AN21" s="52" t="s">
        <v>5437</v>
      </c>
      <c r="AO21" s="52" t="s">
        <v>4271</v>
      </c>
      <c r="AP21" s="52" t="s">
        <v>2583</v>
      </c>
      <c r="AQ21" s="52" t="s">
        <v>2583</v>
      </c>
      <c r="AR21" s="52"/>
      <c r="AS21" s="52" t="s">
        <v>2026</v>
      </c>
      <c r="AT21" s="52" t="s">
        <v>2026</v>
      </c>
      <c r="AU21" s="52" t="s">
        <v>2026</v>
      </c>
      <c r="AV21" s="52" t="s">
        <v>4297</v>
      </c>
      <c r="AW21" s="52" t="s">
        <v>4297</v>
      </c>
      <c r="AX21" s="52" t="s">
        <v>1377</v>
      </c>
      <c r="AY21" s="52" t="s">
        <v>1377</v>
      </c>
      <c r="AZ21" s="52" t="s">
        <v>3670</v>
      </c>
      <c r="BA21" s="52" t="s">
        <v>3584</v>
      </c>
      <c r="BB21" s="52" t="s">
        <v>3518</v>
      </c>
      <c r="BC21" s="52" t="s">
        <v>4957</v>
      </c>
      <c r="BD21" s="52" t="s">
        <v>7568</v>
      </c>
      <c r="BE21" s="52" t="s">
        <v>4957</v>
      </c>
      <c r="BF21" s="52" t="s">
        <v>7568</v>
      </c>
      <c r="BG21" s="52" t="s">
        <v>4957</v>
      </c>
      <c r="BH21" s="52" t="s">
        <v>7568</v>
      </c>
      <c r="BI21" s="52" t="s">
        <v>7568</v>
      </c>
      <c r="BJ21" s="52" t="s">
        <v>4957</v>
      </c>
      <c r="BK21" s="52"/>
      <c r="BL21" s="52"/>
      <c r="BM21" s="52" t="s">
        <v>0</v>
      </c>
      <c r="BN21" s="52" t="s">
        <v>1637</v>
      </c>
      <c r="BO21" s="52" t="s">
        <v>1637</v>
      </c>
      <c r="BP21" s="52" t="s">
        <v>1637</v>
      </c>
      <c r="BQ21" s="52" t="s">
        <v>1637</v>
      </c>
      <c r="BR21" s="52" t="s">
        <v>1881</v>
      </c>
      <c r="BS21" s="52" t="s">
        <v>1881</v>
      </c>
      <c r="BT21" s="52" t="s">
        <v>1881</v>
      </c>
      <c r="BU21" s="84" t="s">
        <v>2858</v>
      </c>
      <c r="BV21" s="84"/>
      <c r="BW21" s="52"/>
      <c r="BX21" s="52" t="s">
        <v>3763</v>
      </c>
      <c r="BY21" s="52" t="s">
        <v>3763</v>
      </c>
      <c r="BZ21" s="52" t="s">
        <v>6164</v>
      </c>
      <c r="CA21" s="52" t="s">
        <v>3146</v>
      </c>
      <c r="CB21" s="52" t="s">
        <v>3146</v>
      </c>
      <c r="CC21" s="52"/>
      <c r="CD21" s="52"/>
      <c r="CE21" s="52" t="s">
        <v>3228</v>
      </c>
      <c r="CF21" s="52" t="s">
        <v>2184</v>
      </c>
    </row>
    <row r="22" spans="1:84" ht="18">
      <c r="A22" s="86" t="s">
        <v>86</v>
      </c>
      <c r="B22" s="200"/>
      <c r="C22" s="36" t="s">
        <v>57</v>
      </c>
      <c r="D22" s="36" t="s">
        <v>57</v>
      </c>
      <c r="E22" s="36" t="s">
        <v>57</v>
      </c>
      <c r="F22" s="36" t="s">
        <v>57</v>
      </c>
      <c r="G22" s="36" t="s">
        <v>57</v>
      </c>
      <c r="H22" s="36" t="s">
        <v>57</v>
      </c>
      <c r="I22" s="36" t="s">
        <v>57</v>
      </c>
      <c r="J22" s="36" t="s">
        <v>57</v>
      </c>
      <c r="K22" s="36" t="s">
        <v>57</v>
      </c>
      <c r="L22" s="36" t="s">
        <v>57</v>
      </c>
      <c r="M22" s="36" t="s">
        <v>57</v>
      </c>
      <c r="N22" s="36" t="s">
        <v>57</v>
      </c>
      <c r="O22" s="36" t="s">
        <v>57</v>
      </c>
      <c r="P22" s="36" t="s">
        <v>57</v>
      </c>
      <c r="Q22" s="36" t="s">
        <v>57</v>
      </c>
      <c r="R22" s="36" t="s">
        <v>57</v>
      </c>
      <c r="S22" s="36" t="s">
        <v>57</v>
      </c>
      <c r="T22" s="36" t="s">
        <v>57</v>
      </c>
      <c r="U22" s="36" t="s">
        <v>57</v>
      </c>
      <c r="V22" s="77" t="s">
        <v>57</v>
      </c>
      <c r="W22" s="36" t="s">
        <v>196</v>
      </c>
      <c r="X22" s="36" t="s">
        <v>57</v>
      </c>
      <c r="Y22" s="36" t="s">
        <v>57</v>
      </c>
      <c r="Z22" s="36" t="s">
        <v>57</v>
      </c>
      <c r="AA22" s="36" t="s">
        <v>57</v>
      </c>
      <c r="AB22" s="36" t="s">
        <v>57</v>
      </c>
      <c r="AC22" s="36" t="s">
        <v>57</v>
      </c>
      <c r="AD22" s="36" t="s">
        <v>57</v>
      </c>
      <c r="AE22" s="7" t="s">
        <v>57</v>
      </c>
      <c r="AF22" s="7" t="s">
        <v>57</v>
      </c>
      <c r="AG22" s="36" t="s">
        <v>57</v>
      </c>
      <c r="AH22" s="36" t="s">
        <v>57</v>
      </c>
      <c r="AI22" s="36" t="s">
        <v>57</v>
      </c>
      <c r="AJ22" s="34" t="s">
        <v>57</v>
      </c>
      <c r="AK22" s="7" t="s">
        <v>57</v>
      </c>
      <c r="AL22" s="7" t="s">
        <v>57</v>
      </c>
      <c r="AM22" s="36" t="s">
        <v>57</v>
      </c>
      <c r="AN22" s="36" t="s">
        <v>57</v>
      </c>
      <c r="AO22" s="36" t="s">
        <v>57</v>
      </c>
      <c r="AP22" s="36" t="s">
        <v>57</v>
      </c>
      <c r="AQ22" s="36" t="s">
        <v>57</v>
      </c>
      <c r="AR22" s="36" t="s">
        <v>57</v>
      </c>
      <c r="AS22" s="36" t="s">
        <v>57</v>
      </c>
      <c r="AT22" s="36" t="s">
        <v>57</v>
      </c>
      <c r="AU22" s="36" t="s">
        <v>57</v>
      </c>
      <c r="AV22" s="36" t="s">
        <v>57</v>
      </c>
      <c r="AW22" s="36" t="s">
        <v>57</v>
      </c>
      <c r="AX22" s="36" t="s">
        <v>57</v>
      </c>
      <c r="AY22" s="36" t="s">
        <v>57</v>
      </c>
      <c r="AZ22" s="36" t="s">
        <v>57</v>
      </c>
      <c r="BA22" s="36" t="s">
        <v>57</v>
      </c>
      <c r="BB22" s="36" t="s">
        <v>4499</v>
      </c>
      <c r="BC22" s="36" t="s">
        <v>57</v>
      </c>
      <c r="BD22" s="36" t="s">
        <v>57</v>
      </c>
      <c r="BE22" s="36" t="s">
        <v>57</v>
      </c>
      <c r="BF22" s="36" t="s">
        <v>57</v>
      </c>
      <c r="BG22" s="36" t="s">
        <v>57</v>
      </c>
      <c r="BH22" s="36" t="s">
        <v>57</v>
      </c>
      <c r="BI22" s="36" t="s">
        <v>57</v>
      </c>
      <c r="BJ22" s="36" t="s">
        <v>57</v>
      </c>
      <c r="BK22" s="36" t="s">
        <v>57</v>
      </c>
      <c r="BL22" s="36" t="s">
        <v>57</v>
      </c>
      <c r="BM22" s="36" t="s">
        <v>0</v>
      </c>
      <c r="BN22" s="36" t="s">
        <v>57</v>
      </c>
      <c r="BO22" s="36" t="s">
        <v>57</v>
      </c>
      <c r="BP22" s="36" t="s">
        <v>57</v>
      </c>
      <c r="BQ22" s="36" t="s">
        <v>57</v>
      </c>
      <c r="BR22" s="36" t="s">
        <v>57</v>
      </c>
      <c r="BS22" s="36" t="s">
        <v>57</v>
      </c>
      <c r="BT22" s="36" t="s">
        <v>57</v>
      </c>
      <c r="BU22" s="36" t="s">
        <v>57</v>
      </c>
      <c r="BV22" s="36" t="s">
        <v>57</v>
      </c>
      <c r="BW22" s="36" t="s">
        <v>57</v>
      </c>
      <c r="BX22" s="36" t="s">
        <v>57</v>
      </c>
      <c r="BY22" s="36" t="s">
        <v>57</v>
      </c>
      <c r="BZ22" s="36" t="s">
        <v>57</v>
      </c>
      <c r="CA22" s="36" t="s">
        <v>57</v>
      </c>
      <c r="CB22" s="36" t="s">
        <v>57</v>
      </c>
      <c r="CC22" s="36" t="s">
        <v>57</v>
      </c>
      <c r="CD22" s="36" t="s">
        <v>57</v>
      </c>
      <c r="CE22" s="36" t="s">
        <v>57</v>
      </c>
      <c r="CF22" s="36" t="s">
        <v>196</v>
      </c>
    </row>
    <row r="23" spans="1:84">
      <c r="A23" s="51" t="s">
        <v>935</v>
      </c>
      <c r="B23" s="51"/>
      <c r="C23" s="52" t="s">
        <v>1638</v>
      </c>
      <c r="D23" s="52" t="s">
        <v>1638</v>
      </c>
      <c r="E23" s="52" t="s">
        <v>2736</v>
      </c>
      <c r="F23" s="52" t="s">
        <v>2736</v>
      </c>
      <c r="G23" s="52" t="s">
        <v>1456</v>
      </c>
      <c r="H23" s="52" t="s">
        <v>1456</v>
      </c>
      <c r="I23" s="52" t="s">
        <v>8194</v>
      </c>
      <c r="J23" s="52" t="s">
        <v>1638</v>
      </c>
      <c r="K23" s="52" t="s">
        <v>8194</v>
      </c>
      <c r="L23" s="52" t="s">
        <v>8194</v>
      </c>
      <c r="M23" s="52" t="s">
        <v>1638</v>
      </c>
      <c r="N23" s="52" t="s">
        <v>8194</v>
      </c>
      <c r="O23" s="52" t="s">
        <v>1638</v>
      </c>
      <c r="P23" s="52" t="s">
        <v>8194</v>
      </c>
      <c r="Q23" s="52" t="s">
        <v>8194</v>
      </c>
      <c r="R23" s="52" t="s">
        <v>1638</v>
      </c>
      <c r="S23" s="52" t="s">
        <v>8194</v>
      </c>
      <c r="T23" s="52" t="s">
        <v>5541</v>
      </c>
      <c r="U23" s="52" t="s">
        <v>5541</v>
      </c>
      <c r="V23" s="84" t="s">
        <v>1025</v>
      </c>
      <c r="W23" s="52" t="s">
        <v>4401</v>
      </c>
      <c r="X23" s="52" t="s">
        <v>6393</v>
      </c>
      <c r="Y23" s="52" t="s">
        <v>2402</v>
      </c>
      <c r="Z23" s="52" t="s">
        <v>2402</v>
      </c>
      <c r="AA23" s="52" t="s">
        <v>2402</v>
      </c>
      <c r="AB23" s="52" t="s">
        <v>4646</v>
      </c>
      <c r="AC23" s="52" t="s">
        <v>4646</v>
      </c>
      <c r="AD23" s="52" t="s">
        <v>4646</v>
      </c>
      <c r="AE23" s="52" t="s">
        <v>6031</v>
      </c>
      <c r="AF23" s="52" t="s">
        <v>6031</v>
      </c>
      <c r="AG23" s="186" t="s">
        <v>7058</v>
      </c>
      <c r="AH23" s="186" t="s">
        <v>7058</v>
      </c>
      <c r="AI23" s="186" t="s">
        <v>7058</v>
      </c>
      <c r="AJ23" s="52" t="s">
        <v>6096</v>
      </c>
      <c r="AK23" s="52" t="s">
        <v>1884</v>
      </c>
      <c r="AL23" s="52" t="s">
        <v>1884</v>
      </c>
      <c r="AM23" s="52" t="s">
        <v>5438</v>
      </c>
      <c r="AN23" s="52" t="s">
        <v>5438</v>
      </c>
      <c r="AO23" s="52" t="s">
        <v>4272</v>
      </c>
      <c r="AP23" s="52" t="s">
        <v>2584</v>
      </c>
      <c r="AQ23" s="52" t="s">
        <v>2584</v>
      </c>
      <c r="AR23" s="52" t="s">
        <v>2214</v>
      </c>
      <c r="AS23" s="52" t="s">
        <v>2027</v>
      </c>
      <c r="AT23" s="52" t="s">
        <v>2027</v>
      </c>
      <c r="AU23" s="52" t="s">
        <v>2027</v>
      </c>
      <c r="AV23" s="52" t="s">
        <v>4298</v>
      </c>
      <c r="AW23" s="52" t="s">
        <v>4298</v>
      </c>
      <c r="AX23" s="52" t="s">
        <v>1378</v>
      </c>
      <c r="AY23" s="52" t="s">
        <v>1378</v>
      </c>
      <c r="AZ23" s="52" t="s">
        <v>3671</v>
      </c>
      <c r="BA23" s="52" t="s">
        <v>3585</v>
      </c>
      <c r="BB23" s="52" t="s">
        <v>4500</v>
      </c>
      <c r="BC23" s="52" t="s">
        <v>4958</v>
      </c>
      <c r="BD23" s="52" t="s">
        <v>7569</v>
      </c>
      <c r="BE23" s="52" t="s">
        <v>4958</v>
      </c>
      <c r="BF23" s="52" t="s">
        <v>7569</v>
      </c>
      <c r="BG23" s="52" t="s">
        <v>4958</v>
      </c>
      <c r="BH23" s="52" t="s">
        <v>7569</v>
      </c>
      <c r="BI23" s="52" t="s">
        <v>7569</v>
      </c>
      <c r="BJ23" s="52" t="s">
        <v>4958</v>
      </c>
      <c r="BK23" s="52"/>
      <c r="BL23" s="52"/>
      <c r="BM23" s="52" t="s">
        <v>0</v>
      </c>
      <c r="BN23" s="52" t="s">
        <v>1638</v>
      </c>
      <c r="BO23" s="52" t="s">
        <v>1638</v>
      </c>
      <c r="BP23" s="52" t="s">
        <v>1638</v>
      </c>
      <c r="BQ23" s="52" t="s">
        <v>1638</v>
      </c>
      <c r="BR23" s="52" t="s">
        <v>2692</v>
      </c>
      <c r="BS23" s="52" t="s">
        <v>2692</v>
      </c>
      <c r="BT23" s="52" t="s">
        <v>2692</v>
      </c>
      <c r="BU23" s="84" t="s">
        <v>2859</v>
      </c>
      <c r="BV23" s="84"/>
      <c r="BW23" s="52"/>
      <c r="BX23" s="52" t="s">
        <v>3899</v>
      </c>
      <c r="BY23" s="52" t="s">
        <v>3899</v>
      </c>
      <c r="BZ23" s="52" t="s">
        <v>6165</v>
      </c>
      <c r="CA23" s="52" t="s">
        <v>3147</v>
      </c>
      <c r="CB23" s="52" t="s">
        <v>3147</v>
      </c>
      <c r="CC23" s="52"/>
      <c r="CD23" s="52"/>
      <c r="CE23" s="52" t="s">
        <v>3229</v>
      </c>
      <c r="CF23" s="52" t="s">
        <v>2178</v>
      </c>
    </row>
    <row r="24" spans="1:84">
      <c r="A24" s="6" t="s">
        <v>87</v>
      </c>
      <c r="B24" s="200"/>
      <c r="C24" s="36" t="s">
        <v>57</v>
      </c>
      <c r="D24" s="36" t="s">
        <v>57</v>
      </c>
      <c r="E24" s="36" t="s">
        <v>57</v>
      </c>
      <c r="F24" s="36" t="s">
        <v>57</v>
      </c>
      <c r="G24" s="36" t="s">
        <v>57</v>
      </c>
      <c r="H24" s="36" t="s">
        <v>57</v>
      </c>
      <c r="I24" s="36" t="s">
        <v>57</v>
      </c>
      <c r="J24" s="36" t="s">
        <v>57</v>
      </c>
      <c r="K24" s="36" t="s">
        <v>57</v>
      </c>
      <c r="L24" s="36" t="s">
        <v>57</v>
      </c>
      <c r="M24" s="36" t="s">
        <v>57</v>
      </c>
      <c r="N24" s="36" t="s">
        <v>57</v>
      </c>
      <c r="O24" s="36" t="s">
        <v>57</v>
      </c>
      <c r="P24" s="36" t="s">
        <v>57</v>
      </c>
      <c r="Q24" s="36" t="s">
        <v>57</v>
      </c>
      <c r="R24" s="36" t="s">
        <v>57</v>
      </c>
      <c r="S24" s="36" t="s">
        <v>57</v>
      </c>
      <c r="T24" s="36" t="s">
        <v>57</v>
      </c>
      <c r="U24" s="36" t="s">
        <v>57</v>
      </c>
      <c r="V24" s="145" t="s">
        <v>57</v>
      </c>
      <c r="W24" s="36" t="s">
        <v>57</v>
      </c>
      <c r="X24" s="36" t="s">
        <v>57</v>
      </c>
      <c r="Y24" s="36" t="s">
        <v>57</v>
      </c>
      <c r="Z24" s="36" t="s">
        <v>57</v>
      </c>
      <c r="AA24" s="36" t="s">
        <v>57</v>
      </c>
      <c r="AB24" s="36" t="s">
        <v>57</v>
      </c>
      <c r="AC24" s="36" t="s">
        <v>57</v>
      </c>
      <c r="AD24" s="36" t="s">
        <v>57</v>
      </c>
      <c r="AE24" s="7" t="s">
        <v>57</v>
      </c>
      <c r="AF24" s="7" t="s">
        <v>57</v>
      </c>
      <c r="AG24" s="36" t="s">
        <v>57</v>
      </c>
      <c r="AH24" s="36" t="s">
        <v>57</v>
      </c>
      <c r="AI24" s="36" t="s">
        <v>57</v>
      </c>
      <c r="AJ24" s="34" t="s">
        <v>57</v>
      </c>
      <c r="AK24" s="7" t="s">
        <v>57</v>
      </c>
      <c r="AL24" s="7" t="s">
        <v>57</v>
      </c>
      <c r="AM24" s="36" t="s">
        <v>57</v>
      </c>
      <c r="AN24" s="36" t="s">
        <v>57</v>
      </c>
      <c r="AO24" s="36" t="s">
        <v>57</v>
      </c>
      <c r="AP24" s="36" t="s">
        <v>57</v>
      </c>
      <c r="AQ24" s="36" t="s">
        <v>57</v>
      </c>
      <c r="AR24" s="36" t="s">
        <v>57</v>
      </c>
      <c r="AS24" s="36" t="s">
        <v>57</v>
      </c>
      <c r="AT24" s="36" t="s">
        <v>57</v>
      </c>
      <c r="AU24" s="36" t="s">
        <v>57</v>
      </c>
      <c r="AV24" s="36" t="s">
        <v>57</v>
      </c>
      <c r="AW24" s="36" t="s">
        <v>57</v>
      </c>
      <c r="AX24" s="36" t="s">
        <v>57</v>
      </c>
      <c r="AY24" s="36" t="s">
        <v>57</v>
      </c>
      <c r="AZ24" s="36" t="s">
        <v>57</v>
      </c>
      <c r="BA24" s="36" t="s">
        <v>57</v>
      </c>
      <c r="BB24" s="36" t="s">
        <v>57</v>
      </c>
      <c r="BC24" s="36" t="s">
        <v>57</v>
      </c>
      <c r="BD24" s="36" t="s">
        <v>57</v>
      </c>
      <c r="BE24" s="36" t="s">
        <v>57</v>
      </c>
      <c r="BF24" s="36" t="s">
        <v>57</v>
      </c>
      <c r="BG24" s="36" t="s">
        <v>57</v>
      </c>
      <c r="BH24" s="36" t="s">
        <v>57</v>
      </c>
      <c r="BI24" s="36" t="s">
        <v>57</v>
      </c>
      <c r="BJ24" s="36" t="s">
        <v>57</v>
      </c>
      <c r="BK24" s="36" t="s">
        <v>57</v>
      </c>
      <c r="BL24" s="36" t="s">
        <v>57</v>
      </c>
      <c r="BM24" s="36" t="s">
        <v>0</v>
      </c>
      <c r="BN24" s="36" t="s">
        <v>57</v>
      </c>
      <c r="BO24" s="36" t="s">
        <v>57</v>
      </c>
      <c r="BP24" s="36" t="s">
        <v>57</v>
      </c>
      <c r="BQ24" s="36" t="s">
        <v>57</v>
      </c>
      <c r="BR24" s="36" t="s">
        <v>57</v>
      </c>
      <c r="BS24" s="36" t="s">
        <v>57</v>
      </c>
      <c r="BT24" s="36" t="s">
        <v>57</v>
      </c>
      <c r="BU24" s="36" t="s">
        <v>57</v>
      </c>
      <c r="BV24" s="36" t="s">
        <v>57</v>
      </c>
      <c r="BW24" s="36" t="s">
        <v>57</v>
      </c>
      <c r="BX24" s="36" t="s">
        <v>57</v>
      </c>
      <c r="BY24" s="36" t="s">
        <v>57</v>
      </c>
      <c r="BZ24" s="36" t="s">
        <v>57</v>
      </c>
      <c r="CA24" s="36" t="s">
        <v>57</v>
      </c>
      <c r="CB24" s="36" t="s">
        <v>57</v>
      </c>
      <c r="CC24" s="36" t="s">
        <v>57</v>
      </c>
      <c r="CD24" s="36" t="s">
        <v>57</v>
      </c>
      <c r="CE24" s="36" t="s">
        <v>57</v>
      </c>
      <c r="CF24" s="36" t="s">
        <v>57</v>
      </c>
    </row>
    <row r="25" spans="1:84">
      <c r="A25" s="51" t="s">
        <v>935</v>
      </c>
      <c r="B25" s="51"/>
      <c r="C25" s="52" t="s">
        <v>1639</v>
      </c>
      <c r="D25" s="52" t="s">
        <v>1639</v>
      </c>
      <c r="E25" s="52" t="s">
        <v>0</v>
      </c>
      <c r="F25" s="52" t="s">
        <v>0</v>
      </c>
      <c r="G25" s="52" t="s">
        <v>1457</v>
      </c>
      <c r="H25" s="52" t="s">
        <v>1457</v>
      </c>
      <c r="I25" s="52" t="s">
        <v>8195</v>
      </c>
      <c r="J25" s="52" t="s">
        <v>1639</v>
      </c>
      <c r="K25" s="52" t="s">
        <v>8195</v>
      </c>
      <c r="L25" s="52" t="s">
        <v>8195</v>
      </c>
      <c r="M25" s="52" t="s">
        <v>1639</v>
      </c>
      <c r="N25" s="52" t="s">
        <v>8195</v>
      </c>
      <c r="O25" s="52" t="s">
        <v>1639</v>
      </c>
      <c r="P25" s="52" t="s">
        <v>8195</v>
      </c>
      <c r="Q25" s="52" t="s">
        <v>8195</v>
      </c>
      <c r="R25" s="52" t="s">
        <v>1639</v>
      </c>
      <c r="S25" s="52" t="s">
        <v>8195</v>
      </c>
      <c r="T25" s="52" t="s">
        <v>5542</v>
      </c>
      <c r="U25" s="52" t="s">
        <v>5542</v>
      </c>
      <c r="V25" s="84" t="s">
        <v>1025</v>
      </c>
      <c r="W25" s="52" t="s">
        <v>4400</v>
      </c>
      <c r="X25" s="52" t="s">
        <v>6394</v>
      </c>
      <c r="Y25" s="52" t="s">
        <v>2403</v>
      </c>
      <c r="Z25" s="52" t="s">
        <v>2403</v>
      </c>
      <c r="AA25" s="52" t="s">
        <v>2403</v>
      </c>
      <c r="AB25" s="52" t="s">
        <v>4647</v>
      </c>
      <c r="AC25" s="52" t="s">
        <v>4647</v>
      </c>
      <c r="AD25" s="52" t="s">
        <v>4647</v>
      </c>
      <c r="AE25" s="52" t="s">
        <v>6032</v>
      </c>
      <c r="AF25" s="52" t="s">
        <v>6032</v>
      </c>
      <c r="AG25" s="186" t="s">
        <v>7057</v>
      </c>
      <c r="AH25" s="186" t="s">
        <v>7057</v>
      </c>
      <c r="AI25" s="186" t="s">
        <v>7057</v>
      </c>
      <c r="AJ25" s="52" t="s">
        <v>6096</v>
      </c>
      <c r="AK25" s="52" t="s">
        <v>1883</v>
      </c>
      <c r="AL25" s="52" t="s">
        <v>1883</v>
      </c>
      <c r="AM25" s="52" t="s">
        <v>5439</v>
      </c>
      <c r="AN25" s="52" t="s">
        <v>5439</v>
      </c>
      <c r="AO25" s="52" t="s">
        <v>4273</v>
      </c>
      <c r="AP25" s="52" t="s">
        <v>2585</v>
      </c>
      <c r="AQ25" s="52" t="s">
        <v>2585</v>
      </c>
      <c r="AR25" s="52" t="s">
        <v>2214</v>
      </c>
      <c r="AS25" s="52" t="s">
        <v>2028</v>
      </c>
      <c r="AT25" s="52" t="s">
        <v>2028</v>
      </c>
      <c r="AU25" s="52" t="s">
        <v>2028</v>
      </c>
      <c r="AV25" s="52" t="s">
        <v>4298</v>
      </c>
      <c r="AW25" s="52" t="s">
        <v>4298</v>
      </c>
      <c r="AX25" s="52" t="s">
        <v>1379</v>
      </c>
      <c r="AY25" s="52" t="s">
        <v>1379</v>
      </c>
      <c r="AZ25" s="52" t="s">
        <v>3672</v>
      </c>
      <c r="BA25" s="52" t="s">
        <v>3586</v>
      </c>
      <c r="BB25" s="52" t="s">
        <v>3520</v>
      </c>
      <c r="BC25" s="52" t="s">
        <v>4959</v>
      </c>
      <c r="BD25" s="52" t="s">
        <v>7570</v>
      </c>
      <c r="BE25" s="52" t="s">
        <v>4959</v>
      </c>
      <c r="BF25" s="52" t="s">
        <v>7570</v>
      </c>
      <c r="BG25" s="52" t="s">
        <v>4959</v>
      </c>
      <c r="BH25" s="52" t="s">
        <v>7570</v>
      </c>
      <c r="BI25" s="52" t="s">
        <v>7570</v>
      </c>
      <c r="BJ25" s="52" t="s">
        <v>4959</v>
      </c>
      <c r="BK25" s="52"/>
      <c r="BL25" s="52"/>
      <c r="BM25" s="52" t="s">
        <v>0</v>
      </c>
      <c r="BN25" s="52" t="s">
        <v>1639</v>
      </c>
      <c r="BO25" s="52" t="s">
        <v>1639</v>
      </c>
      <c r="BP25" s="52" t="s">
        <v>1639</v>
      </c>
      <c r="BQ25" s="52" t="s">
        <v>1639</v>
      </c>
      <c r="BR25" s="52" t="s">
        <v>2693</v>
      </c>
      <c r="BS25" s="52" t="s">
        <v>2693</v>
      </c>
      <c r="BT25" s="52" t="s">
        <v>2693</v>
      </c>
      <c r="BU25" s="84" t="s">
        <v>2860</v>
      </c>
      <c r="BV25" s="84"/>
      <c r="BW25" s="52"/>
      <c r="BX25" s="52" t="s">
        <v>3899</v>
      </c>
      <c r="BY25" s="52" t="s">
        <v>3899</v>
      </c>
      <c r="BZ25" s="52" t="s">
        <v>6165</v>
      </c>
      <c r="CA25" s="52" t="s">
        <v>3148</v>
      </c>
      <c r="CB25" s="52" t="s">
        <v>3148</v>
      </c>
      <c r="CC25" s="52"/>
      <c r="CD25" s="52"/>
      <c r="CE25" s="52" t="s">
        <v>3230</v>
      </c>
      <c r="CF25" s="52" t="s">
        <v>2179</v>
      </c>
    </row>
    <row r="26" spans="1:84" ht="27">
      <c r="A26" s="62" t="s">
        <v>403</v>
      </c>
      <c r="B26" s="200"/>
      <c r="C26" s="36" t="s">
        <v>192</v>
      </c>
      <c r="D26" s="36" t="s">
        <v>201</v>
      </c>
      <c r="E26" s="36" t="s">
        <v>3740</v>
      </c>
      <c r="F26" s="36" t="s">
        <v>561</v>
      </c>
      <c r="G26" s="36" t="s">
        <v>3740</v>
      </c>
      <c r="H26" s="36" t="s">
        <v>225</v>
      </c>
      <c r="I26" s="36" t="s">
        <v>192</v>
      </c>
      <c r="J26" s="36" t="s">
        <v>198</v>
      </c>
      <c r="K26" s="36" t="s">
        <v>8389</v>
      </c>
      <c r="L26" s="36" t="s">
        <v>8482</v>
      </c>
      <c r="M26" s="36" t="s">
        <v>698</v>
      </c>
      <c r="N26" s="36" t="s">
        <v>8296</v>
      </c>
      <c r="O26" s="36" t="s">
        <v>698</v>
      </c>
      <c r="P26" s="36" t="s">
        <v>8482</v>
      </c>
      <c r="Q26" s="36" t="s">
        <v>8482</v>
      </c>
      <c r="R26" s="36" t="s">
        <v>698</v>
      </c>
      <c r="S26" s="36" t="s">
        <v>8482</v>
      </c>
      <c r="T26" s="36" t="s">
        <v>3268</v>
      </c>
      <c r="U26" s="36" t="s">
        <v>752</v>
      </c>
      <c r="V26" s="145" t="s">
        <v>5714</v>
      </c>
      <c r="W26" s="36" t="s">
        <v>4408</v>
      </c>
      <c r="X26" s="36" t="s">
        <v>199</v>
      </c>
      <c r="Y26" s="36" t="s">
        <v>2326</v>
      </c>
      <c r="Z26" s="36" t="s">
        <v>204</v>
      </c>
      <c r="AA26" s="36" t="s">
        <v>204</v>
      </c>
      <c r="AB26" s="36" t="s">
        <v>4649</v>
      </c>
      <c r="AC26" s="36" t="s">
        <v>4650</v>
      </c>
      <c r="AD26" s="36" t="s">
        <v>4648</v>
      </c>
      <c r="AE26" s="7" t="s">
        <v>67</v>
      </c>
      <c r="AF26" s="34" t="s">
        <v>198</v>
      </c>
      <c r="AG26" s="36" t="s">
        <v>215</v>
      </c>
      <c r="AH26" s="36" t="s">
        <v>215</v>
      </c>
      <c r="AI26" s="36" t="s">
        <v>7190</v>
      </c>
      <c r="AJ26" s="37" t="s">
        <v>3441</v>
      </c>
      <c r="AK26" s="7" t="s">
        <v>408</v>
      </c>
      <c r="AL26" s="34" t="s">
        <v>198</v>
      </c>
      <c r="AM26" s="36" t="s">
        <v>198</v>
      </c>
      <c r="AN26" s="36" t="s">
        <v>199</v>
      </c>
      <c r="AO26" s="36" t="s">
        <v>4209</v>
      </c>
      <c r="AP26" s="36" t="s">
        <v>204</v>
      </c>
      <c r="AQ26" s="36" t="s">
        <v>57</v>
      </c>
      <c r="AR26" s="36" t="s">
        <v>67</v>
      </c>
      <c r="AS26" s="36" t="s">
        <v>269</v>
      </c>
      <c r="AT26" s="36" t="s">
        <v>473</v>
      </c>
      <c r="AU26" s="36" t="s">
        <v>57</v>
      </c>
      <c r="AV26" s="36" t="s">
        <v>199</v>
      </c>
      <c r="AW26" s="36" t="s">
        <v>199</v>
      </c>
      <c r="AX26" s="36" t="s">
        <v>6311</v>
      </c>
      <c r="AY26" s="36" t="s">
        <v>225</v>
      </c>
      <c r="AZ26" s="36" t="s">
        <v>67</v>
      </c>
      <c r="BA26" s="36" t="s">
        <v>198</v>
      </c>
      <c r="BB26" s="36" t="s">
        <v>4489</v>
      </c>
      <c r="BC26" s="36" t="s">
        <v>4969</v>
      </c>
      <c r="BD26" s="36" t="s">
        <v>7753</v>
      </c>
      <c r="BE26" s="36" t="s">
        <v>4970</v>
      </c>
      <c r="BF26" s="36" t="s">
        <v>7652</v>
      </c>
      <c r="BG26" s="36" t="s">
        <v>5016</v>
      </c>
      <c r="BH26" s="36" t="s">
        <v>7864</v>
      </c>
      <c r="BI26" s="36" t="s">
        <v>215</v>
      </c>
      <c r="BJ26" s="36" t="s">
        <v>67</v>
      </c>
      <c r="BK26" s="36" t="s">
        <v>198</v>
      </c>
      <c r="BL26" s="36" t="s">
        <v>199</v>
      </c>
      <c r="BM26" s="36" t="s">
        <v>0</v>
      </c>
      <c r="BN26" s="36" t="s">
        <v>67</v>
      </c>
      <c r="BO26" s="36" t="s">
        <v>6353</v>
      </c>
      <c r="BP26" s="36" t="s">
        <v>225</v>
      </c>
      <c r="BQ26" s="36" t="s">
        <v>67</v>
      </c>
      <c r="BR26" s="36" t="s">
        <v>67</v>
      </c>
      <c r="BS26" s="36" t="s">
        <v>67</v>
      </c>
      <c r="BT26" s="36" t="s">
        <v>67</v>
      </c>
      <c r="BU26" s="36" t="s">
        <v>2815</v>
      </c>
      <c r="BV26" s="36" t="s">
        <v>198</v>
      </c>
      <c r="BW26" s="36" t="s">
        <v>199</v>
      </c>
      <c r="BX26" s="36" t="s">
        <v>67</v>
      </c>
      <c r="BY26" s="36" t="s">
        <v>697</v>
      </c>
      <c r="BZ26" s="36" t="s">
        <v>305</v>
      </c>
      <c r="CA26" s="36" t="s">
        <v>198</v>
      </c>
      <c r="CB26" s="36" t="s">
        <v>199</v>
      </c>
      <c r="CC26" s="36" t="s">
        <v>67</v>
      </c>
      <c r="CD26" s="36" t="s">
        <v>198</v>
      </c>
      <c r="CE26" s="36" t="s">
        <v>3220</v>
      </c>
      <c r="CF26" s="36" t="s">
        <v>752</v>
      </c>
    </row>
    <row r="27" spans="1:84" ht="18">
      <c r="A27" s="51" t="s">
        <v>935</v>
      </c>
      <c r="B27" s="51"/>
      <c r="C27" s="52" t="s">
        <v>5169</v>
      </c>
      <c r="D27" s="52" t="s">
        <v>5166</v>
      </c>
      <c r="E27" s="52" t="s">
        <v>2799</v>
      </c>
      <c r="F27" s="52" t="s">
        <v>2799</v>
      </c>
      <c r="G27" s="52" t="s">
        <v>1478</v>
      </c>
      <c r="H27" s="52" t="s">
        <v>3309</v>
      </c>
      <c r="I27" s="84" t="s">
        <v>8298</v>
      </c>
      <c r="J27" s="52" t="s">
        <v>5767</v>
      </c>
      <c r="K27" s="84" t="s">
        <v>8390</v>
      </c>
      <c r="L27" s="84" t="s">
        <v>8483</v>
      </c>
      <c r="M27" s="52" t="s">
        <v>5849</v>
      </c>
      <c r="N27" s="84" t="s">
        <v>8297</v>
      </c>
      <c r="O27" s="52" t="s">
        <v>5793</v>
      </c>
      <c r="P27" s="84" t="s">
        <v>8657</v>
      </c>
      <c r="Q27" s="84" t="s">
        <v>8657</v>
      </c>
      <c r="R27" s="52" t="s">
        <v>5819</v>
      </c>
      <c r="S27" s="84" t="s">
        <v>8559</v>
      </c>
      <c r="T27" s="52" t="s">
        <v>5543</v>
      </c>
      <c r="U27" s="52" t="s">
        <v>5543</v>
      </c>
      <c r="V27" s="84" t="s">
        <v>1025</v>
      </c>
      <c r="W27" s="52" t="s">
        <v>4409</v>
      </c>
      <c r="X27" s="52" t="s">
        <v>6395</v>
      </c>
      <c r="Y27" s="52" t="s">
        <v>2410</v>
      </c>
      <c r="Z27" s="52" t="s">
        <v>2410</v>
      </c>
      <c r="AA27" s="52" t="s">
        <v>2410</v>
      </c>
      <c r="AB27" s="52" t="s">
        <v>5921</v>
      </c>
      <c r="AC27" s="52" t="s">
        <v>5921</v>
      </c>
      <c r="AD27" s="52" t="s">
        <v>5954</v>
      </c>
      <c r="AE27" s="52" t="s">
        <v>5997</v>
      </c>
      <c r="AF27" s="52" t="s">
        <v>5985</v>
      </c>
      <c r="AG27" s="186" t="s">
        <v>7056</v>
      </c>
      <c r="AH27" s="186" t="s">
        <v>7179</v>
      </c>
      <c r="AI27" s="186" t="s">
        <v>7191</v>
      </c>
      <c r="AJ27" s="52" t="s">
        <v>6097</v>
      </c>
      <c r="AK27" s="52" t="s">
        <v>1891</v>
      </c>
      <c r="AL27" s="52" t="s">
        <v>1891</v>
      </c>
      <c r="AM27" s="52" t="s">
        <v>5347</v>
      </c>
      <c r="AN27" s="52" t="s">
        <v>5365</v>
      </c>
      <c r="AO27" s="52" t="s">
        <v>4274</v>
      </c>
      <c r="AP27" s="52" t="s">
        <v>1025</v>
      </c>
      <c r="AQ27" s="52" t="s">
        <v>1025</v>
      </c>
      <c r="AR27" s="52"/>
      <c r="AS27" s="52" t="s">
        <v>1025</v>
      </c>
      <c r="AT27" s="52" t="s">
        <v>1025</v>
      </c>
      <c r="AU27" s="52" t="s">
        <v>1025</v>
      </c>
      <c r="AV27" s="52" t="s">
        <v>4302</v>
      </c>
      <c r="AW27" s="52" t="s">
        <v>4302</v>
      </c>
      <c r="AX27" s="52" t="s">
        <v>1331</v>
      </c>
      <c r="AY27" s="52" t="s">
        <v>1331</v>
      </c>
      <c r="AZ27" s="52" t="s">
        <v>3680</v>
      </c>
      <c r="BA27" s="52" t="s">
        <v>3594</v>
      </c>
      <c r="BB27" s="52" t="s">
        <v>3528</v>
      </c>
      <c r="BC27" s="52" t="s">
        <v>4968</v>
      </c>
      <c r="BD27" s="52" t="s">
        <v>7754</v>
      </c>
      <c r="BE27" s="52" t="s">
        <v>4911</v>
      </c>
      <c r="BF27" s="52" t="s">
        <v>7653</v>
      </c>
      <c r="BG27" s="52" t="s">
        <v>5015</v>
      </c>
      <c r="BH27" s="52" t="s">
        <v>7865</v>
      </c>
      <c r="BI27" s="52" t="s">
        <v>7798</v>
      </c>
      <c r="BJ27" s="52" t="s">
        <v>4968</v>
      </c>
      <c r="BK27" s="52" t="s">
        <v>65</v>
      </c>
      <c r="BL27" s="52"/>
      <c r="BM27" s="52" t="s">
        <v>0</v>
      </c>
      <c r="BN27" s="52" t="s">
        <v>2284</v>
      </c>
      <c r="BO27" s="52" t="s">
        <v>1025</v>
      </c>
      <c r="BP27" s="52" t="s">
        <v>2252</v>
      </c>
      <c r="BQ27" s="52" t="s">
        <v>2284</v>
      </c>
      <c r="BR27" s="52" t="s">
        <v>2716</v>
      </c>
      <c r="BS27" s="52" t="s">
        <v>2716</v>
      </c>
      <c r="BT27" s="52" t="s">
        <v>2716</v>
      </c>
      <c r="BU27" s="84" t="s">
        <v>5085</v>
      </c>
      <c r="BV27" s="84"/>
      <c r="BW27" s="52"/>
      <c r="BX27" s="52" t="s">
        <v>3914</v>
      </c>
      <c r="BY27" s="52" t="s">
        <v>3788</v>
      </c>
      <c r="BZ27" s="52" t="s">
        <v>6166</v>
      </c>
      <c r="CA27" s="52" t="s">
        <v>3131</v>
      </c>
      <c r="CB27" s="52" t="s">
        <v>3088</v>
      </c>
      <c r="CC27" s="52"/>
      <c r="CD27" s="52"/>
      <c r="CE27" s="52" t="s">
        <v>3221</v>
      </c>
      <c r="CF27" s="52" t="s">
        <v>2169</v>
      </c>
    </row>
    <row r="28" spans="1:84" ht="54">
      <c r="A28" s="87" t="s">
        <v>52</v>
      </c>
      <c r="B28" s="200" t="s">
        <v>6736</v>
      </c>
      <c r="C28" s="13" t="s">
        <v>544</v>
      </c>
      <c r="D28" s="13" t="s">
        <v>360</v>
      </c>
      <c r="E28" s="13" t="s">
        <v>560</v>
      </c>
      <c r="F28" s="13" t="s">
        <v>560</v>
      </c>
      <c r="G28" s="13" t="s">
        <v>5494</v>
      </c>
      <c r="H28" s="13" t="s">
        <v>5495</v>
      </c>
      <c r="I28" s="36" t="s">
        <v>8225</v>
      </c>
      <c r="J28" s="13" t="s">
        <v>5768</v>
      </c>
      <c r="K28" s="36" t="s">
        <v>8387</v>
      </c>
      <c r="L28" s="36" t="s">
        <v>8480</v>
      </c>
      <c r="M28" s="13" t="s">
        <v>5817</v>
      </c>
      <c r="N28" s="36" t="s">
        <v>8299</v>
      </c>
      <c r="O28" s="13" t="s">
        <v>5791</v>
      </c>
      <c r="P28" s="36" t="s">
        <v>8659</v>
      </c>
      <c r="Q28" s="36" t="s">
        <v>8659</v>
      </c>
      <c r="R28" s="13" t="s">
        <v>5817</v>
      </c>
      <c r="S28" s="36" t="s">
        <v>8480</v>
      </c>
      <c r="T28" s="13" t="s">
        <v>5544</v>
      </c>
      <c r="U28" s="13" t="s">
        <v>5545</v>
      </c>
      <c r="V28" s="77" t="s">
        <v>5715</v>
      </c>
      <c r="W28" s="7" t="s">
        <v>679</v>
      </c>
      <c r="X28" s="7" t="s">
        <v>6396</v>
      </c>
      <c r="Y28" s="7" t="s">
        <v>2327</v>
      </c>
      <c r="Z28" s="7" t="s">
        <v>2328</v>
      </c>
      <c r="AA28" s="7" t="s">
        <v>2328</v>
      </c>
      <c r="AB28" s="13" t="s">
        <v>4653</v>
      </c>
      <c r="AC28" s="13" t="s">
        <v>271</v>
      </c>
      <c r="AD28" s="13" t="s">
        <v>544</v>
      </c>
      <c r="AE28" s="7" t="s">
        <v>5987</v>
      </c>
      <c r="AF28" s="7" t="s">
        <v>5987</v>
      </c>
      <c r="AG28" s="36" t="s">
        <v>6987</v>
      </c>
      <c r="AH28" s="36" t="s">
        <v>7129</v>
      </c>
      <c r="AI28" s="36" t="s">
        <v>7129</v>
      </c>
      <c r="AJ28" s="7" t="s">
        <v>3440</v>
      </c>
      <c r="AK28" s="163" t="s">
        <v>51</v>
      </c>
      <c r="AL28" s="7" t="s">
        <v>51</v>
      </c>
      <c r="AM28" s="13" t="s">
        <v>560</v>
      </c>
      <c r="AN28" s="13" t="s">
        <v>560</v>
      </c>
      <c r="AO28" s="13" t="s">
        <v>888</v>
      </c>
      <c r="AP28" s="13" t="s">
        <v>679</v>
      </c>
      <c r="AQ28" s="13" t="s">
        <v>679</v>
      </c>
      <c r="AR28" s="13" t="s">
        <v>927</v>
      </c>
      <c r="AS28" s="13" t="s">
        <v>270</v>
      </c>
      <c r="AT28" s="13" t="s">
        <v>271</v>
      </c>
      <c r="AU28" s="13" t="s">
        <v>6360</v>
      </c>
      <c r="AV28" s="13" t="s">
        <v>589</v>
      </c>
      <c r="AW28" s="13" t="s">
        <v>589</v>
      </c>
      <c r="AX28" s="13" t="s">
        <v>6312</v>
      </c>
      <c r="AY28" s="13" t="s">
        <v>1332</v>
      </c>
      <c r="AZ28" s="13" t="s">
        <v>3682</v>
      </c>
      <c r="BA28" s="13" t="s">
        <v>3596</v>
      </c>
      <c r="BB28" s="13" t="s">
        <v>248</v>
      </c>
      <c r="BC28" s="13" t="s">
        <v>360</v>
      </c>
      <c r="BD28" s="36" t="s">
        <v>360</v>
      </c>
      <c r="BE28" s="13" t="s">
        <v>271</v>
      </c>
      <c r="BF28" s="36" t="s">
        <v>271</v>
      </c>
      <c r="BG28" s="13" t="s">
        <v>53</v>
      </c>
      <c r="BH28" s="36" t="s">
        <v>7988</v>
      </c>
      <c r="BI28" s="36" t="s">
        <v>7988</v>
      </c>
      <c r="BJ28" s="13" t="s">
        <v>53</v>
      </c>
      <c r="BK28" s="13" t="s">
        <v>51</v>
      </c>
      <c r="BL28" s="13" t="s">
        <v>560</v>
      </c>
      <c r="BM28" s="13" t="s">
        <v>0</v>
      </c>
      <c r="BN28" s="13" t="s">
        <v>544</v>
      </c>
      <c r="BO28" s="13" t="s">
        <v>6272</v>
      </c>
      <c r="BP28" s="160" t="s">
        <v>53</v>
      </c>
      <c r="BQ28" s="13" t="s">
        <v>53</v>
      </c>
      <c r="BR28" s="13" t="s">
        <v>2621</v>
      </c>
      <c r="BS28" s="13" t="s">
        <v>2622</v>
      </c>
      <c r="BT28" s="13" t="s">
        <v>2621</v>
      </c>
      <c r="BU28" s="13" t="s">
        <v>530</v>
      </c>
      <c r="BV28" s="13" t="s">
        <v>699</v>
      </c>
      <c r="BW28" s="13" t="s">
        <v>680</v>
      </c>
      <c r="BX28" s="13" t="s">
        <v>53</v>
      </c>
      <c r="BY28" s="13" t="s">
        <v>753</v>
      </c>
      <c r="BZ28" s="13" t="s">
        <v>51</v>
      </c>
      <c r="CA28" s="13" t="s">
        <v>6156</v>
      </c>
      <c r="CB28" s="13" t="s">
        <v>6156</v>
      </c>
      <c r="CC28" s="13" t="s">
        <v>53</v>
      </c>
      <c r="CD28" s="13" t="s">
        <v>53</v>
      </c>
      <c r="CE28" s="7" t="s">
        <v>3226</v>
      </c>
      <c r="CF28" s="36" t="s">
        <v>2133</v>
      </c>
    </row>
    <row r="29" spans="1:84" ht="18">
      <c r="A29" s="51" t="s">
        <v>935</v>
      </c>
      <c r="B29" s="51"/>
      <c r="C29" s="52" t="s">
        <v>5168</v>
      </c>
      <c r="D29" s="52" t="s">
        <v>5167</v>
      </c>
      <c r="E29" s="52" t="s">
        <v>2800</v>
      </c>
      <c r="F29" s="52" t="s">
        <v>2800</v>
      </c>
      <c r="G29" s="52" t="s">
        <v>1477</v>
      </c>
      <c r="H29" s="52" t="s">
        <v>3309</v>
      </c>
      <c r="I29" s="52" t="s">
        <v>8224</v>
      </c>
      <c r="J29" s="52" t="s">
        <v>5767</v>
      </c>
      <c r="K29" s="84" t="s">
        <v>8388</v>
      </c>
      <c r="L29" s="84" t="s">
        <v>8481</v>
      </c>
      <c r="M29" s="52" t="s">
        <v>5848</v>
      </c>
      <c r="N29" s="84" t="s">
        <v>8300</v>
      </c>
      <c r="O29" s="52" t="s">
        <v>5792</v>
      </c>
      <c r="P29" s="84" t="s">
        <v>8658</v>
      </c>
      <c r="Q29" s="84" t="s">
        <v>8658</v>
      </c>
      <c r="R29" s="52" t="s">
        <v>5818</v>
      </c>
      <c r="S29" s="84" t="s">
        <v>8560</v>
      </c>
      <c r="T29" s="52" t="s">
        <v>5546</v>
      </c>
      <c r="U29" s="52" t="s">
        <v>5546</v>
      </c>
      <c r="V29" s="84" t="s">
        <v>1025</v>
      </c>
      <c r="W29" s="52" t="s">
        <v>4407</v>
      </c>
      <c r="X29" s="52" t="s">
        <v>6397</v>
      </c>
      <c r="Y29" s="52" t="s">
        <v>2411</v>
      </c>
      <c r="Z29" s="52" t="s">
        <v>2411</v>
      </c>
      <c r="AA29" s="52" t="s">
        <v>2411</v>
      </c>
      <c r="AB29" s="52" t="s">
        <v>5922</v>
      </c>
      <c r="AC29" s="52" t="s">
        <v>5922</v>
      </c>
      <c r="AD29" s="52" t="s">
        <v>5955</v>
      </c>
      <c r="AE29" s="52" t="s">
        <v>5998</v>
      </c>
      <c r="AF29" s="52" t="s">
        <v>5986</v>
      </c>
      <c r="AG29" s="186" t="s">
        <v>7055</v>
      </c>
      <c r="AH29" s="186" t="s">
        <v>7128</v>
      </c>
      <c r="AI29" s="186" t="s">
        <v>7180</v>
      </c>
      <c r="AJ29" s="52" t="s">
        <v>6115</v>
      </c>
      <c r="AK29" s="52" t="s">
        <v>1890</v>
      </c>
      <c r="AL29" s="52" t="s">
        <v>1890</v>
      </c>
      <c r="AM29" s="52" t="s">
        <v>5347</v>
      </c>
      <c r="AN29" s="52" t="s">
        <v>5347</v>
      </c>
      <c r="AO29" s="52" t="s">
        <v>4275</v>
      </c>
      <c r="AP29" s="52" t="s">
        <v>1025</v>
      </c>
      <c r="AQ29" s="52" t="s">
        <v>1025</v>
      </c>
      <c r="AR29" s="52"/>
      <c r="AS29" s="52" t="s">
        <v>6135</v>
      </c>
      <c r="AT29" s="52" t="s">
        <v>6135</v>
      </c>
      <c r="AU29" s="52" t="s">
        <v>6135</v>
      </c>
      <c r="AV29" s="52" t="s">
        <v>4303</v>
      </c>
      <c r="AW29" s="52" t="s">
        <v>4303</v>
      </c>
      <c r="AX29" s="52" t="s">
        <v>5068</v>
      </c>
      <c r="AY29" s="52" t="s">
        <v>5068</v>
      </c>
      <c r="AZ29" s="52" t="s">
        <v>3681</v>
      </c>
      <c r="BA29" s="52" t="s">
        <v>3595</v>
      </c>
      <c r="BB29" s="52" t="s">
        <v>3527</v>
      </c>
      <c r="BC29" s="52" t="s">
        <v>4985</v>
      </c>
      <c r="BD29" s="52" t="s">
        <v>7761</v>
      </c>
      <c r="BE29" s="52" t="s">
        <v>4871</v>
      </c>
      <c r="BF29" s="52" t="s">
        <v>7654</v>
      </c>
      <c r="BG29" s="52" t="s">
        <v>5023</v>
      </c>
      <c r="BH29" s="52" t="s">
        <v>7799</v>
      </c>
      <c r="BI29" s="52" t="s">
        <v>7799</v>
      </c>
      <c r="BJ29" s="52" t="s">
        <v>5023</v>
      </c>
      <c r="BK29" s="52"/>
      <c r="BL29" s="52"/>
      <c r="BM29" s="52" t="s">
        <v>0</v>
      </c>
      <c r="BN29" s="52" t="s">
        <v>2285</v>
      </c>
      <c r="BO29" s="52" t="s">
        <v>6271</v>
      </c>
      <c r="BP29" s="52" t="s">
        <v>2285</v>
      </c>
      <c r="BQ29" s="52" t="s">
        <v>2285</v>
      </c>
      <c r="BR29" s="52" t="s">
        <v>2667</v>
      </c>
      <c r="BS29" s="52" t="s">
        <v>2666</v>
      </c>
      <c r="BT29" s="52" t="s">
        <v>2667</v>
      </c>
      <c r="BU29" s="84" t="s">
        <v>2894</v>
      </c>
      <c r="BV29" s="84"/>
      <c r="BW29" s="52"/>
      <c r="BX29" s="52" t="s">
        <v>3912</v>
      </c>
      <c r="BY29" s="52" t="s">
        <v>3789</v>
      </c>
      <c r="BZ29" s="52" t="s">
        <v>6170</v>
      </c>
      <c r="CA29" s="52" t="s">
        <v>3153</v>
      </c>
      <c r="CB29" s="52" t="s">
        <v>3153</v>
      </c>
      <c r="CC29" s="52"/>
      <c r="CD29" s="52"/>
      <c r="CE29" s="52" t="s">
        <v>3225</v>
      </c>
      <c r="CF29" s="52" t="s">
        <v>2207</v>
      </c>
    </row>
    <row r="30" spans="1:84" ht="90">
      <c r="A30" s="62" t="s">
        <v>89</v>
      </c>
      <c r="B30" s="200" t="s">
        <v>6850</v>
      </c>
      <c r="C30" s="36" t="s">
        <v>3748</v>
      </c>
      <c r="D30" s="36" t="s">
        <v>3748</v>
      </c>
      <c r="E30" s="36" t="s">
        <v>3748</v>
      </c>
      <c r="F30" s="36" t="s">
        <v>1649</v>
      </c>
      <c r="G30" s="36" t="s">
        <v>1421</v>
      </c>
      <c r="H30" s="36" t="s">
        <v>1424</v>
      </c>
      <c r="I30" s="36" t="s">
        <v>8228</v>
      </c>
      <c r="J30" s="36" t="s">
        <v>5318</v>
      </c>
      <c r="K30" s="36" t="s">
        <v>8385</v>
      </c>
      <c r="L30" s="36" t="s">
        <v>8479</v>
      </c>
      <c r="M30" s="36" t="s">
        <v>1649</v>
      </c>
      <c r="N30" s="36" t="s">
        <v>8301</v>
      </c>
      <c r="O30" s="36" t="s">
        <v>1649</v>
      </c>
      <c r="P30" s="36" t="s">
        <v>8479</v>
      </c>
      <c r="Q30" s="36" t="s">
        <v>8479</v>
      </c>
      <c r="R30" s="36" t="s">
        <v>1649</v>
      </c>
      <c r="S30" s="36" t="s">
        <v>8479</v>
      </c>
      <c r="T30" s="36" t="s">
        <v>5551</v>
      </c>
      <c r="U30" s="36" t="s">
        <v>5551</v>
      </c>
      <c r="V30" s="36" t="s">
        <v>112</v>
      </c>
      <c r="W30" s="7" t="s">
        <v>409</v>
      </c>
      <c r="X30" s="7"/>
      <c r="Y30" s="7" t="s">
        <v>409</v>
      </c>
      <c r="Z30" s="7" t="s">
        <v>409</v>
      </c>
      <c r="AA30" s="7" t="s">
        <v>409</v>
      </c>
      <c r="AB30" s="36" t="s">
        <v>4656</v>
      </c>
      <c r="AC30" s="36" t="s">
        <v>4656</v>
      </c>
      <c r="AD30" s="36" t="s">
        <v>4656</v>
      </c>
      <c r="AE30" s="7" t="s">
        <v>1740</v>
      </c>
      <c r="AF30" s="7" t="s">
        <v>6035</v>
      </c>
      <c r="AG30" s="7" t="s">
        <v>7008</v>
      </c>
      <c r="AH30" s="7" t="s">
        <v>7008</v>
      </c>
      <c r="AI30" s="7" t="s">
        <v>7008</v>
      </c>
      <c r="AJ30" s="7" t="s">
        <v>409</v>
      </c>
      <c r="AK30" s="7" t="s">
        <v>409</v>
      </c>
      <c r="AL30" s="7" t="s">
        <v>409</v>
      </c>
      <c r="AM30" s="36" t="s">
        <v>1422</v>
      </c>
      <c r="AN30" s="36" t="s">
        <v>1422</v>
      </c>
      <c r="AO30" s="36" t="s">
        <v>1422</v>
      </c>
      <c r="AP30" s="36" t="s">
        <v>1422</v>
      </c>
      <c r="AQ30" s="36" t="s">
        <v>1422</v>
      </c>
      <c r="AR30" s="36" t="s">
        <v>1422</v>
      </c>
      <c r="AS30" s="36" t="s">
        <v>1422</v>
      </c>
      <c r="AT30" s="36" t="s">
        <v>1422</v>
      </c>
      <c r="AU30" s="36" t="s">
        <v>1422</v>
      </c>
      <c r="AV30" s="36" t="s">
        <v>1421</v>
      </c>
      <c r="AW30" s="36" t="s">
        <v>1421</v>
      </c>
      <c r="AX30" s="36" t="s">
        <v>5047</v>
      </c>
      <c r="AY30" s="36" t="s">
        <v>1422</v>
      </c>
      <c r="AZ30" s="36" t="s">
        <v>1421</v>
      </c>
      <c r="BA30" s="36" t="s">
        <v>1422</v>
      </c>
      <c r="BB30" s="36" t="s">
        <v>4490</v>
      </c>
      <c r="BC30" s="36" t="s">
        <v>1422</v>
      </c>
      <c r="BD30" s="36" t="s">
        <v>7309</v>
      </c>
      <c r="BE30" s="36" t="s">
        <v>1422</v>
      </c>
      <c r="BF30" s="36" t="s">
        <v>7309</v>
      </c>
      <c r="BG30" s="36" t="s">
        <v>1422</v>
      </c>
      <c r="BH30" s="36" t="s">
        <v>7309</v>
      </c>
      <c r="BI30" s="36" t="s">
        <v>7309</v>
      </c>
      <c r="BJ30" s="36" t="s">
        <v>1422</v>
      </c>
      <c r="BK30" s="36" t="s">
        <v>1423</v>
      </c>
      <c r="BL30" s="36" t="s">
        <v>1423</v>
      </c>
      <c r="BM30" s="36" t="s">
        <v>0</v>
      </c>
      <c r="BN30" s="36" t="s">
        <v>3895</v>
      </c>
      <c r="BO30" s="36" t="s">
        <v>1304</v>
      </c>
      <c r="BP30" s="36" t="s">
        <v>1304</v>
      </c>
      <c r="BQ30" s="36" t="s">
        <v>1304</v>
      </c>
      <c r="BR30" s="36" t="s">
        <v>1422</v>
      </c>
      <c r="BS30" s="36" t="s">
        <v>1422</v>
      </c>
      <c r="BT30" s="36" t="s">
        <v>1422</v>
      </c>
      <c r="BU30" s="36" t="s">
        <v>1422</v>
      </c>
      <c r="BV30" s="36" t="s">
        <v>1422</v>
      </c>
      <c r="BW30" s="36" t="s">
        <v>1422</v>
      </c>
      <c r="BX30" s="36" t="s">
        <v>1422</v>
      </c>
      <c r="BY30" s="36" t="s">
        <v>1422</v>
      </c>
      <c r="BZ30" s="36" t="s">
        <v>6167</v>
      </c>
      <c r="CA30" s="36" t="s">
        <v>1422</v>
      </c>
      <c r="CB30" s="36" t="s">
        <v>1422</v>
      </c>
      <c r="CC30" s="36" t="s">
        <v>1422</v>
      </c>
      <c r="CD30" s="36" t="s">
        <v>1422</v>
      </c>
      <c r="CE30" s="36" t="s">
        <v>1422</v>
      </c>
      <c r="CF30" s="36" t="s">
        <v>1421</v>
      </c>
    </row>
    <row r="31" spans="1:84" ht="18">
      <c r="A31" s="51" t="s">
        <v>935</v>
      </c>
      <c r="B31" s="51"/>
      <c r="C31" s="52" t="s">
        <v>3894</v>
      </c>
      <c r="D31" s="52" t="s">
        <v>3894</v>
      </c>
      <c r="E31" s="52" t="s">
        <v>2737</v>
      </c>
      <c r="F31" s="52" t="s">
        <v>2737</v>
      </c>
      <c r="G31" s="52" t="s">
        <v>1425</v>
      </c>
      <c r="H31" s="52" t="s">
        <v>1426</v>
      </c>
      <c r="I31" s="84" t="s">
        <v>8229</v>
      </c>
      <c r="J31" s="52" t="s">
        <v>5317</v>
      </c>
      <c r="K31" s="84" t="s">
        <v>8386</v>
      </c>
      <c r="L31" s="84" t="s">
        <v>8478</v>
      </c>
      <c r="M31" s="52" t="s">
        <v>3334</v>
      </c>
      <c r="N31" s="84" t="s">
        <v>8302</v>
      </c>
      <c r="O31" s="52" t="s">
        <v>5267</v>
      </c>
      <c r="P31" s="84" t="s">
        <v>8674</v>
      </c>
      <c r="Q31" s="84" t="s">
        <v>8674</v>
      </c>
      <c r="R31" s="52" t="s">
        <v>5283</v>
      </c>
      <c r="S31" s="84" t="s">
        <v>8570</v>
      </c>
      <c r="T31" s="52" t="s">
        <v>5555</v>
      </c>
      <c r="U31" s="52" t="s">
        <v>5555</v>
      </c>
      <c r="V31" s="84"/>
      <c r="W31" s="52" t="s">
        <v>4433</v>
      </c>
      <c r="X31" s="52"/>
      <c r="Y31" s="52" t="s">
        <v>2404</v>
      </c>
      <c r="Z31" s="52" t="s">
        <v>2404</v>
      </c>
      <c r="AA31" s="52" t="s">
        <v>2404</v>
      </c>
      <c r="AB31" s="52" t="s">
        <v>4657</v>
      </c>
      <c r="AC31" s="52" t="s">
        <v>4657</v>
      </c>
      <c r="AD31" s="52" t="s">
        <v>4657</v>
      </c>
      <c r="AE31" s="52" t="s">
        <v>6034</v>
      </c>
      <c r="AF31" s="52" t="s">
        <v>6080</v>
      </c>
      <c r="AG31" s="186" t="s">
        <v>7054</v>
      </c>
      <c r="AH31" s="186" t="s">
        <v>7054</v>
      </c>
      <c r="AI31" s="186" t="s">
        <v>7054</v>
      </c>
      <c r="AJ31" s="52" t="s">
        <v>6090</v>
      </c>
      <c r="AK31" s="52" t="s">
        <v>1882</v>
      </c>
      <c r="AL31" s="52" t="s">
        <v>1882</v>
      </c>
      <c r="AM31" s="52" t="s">
        <v>5440</v>
      </c>
      <c r="AN31" s="52" t="s">
        <v>5440</v>
      </c>
      <c r="AO31" s="52" t="s">
        <v>4276</v>
      </c>
      <c r="AP31" s="52" t="s">
        <v>6329</v>
      </c>
      <c r="AQ31" s="52" t="s">
        <v>2562</v>
      </c>
      <c r="AR31" s="52"/>
      <c r="AS31" s="52" t="s">
        <v>2029</v>
      </c>
      <c r="AT31" s="52" t="s">
        <v>2029</v>
      </c>
      <c r="AU31" s="52" t="s">
        <v>2029</v>
      </c>
      <c r="AV31" s="52" t="s">
        <v>4298</v>
      </c>
      <c r="AW31" s="52" t="s">
        <v>4298</v>
      </c>
      <c r="AX31" s="52" t="s">
        <v>5048</v>
      </c>
      <c r="AY31" s="52" t="s">
        <v>1303</v>
      </c>
      <c r="AZ31" s="52" t="s">
        <v>3673</v>
      </c>
      <c r="BA31" s="52" t="s">
        <v>3587</v>
      </c>
      <c r="BB31" s="52" t="s">
        <v>3521</v>
      </c>
      <c r="BC31" s="52" t="s">
        <v>4960</v>
      </c>
      <c r="BD31" s="84" t="s">
        <v>7708</v>
      </c>
      <c r="BE31" s="52" t="s">
        <v>4961</v>
      </c>
      <c r="BF31" s="84" t="s">
        <v>7709</v>
      </c>
      <c r="BG31" s="52" t="s">
        <v>4960</v>
      </c>
      <c r="BH31" s="84" t="s">
        <v>7866</v>
      </c>
      <c r="BI31" s="84" t="s">
        <v>7790</v>
      </c>
      <c r="BJ31" s="52" t="s">
        <v>5469</v>
      </c>
      <c r="BK31" s="52"/>
      <c r="BL31" s="52"/>
      <c r="BM31" s="52" t="s">
        <v>0</v>
      </c>
      <c r="BN31" s="52" t="s">
        <v>3894</v>
      </c>
      <c r="BO31" s="52"/>
      <c r="BP31" s="52" t="s">
        <v>2283</v>
      </c>
      <c r="BQ31" s="52" t="s">
        <v>2283</v>
      </c>
      <c r="BR31" s="52" t="s">
        <v>2691</v>
      </c>
      <c r="BS31" s="52" t="s">
        <v>2691</v>
      </c>
      <c r="BT31" s="52" t="s">
        <v>2691</v>
      </c>
      <c r="BU31" s="84" t="s">
        <v>5077</v>
      </c>
      <c r="BV31" s="84"/>
      <c r="BW31" s="52"/>
      <c r="BX31" s="52" t="s">
        <v>3764</v>
      </c>
      <c r="BY31" s="52" t="s">
        <v>3764</v>
      </c>
      <c r="BZ31" s="52" t="s">
        <v>6169</v>
      </c>
      <c r="CA31" s="52" t="s">
        <v>3135</v>
      </c>
      <c r="CB31" s="52" t="s">
        <v>3135</v>
      </c>
      <c r="CC31" s="52"/>
      <c r="CD31" s="52"/>
      <c r="CE31" s="52" t="s">
        <v>3227</v>
      </c>
      <c r="CF31" s="52" t="s">
        <v>2177</v>
      </c>
    </row>
    <row r="32" spans="1:84" ht="27">
      <c r="A32" s="62" t="s">
        <v>6851</v>
      </c>
      <c r="B32" s="200" t="s">
        <v>6738</v>
      </c>
      <c r="C32" s="36" t="s">
        <v>57</v>
      </c>
      <c r="D32" s="36" t="s">
        <v>57</v>
      </c>
      <c r="E32" s="36" t="s">
        <v>57</v>
      </c>
      <c r="F32" s="36" t="s">
        <v>57</v>
      </c>
      <c r="G32" s="36" t="s">
        <v>57</v>
      </c>
      <c r="H32" s="36" t="s">
        <v>57</v>
      </c>
      <c r="I32" s="36" t="s">
        <v>57</v>
      </c>
      <c r="J32" s="36" t="s">
        <v>57</v>
      </c>
      <c r="K32" s="36" t="s">
        <v>57</v>
      </c>
      <c r="L32" s="36" t="s">
        <v>57</v>
      </c>
      <c r="M32" s="36" t="s">
        <v>57</v>
      </c>
      <c r="N32" s="36" t="s">
        <v>57</v>
      </c>
      <c r="O32" s="36" t="s">
        <v>57</v>
      </c>
      <c r="P32" s="36" t="s">
        <v>57</v>
      </c>
      <c r="Q32" s="36" t="s">
        <v>57</v>
      </c>
      <c r="R32" s="36" t="s">
        <v>57</v>
      </c>
      <c r="S32" s="36" t="s">
        <v>57</v>
      </c>
      <c r="T32" s="36" t="s">
        <v>57</v>
      </c>
      <c r="U32" s="36" t="s">
        <v>57</v>
      </c>
      <c r="V32" s="145" t="s">
        <v>5716</v>
      </c>
      <c r="W32" s="36" t="s">
        <v>57</v>
      </c>
      <c r="X32" s="36" t="s">
        <v>57</v>
      </c>
      <c r="Y32" s="36" t="s">
        <v>57</v>
      </c>
      <c r="Z32" s="36" t="s">
        <v>57</v>
      </c>
      <c r="AA32" s="36" t="s">
        <v>57</v>
      </c>
      <c r="AB32" s="36" t="s">
        <v>57</v>
      </c>
      <c r="AC32" s="36" t="s">
        <v>57</v>
      </c>
      <c r="AD32" s="36" t="s">
        <v>57</v>
      </c>
      <c r="AE32" s="7" t="s">
        <v>57</v>
      </c>
      <c r="AF32" s="7" t="s">
        <v>57</v>
      </c>
      <c r="AG32" s="36" t="s">
        <v>57</v>
      </c>
      <c r="AH32" s="36" t="s">
        <v>57</v>
      </c>
      <c r="AI32" s="36" t="s">
        <v>57</v>
      </c>
      <c r="AJ32" s="34" t="s">
        <v>57</v>
      </c>
      <c r="AK32" s="7" t="s">
        <v>57</v>
      </c>
      <c r="AL32" s="7" t="s">
        <v>57</v>
      </c>
      <c r="AM32" s="36" t="s">
        <v>57</v>
      </c>
      <c r="AN32" s="36" t="s">
        <v>57</v>
      </c>
      <c r="AO32" s="36" t="s">
        <v>57</v>
      </c>
      <c r="AP32" s="36" t="s">
        <v>57</v>
      </c>
      <c r="AQ32" s="36" t="s">
        <v>57</v>
      </c>
      <c r="AR32" s="36" t="s">
        <v>57</v>
      </c>
      <c r="AS32" s="36" t="s">
        <v>57</v>
      </c>
      <c r="AT32" s="36" t="s">
        <v>57</v>
      </c>
      <c r="AU32" s="36" t="s">
        <v>57</v>
      </c>
      <c r="AV32" s="36" t="s">
        <v>113</v>
      </c>
      <c r="AW32" s="36" t="s">
        <v>4374</v>
      </c>
      <c r="AX32" s="36" t="s">
        <v>57</v>
      </c>
      <c r="AY32" s="36" t="s">
        <v>57</v>
      </c>
      <c r="AZ32" s="36" t="s">
        <v>57</v>
      </c>
      <c r="BA32" s="36" t="s">
        <v>57</v>
      </c>
      <c r="BB32" s="36" t="s">
        <v>57</v>
      </c>
      <c r="BC32" s="36" t="s">
        <v>57</v>
      </c>
      <c r="BD32" s="36" t="s">
        <v>57</v>
      </c>
      <c r="BE32" s="36" t="s">
        <v>57</v>
      </c>
      <c r="BF32" s="36" t="s">
        <v>57</v>
      </c>
      <c r="BG32" s="36" t="s">
        <v>57</v>
      </c>
      <c r="BH32" s="36" t="s">
        <v>57</v>
      </c>
      <c r="BI32" s="36" t="s">
        <v>57</v>
      </c>
      <c r="BJ32" s="36" t="s">
        <v>57</v>
      </c>
      <c r="BK32" s="36" t="s">
        <v>57</v>
      </c>
      <c r="BL32" s="36" t="s">
        <v>57</v>
      </c>
      <c r="BM32" s="36" t="s">
        <v>0</v>
      </c>
      <c r="BN32" s="36" t="s">
        <v>113</v>
      </c>
      <c r="BO32" s="36" t="s">
        <v>6273</v>
      </c>
      <c r="BP32" s="36" t="s">
        <v>57</v>
      </c>
      <c r="BQ32" s="36" t="s">
        <v>57</v>
      </c>
      <c r="BR32" s="36" t="s">
        <v>57</v>
      </c>
      <c r="BS32" s="36" t="s">
        <v>57</v>
      </c>
      <c r="BT32" s="36" t="s">
        <v>57</v>
      </c>
      <c r="BU32" s="36" t="s">
        <v>57</v>
      </c>
      <c r="BV32" s="36" t="s">
        <v>703</v>
      </c>
      <c r="BW32" s="36" t="s">
        <v>706</v>
      </c>
      <c r="BX32" s="36" t="s">
        <v>305</v>
      </c>
      <c r="BY32" s="36" t="s">
        <v>473</v>
      </c>
      <c r="BZ32" s="36" t="s">
        <v>57</v>
      </c>
      <c r="CA32" s="36" t="s">
        <v>3115</v>
      </c>
      <c r="CB32" s="36" t="s">
        <v>3115</v>
      </c>
      <c r="CC32" s="36" t="s">
        <v>57</v>
      </c>
      <c r="CD32" s="36" t="s">
        <v>57</v>
      </c>
      <c r="CE32" s="36" t="s">
        <v>57</v>
      </c>
      <c r="CF32" s="36" t="s">
        <v>57</v>
      </c>
    </row>
    <row r="33" spans="1:84">
      <c r="A33" s="51" t="s">
        <v>935</v>
      </c>
      <c r="B33" s="51"/>
      <c r="C33" s="52" t="s">
        <v>1644</v>
      </c>
      <c r="D33" s="52" t="s">
        <v>1644</v>
      </c>
      <c r="E33" s="52" t="s">
        <v>2741</v>
      </c>
      <c r="F33" s="52" t="s">
        <v>2741</v>
      </c>
      <c r="G33" s="52" t="s">
        <v>1459</v>
      </c>
      <c r="H33" s="52" t="s">
        <v>1459</v>
      </c>
      <c r="I33" s="52" t="s">
        <v>8200</v>
      </c>
      <c r="J33" s="52" t="s">
        <v>5304</v>
      </c>
      <c r="K33" s="52" t="s">
        <v>8200</v>
      </c>
      <c r="L33" s="52" t="s">
        <v>8200</v>
      </c>
      <c r="M33" s="52" t="s">
        <v>5288</v>
      </c>
      <c r="N33" s="52" t="s">
        <v>8200</v>
      </c>
      <c r="O33" s="52" t="s">
        <v>5289</v>
      </c>
      <c r="P33" s="52" t="s">
        <v>8200</v>
      </c>
      <c r="Q33" s="52" t="s">
        <v>8200</v>
      </c>
      <c r="R33" s="52" t="s">
        <v>5290</v>
      </c>
      <c r="S33" s="52" t="s">
        <v>8200</v>
      </c>
      <c r="T33" s="52" t="s">
        <v>5547</v>
      </c>
      <c r="U33" s="52" t="s">
        <v>5547</v>
      </c>
      <c r="V33" s="84"/>
      <c r="W33" s="52" t="s">
        <v>4404</v>
      </c>
      <c r="X33" s="52" t="s">
        <v>6398</v>
      </c>
      <c r="Y33" s="52" t="s">
        <v>2408</v>
      </c>
      <c r="Z33" s="52" t="s">
        <v>2408</v>
      </c>
      <c r="AA33" s="52" t="s">
        <v>2408</v>
      </c>
      <c r="AB33" s="52" t="s">
        <v>4658</v>
      </c>
      <c r="AC33" s="52" t="s">
        <v>4658</v>
      </c>
      <c r="AD33" s="52" t="s">
        <v>4658</v>
      </c>
      <c r="AE33" s="52" t="s">
        <v>6036</v>
      </c>
      <c r="AF33" s="52" t="s">
        <v>6036</v>
      </c>
      <c r="AG33" s="186" t="s">
        <v>7053</v>
      </c>
      <c r="AH33" s="186" t="s">
        <v>7053</v>
      </c>
      <c r="AI33" s="186" t="s">
        <v>7053</v>
      </c>
      <c r="AJ33" s="52" t="s">
        <v>6093</v>
      </c>
      <c r="AK33" s="52" t="s">
        <v>1888</v>
      </c>
      <c r="AL33" s="52" t="s">
        <v>1888</v>
      </c>
      <c r="AM33" s="52" t="s">
        <v>5444</v>
      </c>
      <c r="AN33" s="52" t="s">
        <v>5444</v>
      </c>
      <c r="AO33" s="52" t="s">
        <v>4220</v>
      </c>
      <c r="AP33" s="52" t="s">
        <v>2590</v>
      </c>
      <c r="AQ33" s="52" t="s">
        <v>2590</v>
      </c>
      <c r="AR33" s="52"/>
      <c r="AS33" s="52" t="s">
        <v>2034</v>
      </c>
      <c r="AT33" s="52" t="s">
        <v>2034</v>
      </c>
      <c r="AU33" s="52" t="s">
        <v>2034</v>
      </c>
      <c r="AV33" s="52" t="s">
        <v>4301</v>
      </c>
      <c r="AW33" s="52" t="s">
        <v>1442</v>
      </c>
      <c r="AX33" s="52" t="s">
        <v>1380</v>
      </c>
      <c r="AY33" s="52" t="s">
        <v>1380</v>
      </c>
      <c r="AZ33" s="52" t="s">
        <v>3674</v>
      </c>
      <c r="BA33" s="52" t="s">
        <v>3588</v>
      </c>
      <c r="BB33" s="52" t="s">
        <v>3522</v>
      </c>
      <c r="BC33" s="52" t="s">
        <v>4966</v>
      </c>
      <c r="BD33" s="52" t="s">
        <v>7578</v>
      </c>
      <c r="BE33" s="52" t="s">
        <v>4967</v>
      </c>
      <c r="BF33" s="52" t="s">
        <v>7578</v>
      </c>
      <c r="BG33" s="52" t="s">
        <v>4966</v>
      </c>
      <c r="BH33" s="52" t="s">
        <v>7578</v>
      </c>
      <c r="BI33" s="52" t="s">
        <v>7578</v>
      </c>
      <c r="BJ33" s="52" t="s">
        <v>5022</v>
      </c>
      <c r="BK33" s="52"/>
      <c r="BL33" s="52"/>
      <c r="BM33" s="52" t="s">
        <v>0</v>
      </c>
      <c r="BN33" s="52" t="s">
        <v>3851</v>
      </c>
      <c r="BO33" s="52" t="s">
        <v>6274</v>
      </c>
      <c r="BP33" s="52" t="s">
        <v>1644</v>
      </c>
      <c r="BQ33" s="52" t="s">
        <v>1644</v>
      </c>
      <c r="BR33" s="52" t="s">
        <v>2690</v>
      </c>
      <c r="BS33" s="52" t="s">
        <v>2690</v>
      </c>
      <c r="BT33" s="52" t="s">
        <v>2690</v>
      </c>
      <c r="BU33" s="84" t="s">
        <v>2865</v>
      </c>
      <c r="BV33" s="84"/>
      <c r="BW33" s="52"/>
      <c r="BX33" s="52" t="s">
        <v>3913</v>
      </c>
      <c r="BY33" s="52" t="s">
        <v>3769</v>
      </c>
      <c r="BZ33" s="52" t="s">
        <v>6168</v>
      </c>
      <c r="CA33" s="52" t="s">
        <v>3136</v>
      </c>
      <c r="CB33" s="52" t="s">
        <v>3136</v>
      </c>
      <c r="CC33" s="52"/>
      <c r="CD33" s="52"/>
      <c r="CE33" s="52" t="s">
        <v>3234</v>
      </c>
      <c r="CF33" s="52" t="s">
        <v>2182</v>
      </c>
    </row>
    <row r="34" spans="1:84" ht="18">
      <c r="A34" s="6" t="s">
        <v>91</v>
      </c>
      <c r="B34" s="200"/>
      <c r="C34" s="36" t="s">
        <v>0</v>
      </c>
      <c r="D34" s="36" t="s">
        <v>197</v>
      </c>
      <c r="E34" s="36" t="s">
        <v>0</v>
      </c>
      <c r="F34" s="36" t="s">
        <v>2742</v>
      </c>
      <c r="G34" s="36" t="s">
        <v>0</v>
      </c>
      <c r="H34" s="36" t="s">
        <v>113</v>
      </c>
      <c r="I34" s="36" t="s">
        <v>859</v>
      </c>
      <c r="J34" s="36" t="s">
        <v>0</v>
      </c>
      <c r="K34" s="36" t="s">
        <v>5529</v>
      </c>
      <c r="L34" s="36" t="s">
        <v>8474</v>
      </c>
      <c r="M34" s="36" t="s">
        <v>113</v>
      </c>
      <c r="N34" s="36" t="s">
        <v>5509</v>
      </c>
      <c r="O34" s="36" t="s">
        <v>64</v>
      </c>
      <c r="P34" s="36" t="s">
        <v>8566</v>
      </c>
      <c r="Q34" s="36" t="s">
        <v>8566</v>
      </c>
      <c r="R34" s="36" t="s">
        <v>113</v>
      </c>
      <c r="S34" s="36" t="s">
        <v>8566</v>
      </c>
      <c r="T34" s="36" t="s">
        <v>197</v>
      </c>
      <c r="U34" s="36" t="s">
        <v>113</v>
      </c>
      <c r="V34" s="145" t="s">
        <v>197</v>
      </c>
      <c r="W34" s="36" t="s">
        <v>4393</v>
      </c>
      <c r="X34" s="36" t="s">
        <v>57</v>
      </c>
      <c r="Y34" s="36" t="s">
        <v>0</v>
      </c>
      <c r="Z34" s="36" t="s">
        <v>0</v>
      </c>
      <c r="AA34" s="36" t="s">
        <v>0</v>
      </c>
      <c r="AB34" s="36" t="s">
        <v>0</v>
      </c>
      <c r="AC34" s="36" t="s">
        <v>0</v>
      </c>
      <c r="AD34" s="36" t="s">
        <v>0</v>
      </c>
      <c r="AE34" s="7" t="s">
        <v>197</v>
      </c>
      <c r="AF34" s="7" t="s">
        <v>197</v>
      </c>
      <c r="AG34" s="36" t="s">
        <v>0</v>
      </c>
      <c r="AH34" s="36" t="s">
        <v>5529</v>
      </c>
      <c r="AI34" s="36" t="s">
        <v>5529</v>
      </c>
      <c r="AJ34" s="34" t="s">
        <v>223</v>
      </c>
      <c r="AK34" s="7" t="s">
        <v>0</v>
      </c>
      <c r="AL34" s="7" t="s">
        <v>4195</v>
      </c>
      <c r="AM34" s="36" t="s">
        <v>0</v>
      </c>
      <c r="AN34" s="36" t="s">
        <v>26</v>
      </c>
      <c r="AO34" s="36" t="s">
        <v>0</v>
      </c>
      <c r="AP34" s="36" t="s">
        <v>13</v>
      </c>
      <c r="AQ34" s="36" t="s">
        <v>197</v>
      </c>
      <c r="AR34" s="36" t="s">
        <v>0</v>
      </c>
      <c r="AS34" s="36" t="s">
        <v>0</v>
      </c>
      <c r="AT34" s="36" t="s">
        <v>0</v>
      </c>
      <c r="AU34" s="36" t="s">
        <v>0</v>
      </c>
      <c r="AV34" s="36" t="s">
        <v>113</v>
      </c>
      <c r="AW34" s="36" t="s">
        <v>4374</v>
      </c>
      <c r="AX34" s="36" t="s">
        <v>223</v>
      </c>
      <c r="AY34" s="36" t="s">
        <v>0</v>
      </c>
      <c r="AZ34" s="36" t="s">
        <v>0</v>
      </c>
      <c r="BA34" s="36" t="s">
        <v>223</v>
      </c>
      <c r="BB34" s="36" t="s">
        <v>4488</v>
      </c>
      <c r="BC34" s="36" t="s">
        <v>113</v>
      </c>
      <c r="BD34" s="36" t="s">
        <v>6991</v>
      </c>
      <c r="BE34" s="36" t="s">
        <v>113</v>
      </c>
      <c r="BF34" s="36" t="s">
        <v>6991</v>
      </c>
      <c r="BG34" s="36" t="s">
        <v>113</v>
      </c>
      <c r="BH34" s="36" t="s">
        <v>6991</v>
      </c>
      <c r="BI34" s="36" t="s">
        <v>0</v>
      </c>
      <c r="BJ34" s="36" t="s">
        <v>0</v>
      </c>
      <c r="BK34" s="36" t="s">
        <v>0</v>
      </c>
      <c r="BL34" s="36" t="s">
        <v>305</v>
      </c>
      <c r="BM34" s="36" t="s">
        <v>0</v>
      </c>
      <c r="BN34" s="36" t="s">
        <v>3875</v>
      </c>
      <c r="BO34" s="36" t="s">
        <v>0</v>
      </c>
      <c r="BP34" s="36" t="s">
        <v>195</v>
      </c>
      <c r="BQ34" s="36" t="s">
        <v>0</v>
      </c>
      <c r="BR34" s="36" t="s">
        <v>0</v>
      </c>
      <c r="BS34" s="36" t="s">
        <v>0</v>
      </c>
      <c r="BT34" s="36" t="s">
        <v>0</v>
      </c>
      <c r="BU34" s="36" t="s">
        <v>111</v>
      </c>
      <c r="BV34" s="36" t="s">
        <v>0</v>
      </c>
      <c r="BW34" s="36" t="s">
        <v>195</v>
      </c>
      <c r="BX34" s="36" t="s">
        <v>0</v>
      </c>
      <c r="BY34" s="36" t="s">
        <v>111</v>
      </c>
      <c r="BZ34" s="36" t="s">
        <v>0</v>
      </c>
      <c r="CA34" s="36" t="s">
        <v>0</v>
      </c>
      <c r="CB34" s="36" t="s">
        <v>197</v>
      </c>
      <c r="CC34" s="36" t="s">
        <v>0</v>
      </c>
      <c r="CD34" s="36" t="s">
        <v>195</v>
      </c>
      <c r="CE34" s="36" t="s">
        <v>0</v>
      </c>
      <c r="CF34" s="36" t="s">
        <v>824</v>
      </c>
    </row>
    <row r="35" spans="1:84" ht="18">
      <c r="A35" s="51" t="s">
        <v>935</v>
      </c>
      <c r="B35" s="51"/>
      <c r="C35" s="52" t="s">
        <v>1644</v>
      </c>
      <c r="D35" s="52" t="s">
        <v>5159</v>
      </c>
      <c r="E35" s="52" t="s">
        <v>2741</v>
      </c>
      <c r="F35" s="52" t="s">
        <v>2741</v>
      </c>
      <c r="G35" s="52" t="s">
        <v>1459</v>
      </c>
      <c r="H35" s="52" t="s">
        <v>1413</v>
      </c>
      <c r="I35" s="52" t="s">
        <v>8227</v>
      </c>
      <c r="J35" s="52" t="s">
        <v>5303</v>
      </c>
      <c r="K35" s="84" t="s">
        <v>8384</v>
      </c>
      <c r="L35" s="84" t="s">
        <v>8475</v>
      </c>
      <c r="M35" s="52" t="s">
        <v>5839</v>
      </c>
      <c r="N35" s="84" t="s">
        <v>8303</v>
      </c>
      <c r="O35" s="52" t="s">
        <v>5787</v>
      </c>
      <c r="P35" s="84" t="s">
        <v>8673</v>
      </c>
      <c r="Q35" s="84" t="s">
        <v>8673</v>
      </c>
      <c r="R35" s="52" t="s">
        <v>5815</v>
      </c>
      <c r="S35" s="84" t="s">
        <v>8565</v>
      </c>
      <c r="T35" s="52" t="s">
        <v>5548</v>
      </c>
      <c r="U35" s="52" t="s">
        <v>5548</v>
      </c>
      <c r="V35" s="84"/>
      <c r="W35" s="52" t="s">
        <v>4404</v>
      </c>
      <c r="X35" s="52" t="s">
        <v>6432</v>
      </c>
      <c r="Y35" s="52" t="s">
        <v>2408</v>
      </c>
      <c r="Z35" s="52" t="s">
        <v>2408</v>
      </c>
      <c r="AA35" s="52" t="s">
        <v>2408</v>
      </c>
      <c r="AB35" s="52" t="s">
        <v>4658</v>
      </c>
      <c r="AC35" s="52" t="s">
        <v>4658</v>
      </c>
      <c r="AD35" s="52" t="s">
        <v>4658</v>
      </c>
      <c r="AE35" s="52" t="s">
        <v>6059</v>
      </c>
      <c r="AF35" s="52" t="s">
        <v>6060</v>
      </c>
      <c r="AG35" s="186" t="s">
        <v>7052</v>
      </c>
      <c r="AH35" s="186" t="s">
        <v>7116</v>
      </c>
      <c r="AI35" s="186" t="s">
        <v>7157</v>
      </c>
      <c r="AJ35" s="52" t="s">
        <v>6094</v>
      </c>
      <c r="AK35" s="52" t="s">
        <v>1888</v>
      </c>
      <c r="AL35" s="52" t="s">
        <v>4178</v>
      </c>
      <c r="AM35" s="52" t="s">
        <v>5444</v>
      </c>
      <c r="AN35" s="52" t="s">
        <v>5411</v>
      </c>
      <c r="AO35" s="52" t="s">
        <v>4277</v>
      </c>
      <c r="AP35" s="52" t="s">
        <v>1025</v>
      </c>
      <c r="AQ35" s="52" t="s">
        <v>1025</v>
      </c>
      <c r="AR35" s="52"/>
      <c r="AS35" s="52" t="s">
        <v>2034</v>
      </c>
      <c r="AT35" s="52" t="s">
        <v>2034</v>
      </c>
      <c r="AU35" s="52" t="s">
        <v>2034</v>
      </c>
      <c r="AV35" s="52" t="s">
        <v>6302</v>
      </c>
      <c r="AW35" s="52" t="s">
        <v>1442</v>
      </c>
      <c r="AX35" s="52" t="s">
        <v>1272</v>
      </c>
      <c r="AY35" s="52" t="s">
        <v>1335</v>
      </c>
      <c r="AZ35" s="52" t="s">
        <v>3674</v>
      </c>
      <c r="BA35" s="52" t="s">
        <v>3588</v>
      </c>
      <c r="BB35" s="52" t="s">
        <v>3522</v>
      </c>
      <c r="BC35" s="52" t="s">
        <v>4859</v>
      </c>
      <c r="BD35" s="52" t="s">
        <v>7710</v>
      </c>
      <c r="BE35" s="52" t="s">
        <v>4893</v>
      </c>
      <c r="BF35" s="52" t="s">
        <v>7711</v>
      </c>
      <c r="BG35" s="52" t="s">
        <v>4859</v>
      </c>
      <c r="BH35" s="52" t="s">
        <v>7867</v>
      </c>
      <c r="BI35" s="52" t="s">
        <v>7578</v>
      </c>
      <c r="BJ35" s="52" t="s">
        <v>5022</v>
      </c>
      <c r="BK35" s="52"/>
      <c r="BL35" s="52"/>
      <c r="BM35" s="52" t="s">
        <v>0</v>
      </c>
      <c r="BN35" s="52" t="s">
        <v>3874</v>
      </c>
      <c r="BO35" s="52" t="s">
        <v>0</v>
      </c>
      <c r="BP35" s="52" t="s">
        <v>2235</v>
      </c>
      <c r="BQ35" s="52" t="s">
        <v>1644</v>
      </c>
      <c r="BR35" s="52" t="s">
        <v>2690</v>
      </c>
      <c r="BS35" s="52" t="s">
        <v>2690</v>
      </c>
      <c r="BT35" s="52" t="s">
        <v>2690</v>
      </c>
      <c r="BU35" s="84" t="s">
        <v>2866</v>
      </c>
      <c r="BV35" s="84"/>
      <c r="BW35" s="52"/>
      <c r="BX35" s="52" t="s">
        <v>0</v>
      </c>
      <c r="BY35" s="52" t="s">
        <v>3769</v>
      </c>
      <c r="BZ35" s="52" t="s">
        <v>6168</v>
      </c>
      <c r="CA35" s="52" t="s">
        <v>0</v>
      </c>
      <c r="CB35" s="52" t="s">
        <v>3082</v>
      </c>
      <c r="CC35" s="52"/>
      <c r="CD35" s="52"/>
      <c r="CE35" s="52" t="s">
        <v>3234</v>
      </c>
      <c r="CF35" s="52" t="s">
        <v>2161</v>
      </c>
    </row>
    <row r="36" spans="1:84" ht="36">
      <c r="A36" s="6" t="s">
        <v>92</v>
      </c>
      <c r="B36" s="200" t="s">
        <v>6984</v>
      </c>
      <c r="C36" s="36" t="s">
        <v>57</v>
      </c>
      <c r="D36" s="36" t="s">
        <v>57</v>
      </c>
      <c r="E36" s="36" t="s">
        <v>57</v>
      </c>
      <c r="F36" s="36" t="s">
        <v>57</v>
      </c>
      <c r="G36" s="36" t="s">
        <v>57</v>
      </c>
      <c r="H36" s="36" t="s">
        <v>57</v>
      </c>
      <c r="I36" s="36" t="s">
        <v>57</v>
      </c>
      <c r="J36" s="36" t="s">
        <v>57</v>
      </c>
      <c r="K36" s="36" t="s">
        <v>57</v>
      </c>
      <c r="L36" s="36" t="s">
        <v>57</v>
      </c>
      <c r="M36" s="36" t="s">
        <v>57</v>
      </c>
      <c r="N36" s="36" t="s">
        <v>57</v>
      </c>
      <c r="O36" s="36" t="s">
        <v>57</v>
      </c>
      <c r="P36" s="36" t="s">
        <v>57</v>
      </c>
      <c r="Q36" s="36" t="s">
        <v>57</v>
      </c>
      <c r="R36" s="36" t="s">
        <v>57</v>
      </c>
      <c r="S36" s="36" t="s">
        <v>57</v>
      </c>
      <c r="T36" s="36" t="s">
        <v>57</v>
      </c>
      <c r="U36" s="36" t="s">
        <v>57</v>
      </c>
      <c r="V36" s="145" t="s">
        <v>57</v>
      </c>
      <c r="W36" s="36" t="s">
        <v>57</v>
      </c>
      <c r="X36" s="36" t="s">
        <v>6399</v>
      </c>
      <c r="Y36" s="36" t="s">
        <v>57</v>
      </c>
      <c r="Z36" s="36" t="s">
        <v>57</v>
      </c>
      <c r="AA36" s="36" t="s">
        <v>57</v>
      </c>
      <c r="AB36" s="36" t="s">
        <v>57</v>
      </c>
      <c r="AC36" s="36" t="s">
        <v>57</v>
      </c>
      <c r="AD36" s="36" t="s">
        <v>57</v>
      </c>
      <c r="AE36" s="7" t="s">
        <v>57</v>
      </c>
      <c r="AF36" s="7" t="s">
        <v>57</v>
      </c>
      <c r="AG36" s="36" t="s">
        <v>57</v>
      </c>
      <c r="AH36" s="36" t="s">
        <v>57</v>
      </c>
      <c r="AI36" s="36" t="s">
        <v>57</v>
      </c>
      <c r="AJ36" s="34" t="s">
        <v>57</v>
      </c>
      <c r="AK36" s="7" t="s">
        <v>57</v>
      </c>
      <c r="AL36" s="7" t="s">
        <v>57</v>
      </c>
      <c r="AM36" s="36" t="s">
        <v>57</v>
      </c>
      <c r="AN36" s="36" t="s">
        <v>57</v>
      </c>
      <c r="AO36" s="36" t="s">
        <v>57</v>
      </c>
      <c r="AP36" s="36" t="s">
        <v>57</v>
      </c>
      <c r="AQ36" s="36" t="s">
        <v>57</v>
      </c>
      <c r="AR36" s="36" t="s">
        <v>57</v>
      </c>
      <c r="AS36" s="36" t="s">
        <v>57</v>
      </c>
      <c r="AT36" s="36" t="s">
        <v>57</v>
      </c>
      <c r="AU36" s="36" t="s">
        <v>57</v>
      </c>
      <c r="AV36" s="36" t="s">
        <v>57</v>
      </c>
      <c r="AW36" s="36" t="s">
        <v>57</v>
      </c>
      <c r="AX36" s="36" t="s">
        <v>57</v>
      </c>
      <c r="AY36" s="36" t="s">
        <v>57</v>
      </c>
      <c r="AZ36" s="36" t="s">
        <v>57</v>
      </c>
      <c r="BA36" s="36" t="s">
        <v>57</v>
      </c>
      <c r="BB36" s="36" t="s">
        <v>57</v>
      </c>
      <c r="BC36" s="36" t="s">
        <v>57</v>
      </c>
      <c r="BD36" s="36" t="s">
        <v>57</v>
      </c>
      <c r="BE36" s="36" t="s">
        <v>57</v>
      </c>
      <c r="BF36" s="36" t="s">
        <v>57</v>
      </c>
      <c r="BG36" s="36" t="s">
        <v>57</v>
      </c>
      <c r="BH36" s="36" t="s">
        <v>57</v>
      </c>
      <c r="BI36" s="36" t="s">
        <v>57</v>
      </c>
      <c r="BJ36" s="36" t="s">
        <v>57</v>
      </c>
      <c r="BK36" s="36" t="s">
        <v>57</v>
      </c>
      <c r="BL36" s="36" t="s">
        <v>57</v>
      </c>
      <c r="BM36" s="36" t="s">
        <v>0</v>
      </c>
      <c r="BN36" s="36" t="s">
        <v>57</v>
      </c>
      <c r="BO36" s="36" t="s">
        <v>57</v>
      </c>
      <c r="BP36" s="36" t="s">
        <v>57</v>
      </c>
      <c r="BQ36" s="36" t="s">
        <v>57</v>
      </c>
      <c r="BR36" s="36" t="s">
        <v>57</v>
      </c>
      <c r="BS36" s="36" t="s">
        <v>57</v>
      </c>
      <c r="BT36" s="36" t="s">
        <v>57</v>
      </c>
      <c r="BU36" s="36" t="s">
        <v>57</v>
      </c>
      <c r="BV36" s="36" t="s">
        <v>57</v>
      </c>
      <c r="BW36" s="36" t="s">
        <v>57</v>
      </c>
      <c r="BX36" s="36" t="s">
        <v>57</v>
      </c>
      <c r="BY36" s="36" t="s">
        <v>57</v>
      </c>
      <c r="BZ36" s="36" t="s">
        <v>57</v>
      </c>
      <c r="CA36" s="36" t="s">
        <v>57</v>
      </c>
      <c r="CB36" s="36" t="s">
        <v>57</v>
      </c>
      <c r="CC36" s="36" t="s">
        <v>57</v>
      </c>
      <c r="CD36" s="36" t="s">
        <v>57</v>
      </c>
      <c r="CE36" s="36" t="s">
        <v>57</v>
      </c>
      <c r="CF36" s="36" t="s">
        <v>57</v>
      </c>
    </row>
    <row r="37" spans="1:84" ht="18">
      <c r="A37" s="51" t="s">
        <v>935</v>
      </c>
      <c r="B37" s="51"/>
      <c r="C37" s="52" t="s">
        <v>1640</v>
      </c>
      <c r="D37" s="52" t="s">
        <v>1640</v>
      </c>
      <c r="E37" s="52" t="s">
        <v>2743</v>
      </c>
      <c r="F37" s="52" t="s">
        <v>2743</v>
      </c>
      <c r="G37" s="52" t="s">
        <v>1458</v>
      </c>
      <c r="H37" s="52" t="s">
        <v>1458</v>
      </c>
      <c r="I37" s="52" t="s">
        <v>8199</v>
      </c>
      <c r="J37" s="52" t="s">
        <v>1640</v>
      </c>
      <c r="K37" s="52" t="s">
        <v>8199</v>
      </c>
      <c r="L37" s="52" t="s">
        <v>8199</v>
      </c>
      <c r="M37" s="52" t="s">
        <v>1640</v>
      </c>
      <c r="N37" s="52" t="s">
        <v>8199</v>
      </c>
      <c r="O37" s="52" t="s">
        <v>1640</v>
      </c>
      <c r="P37" s="52" t="s">
        <v>8199</v>
      </c>
      <c r="Q37" s="52" t="s">
        <v>8199</v>
      </c>
      <c r="R37" s="52" t="s">
        <v>1640</v>
      </c>
      <c r="S37" s="52" t="s">
        <v>8199</v>
      </c>
      <c r="T37" s="52" t="s">
        <v>5549</v>
      </c>
      <c r="U37" s="52" t="s">
        <v>5549</v>
      </c>
      <c r="V37" s="84"/>
      <c r="W37" s="52" t="s">
        <v>4405</v>
      </c>
      <c r="X37" s="84" t="s">
        <v>6431</v>
      </c>
      <c r="Y37" s="52" t="s">
        <v>2409</v>
      </c>
      <c r="Z37" s="52" t="s">
        <v>2409</v>
      </c>
      <c r="AA37" s="52" t="s">
        <v>2409</v>
      </c>
      <c r="AB37" s="52" t="s">
        <v>4659</v>
      </c>
      <c r="AC37" s="52" t="s">
        <v>4659</v>
      </c>
      <c r="AD37" s="52" t="s">
        <v>4659</v>
      </c>
      <c r="AE37" s="52" t="s">
        <v>6037</v>
      </c>
      <c r="AF37" s="52" t="s">
        <v>6037</v>
      </c>
      <c r="AG37" s="186" t="s">
        <v>7051</v>
      </c>
      <c r="AH37" s="186" t="s">
        <v>7051</v>
      </c>
      <c r="AI37" s="186" t="s">
        <v>7051</v>
      </c>
      <c r="AJ37" s="52" t="s">
        <v>6092</v>
      </c>
      <c r="AK37" s="52" t="s">
        <v>1889</v>
      </c>
      <c r="AL37" s="52" t="s">
        <v>1889</v>
      </c>
      <c r="AM37" s="52" t="s">
        <v>5445</v>
      </c>
      <c r="AN37" s="52" t="s">
        <v>5445</v>
      </c>
      <c r="AO37" s="52" t="s">
        <v>4278</v>
      </c>
      <c r="AP37" s="52" t="s">
        <v>2586</v>
      </c>
      <c r="AQ37" s="52" t="s">
        <v>2586</v>
      </c>
      <c r="AR37" s="52"/>
      <c r="AS37" s="52" t="s">
        <v>2035</v>
      </c>
      <c r="AT37" s="52" t="s">
        <v>2035</v>
      </c>
      <c r="AU37" s="52" t="s">
        <v>2035</v>
      </c>
      <c r="AV37" s="52" t="s">
        <v>4298</v>
      </c>
      <c r="AW37" s="52" t="s">
        <v>4298</v>
      </c>
      <c r="AX37" s="52" t="s">
        <v>1381</v>
      </c>
      <c r="AY37" s="52" t="s">
        <v>1381</v>
      </c>
      <c r="AZ37" s="52" t="s">
        <v>3679</v>
      </c>
      <c r="BA37" s="52" t="s">
        <v>3589</v>
      </c>
      <c r="BB37" s="52" t="s">
        <v>3526</v>
      </c>
      <c r="BC37" s="52" t="s">
        <v>4963</v>
      </c>
      <c r="BD37" s="52" t="s">
        <v>7577</v>
      </c>
      <c r="BE37" s="52" t="s">
        <v>4963</v>
      </c>
      <c r="BF37" s="52" t="s">
        <v>7577</v>
      </c>
      <c r="BG37" s="52" t="s">
        <v>4963</v>
      </c>
      <c r="BH37" s="52" t="s">
        <v>4963</v>
      </c>
      <c r="BI37" s="52" t="s">
        <v>7577</v>
      </c>
      <c r="BJ37" s="52" t="s">
        <v>4963</v>
      </c>
      <c r="BK37" s="52"/>
      <c r="BL37" s="52"/>
      <c r="BM37" s="52" t="s">
        <v>0</v>
      </c>
      <c r="BN37" s="52" t="s">
        <v>1640</v>
      </c>
      <c r="BO37" s="52" t="s">
        <v>6274</v>
      </c>
      <c r="BP37" s="52" t="s">
        <v>1640</v>
      </c>
      <c r="BQ37" s="52" t="s">
        <v>1640</v>
      </c>
      <c r="BR37" s="52" t="s">
        <v>2694</v>
      </c>
      <c r="BS37" s="52" t="s">
        <v>2694</v>
      </c>
      <c r="BT37" s="52" t="s">
        <v>2694</v>
      </c>
      <c r="BU37" s="84" t="s">
        <v>2867</v>
      </c>
      <c r="BV37" s="84"/>
      <c r="BW37" s="52"/>
      <c r="BX37" s="52" t="s">
        <v>3768</v>
      </c>
      <c r="BY37" s="52" t="s">
        <v>3768</v>
      </c>
      <c r="BZ37" s="52" t="s">
        <v>6171</v>
      </c>
      <c r="CA37" s="52" t="s">
        <v>3149</v>
      </c>
      <c r="CB37" s="52" t="s">
        <v>3149</v>
      </c>
      <c r="CC37" s="52"/>
      <c r="CD37" s="52"/>
      <c r="CE37" s="52" t="s">
        <v>3235</v>
      </c>
      <c r="CF37" s="52" t="s">
        <v>2183</v>
      </c>
    </row>
    <row r="38" spans="1:84" ht="27">
      <c r="A38" s="249" t="s">
        <v>6985</v>
      </c>
      <c r="B38" s="200"/>
      <c r="C38" s="36" t="s">
        <v>57</v>
      </c>
      <c r="D38" s="36" t="s">
        <v>57</v>
      </c>
      <c r="E38" s="36" t="s">
        <v>57</v>
      </c>
      <c r="F38" s="36" t="s">
        <v>57</v>
      </c>
      <c r="G38" s="36" t="s">
        <v>57</v>
      </c>
      <c r="H38" s="36" t="s">
        <v>57</v>
      </c>
      <c r="I38" s="36" t="s">
        <v>7576</v>
      </c>
      <c r="J38" s="36" t="s">
        <v>57</v>
      </c>
      <c r="K38" s="36" t="s">
        <v>7576</v>
      </c>
      <c r="L38" s="36" t="s">
        <v>7576</v>
      </c>
      <c r="M38" s="36" t="s">
        <v>57</v>
      </c>
      <c r="N38" s="36" t="s">
        <v>7576</v>
      </c>
      <c r="O38" s="36" t="s">
        <v>57</v>
      </c>
      <c r="P38" s="36" t="s">
        <v>7576</v>
      </c>
      <c r="Q38" s="36" t="s">
        <v>7576</v>
      </c>
      <c r="R38" s="36" t="s">
        <v>57</v>
      </c>
      <c r="S38" s="36" t="s">
        <v>7576</v>
      </c>
      <c r="T38" s="36" t="s">
        <v>57</v>
      </c>
      <c r="U38" s="36" t="s">
        <v>57</v>
      </c>
      <c r="V38" s="145" t="s">
        <v>5717</v>
      </c>
      <c r="W38" s="36" t="s">
        <v>57</v>
      </c>
      <c r="X38" s="36" t="s">
        <v>6400</v>
      </c>
      <c r="Y38" s="36" t="s">
        <v>57</v>
      </c>
      <c r="Z38" s="36" t="s">
        <v>57</v>
      </c>
      <c r="AA38" s="36" t="s">
        <v>57</v>
      </c>
      <c r="AB38" s="36" t="s">
        <v>57</v>
      </c>
      <c r="AC38" s="36" t="s">
        <v>57</v>
      </c>
      <c r="AD38" s="36" t="s">
        <v>57</v>
      </c>
      <c r="AE38" s="7" t="s">
        <v>57</v>
      </c>
      <c r="AF38" s="7" t="s">
        <v>57</v>
      </c>
      <c r="AG38" s="36" t="s">
        <v>57</v>
      </c>
      <c r="AH38" s="36" t="s">
        <v>57</v>
      </c>
      <c r="AI38" s="36" t="s">
        <v>57</v>
      </c>
      <c r="AJ38" s="37" t="s">
        <v>6116</v>
      </c>
      <c r="AK38" s="7" t="s">
        <v>4202</v>
      </c>
      <c r="AL38" s="7" t="s">
        <v>4202</v>
      </c>
      <c r="AM38" s="36" t="s">
        <v>57</v>
      </c>
      <c r="AN38" s="36" t="s">
        <v>57</v>
      </c>
      <c r="AO38" s="36" t="s">
        <v>57</v>
      </c>
      <c r="AP38" s="36" t="s">
        <v>57</v>
      </c>
      <c r="AQ38" s="36" t="s">
        <v>57</v>
      </c>
      <c r="AR38" s="36" t="s">
        <v>57</v>
      </c>
      <c r="AS38" s="36" t="s">
        <v>57</v>
      </c>
      <c r="AT38" s="36" t="s">
        <v>57</v>
      </c>
      <c r="AU38" s="36" t="s">
        <v>57</v>
      </c>
      <c r="AV38" s="36" t="s">
        <v>4299</v>
      </c>
      <c r="AW38" s="36" t="s">
        <v>4299</v>
      </c>
      <c r="AX38" s="36" t="s">
        <v>57</v>
      </c>
      <c r="AY38" s="36" t="s">
        <v>57</v>
      </c>
      <c r="AZ38" s="36" t="s">
        <v>57</v>
      </c>
      <c r="BA38" s="36" t="s">
        <v>57</v>
      </c>
      <c r="BB38" s="36" t="s">
        <v>57</v>
      </c>
      <c r="BC38" s="36" t="s">
        <v>57</v>
      </c>
      <c r="BD38" s="36" t="s">
        <v>7576</v>
      </c>
      <c r="BE38" s="36" t="s">
        <v>57</v>
      </c>
      <c r="BF38" s="36" t="s">
        <v>7576</v>
      </c>
      <c r="BG38" s="36" t="s">
        <v>57</v>
      </c>
      <c r="BH38" s="36" t="s">
        <v>7576</v>
      </c>
      <c r="BI38" s="36" t="s">
        <v>7576</v>
      </c>
      <c r="BJ38" s="36" t="s">
        <v>57</v>
      </c>
      <c r="BK38" s="36" t="s">
        <v>57</v>
      </c>
      <c r="BL38" s="36" t="s">
        <v>57</v>
      </c>
      <c r="BM38" s="36" t="s">
        <v>0</v>
      </c>
      <c r="BN38" s="36" t="s">
        <v>57</v>
      </c>
      <c r="BO38" s="36" t="s">
        <v>57</v>
      </c>
      <c r="BP38" s="36" t="s">
        <v>57</v>
      </c>
      <c r="BQ38" s="36" t="s">
        <v>57</v>
      </c>
      <c r="BR38" s="36" t="s">
        <v>57</v>
      </c>
      <c r="BS38" s="36" t="s">
        <v>57</v>
      </c>
      <c r="BT38" s="36" t="s">
        <v>57</v>
      </c>
      <c r="BU38" s="36" t="s">
        <v>57</v>
      </c>
      <c r="BV38" s="159" t="s">
        <v>57</v>
      </c>
      <c r="BW38" s="36" t="s">
        <v>57</v>
      </c>
      <c r="BX38" s="36" t="s">
        <v>57</v>
      </c>
      <c r="BY38" s="36" t="s">
        <v>57</v>
      </c>
      <c r="BZ38" s="36" t="s">
        <v>6172</v>
      </c>
      <c r="CA38" s="36" t="s">
        <v>57</v>
      </c>
      <c r="CB38" s="36" t="s">
        <v>57</v>
      </c>
      <c r="CC38" s="36" t="s">
        <v>57</v>
      </c>
      <c r="CD38" s="36" t="s">
        <v>57</v>
      </c>
      <c r="CE38" s="36" t="s">
        <v>57</v>
      </c>
      <c r="CF38" s="36" t="s">
        <v>57</v>
      </c>
    </row>
    <row r="39" spans="1:84" ht="18">
      <c r="A39" s="51" t="s">
        <v>935</v>
      </c>
      <c r="B39" s="51"/>
      <c r="C39" s="52" t="s">
        <v>1637</v>
      </c>
      <c r="D39" s="52" t="s">
        <v>1637</v>
      </c>
      <c r="E39" s="52" t="s">
        <v>2736</v>
      </c>
      <c r="F39" s="52" t="s">
        <v>2736</v>
      </c>
      <c r="G39" s="52" t="s">
        <v>1455</v>
      </c>
      <c r="H39" s="52" t="s">
        <v>1455</v>
      </c>
      <c r="I39" s="52" t="s">
        <v>8201</v>
      </c>
      <c r="J39" s="52" t="s">
        <v>1637</v>
      </c>
      <c r="K39" s="52" t="s">
        <v>8201</v>
      </c>
      <c r="L39" s="52" t="s">
        <v>8201</v>
      </c>
      <c r="M39" s="52" t="s">
        <v>1637</v>
      </c>
      <c r="N39" s="52" t="s">
        <v>8201</v>
      </c>
      <c r="O39" s="52" t="s">
        <v>1637</v>
      </c>
      <c r="P39" s="52" t="s">
        <v>8201</v>
      </c>
      <c r="Q39" s="52" t="s">
        <v>8201</v>
      </c>
      <c r="R39" s="52" t="s">
        <v>1637</v>
      </c>
      <c r="S39" s="52" t="s">
        <v>8201</v>
      </c>
      <c r="T39" s="52" t="s">
        <v>5550</v>
      </c>
      <c r="U39" s="52" t="s">
        <v>5550</v>
      </c>
      <c r="V39" s="84" t="s">
        <v>1025</v>
      </c>
      <c r="W39" s="52" t="s">
        <v>4399</v>
      </c>
      <c r="X39" s="84" t="s">
        <v>6430</v>
      </c>
      <c r="Y39" s="52" t="s">
        <v>2401</v>
      </c>
      <c r="Z39" s="52" t="s">
        <v>2401</v>
      </c>
      <c r="AA39" s="52" t="s">
        <v>2401</v>
      </c>
      <c r="AB39" s="52" t="s">
        <v>4645</v>
      </c>
      <c r="AC39" s="52" t="s">
        <v>4645</v>
      </c>
      <c r="AD39" s="52" t="s">
        <v>4645</v>
      </c>
      <c r="AE39" s="52" t="s">
        <v>6033</v>
      </c>
      <c r="AF39" s="52" t="s">
        <v>6033</v>
      </c>
      <c r="AG39" s="186" t="s">
        <v>7050</v>
      </c>
      <c r="AH39" s="186" t="s">
        <v>7050</v>
      </c>
      <c r="AI39" s="186" t="s">
        <v>7050</v>
      </c>
      <c r="AJ39" s="52" t="s">
        <v>6117</v>
      </c>
      <c r="AK39" s="52" t="s">
        <v>4201</v>
      </c>
      <c r="AL39" s="52" t="s">
        <v>4201</v>
      </c>
      <c r="AM39" s="52" t="s">
        <v>5437</v>
      </c>
      <c r="AN39" s="52" t="s">
        <v>5437</v>
      </c>
      <c r="AO39" s="52" t="s">
        <v>4271</v>
      </c>
      <c r="AP39" s="52" t="s">
        <v>2583</v>
      </c>
      <c r="AQ39" s="52" t="s">
        <v>2583</v>
      </c>
      <c r="AR39" s="52"/>
      <c r="AS39" s="52" t="s">
        <v>2026</v>
      </c>
      <c r="AT39" s="52" t="s">
        <v>2026</v>
      </c>
      <c r="AU39" s="52" t="s">
        <v>2026</v>
      </c>
      <c r="AV39" s="52" t="s">
        <v>4300</v>
      </c>
      <c r="AW39" s="52" t="s">
        <v>4300</v>
      </c>
      <c r="AX39" s="52" t="s">
        <v>1377</v>
      </c>
      <c r="AY39" s="52" t="s">
        <v>1377</v>
      </c>
      <c r="AZ39" s="52" t="s">
        <v>3670</v>
      </c>
      <c r="BA39" s="52" t="s">
        <v>3584</v>
      </c>
      <c r="BB39" s="52" t="s">
        <v>3518</v>
      </c>
      <c r="BC39" s="52" t="s">
        <v>4957</v>
      </c>
      <c r="BD39" s="52" t="s">
        <v>7575</v>
      </c>
      <c r="BE39" s="52" t="s">
        <v>4957</v>
      </c>
      <c r="BF39" s="52" t="s">
        <v>7575</v>
      </c>
      <c r="BG39" s="52" t="s">
        <v>4957</v>
      </c>
      <c r="BH39" s="52" t="s">
        <v>7575</v>
      </c>
      <c r="BI39" s="52" t="s">
        <v>7575</v>
      </c>
      <c r="BJ39" s="52" t="s">
        <v>4957</v>
      </c>
      <c r="BK39" s="52"/>
      <c r="BL39" s="52"/>
      <c r="BM39" s="52" t="s">
        <v>0</v>
      </c>
      <c r="BN39" s="52" t="s">
        <v>1637</v>
      </c>
      <c r="BO39" s="52" t="s">
        <v>1025</v>
      </c>
      <c r="BP39" s="52" t="s">
        <v>1637</v>
      </c>
      <c r="BQ39" s="52" t="s">
        <v>1637</v>
      </c>
      <c r="BR39" s="52" t="s">
        <v>2726</v>
      </c>
      <c r="BS39" s="52" t="s">
        <v>2726</v>
      </c>
      <c r="BT39" s="52" t="s">
        <v>2726</v>
      </c>
      <c r="BU39" s="84" t="s">
        <v>2858</v>
      </c>
      <c r="BV39" s="84"/>
      <c r="BW39" s="52"/>
      <c r="BX39" s="52" t="s">
        <v>3765</v>
      </c>
      <c r="BY39" s="52" t="s">
        <v>3765</v>
      </c>
      <c r="BZ39" s="52" t="s">
        <v>6173</v>
      </c>
      <c r="CA39" s="52" t="s">
        <v>3146</v>
      </c>
      <c r="CB39" s="52" t="s">
        <v>3146</v>
      </c>
      <c r="CC39" s="52"/>
      <c r="CD39" s="52"/>
      <c r="CE39" s="52" t="s">
        <v>3228</v>
      </c>
      <c r="CF39" s="52" t="s">
        <v>2184</v>
      </c>
    </row>
    <row r="40" spans="1:84" ht="27">
      <c r="A40" s="182" t="s">
        <v>6852</v>
      </c>
      <c r="B40" s="200"/>
      <c r="C40" s="36" t="s">
        <v>57</v>
      </c>
      <c r="D40" s="36" t="s">
        <v>57</v>
      </c>
      <c r="E40" s="36" t="s">
        <v>57</v>
      </c>
      <c r="F40" s="36" t="s">
        <v>57</v>
      </c>
      <c r="G40" s="36" t="s">
        <v>57</v>
      </c>
      <c r="H40" s="36" t="s">
        <v>57</v>
      </c>
      <c r="I40" s="36" t="s">
        <v>57</v>
      </c>
      <c r="J40" s="36" t="s">
        <v>57</v>
      </c>
      <c r="K40" s="36" t="s">
        <v>57</v>
      </c>
      <c r="L40" s="36" t="s">
        <v>57</v>
      </c>
      <c r="M40" s="36" t="s">
        <v>57</v>
      </c>
      <c r="N40" s="36" t="s">
        <v>57</v>
      </c>
      <c r="O40" s="36" t="s">
        <v>57</v>
      </c>
      <c r="P40" s="36" t="s">
        <v>57</v>
      </c>
      <c r="Q40" s="36" t="s">
        <v>57</v>
      </c>
      <c r="R40" s="36" t="s">
        <v>57</v>
      </c>
      <c r="S40" s="36" t="s">
        <v>57</v>
      </c>
      <c r="T40" s="36" t="s">
        <v>57</v>
      </c>
      <c r="U40" s="36" t="s">
        <v>57</v>
      </c>
      <c r="V40" s="145" t="s">
        <v>5717</v>
      </c>
      <c r="W40" s="36" t="s">
        <v>57</v>
      </c>
      <c r="X40" s="36" t="s">
        <v>6400</v>
      </c>
      <c r="Y40" s="36" t="s">
        <v>57</v>
      </c>
      <c r="Z40" s="36" t="s">
        <v>57</v>
      </c>
      <c r="AA40" s="36" t="s">
        <v>57</v>
      </c>
      <c r="AB40" s="36" t="s">
        <v>57</v>
      </c>
      <c r="AC40" s="36" t="s">
        <v>57</v>
      </c>
      <c r="AD40" s="36" t="s">
        <v>57</v>
      </c>
      <c r="AE40" s="7" t="s">
        <v>57</v>
      </c>
      <c r="AF40" s="7" t="s">
        <v>57</v>
      </c>
      <c r="AG40" s="36" t="s">
        <v>57</v>
      </c>
      <c r="AH40" s="36" t="s">
        <v>57</v>
      </c>
      <c r="AI40" s="36" t="s">
        <v>57</v>
      </c>
      <c r="AJ40" s="37" t="s">
        <v>6116</v>
      </c>
      <c r="AK40" s="7" t="s">
        <v>4202</v>
      </c>
      <c r="AL40" s="7" t="s">
        <v>4202</v>
      </c>
      <c r="AM40" s="36" t="s">
        <v>57</v>
      </c>
      <c r="AN40" s="36" t="s">
        <v>57</v>
      </c>
      <c r="AO40" s="36" t="s">
        <v>57</v>
      </c>
      <c r="AP40" s="36" t="s">
        <v>57</v>
      </c>
      <c r="AQ40" s="36" t="s">
        <v>57</v>
      </c>
      <c r="AR40" s="36" t="s">
        <v>57</v>
      </c>
      <c r="AS40" s="36" t="s">
        <v>57</v>
      </c>
      <c r="AT40" s="36" t="s">
        <v>57</v>
      </c>
      <c r="AU40" s="36" t="s">
        <v>57</v>
      </c>
      <c r="AV40" s="36" t="s">
        <v>4299</v>
      </c>
      <c r="AW40" s="36" t="s">
        <v>4299</v>
      </c>
      <c r="AX40" s="36" t="s">
        <v>57</v>
      </c>
      <c r="AY40" s="36" t="s">
        <v>57</v>
      </c>
      <c r="AZ40" s="36" t="s">
        <v>57</v>
      </c>
      <c r="BA40" s="36" t="s">
        <v>57</v>
      </c>
      <c r="BB40" s="36" t="s">
        <v>57</v>
      </c>
      <c r="BC40" s="36" t="s">
        <v>57</v>
      </c>
      <c r="BD40" s="36" t="s">
        <v>57</v>
      </c>
      <c r="BE40" s="36" t="s">
        <v>57</v>
      </c>
      <c r="BF40" s="36" t="s">
        <v>57</v>
      </c>
      <c r="BG40" s="36" t="s">
        <v>57</v>
      </c>
      <c r="BH40" s="36" t="s">
        <v>57</v>
      </c>
      <c r="BI40" s="36" t="s">
        <v>57</v>
      </c>
      <c r="BJ40" s="36" t="s">
        <v>57</v>
      </c>
      <c r="BK40" s="36" t="s">
        <v>57</v>
      </c>
      <c r="BL40" s="36" t="s">
        <v>57</v>
      </c>
      <c r="BM40" s="36" t="s">
        <v>0</v>
      </c>
      <c r="BN40" s="36" t="s">
        <v>57</v>
      </c>
      <c r="BO40" s="36" t="s">
        <v>57</v>
      </c>
      <c r="BP40" s="36" t="s">
        <v>57</v>
      </c>
      <c r="BQ40" s="36" t="s">
        <v>57</v>
      </c>
      <c r="BR40" s="36" t="s">
        <v>57</v>
      </c>
      <c r="BS40" s="36" t="s">
        <v>57</v>
      </c>
      <c r="BT40" s="36" t="s">
        <v>57</v>
      </c>
      <c r="BU40" s="36" t="s">
        <v>57</v>
      </c>
      <c r="BV40" s="159" t="s">
        <v>57</v>
      </c>
      <c r="BW40" s="36" t="s">
        <v>57</v>
      </c>
      <c r="BX40" s="36" t="s">
        <v>57</v>
      </c>
      <c r="BY40" s="36" t="s">
        <v>57</v>
      </c>
      <c r="BZ40" s="36" t="s">
        <v>6172</v>
      </c>
      <c r="CA40" s="36" t="s">
        <v>57</v>
      </c>
      <c r="CB40" s="36" t="s">
        <v>57</v>
      </c>
      <c r="CC40" s="36" t="s">
        <v>57</v>
      </c>
      <c r="CD40" s="36" t="s">
        <v>57</v>
      </c>
      <c r="CE40" s="36" t="s">
        <v>57</v>
      </c>
      <c r="CF40" s="36" t="s">
        <v>57</v>
      </c>
    </row>
    <row r="41" spans="1:84" ht="18">
      <c r="A41" s="51" t="s">
        <v>935</v>
      </c>
      <c r="B41" s="51"/>
      <c r="C41" s="52" t="s">
        <v>1637</v>
      </c>
      <c r="D41" s="52" t="s">
        <v>1637</v>
      </c>
      <c r="E41" s="52" t="s">
        <v>2736</v>
      </c>
      <c r="F41" s="52" t="s">
        <v>2736</v>
      </c>
      <c r="G41" s="52" t="s">
        <v>1455</v>
      </c>
      <c r="H41" s="52" t="s">
        <v>1455</v>
      </c>
      <c r="I41" s="52" t="s">
        <v>8193</v>
      </c>
      <c r="J41" s="52" t="s">
        <v>1637</v>
      </c>
      <c r="K41" s="52" t="s">
        <v>8193</v>
      </c>
      <c r="L41" s="52" t="s">
        <v>8193</v>
      </c>
      <c r="M41" s="52" t="s">
        <v>1637</v>
      </c>
      <c r="N41" s="52" t="s">
        <v>8193</v>
      </c>
      <c r="O41" s="52" t="s">
        <v>1637</v>
      </c>
      <c r="P41" s="52" t="s">
        <v>8193</v>
      </c>
      <c r="Q41" s="52" t="s">
        <v>8193</v>
      </c>
      <c r="R41" s="52" t="s">
        <v>1637</v>
      </c>
      <c r="S41" s="52" t="s">
        <v>8193</v>
      </c>
      <c r="T41" s="52" t="s">
        <v>5550</v>
      </c>
      <c r="U41" s="52" t="s">
        <v>5550</v>
      </c>
      <c r="V41" s="84" t="s">
        <v>1025</v>
      </c>
      <c r="W41" s="52" t="s">
        <v>4399</v>
      </c>
      <c r="X41" s="84" t="s">
        <v>6430</v>
      </c>
      <c r="Y41" s="52" t="s">
        <v>2401</v>
      </c>
      <c r="Z41" s="52" t="s">
        <v>2401</v>
      </c>
      <c r="AA41" s="52" t="s">
        <v>2401</v>
      </c>
      <c r="AB41" s="52" t="s">
        <v>4645</v>
      </c>
      <c r="AC41" s="52" t="s">
        <v>4645</v>
      </c>
      <c r="AD41" s="52" t="s">
        <v>4645</v>
      </c>
      <c r="AE41" s="52" t="s">
        <v>6033</v>
      </c>
      <c r="AF41" s="52" t="s">
        <v>6033</v>
      </c>
      <c r="AG41" s="186" t="s">
        <v>7050</v>
      </c>
      <c r="AH41" s="186" t="s">
        <v>7050</v>
      </c>
      <c r="AI41" s="186" t="s">
        <v>7050</v>
      </c>
      <c r="AJ41" s="52" t="s">
        <v>6117</v>
      </c>
      <c r="AK41" s="52" t="s">
        <v>4201</v>
      </c>
      <c r="AL41" s="52" t="s">
        <v>4201</v>
      </c>
      <c r="AM41" s="52" t="s">
        <v>5437</v>
      </c>
      <c r="AN41" s="52" t="s">
        <v>5437</v>
      </c>
      <c r="AO41" s="52" t="s">
        <v>4271</v>
      </c>
      <c r="AP41" s="52" t="s">
        <v>2583</v>
      </c>
      <c r="AQ41" s="52" t="s">
        <v>2583</v>
      </c>
      <c r="AR41" s="52"/>
      <c r="AS41" s="52" t="s">
        <v>2026</v>
      </c>
      <c r="AT41" s="52" t="s">
        <v>2026</v>
      </c>
      <c r="AU41" s="52" t="s">
        <v>2026</v>
      </c>
      <c r="AV41" s="52" t="s">
        <v>4300</v>
      </c>
      <c r="AW41" s="52" t="s">
        <v>4300</v>
      </c>
      <c r="AX41" s="52" t="s">
        <v>1377</v>
      </c>
      <c r="AY41" s="52" t="s">
        <v>1377</v>
      </c>
      <c r="AZ41" s="52" t="s">
        <v>3670</v>
      </c>
      <c r="BA41" s="52" t="s">
        <v>3584</v>
      </c>
      <c r="BB41" s="52" t="s">
        <v>3518</v>
      </c>
      <c r="BC41" s="52" t="s">
        <v>4957</v>
      </c>
      <c r="BD41" s="52" t="s">
        <v>7568</v>
      </c>
      <c r="BE41" s="52" t="s">
        <v>4957</v>
      </c>
      <c r="BF41" s="52" t="s">
        <v>7568</v>
      </c>
      <c r="BG41" s="52" t="s">
        <v>4957</v>
      </c>
      <c r="BH41" s="52" t="s">
        <v>7568</v>
      </c>
      <c r="BI41" s="52" t="s">
        <v>7568</v>
      </c>
      <c r="BJ41" s="52" t="s">
        <v>4957</v>
      </c>
      <c r="BK41" s="52"/>
      <c r="BL41" s="52"/>
      <c r="BM41" s="52" t="s">
        <v>0</v>
      </c>
      <c r="BN41" s="52" t="s">
        <v>1637</v>
      </c>
      <c r="BO41" s="52" t="s">
        <v>1025</v>
      </c>
      <c r="BP41" s="52" t="s">
        <v>1637</v>
      </c>
      <c r="BQ41" s="52" t="s">
        <v>1637</v>
      </c>
      <c r="BR41" s="52" t="s">
        <v>2726</v>
      </c>
      <c r="BS41" s="52" t="s">
        <v>2726</v>
      </c>
      <c r="BT41" s="52" t="s">
        <v>2726</v>
      </c>
      <c r="BU41" s="84" t="s">
        <v>2858</v>
      </c>
      <c r="BV41" s="84"/>
      <c r="BW41" s="52"/>
      <c r="BX41" s="52" t="s">
        <v>3765</v>
      </c>
      <c r="BY41" s="52" t="s">
        <v>3765</v>
      </c>
      <c r="BZ41" s="52" t="s">
        <v>6173</v>
      </c>
      <c r="CA41" s="52" t="s">
        <v>3146</v>
      </c>
      <c r="CB41" s="52" t="s">
        <v>3146</v>
      </c>
      <c r="CC41" s="52"/>
      <c r="CD41" s="52"/>
      <c r="CE41" s="52" t="s">
        <v>3228</v>
      </c>
      <c r="CF41" s="52" t="s">
        <v>2184</v>
      </c>
    </row>
    <row r="42" spans="1:84" ht="18">
      <c r="A42" s="6" t="s">
        <v>94</v>
      </c>
      <c r="B42" s="200"/>
      <c r="C42" s="36" t="s">
        <v>57</v>
      </c>
      <c r="D42" s="36" t="s">
        <v>57</v>
      </c>
      <c r="E42" s="36" t="s">
        <v>57</v>
      </c>
      <c r="F42" s="36" t="s">
        <v>57</v>
      </c>
      <c r="G42" s="36" t="s">
        <v>57</v>
      </c>
      <c r="H42" s="36" t="s">
        <v>57</v>
      </c>
      <c r="I42" s="36" t="s">
        <v>6743</v>
      </c>
      <c r="J42" s="36" t="s">
        <v>57</v>
      </c>
      <c r="K42" s="36" t="s">
        <v>6743</v>
      </c>
      <c r="L42" s="36" t="s">
        <v>6743</v>
      </c>
      <c r="M42" s="36" t="s">
        <v>57</v>
      </c>
      <c r="N42" s="36" t="s">
        <v>6743</v>
      </c>
      <c r="O42" s="36" t="s">
        <v>57</v>
      </c>
      <c r="P42" s="36" t="s">
        <v>6743</v>
      </c>
      <c r="Q42" s="36" t="s">
        <v>6743</v>
      </c>
      <c r="R42" s="36" t="s">
        <v>57</v>
      </c>
      <c r="S42" s="36" t="s">
        <v>6743</v>
      </c>
      <c r="T42" s="36" t="s">
        <v>57</v>
      </c>
      <c r="U42" s="36" t="s">
        <v>57</v>
      </c>
      <c r="V42" s="145" t="s">
        <v>5718</v>
      </c>
      <c r="W42" s="36" t="s">
        <v>57</v>
      </c>
      <c r="X42" s="36" t="s">
        <v>6401</v>
      </c>
      <c r="Y42" s="36" t="s">
        <v>57</v>
      </c>
      <c r="Z42" s="36" t="s">
        <v>57</v>
      </c>
      <c r="AA42" s="36" t="s">
        <v>57</v>
      </c>
      <c r="AB42" s="36" t="s">
        <v>57</v>
      </c>
      <c r="AC42" s="36" t="s">
        <v>57</v>
      </c>
      <c r="AD42" s="36" t="s">
        <v>57</v>
      </c>
      <c r="AE42" s="7" t="s">
        <v>57</v>
      </c>
      <c r="AF42" s="7" t="s">
        <v>57</v>
      </c>
      <c r="AG42" s="36" t="s">
        <v>6986</v>
      </c>
      <c r="AH42" s="36" t="s">
        <v>6986</v>
      </c>
      <c r="AI42" s="36" t="s">
        <v>6986</v>
      </c>
      <c r="AJ42" s="37" t="s">
        <v>3442</v>
      </c>
      <c r="AK42" s="7" t="s">
        <v>57</v>
      </c>
      <c r="AL42" s="7" t="s">
        <v>57</v>
      </c>
      <c r="AM42" s="36" t="s">
        <v>57</v>
      </c>
      <c r="AN42" s="36" t="s">
        <v>57</v>
      </c>
      <c r="AO42" s="36" t="s">
        <v>57</v>
      </c>
      <c r="AP42" s="36" t="s">
        <v>57</v>
      </c>
      <c r="AQ42" s="36" t="s">
        <v>57</v>
      </c>
      <c r="AR42" s="36" t="s">
        <v>57</v>
      </c>
      <c r="AS42" s="36" t="s">
        <v>57</v>
      </c>
      <c r="AT42" s="36" t="s">
        <v>57</v>
      </c>
      <c r="AU42" s="36" t="s">
        <v>57</v>
      </c>
      <c r="AV42" s="36" t="s">
        <v>57</v>
      </c>
      <c r="AW42" s="36" t="s">
        <v>57</v>
      </c>
      <c r="AX42" s="36" t="s">
        <v>57</v>
      </c>
      <c r="AY42" s="36" t="s">
        <v>57</v>
      </c>
      <c r="AZ42" s="36" t="s">
        <v>57</v>
      </c>
      <c r="BA42" s="36" t="s">
        <v>57</v>
      </c>
      <c r="BB42" s="36" t="s">
        <v>57</v>
      </c>
      <c r="BC42" s="36" t="s">
        <v>57</v>
      </c>
      <c r="BD42" s="36" t="s">
        <v>6743</v>
      </c>
      <c r="BE42" s="36" t="s">
        <v>57</v>
      </c>
      <c r="BF42" s="36" t="s">
        <v>6743</v>
      </c>
      <c r="BG42" s="36" t="s">
        <v>57</v>
      </c>
      <c r="BH42" s="36" t="s">
        <v>6743</v>
      </c>
      <c r="BI42" s="36" t="s">
        <v>6743</v>
      </c>
      <c r="BJ42" s="36" t="s">
        <v>57</v>
      </c>
      <c r="BK42" s="36" t="s">
        <v>57</v>
      </c>
      <c r="BL42" s="36" t="s">
        <v>57</v>
      </c>
      <c r="BM42" s="36" t="s">
        <v>0</v>
      </c>
      <c r="BN42" s="36" t="s">
        <v>57</v>
      </c>
      <c r="BO42" s="36" t="s">
        <v>57</v>
      </c>
      <c r="BP42" s="36" t="s">
        <v>57</v>
      </c>
      <c r="BQ42" s="36" t="s">
        <v>57</v>
      </c>
      <c r="BR42" s="36" t="s">
        <v>57</v>
      </c>
      <c r="BS42" s="36" t="s">
        <v>57</v>
      </c>
      <c r="BT42" s="36" t="s">
        <v>57</v>
      </c>
      <c r="BU42" s="36" t="s">
        <v>57</v>
      </c>
      <c r="BV42" s="36" t="s">
        <v>57</v>
      </c>
      <c r="BW42" s="36" t="s">
        <v>57</v>
      </c>
      <c r="BX42" s="36" t="s">
        <v>57</v>
      </c>
      <c r="BY42" s="36" t="s">
        <v>57</v>
      </c>
      <c r="BZ42" s="36" t="s">
        <v>6175</v>
      </c>
      <c r="CA42" s="36" t="s">
        <v>57</v>
      </c>
      <c r="CB42" s="36" t="s">
        <v>57</v>
      </c>
      <c r="CC42" s="36" t="s">
        <v>57</v>
      </c>
      <c r="CD42" s="36" t="s">
        <v>57</v>
      </c>
      <c r="CE42" s="36" t="s">
        <v>57</v>
      </c>
      <c r="CF42" s="36" t="s">
        <v>57</v>
      </c>
    </row>
    <row r="43" spans="1:84">
      <c r="A43" s="51" t="s">
        <v>935</v>
      </c>
      <c r="B43" s="51"/>
      <c r="C43" s="52" t="s">
        <v>1641</v>
      </c>
      <c r="D43" s="52" t="s">
        <v>1641</v>
      </c>
      <c r="E43" s="52" t="s">
        <v>2738</v>
      </c>
      <c r="F43" s="52" t="s">
        <v>2738</v>
      </c>
      <c r="G43" s="52" t="s">
        <v>1462</v>
      </c>
      <c r="H43" s="52" t="s">
        <v>1462</v>
      </c>
      <c r="I43" s="52" t="s">
        <v>8196</v>
      </c>
      <c r="J43" s="52" t="s">
        <v>1641</v>
      </c>
      <c r="K43" s="52" t="s">
        <v>8196</v>
      </c>
      <c r="L43" s="52" t="s">
        <v>8196</v>
      </c>
      <c r="M43" s="52" t="s">
        <v>1641</v>
      </c>
      <c r="N43" s="52" t="s">
        <v>8196</v>
      </c>
      <c r="O43" s="52" t="s">
        <v>1641</v>
      </c>
      <c r="P43" s="52" t="s">
        <v>8196</v>
      </c>
      <c r="Q43" s="52" t="s">
        <v>8196</v>
      </c>
      <c r="R43" s="52" t="s">
        <v>1641</v>
      </c>
      <c r="S43" s="52" t="s">
        <v>8196</v>
      </c>
      <c r="T43" s="52" t="s">
        <v>5550</v>
      </c>
      <c r="U43" s="52" t="s">
        <v>5550</v>
      </c>
      <c r="V43" s="84"/>
      <c r="W43" s="52" t="s">
        <v>4402</v>
      </c>
      <c r="X43" s="52" t="s">
        <v>6429</v>
      </c>
      <c r="Y43" s="52" t="s">
        <v>2405</v>
      </c>
      <c r="Z43" s="52" t="s">
        <v>2405</v>
      </c>
      <c r="AA43" s="52" t="s">
        <v>2405</v>
      </c>
      <c r="AB43" s="52" t="s">
        <v>4660</v>
      </c>
      <c r="AC43" s="52" t="s">
        <v>4660</v>
      </c>
      <c r="AD43" s="52" t="s">
        <v>4660</v>
      </c>
      <c r="AE43" s="52" t="s">
        <v>6039</v>
      </c>
      <c r="AF43" s="52" t="s">
        <v>6039</v>
      </c>
      <c r="AG43" s="186" t="s">
        <v>7049</v>
      </c>
      <c r="AH43" s="186" t="s">
        <v>7049</v>
      </c>
      <c r="AI43" s="186" t="s">
        <v>7049</v>
      </c>
      <c r="AJ43" s="52" t="s">
        <v>6117</v>
      </c>
      <c r="AK43" s="52" t="s">
        <v>1885</v>
      </c>
      <c r="AL43" s="52" t="s">
        <v>1885</v>
      </c>
      <c r="AM43" s="52" t="s">
        <v>5441</v>
      </c>
      <c r="AN43" s="52" t="s">
        <v>5441</v>
      </c>
      <c r="AO43" s="52" t="s">
        <v>4279</v>
      </c>
      <c r="AP43" s="52" t="s">
        <v>2587</v>
      </c>
      <c r="AQ43" s="52" t="s">
        <v>2587</v>
      </c>
      <c r="AR43" s="52"/>
      <c r="AS43" s="52" t="s">
        <v>2031</v>
      </c>
      <c r="AT43" s="52" t="s">
        <v>2031</v>
      </c>
      <c r="AU43" s="52" t="s">
        <v>2031</v>
      </c>
      <c r="AV43" s="52" t="s">
        <v>4298</v>
      </c>
      <c r="AW43" s="52" t="s">
        <v>4298</v>
      </c>
      <c r="AX43" s="52" t="s">
        <v>1382</v>
      </c>
      <c r="AY43" s="52" t="s">
        <v>1382</v>
      </c>
      <c r="AZ43" s="52" t="s">
        <v>3675</v>
      </c>
      <c r="BA43" s="52" t="s">
        <v>3590</v>
      </c>
      <c r="BB43" s="52" t="s">
        <v>3523</v>
      </c>
      <c r="BC43" s="52" t="s">
        <v>4962</v>
      </c>
      <c r="BD43" s="52" t="s">
        <v>7572</v>
      </c>
      <c r="BE43" s="52" t="s">
        <v>4962</v>
      </c>
      <c r="BF43" s="52" t="s">
        <v>7572</v>
      </c>
      <c r="BG43" s="52" t="s">
        <v>4962</v>
      </c>
      <c r="BH43" s="52" t="s">
        <v>7572</v>
      </c>
      <c r="BI43" s="52" t="s">
        <v>7572</v>
      </c>
      <c r="BJ43" s="52" t="s">
        <v>4962</v>
      </c>
      <c r="BK43" s="52"/>
      <c r="BL43" s="52"/>
      <c r="BM43" s="52" t="s">
        <v>0</v>
      </c>
      <c r="BN43" s="52" t="s">
        <v>1641</v>
      </c>
      <c r="BO43" s="52" t="s">
        <v>6354</v>
      </c>
      <c r="BP43" s="52" t="s">
        <v>1641</v>
      </c>
      <c r="BQ43" s="52" t="s">
        <v>1641</v>
      </c>
      <c r="BR43" s="52" t="s">
        <v>2688</v>
      </c>
      <c r="BS43" s="52" t="s">
        <v>2688</v>
      </c>
      <c r="BT43" s="52" t="s">
        <v>2688</v>
      </c>
      <c r="BU43" s="84" t="s">
        <v>2861</v>
      </c>
      <c r="BV43" s="84"/>
      <c r="BW43" s="52"/>
      <c r="BX43" s="52" t="s">
        <v>3765</v>
      </c>
      <c r="BY43" s="52" t="s">
        <v>3765</v>
      </c>
      <c r="BZ43" s="52" t="s">
        <v>6176</v>
      </c>
      <c r="CA43" s="52" t="s">
        <v>3150</v>
      </c>
      <c r="CB43" s="52" t="s">
        <v>3150</v>
      </c>
      <c r="CC43" s="52"/>
      <c r="CD43" s="52"/>
      <c r="CE43" s="52" t="s">
        <v>3231</v>
      </c>
      <c r="CF43" s="52" t="s">
        <v>2180</v>
      </c>
    </row>
    <row r="44" spans="1:84" ht="27">
      <c r="A44" s="6" t="s">
        <v>582</v>
      </c>
      <c r="B44" s="200"/>
      <c r="C44" s="36" t="s">
        <v>57</v>
      </c>
      <c r="D44" s="36" t="s">
        <v>57</v>
      </c>
      <c r="E44" s="36" t="s">
        <v>57</v>
      </c>
      <c r="F44" s="36" t="s">
        <v>57</v>
      </c>
      <c r="G44" s="36" t="s">
        <v>57</v>
      </c>
      <c r="H44" s="36" t="s">
        <v>57</v>
      </c>
      <c r="I44" s="36" t="s">
        <v>57</v>
      </c>
      <c r="J44" s="36" t="s">
        <v>57</v>
      </c>
      <c r="K44" s="36" t="s">
        <v>57</v>
      </c>
      <c r="L44" s="36" t="s">
        <v>57</v>
      </c>
      <c r="M44" s="36" t="s">
        <v>57</v>
      </c>
      <c r="N44" s="36" t="s">
        <v>57</v>
      </c>
      <c r="O44" s="36" t="s">
        <v>57</v>
      </c>
      <c r="P44" s="36" t="s">
        <v>57</v>
      </c>
      <c r="Q44" s="36" t="s">
        <v>57</v>
      </c>
      <c r="R44" s="36" t="s">
        <v>57</v>
      </c>
      <c r="S44" s="36" t="s">
        <v>57</v>
      </c>
      <c r="T44" s="36" t="s">
        <v>57</v>
      </c>
      <c r="U44" s="36" t="s">
        <v>57</v>
      </c>
      <c r="V44" s="145" t="s">
        <v>5718</v>
      </c>
      <c r="W44" s="36" t="s">
        <v>57</v>
      </c>
      <c r="X44" s="36" t="s">
        <v>6402</v>
      </c>
      <c r="Y44" s="36" t="s">
        <v>57</v>
      </c>
      <c r="Z44" s="36" t="s">
        <v>57</v>
      </c>
      <c r="AA44" s="36" t="s">
        <v>57</v>
      </c>
      <c r="AB44" s="36" t="s">
        <v>57</v>
      </c>
      <c r="AC44" s="36" t="s">
        <v>57</v>
      </c>
      <c r="AD44" s="36" t="s">
        <v>57</v>
      </c>
      <c r="AE44" s="7" t="s">
        <v>57</v>
      </c>
      <c r="AF44" s="7" t="s">
        <v>57</v>
      </c>
      <c r="AG44" s="36" t="s">
        <v>57</v>
      </c>
      <c r="AH44" s="36" t="s">
        <v>57</v>
      </c>
      <c r="AI44" s="36" t="s">
        <v>57</v>
      </c>
      <c r="AJ44" s="37" t="s">
        <v>3442</v>
      </c>
      <c r="AK44" s="7" t="s">
        <v>57</v>
      </c>
      <c r="AL44" s="7" t="s">
        <v>57</v>
      </c>
      <c r="AM44" s="36" t="s">
        <v>57</v>
      </c>
      <c r="AN44" s="36" t="s">
        <v>57</v>
      </c>
      <c r="AO44" s="36" t="s">
        <v>57</v>
      </c>
      <c r="AP44" s="36" t="s">
        <v>57</v>
      </c>
      <c r="AQ44" s="36" t="s">
        <v>57</v>
      </c>
      <c r="AR44" s="36" t="s">
        <v>57</v>
      </c>
      <c r="AS44" s="36" t="s">
        <v>57</v>
      </c>
      <c r="AT44" s="36" t="s">
        <v>57</v>
      </c>
      <c r="AU44" s="36" t="s">
        <v>57</v>
      </c>
      <c r="AV44" s="36" t="s">
        <v>57</v>
      </c>
      <c r="AW44" s="36" t="s">
        <v>57</v>
      </c>
      <c r="AX44" s="36" t="s">
        <v>57</v>
      </c>
      <c r="AY44" s="36" t="s">
        <v>57</v>
      </c>
      <c r="AZ44" s="36" t="s">
        <v>57</v>
      </c>
      <c r="BA44" s="36" t="s">
        <v>57</v>
      </c>
      <c r="BB44" s="36" t="s">
        <v>57</v>
      </c>
      <c r="BC44" s="36" t="s">
        <v>57</v>
      </c>
      <c r="BD44" s="36" t="s">
        <v>7223</v>
      </c>
      <c r="BE44" s="36" t="s">
        <v>57</v>
      </c>
      <c r="BF44" s="36" t="s">
        <v>7223</v>
      </c>
      <c r="BG44" s="36" t="s">
        <v>57</v>
      </c>
      <c r="BH44" s="36" t="s">
        <v>7223</v>
      </c>
      <c r="BI44" s="36" t="s">
        <v>7223</v>
      </c>
      <c r="BJ44" s="36" t="s">
        <v>57</v>
      </c>
      <c r="BK44" s="36" t="s">
        <v>57</v>
      </c>
      <c r="BL44" s="36" t="s">
        <v>57</v>
      </c>
      <c r="BM44" s="36" t="s">
        <v>0</v>
      </c>
      <c r="BN44" s="36" t="s">
        <v>57</v>
      </c>
      <c r="BO44" s="36" t="s">
        <v>57</v>
      </c>
      <c r="BP44" s="36" t="s">
        <v>57</v>
      </c>
      <c r="BQ44" s="36" t="s">
        <v>57</v>
      </c>
      <c r="BR44" s="36" t="s">
        <v>57</v>
      </c>
      <c r="BS44" s="36" t="s">
        <v>57</v>
      </c>
      <c r="BT44" s="36" t="s">
        <v>57</v>
      </c>
      <c r="BU44" s="36" t="s">
        <v>57</v>
      </c>
      <c r="BV44" s="36" t="s">
        <v>57</v>
      </c>
      <c r="BW44" s="36" t="s">
        <v>57</v>
      </c>
      <c r="BX44" s="36" t="s">
        <v>57</v>
      </c>
      <c r="BY44" s="36" t="s">
        <v>57</v>
      </c>
      <c r="BZ44" s="36" t="s">
        <v>57</v>
      </c>
      <c r="CA44" s="36" t="s">
        <v>57</v>
      </c>
      <c r="CB44" s="36" t="s">
        <v>57</v>
      </c>
      <c r="CC44" s="36" t="s">
        <v>57</v>
      </c>
      <c r="CD44" s="36" t="s">
        <v>57</v>
      </c>
      <c r="CE44" s="36" t="s">
        <v>57</v>
      </c>
      <c r="CF44" s="36" t="s">
        <v>57</v>
      </c>
    </row>
    <row r="45" spans="1:84">
      <c r="A45" s="51" t="s">
        <v>935</v>
      </c>
      <c r="B45" s="51"/>
      <c r="C45" s="52" t="s">
        <v>1641</v>
      </c>
      <c r="D45" s="52" t="s">
        <v>1641</v>
      </c>
      <c r="E45" s="52" t="s">
        <v>2738</v>
      </c>
      <c r="F45" s="52" t="s">
        <v>2738</v>
      </c>
      <c r="G45" s="52" t="s">
        <v>1462</v>
      </c>
      <c r="H45" s="52" t="s">
        <v>1462</v>
      </c>
      <c r="I45" s="52" t="s">
        <v>8196</v>
      </c>
      <c r="J45" s="52" t="s">
        <v>1641</v>
      </c>
      <c r="K45" s="52" t="s">
        <v>8196</v>
      </c>
      <c r="L45" s="52" t="s">
        <v>8196</v>
      </c>
      <c r="M45" s="52" t="s">
        <v>1641</v>
      </c>
      <c r="N45" s="52" t="s">
        <v>8196</v>
      </c>
      <c r="O45" s="52" t="s">
        <v>1641</v>
      </c>
      <c r="P45" s="52" t="s">
        <v>8196</v>
      </c>
      <c r="Q45" s="52" t="s">
        <v>8196</v>
      </c>
      <c r="R45" s="52" t="s">
        <v>1641</v>
      </c>
      <c r="S45" s="52" t="s">
        <v>8196</v>
      </c>
      <c r="T45" s="52" t="s">
        <v>5552</v>
      </c>
      <c r="U45" s="52" t="s">
        <v>5552</v>
      </c>
      <c r="V45" s="84"/>
      <c r="W45" s="52" t="s">
        <v>4402</v>
      </c>
      <c r="X45" s="52" t="s">
        <v>6428</v>
      </c>
      <c r="Y45" s="52" t="s">
        <v>2405</v>
      </c>
      <c r="Z45" s="52" t="s">
        <v>2405</v>
      </c>
      <c r="AA45" s="52" t="s">
        <v>2405</v>
      </c>
      <c r="AB45" s="52" t="s">
        <v>4660</v>
      </c>
      <c r="AC45" s="52" t="s">
        <v>4660</v>
      </c>
      <c r="AD45" s="52" t="s">
        <v>4660</v>
      </c>
      <c r="AE45" s="52" t="s">
        <v>6039</v>
      </c>
      <c r="AF45" s="52" t="s">
        <v>6039</v>
      </c>
      <c r="AG45" s="186" t="s">
        <v>7049</v>
      </c>
      <c r="AH45" s="186" t="s">
        <v>7049</v>
      </c>
      <c r="AI45" s="186" t="s">
        <v>7049</v>
      </c>
      <c r="AJ45" s="52" t="s">
        <v>6117</v>
      </c>
      <c r="AK45" s="52" t="s">
        <v>1885</v>
      </c>
      <c r="AL45" s="52" t="s">
        <v>1885</v>
      </c>
      <c r="AM45" s="52" t="s">
        <v>5441</v>
      </c>
      <c r="AN45" s="52" t="s">
        <v>5441</v>
      </c>
      <c r="AO45" s="52" t="s">
        <v>4279</v>
      </c>
      <c r="AP45" s="52" t="s">
        <v>2587</v>
      </c>
      <c r="AQ45" s="52" t="s">
        <v>2587</v>
      </c>
      <c r="AR45" s="52"/>
      <c r="AS45" s="52" t="s">
        <v>2031</v>
      </c>
      <c r="AT45" s="52" t="s">
        <v>2031</v>
      </c>
      <c r="AU45" s="52" t="s">
        <v>2031</v>
      </c>
      <c r="AV45" s="52" t="s">
        <v>4298</v>
      </c>
      <c r="AW45" s="52" t="s">
        <v>4298</v>
      </c>
      <c r="AX45" s="52" t="s">
        <v>1382</v>
      </c>
      <c r="AY45" s="52" t="s">
        <v>1382</v>
      </c>
      <c r="AZ45" s="52" t="s">
        <v>3675</v>
      </c>
      <c r="BA45" s="52" t="s">
        <v>3590</v>
      </c>
      <c r="BB45" s="52" t="s">
        <v>3523</v>
      </c>
      <c r="BC45" s="52" t="s">
        <v>4962</v>
      </c>
      <c r="BD45" s="52" t="s">
        <v>7572</v>
      </c>
      <c r="BE45" s="52" t="s">
        <v>4962</v>
      </c>
      <c r="BF45" s="52" t="s">
        <v>7572</v>
      </c>
      <c r="BG45" s="52" t="s">
        <v>4962</v>
      </c>
      <c r="BH45" s="52" t="s">
        <v>7572</v>
      </c>
      <c r="BI45" s="52" t="s">
        <v>7572</v>
      </c>
      <c r="BJ45" s="52" t="s">
        <v>4962</v>
      </c>
      <c r="BK45" s="52"/>
      <c r="BL45" s="52"/>
      <c r="BM45" s="52" t="s">
        <v>0</v>
      </c>
      <c r="BN45" s="52" t="s">
        <v>1641</v>
      </c>
      <c r="BO45" s="52" t="s">
        <v>1025</v>
      </c>
      <c r="BP45" s="52" t="s">
        <v>1641</v>
      </c>
      <c r="BQ45" s="52" t="s">
        <v>1641</v>
      </c>
      <c r="BR45" s="52" t="s">
        <v>2688</v>
      </c>
      <c r="BS45" s="52" t="s">
        <v>2688</v>
      </c>
      <c r="BT45" s="52" t="s">
        <v>2688</v>
      </c>
      <c r="BU45" s="84" t="s">
        <v>2861</v>
      </c>
      <c r="BV45" s="84"/>
      <c r="BW45" s="52"/>
      <c r="BX45" s="52" t="s">
        <v>3765</v>
      </c>
      <c r="BY45" s="52" t="s">
        <v>3765</v>
      </c>
      <c r="BZ45" s="52" t="s">
        <v>6174</v>
      </c>
      <c r="CA45" s="52" t="s">
        <v>3150</v>
      </c>
      <c r="CB45" s="52" t="s">
        <v>3150</v>
      </c>
      <c r="CC45" s="52"/>
      <c r="CD45" s="52"/>
      <c r="CE45" s="52" t="s">
        <v>3231</v>
      </c>
      <c r="CF45" s="52" t="s">
        <v>2180</v>
      </c>
    </row>
    <row r="46" spans="1:84">
      <c r="A46" s="6" t="s">
        <v>4406</v>
      </c>
      <c r="B46" s="200"/>
      <c r="C46" s="36" t="s">
        <v>57</v>
      </c>
      <c r="D46" s="36" t="s">
        <v>57</v>
      </c>
      <c r="E46" s="36" t="s">
        <v>57</v>
      </c>
      <c r="F46" s="36" t="s">
        <v>57</v>
      </c>
      <c r="G46" s="36" t="s">
        <v>57</v>
      </c>
      <c r="H46" s="36" t="s">
        <v>57</v>
      </c>
      <c r="I46" s="36" t="s">
        <v>57</v>
      </c>
      <c r="J46" s="36" t="s">
        <v>57</v>
      </c>
      <c r="K46" s="36" t="s">
        <v>57</v>
      </c>
      <c r="L46" s="36" t="s">
        <v>57</v>
      </c>
      <c r="M46" s="36" t="s">
        <v>57</v>
      </c>
      <c r="N46" s="36" t="s">
        <v>57</v>
      </c>
      <c r="O46" s="36" t="s">
        <v>57</v>
      </c>
      <c r="P46" s="36" t="s">
        <v>57</v>
      </c>
      <c r="Q46" s="36" t="s">
        <v>57</v>
      </c>
      <c r="R46" s="36" t="s">
        <v>57</v>
      </c>
      <c r="S46" s="36" t="s">
        <v>57</v>
      </c>
      <c r="T46" s="36" t="s">
        <v>5512</v>
      </c>
      <c r="U46" s="36" t="s">
        <v>5556</v>
      </c>
      <c r="V46" s="145" t="s">
        <v>5732</v>
      </c>
      <c r="W46" s="36" t="s">
        <v>57</v>
      </c>
      <c r="X46" s="36" t="s">
        <v>57</v>
      </c>
      <c r="Y46" s="36" t="s">
        <v>57</v>
      </c>
      <c r="Z46" s="36" t="s">
        <v>57</v>
      </c>
      <c r="AA46" s="36" t="s">
        <v>57</v>
      </c>
      <c r="AB46" s="36" t="s">
        <v>57</v>
      </c>
      <c r="AC46" s="36" t="s">
        <v>57</v>
      </c>
      <c r="AD46" s="36" t="s">
        <v>57</v>
      </c>
      <c r="AE46" s="7" t="s">
        <v>57</v>
      </c>
      <c r="AF46" s="7" t="s">
        <v>57</v>
      </c>
      <c r="AG46" s="36" t="s">
        <v>57</v>
      </c>
      <c r="AH46" s="36" t="s">
        <v>57</v>
      </c>
      <c r="AI46" s="36" t="s">
        <v>57</v>
      </c>
      <c r="AJ46" s="7" t="s">
        <v>57</v>
      </c>
      <c r="AK46" s="7" t="s">
        <v>57</v>
      </c>
      <c r="AL46" s="7" t="s">
        <v>57</v>
      </c>
      <c r="AM46" s="36" t="s">
        <v>57</v>
      </c>
      <c r="AN46" s="36" t="s">
        <v>57</v>
      </c>
      <c r="AO46" s="36" t="s">
        <v>57</v>
      </c>
      <c r="AP46" s="36" t="s">
        <v>57</v>
      </c>
      <c r="AQ46" s="36" t="s">
        <v>57</v>
      </c>
      <c r="AR46" s="36" t="s">
        <v>57</v>
      </c>
      <c r="AS46" s="36" t="s">
        <v>57</v>
      </c>
      <c r="AT46" s="36" t="s">
        <v>57</v>
      </c>
      <c r="AU46" s="36" t="s">
        <v>57</v>
      </c>
      <c r="AV46" s="36" t="s">
        <v>57</v>
      </c>
      <c r="AW46" s="36" t="s">
        <v>57</v>
      </c>
      <c r="AX46" s="36" t="s">
        <v>57</v>
      </c>
      <c r="AY46" s="36" t="s">
        <v>57</v>
      </c>
      <c r="AZ46" s="36" t="s">
        <v>57</v>
      </c>
      <c r="BA46" s="36" t="s">
        <v>57</v>
      </c>
      <c r="BB46" s="36" t="s">
        <v>57</v>
      </c>
      <c r="BC46" s="36" t="s">
        <v>57</v>
      </c>
      <c r="BD46" s="36" t="s">
        <v>57</v>
      </c>
      <c r="BE46" s="36" t="s">
        <v>57</v>
      </c>
      <c r="BF46" s="36" t="s">
        <v>57</v>
      </c>
      <c r="BG46" s="36" t="s">
        <v>57</v>
      </c>
      <c r="BH46" s="36" t="s">
        <v>57</v>
      </c>
      <c r="BI46" s="36" t="s">
        <v>57</v>
      </c>
      <c r="BJ46" s="36" t="s">
        <v>57</v>
      </c>
      <c r="BK46" s="36" t="s">
        <v>57</v>
      </c>
      <c r="BL46" s="36" t="s">
        <v>57</v>
      </c>
      <c r="BM46" s="36" t="s">
        <v>0</v>
      </c>
      <c r="BN46" s="36" t="s">
        <v>57</v>
      </c>
      <c r="BO46" s="36" t="s">
        <v>57</v>
      </c>
      <c r="BP46" s="36" t="s">
        <v>57</v>
      </c>
      <c r="BQ46" s="36" t="s">
        <v>57</v>
      </c>
      <c r="BR46" s="36" t="s">
        <v>57</v>
      </c>
      <c r="BS46" s="36" t="s">
        <v>57</v>
      </c>
      <c r="BT46" s="36" t="s">
        <v>57</v>
      </c>
      <c r="BU46" s="36" t="s">
        <v>57</v>
      </c>
      <c r="BV46" s="36" t="s">
        <v>57</v>
      </c>
      <c r="BW46" s="36" t="s">
        <v>57</v>
      </c>
      <c r="BX46" s="36" t="s">
        <v>57</v>
      </c>
      <c r="BY46" s="36" t="s">
        <v>57</v>
      </c>
      <c r="BZ46" s="36" t="s">
        <v>57</v>
      </c>
      <c r="CA46" s="36" t="s">
        <v>57</v>
      </c>
      <c r="CB46" s="36" t="s">
        <v>57</v>
      </c>
      <c r="CC46" s="36" t="s">
        <v>57</v>
      </c>
      <c r="CD46" s="36" t="s">
        <v>57</v>
      </c>
      <c r="CE46" s="36" t="s">
        <v>57</v>
      </c>
      <c r="CF46" s="36" t="s">
        <v>57</v>
      </c>
    </row>
    <row r="47" spans="1:84">
      <c r="A47" s="51" t="s">
        <v>935</v>
      </c>
      <c r="B47" s="51"/>
      <c r="C47" s="52" t="s">
        <v>1641</v>
      </c>
      <c r="D47" s="52" t="s">
        <v>1641</v>
      </c>
      <c r="E47" s="52" t="s">
        <v>2738</v>
      </c>
      <c r="F47" s="52" t="s">
        <v>2738</v>
      </c>
      <c r="G47" s="52" t="s">
        <v>1462</v>
      </c>
      <c r="H47" s="52" t="s">
        <v>1462</v>
      </c>
      <c r="I47" s="52" t="s">
        <v>8196</v>
      </c>
      <c r="J47" s="52" t="s">
        <v>1641</v>
      </c>
      <c r="K47" s="52" t="s">
        <v>8196</v>
      </c>
      <c r="L47" s="52" t="s">
        <v>8196</v>
      </c>
      <c r="M47" s="52" t="s">
        <v>1641</v>
      </c>
      <c r="N47" s="52" t="s">
        <v>8196</v>
      </c>
      <c r="O47" s="52" t="s">
        <v>1641</v>
      </c>
      <c r="P47" s="52" t="s">
        <v>8196</v>
      </c>
      <c r="Q47" s="52" t="s">
        <v>8196</v>
      </c>
      <c r="R47" s="52" t="s">
        <v>1641</v>
      </c>
      <c r="S47" s="52" t="s">
        <v>8196</v>
      </c>
      <c r="T47" s="52" t="s">
        <v>5557</v>
      </c>
      <c r="U47" s="52" t="s">
        <v>5557</v>
      </c>
      <c r="V47" s="84"/>
      <c r="W47" s="52" t="s">
        <v>4402</v>
      </c>
      <c r="X47" s="52" t="s">
        <v>6404</v>
      </c>
      <c r="Y47" s="52" t="s">
        <v>2405</v>
      </c>
      <c r="Z47" s="52" t="s">
        <v>2405</v>
      </c>
      <c r="AA47" s="52" t="s">
        <v>2405</v>
      </c>
      <c r="AB47" s="52" t="s">
        <v>4660</v>
      </c>
      <c r="AC47" s="52" t="s">
        <v>4660</v>
      </c>
      <c r="AD47" s="52" t="s">
        <v>4660</v>
      </c>
      <c r="AE47" s="52" t="s">
        <v>6039</v>
      </c>
      <c r="AF47" s="52" t="s">
        <v>6039</v>
      </c>
      <c r="AG47" s="186" t="s">
        <v>7049</v>
      </c>
      <c r="AH47" s="186" t="s">
        <v>7049</v>
      </c>
      <c r="AI47" s="186" t="s">
        <v>7049</v>
      </c>
      <c r="AJ47" s="52" t="s">
        <v>6117</v>
      </c>
      <c r="AK47" s="52" t="s">
        <v>1885</v>
      </c>
      <c r="AL47" s="52" t="s">
        <v>1885</v>
      </c>
      <c r="AM47" s="52" t="s">
        <v>5441</v>
      </c>
      <c r="AN47" s="52" t="s">
        <v>5441</v>
      </c>
      <c r="AO47" s="52" t="s">
        <v>4279</v>
      </c>
      <c r="AP47" s="52" t="s">
        <v>2587</v>
      </c>
      <c r="AQ47" s="52" t="s">
        <v>2587</v>
      </c>
      <c r="AR47" s="52"/>
      <c r="AS47" s="52" t="s">
        <v>2031</v>
      </c>
      <c r="AT47" s="52" t="s">
        <v>2031</v>
      </c>
      <c r="AU47" s="52" t="s">
        <v>2031</v>
      </c>
      <c r="AV47" s="52" t="s">
        <v>4298</v>
      </c>
      <c r="AW47" s="52" t="s">
        <v>4298</v>
      </c>
      <c r="AX47" s="52" t="s">
        <v>1382</v>
      </c>
      <c r="AY47" s="52" t="s">
        <v>1382</v>
      </c>
      <c r="AZ47" s="52" t="s">
        <v>3675</v>
      </c>
      <c r="BA47" s="52" t="s">
        <v>3590</v>
      </c>
      <c r="BB47" s="52" t="s">
        <v>3523</v>
      </c>
      <c r="BC47" s="52" t="s">
        <v>4962</v>
      </c>
      <c r="BD47" s="52" t="s">
        <v>7572</v>
      </c>
      <c r="BE47" s="52" t="s">
        <v>4962</v>
      </c>
      <c r="BF47" s="52" t="s">
        <v>7572</v>
      </c>
      <c r="BG47" s="52" t="s">
        <v>4962</v>
      </c>
      <c r="BH47" s="52" t="s">
        <v>7572</v>
      </c>
      <c r="BI47" s="52" t="s">
        <v>7572</v>
      </c>
      <c r="BJ47" s="52" t="s">
        <v>4962</v>
      </c>
      <c r="BK47" s="52"/>
      <c r="BL47" s="52"/>
      <c r="BM47" s="52" t="s">
        <v>0</v>
      </c>
      <c r="BN47" s="52" t="s">
        <v>1641</v>
      </c>
      <c r="BO47" s="52" t="s">
        <v>1025</v>
      </c>
      <c r="BP47" s="52" t="s">
        <v>1641</v>
      </c>
      <c r="BQ47" s="52" t="s">
        <v>1641</v>
      </c>
      <c r="BR47" s="52" t="s">
        <v>2688</v>
      </c>
      <c r="BS47" s="52" t="s">
        <v>2688</v>
      </c>
      <c r="BT47" s="52" t="s">
        <v>2688</v>
      </c>
      <c r="BU47" s="84" t="s">
        <v>2861</v>
      </c>
      <c r="BV47" s="84"/>
      <c r="BW47" s="52"/>
      <c r="BX47" s="52" t="s">
        <v>3765</v>
      </c>
      <c r="BY47" s="52" t="s">
        <v>3765</v>
      </c>
      <c r="BZ47" s="52" t="s">
        <v>6174</v>
      </c>
      <c r="CA47" s="52" t="s">
        <v>3150</v>
      </c>
      <c r="CB47" s="52" t="s">
        <v>3150</v>
      </c>
      <c r="CC47" s="52"/>
      <c r="CD47" s="52"/>
      <c r="CE47" s="52" t="s">
        <v>3231</v>
      </c>
      <c r="CF47" s="52" t="s">
        <v>2180</v>
      </c>
    </row>
    <row r="48" spans="1:84" ht="27">
      <c r="A48" s="62" t="s">
        <v>95</v>
      </c>
      <c r="B48" s="200"/>
      <c r="C48" s="36" t="s">
        <v>0</v>
      </c>
      <c r="D48" s="36" t="s">
        <v>0</v>
      </c>
      <c r="E48" s="36" t="s">
        <v>2740</v>
      </c>
      <c r="F48" s="36" t="s">
        <v>2740</v>
      </c>
      <c r="G48" s="36" t="s">
        <v>0</v>
      </c>
      <c r="H48" s="36" t="s">
        <v>0</v>
      </c>
      <c r="I48" s="36" t="s">
        <v>0</v>
      </c>
      <c r="J48" s="36" t="s">
        <v>0</v>
      </c>
      <c r="K48" s="36" t="s">
        <v>0</v>
      </c>
      <c r="L48" s="36" t="s">
        <v>0</v>
      </c>
      <c r="M48" s="36" t="s">
        <v>0</v>
      </c>
      <c r="N48" s="36" t="s">
        <v>0</v>
      </c>
      <c r="O48" s="36" t="s">
        <v>0</v>
      </c>
      <c r="P48" s="36" t="s">
        <v>0</v>
      </c>
      <c r="Q48" s="36" t="s">
        <v>0</v>
      </c>
      <c r="R48" s="36" t="s">
        <v>0</v>
      </c>
      <c r="S48" s="36" t="s">
        <v>0</v>
      </c>
      <c r="T48" s="36" t="s">
        <v>0</v>
      </c>
      <c r="U48" s="36" t="s">
        <v>0</v>
      </c>
      <c r="V48" s="145" t="s">
        <v>57</v>
      </c>
      <c r="W48" s="36" t="s">
        <v>0</v>
      </c>
      <c r="X48" s="36" t="s">
        <v>0</v>
      </c>
      <c r="Y48" s="36" t="s">
        <v>0</v>
      </c>
      <c r="Z48" s="36" t="s">
        <v>0</v>
      </c>
      <c r="AA48" s="36" t="s">
        <v>0</v>
      </c>
      <c r="AB48" s="36" t="s">
        <v>0</v>
      </c>
      <c r="AC48" s="36" t="s">
        <v>0</v>
      </c>
      <c r="AD48" s="36" t="s">
        <v>0</v>
      </c>
      <c r="AE48" s="7" t="s">
        <v>57</v>
      </c>
      <c r="AF48" s="7" t="s">
        <v>57</v>
      </c>
      <c r="AG48" s="36" t="s">
        <v>0</v>
      </c>
      <c r="AH48" s="36" t="s">
        <v>0</v>
      </c>
      <c r="AI48" s="36" t="s">
        <v>0</v>
      </c>
      <c r="AJ48" s="34" t="s">
        <v>0</v>
      </c>
      <c r="AK48" s="7" t="s">
        <v>0</v>
      </c>
      <c r="AL48" s="7" t="s">
        <v>0</v>
      </c>
      <c r="AM48" s="36" t="s">
        <v>0</v>
      </c>
      <c r="AN48" s="36" t="s">
        <v>0</v>
      </c>
      <c r="AO48" s="36" t="s">
        <v>0</v>
      </c>
      <c r="AP48" s="36" t="s">
        <v>0</v>
      </c>
      <c r="AQ48" s="36" t="s">
        <v>0</v>
      </c>
      <c r="AR48" s="36" t="s">
        <v>0</v>
      </c>
      <c r="AS48" s="36" t="s">
        <v>0</v>
      </c>
      <c r="AT48" s="36" t="s">
        <v>0</v>
      </c>
      <c r="AU48" s="36" t="s">
        <v>0</v>
      </c>
      <c r="AV48" s="36" t="s">
        <v>0</v>
      </c>
      <c r="AW48" s="36" t="s">
        <v>0</v>
      </c>
      <c r="AX48" s="36" t="s">
        <v>0</v>
      </c>
      <c r="AY48" s="36" t="s">
        <v>0</v>
      </c>
      <c r="AZ48" s="36" t="s">
        <v>0</v>
      </c>
      <c r="BA48" s="36" t="s">
        <v>0</v>
      </c>
      <c r="BB48" s="36" t="s">
        <v>57</v>
      </c>
      <c r="BC48" s="36" t="s">
        <v>57</v>
      </c>
      <c r="BD48" s="114" t="s">
        <v>57</v>
      </c>
      <c r="BE48" s="36" t="s">
        <v>57</v>
      </c>
      <c r="BF48" s="114" t="s">
        <v>57</v>
      </c>
      <c r="BG48" s="36" t="s">
        <v>57</v>
      </c>
      <c r="BH48" s="114" t="s">
        <v>57</v>
      </c>
      <c r="BI48" s="114" t="s">
        <v>0</v>
      </c>
      <c r="BJ48" s="36" t="s">
        <v>57</v>
      </c>
      <c r="BK48" s="36" t="s">
        <v>57</v>
      </c>
      <c r="BL48" s="36" t="s">
        <v>57</v>
      </c>
      <c r="BM48" s="36" t="s">
        <v>0</v>
      </c>
      <c r="BN48" s="36" t="s">
        <v>0</v>
      </c>
      <c r="BO48" s="36" t="s">
        <v>0</v>
      </c>
      <c r="BP48" s="36" t="s">
        <v>0</v>
      </c>
      <c r="BQ48" s="36" t="s">
        <v>0</v>
      </c>
      <c r="BR48" s="36" t="s">
        <v>0</v>
      </c>
      <c r="BS48" s="36" t="s">
        <v>0</v>
      </c>
      <c r="BT48" s="36" t="s">
        <v>0</v>
      </c>
      <c r="BU48" s="36" t="s">
        <v>0</v>
      </c>
      <c r="BV48" s="36" t="s">
        <v>0</v>
      </c>
      <c r="BW48" s="36" t="s">
        <v>0</v>
      </c>
      <c r="BX48" s="36" t="s">
        <v>0</v>
      </c>
      <c r="BY48" s="36" t="s">
        <v>0</v>
      </c>
      <c r="BZ48" s="36" t="s">
        <v>0</v>
      </c>
      <c r="CA48" s="36" t="s">
        <v>0</v>
      </c>
      <c r="CB48" s="36" t="s">
        <v>0</v>
      </c>
      <c r="CC48" s="36" t="s">
        <v>0</v>
      </c>
      <c r="CD48" s="36" t="s">
        <v>0</v>
      </c>
      <c r="CE48" s="36" t="s">
        <v>0</v>
      </c>
      <c r="CF48" s="36" t="s">
        <v>0</v>
      </c>
    </row>
    <row r="49" spans="1:84">
      <c r="A49" s="51" t="s">
        <v>935</v>
      </c>
      <c r="B49" s="51"/>
      <c r="C49" s="52" t="s">
        <v>5210</v>
      </c>
      <c r="D49" s="52" t="s">
        <v>5210</v>
      </c>
      <c r="E49" s="52" t="s">
        <v>2738</v>
      </c>
      <c r="F49" s="52" t="s">
        <v>2738</v>
      </c>
      <c r="G49" s="52" t="s">
        <v>0</v>
      </c>
      <c r="H49" s="52" t="s">
        <v>0</v>
      </c>
      <c r="I49" s="52" t="s">
        <v>0</v>
      </c>
      <c r="J49" s="52" t="s">
        <v>0</v>
      </c>
      <c r="K49" s="52" t="s">
        <v>0</v>
      </c>
      <c r="L49" s="52" t="s">
        <v>0</v>
      </c>
      <c r="M49" s="52" t="s">
        <v>0</v>
      </c>
      <c r="N49" s="52" t="s">
        <v>0</v>
      </c>
      <c r="O49" s="52" t="s">
        <v>0</v>
      </c>
      <c r="P49" s="52" t="s">
        <v>0</v>
      </c>
      <c r="Q49" s="52" t="s">
        <v>0</v>
      </c>
      <c r="R49" s="52" t="s">
        <v>0</v>
      </c>
      <c r="S49" s="52" t="s">
        <v>0</v>
      </c>
      <c r="T49" s="52" t="s">
        <v>0</v>
      </c>
      <c r="U49" s="52" t="s">
        <v>0</v>
      </c>
      <c r="V49" s="84"/>
      <c r="W49" s="52" t="s">
        <v>4431</v>
      </c>
      <c r="X49" s="52" t="s">
        <v>0</v>
      </c>
      <c r="Y49" s="52" t="s">
        <v>0</v>
      </c>
      <c r="Z49" s="52" t="s">
        <v>0</v>
      </c>
      <c r="AA49" s="52" t="s">
        <v>0</v>
      </c>
      <c r="AB49" s="52" t="s">
        <v>4661</v>
      </c>
      <c r="AC49" s="52" t="s">
        <v>4661</v>
      </c>
      <c r="AD49" s="52" t="s">
        <v>4661</v>
      </c>
      <c r="AE49" s="52" t="s">
        <v>6039</v>
      </c>
      <c r="AF49" s="52" t="s">
        <v>6039</v>
      </c>
      <c r="AG49" s="186" t="s">
        <v>7049</v>
      </c>
      <c r="AH49" s="186" t="s">
        <v>7049</v>
      </c>
      <c r="AI49" s="186" t="s">
        <v>7049</v>
      </c>
      <c r="AJ49" s="52" t="s">
        <v>6117</v>
      </c>
      <c r="AK49" s="52" t="s">
        <v>2689</v>
      </c>
      <c r="AL49" s="52" t="s">
        <v>2689</v>
      </c>
      <c r="AM49" s="52"/>
      <c r="AN49" s="52"/>
      <c r="AO49" s="52" t="s">
        <v>4280</v>
      </c>
      <c r="AP49" s="52" t="s">
        <v>2591</v>
      </c>
      <c r="AQ49" s="52" t="s">
        <v>2591</v>
      </c>
      <c r="AR49" s="52"/>
      <c r="AS49" s="52" t="s">
        <v>0</v>
      </c>
      <c r="AT49" s="52" t="s">
        <v>0</v>
      </c>
      <c r="AU49" s="52" t="s">
        <v>0</v>
      </c>
      <c r="AV49" s="52" t="s">
        <v>4304</v>
      </c>
      <c r="AW49" s="52" t="s">
        <v>4304</v>
      </c>
      <c r="AX49" s="52" t="s">
        <v>0</v>
      </c>
      <c r="AY49" s="52" t="s">
        <v>0</v>
      </c>
      <c r="AZ49" s="52" t="s">
        <v>3676</v>
      </c>
      <c r="BA49" s="52" t="s">
        <v>3591</v>
      </c>
      <c r="BB49" s="52" t="s">
        <v>3523</v>
      </c>
      <c r="BC49" s="52" t="s">
        <v>4972</v>
      </c>
      <c r="BD49" s="52" t="s">
        <v>7800</v>
      </c>
      <c r="BE49" s="52" t="s">
        <v>4972</v>
      </c>
      <c r="BF49" s="52" t="s">
        <v>7801</v>
      </c>
      <c r="BG49" s="52" t="s">
        <v>4972</v>
      </c>
      <c r="BH49" s="52" t="s">
        <v>7868</v>
      </c>
      <c r="BI49" s="52" t="s">
        <v>7579</v>
      </c>
      <c r="BJ49" s="52" t="s">
        <v>4972</v>
      </c>
      <c r="BK49" s="52"/>
      <c r="BL49" s="52"/>
      <c r="BM49" s="52" t="s">
        <v>0</v>
      </c>
      <c r="BN49" s="52" t="s">
        <v>0</v>
      </c>
      <c r="BO49" s="52" t="s">
        <v>0</v>
      </c>
      <c r="BP49" s="52" t="s">
        <v>0</v>
      </c>
      <c r="BQ49" s="52" t="s">
        <v>0</v>
      </c>
      <c r="BR49" s="52" t="s">
        <v>2694</v>
      </c>
      <c r="BS49" s="52" t="s">
        <v>2694</v>
      </c>
      <c r="BT49" s="52" t="s">
        <v>2694</v>
      </c>
      <c r="BU49" s="84" t="s">
        <v>2870</v>
      </c>
      <c r="BV49" s="84"/>
      <c r="BW49" s="52"/>
      <c r="BX49" s="52" t="s">
        <v>0</v>
      </c>
      <c r="BY49" s="52" t="s">
        <v>0</v>
      </c>
      <c r="BZ49" s="52" t="s">
        <v>0</v>
      </c>
      <c r="CA49" s="52" t="s">
        <v>0</v>
      </c>
      <c r="CB49" s="52" t="s">
        <v>0</v>
      </c>
      <c r="CC49" s="52"/>
      <c r="CD49" s="52"/>
      <c r="CE49" s="52" t="s">
        <v>0</v>
      </c>
      <c r="CF49" s="52" t="s">
        <v>0</v>
      </c>
    </row>
    <row r="50" spans="1:84">
      <c r="A50" s="6" t="s">
        <v>96</v>
      </c>
      <c r="B50" s="200"/>
      <c r="C50" s="36" t="s">
        <v>57</v>
      </c>
      <c r="D50" s="36" t="s">
        <v>57</v>
      </c>
      <c r="E50" s="36" t="s">
        <v>57</v>
      </c>
      <c r="F50" s="36" t="s">
        <v>57</v>
      </c>
      <c r="G50" s="36" t="s">
        <v>57</v>
      </c>
      <c r="H50" s="36" t="s">
        <v>57</v>
      </c>
      <c r="I50" s="36" t="s">
        <v>57</v>
      </c>
      <c r="J50" s="36" t="s">
        <v>57</v>
      </c>
      <c r="K50" s="36" t="s">
        <v>57</v>
      </c>
      <c r="L50" s="36" t="s">
        <v>57</v>
      </c>
      <c r="M50" s="36" t="s">
        <v>57</v>
      </c>
      <c r="N50" s="36" t="s">
        <v>57</v>
      </c>
      <c r="O50" s="36" t="s">
        <v>57</v>
      </c>
      <c r="P50" s="36" t="s">
        <v>57</v>
      </c>
      <c r="Q50" s="36" t="s">
        <v>57</v>
      </c>
      <c r="R50" s="36" t="s">
        <v>57</v>
      </c>
      <c r="S50" s="36" t="s">
        <v>57</v>
      </c>
      <c r="T50" s="36" t="s">
        <v>57</v>
      </c>
      <c r="U50" s="36" t="s">
        <v>57</v>
      </c>
      <c r="V50" s="145" t="s">
        <v>57</v>
      </c>
      <c r="W50" s="36" t="s">
        <v>57</v>
      </c>
      <c r="X50" s="36" t="s">
        <v>57</v>
      </c>
      <c r="Y50" s="36" t="s">
        <v>57</v>
      </c>
      <c r="Z50" s="36" t="s">
        <v>57</v>
      </c>
      <c r="AA50" s="36" t="s">
        <v>57</v>
      </c>
      <c r="AB50" s="36" t="s">
        <v>57</v>
      </c>
      <c r="AC50" s="36" t="s">
        <v>57</v>
      </c>
      <c r="AD50" s="36" t="s">
        <v>57</v>
      </c>
      <c r="AE50" s="7" t="s">
        <v>57</v>
      </c>
      <c r="AF50" s="7" t="s">
        <v>57</v>
      </c>
      <c r="AG50" s="36" t="s">
        <v>57</v>
      </c>
      <c r="AH50" s="36" t="s">
        <v>57</v>
      </c>
      <c r="AI50" s="36" t="s">
        <v>57</v>
      </c>
      <c r="AJ50" s="34" t="s">
        <v>57</v>
      </c>
      <c r="AK50" s="7" t="s">
        <v>57</v>
      </c>
      <c r="AL50" s="7" t="s">
        <v>57</v>
      </c>
      <c r="AM50" s="36" t="s">
        <v>57</v>
      </c>
      <c r="AN50" s="36" t="s">
        <v>57</v>
      </c>
      <c r="AO50" s="36" t="s">
        <v>57</v>
      </c>
      <c r="AP50" s="36" t="s">
        <v>57</v>
      </c>
      <c r="AQ50" s="36" t="s">
        <v>57</v>
      </c>
      <c r="AR50" s="36" t="s">
        <v>57</v>
      </c>
      <c r="AS50" s="36" t="s">
        <v>57</v>
      </c>
      <c r="AT50" s="36" t="s">
        <v>57</v>
      </c>
      <c r="AU50" s="36" t="s">
        <v>57</v>
      </c>
      <c r="AV50" s="36" t="s">
        <v>57</v>
      </c>
      <c r="AW50" s="36" t="s">
        <v>57</v>
      </c>
      <c r="AX50" s="36" t="s">
        <v>57</v>
      </c>
      <c r="AY50" s="36" t="s">
        <v>57</v>
      </c>
      <c r="AZ50" s="36" t="s">
        <v>57</v>
      </c>
      <c r="BA50" s="36" t="s">
        <v>57</v>
      </c>
      <c r="BB50" s="36" t="s">
        <v>57</v>
      </c>
      <c r="BC50" s="36" t="s">
        <v>57</v>
      </c>
      <c r="BD50" s="36" t="s">
        <v>57</v>
      </c>
      <c r="BE50" s="36" t="s">
        <v>57</v>
      </c>
      <c r="BF50" s="36" t="s">
        <v>57</v>
      </c>
      <c r="BG50" s="36" t="s">
        <v>57</v>
      </c>
      <c r="BH50" s="36" t="s">
        <v>57</v>
      </c>
      <c r="BI50" s="36" t="s">
        <v>57</v>
      </c>
      <c r="BJ50" s="36" t="s">
        <v>57</v>
      </c>
      <c r="BK50" s="36" t="s">
        <v>57</v>
      </c>
      <c r="BL50" s="36" t="s">
        <v>57</v>
      </c>
      <c r="BM50" s="36" t="s">
        <v>0</v>
      </c>
      <c r="BN50" s="36" t="s">
        <v>57</v>
      </c>
      <c r="BO50" s="36" t="s">
        <v>57</v>
      </c>
      <c r="BP50" s="36" t="s">
        <v>57</v>
      </c>
      <c r="BQ50" s="36" t="s">
        <v>57</v>
      </c>
      <c r="BR50" s="36" t="s">
        <v>57</v>
      </c>
      <c r="BS50" s="36" t="s">
        <v>57</v>
      </c>
      <c r="BT50" s="36" t="s">
        <v>57</v>
      </c>
      <c r="BU50" s="36" t="s">
        <v>57</v>
      </c>
      <c r="BV50" s="36" t="s">
        <v>57</v>
      </c>
      <c r="BW50" s="36" t="s">
        <v>57</v>
      </c>
      <c r="BX50" s="36" t="s">
        <v>57</v>
      </c>
      <c r="BY50" s="36" t="s">
        <v>57</v>
      </c>
      <c r="BZ50" s="36" t="s">
        <v>57</v>
      </c>
      <c r="CA50" s="36" t="s">
        <v>57</v>
      </c>
      <c r="CB50" s="36" t="s">
        <v>57</v>
      </c>
      <c r="CC50" s="36" t="s">
        <v>57</v>
      </c>
      <c r="CD50" s="36" t="s">
        <v>57</v>
      </c>
      <c r="CE50" s="36" t="s">
        <v>57</v>
      </c>
      <c r="CF50" s="36" t="s">
        <v>57</v>
      </c>
    </row>
    <row r="51" spans="1:84">
      <c r="A51" s="51" t="s">
        <v>935</v>
      </c>
      <c r="B51" s="51"/>
      <c r="C51" s="52" t="s">
        <v>1642</v>
      </c>
      <c r="D51" s="52" t="s">
        <v>1642</v>
      </c>
      <c r="E51" s="52" t="s">
        <v>2739</v>
      </c>
      <c r="F51" s="52" t="s">
        <v>2739</v>
      </c>
      <c r="G51" s="52" t="s">
        <v>1461</v>
      </c>
      <c r="H51" s="52" t="s">
        <v>1461</v>
      </c>
      <c r="I51" s="52" t="s">
        <v>8197</v>
      </c>
      <c r="J51" s="52" t="s">
        <v>1642</v>
      </c>
      <c r="K51" s="52" t="s">
        <v>8197</v>
      </c>
      <c r="L51" s="52" t="s">
        <v>8197</v>
      </c>
      <c r="M51" s="52" t="s">
        <v>1642</v>
      </c>
      <c r="N51" s="52" t="s">
        <v>8197</v>
      </c>
      <c r="O51" s="52" t="s">
        <v>1642</v>
      </c>
      <c r="P51" s="52" t="s">
        <v>8197</v>
      </c>
      <c r="Q51" s="52" t="s">
        <v>8197</v>
      </c>
      <c r="R51" s="52" t="s">
        <v>1642</v>
      </c>
      <c r="S51" s="52" t="s">
        <v>8197</v>
      </c>
      <c r="T51" s="52" t="s">
        <v>5559</v>
      </c>
      <c r="U51" s="52" t="s">
        <v>5560</v>
      </c>
      <c r="V51" s="84"/>
      <c r="W51" s="52" t="s">
        <v>4403</v>
      </c>
      <c r="X51" s="52" t="s">
        <v>6403</v>
      </c>
      <c r="Y51" s="52" t="s">
        <v>2406</v>
      </c>
      <c r="Z51" s="52" t="s">
        <v>2406</v>
      </c>
      <c r="AA51" s="52" t="s">
        <v>2406</v>
      </c>
      <c r="AB51" s="52" t="s">
        <v>4662</v>
      </c>
      <c r="AC51" s="52" t="s">
        <v>4662</v>
      </c>
      <c r="AD51" s="52" t="s">
        <v>4662</v>
      </c>
      <c r="AE51" s="52" t="s">
        <v>6038</v>
      </c>
      <c r="AF51" s="52" t="s">
        <v>6038</v>
      </c>
      <c r="AG51" s="186" t="s">
        <v>7048</v>
      </c>
      <c r="AH51" s="186" t="s">
        <v>7048</v>
      </c>
      <c r="AI51" s="186" t="s">
        <v>7048</v>
      </c>
      <c r="AJ51" s="52" t="s">
        <v>6091</v>
      </c>
      <c r="AK51" s="52" t="s">
        <v>1886</v>
      </c>
      <c r="AL51" s="52" t="s">
        <v>1886</v>
      </c>
      <c r="AM51" s="52" t="s">
        <v>5442</v>
      </c>
      <c r="AN51" s="52" t="s">
        <v>5442</v>
      </c>
      <c r="AO51" s="52" t="s">
        <v>4281</v>
      </c>
      <c r="AP51" s="52" t="s">
        <v>2588</v>
      </c>
      <c r="AQ51" s="52" t="s">
        <v>2588</v>
      </c>
      <c r="AR51" s="52"/>
      <c r="AS51" s="52" t="s">
        <v>2032</v>
      </c>
      <c r="AT51" s="52" t="s">
        <v>2032</v>
      </c>
      <c r="AU51" s="52" t="s">
        <v>2032</v>
      </c>
      <c r="AV51" s="52" t="s">
        <v>4298</v>
      </c>
      <c r="AW51" s="52" t="s">
        <v>4298</v>
      </c>
      <c r="AX51" s="52" t="s">
        <v>1383</v>
      </c>
      <c r="AY51" s="52" t="s">
        <v>1383</v>
      </c>
      <c r="AZ51" s="52" t="s">
        <v>3677</v>
      </c>
      <c r="BA51" s="52" t="s">
        <v>3592</v>
      </c>
      <c r="BB51" s="52" t="s">
        <v>3524</v>
      </c>
      <c r="BC51" s="52" t="s">
        <v>4964</v>
      </c>
      <c r="BD51" s="52" t="s">
        <v>7573</v>
      </c>
      <c r="BE51" s="52" t="s">
        <v>4964</v>
      </c>
      <c r="BF51" s="52" t="s">
        <v>7573</v>
      </c>
      <c r="BG51" s="52" t="s">
        <v>4964</v>
      </c>
      <c r="BH51" s="52" t="s">
        <v>7573</v>
      </c>
      <c r="BI51" s="52" t="s">
        <v>7573</v>
      </c>
      <c r="BJ51" s="52" t="s">
        <v>4964</v>
      </c>
      <c r="BK51" s="52"/>
      <c r="BL51" s="52"/>
      <c r="BM51" s="52" t="s">
        <v>0</v>
      </c>
      <c r="BN51" s="52" t="s">
        <v>1642</v>
      </c>
      <c r="BO51" s="52"/>
      <c r="BP51" s="52" t="s">
        <v>1642</v>
      </c>
      <c r="BQ51" s="52" t="s">
        <v>1642</v>
      </c>
      <c r="BR51" s="52" t="s">
        <v>2689</v>
      </c>
      <c r="BS51" s="52" t="s">
        <v>2689</v>
      </c>
      <c r="BT51" s="52" t="s">
        <v>2689</v>
      </c>
      <c r="BU51" s="84" t="s">
        <v>2862</v>
      </c>
      <c r="BV51" s="84"/>
      <c r="BW51" s="52"/>
      <c r="BX51" s="52" t="s">
        <v>3766</v>
      </c>
      <c r="BY51" s="52" t="s">
        <v>3766</v>
      </c>
      <c r="BZ51" s="52" t="s">
        <v>6177</v>
      </c>
      <c r="CA51" s="52" t="s">
        <v>3151</v>
      </c>
      <c r="CB51" s="52" t="s">
        <v>3151</v>
      </c>
      <c r="CC51" s="52"/>
      <c r="CD51" s="52"/>
      <c r="CE51" s="52" t="s">
        <v>3232</v>
      </c>
      <c r="CF51" s="52" t="s">
        <v>2181</v>
      </c>
    </row>
    <row r="52" spans="1:84">
      <c r="A52" s="6" t="s">
        <v>97</v>
      </c>
      <c r="B52" s="200"/>
      <c r="C52" s="36" t="s">
        <v>57</v>
      </c>
      <c r="D52" s="36" t="s">
        <v>57</v>
      </c>
      <c r="E52" s="36" t="s">
        <v>57</v>
      </c>
      <c r="F52" s="36" t="s">
        <v>57</v>
      </c>
      <c r="G52" s="36" t="s">
        <v>57</v>
      </c>
      <c r="H52" s="36" t="s">
        <v>57</v>
      </c>
      <c r="I52" s="36" t="s">
        <v>57</v>
      </c>
      <c r="J52" s="36" t="s">
        <v>57</v>
      </c>
      <c r="K52" s="36" t="s">
        <v>57</v>
      </c>
      <c r="L52" s="36" t="s">
        <v>57</v>
      </c>
      <c r="M52" s="36" t="s">
        <v>57</v>
      </c>
      <c r="N52" s="36" t="s">
        <v>57</v>
      </c>
      <c r="O52" s="36" t="s">
        <v>57</v>
      </c>
      <c r="P52" s="36" t="s">
        <v>57</v>
      </c>
      <c r="Q52" s="36" t="s">
        <v>57</v>
      </c>
      <c r="R52" s="36" t="s">
        <v>57</v>
      </c>
      <c r="S52" s="36" t="s">
        <v>57</v>
      </c>
      <c r="T52" s="36" t="s">
        <v>57</v>
      </c>
      <c r="U52" s="36" t="s">
        <v>57</v>
      </c>
      <c r="V52" s="145" t="s">
        <v>57</v>
      </c>
      <c r="W52" s="36" t="s">
        <v>57</v>
      </c>
      <c r="X52" s="36" t="s">
        <v>57</v>
      </c>
      <c r="Y52" s="36" t="s">
        <v>57</v>
      </c>
      <c r="Z52" s="36" t="s">
        <v>57</v>
      </c>
      <c r="AA52" s="36" t="s">
        <v>57</v>
      </c>
      <c r="AB52" s="36" t="s">
        <v>57</v>
      </c>
      <c r="AC52" s="36" t="s">
        <v>57</v>
      </c>
      <c r="AD52" s="36" t="s">
        <v>57</v>
      </c>
      <c r="AE52" s="7" t="s">
        <v>57</v>
      </c>
      <c r="AF52" s="7" t="s">
        <v>57</v>
      </c>
      <c r="AG52" s="36" t="s">
        <v>57</v>
      </c>
      <c r="AH52" s="36" t="s">
        <v>57</v>
      </c>
      <c r="AI52" s="36" t="s">
        <v>57</v>
      </c>
      <c r="AJ52" s="34" t="s">
        <v>57</v>
      </c>
      <c r="AK52" s="7" t="s">
        <v>57</v>
      </c>
      <c r="AL52" s="7" t="s">
        <v>57</v>
      </c>
      <c r="AM52" s="36" t="s">
        <v>57</v>
      </c>
      <c r="AN52" s="36" t="s">
        <v>57</v>
      </c>
      <c r="AO52" s="36" t="s">
        <v>57</v>
      </c>
      <c r="AP52" s="36" t="s">
        <v>57</v>
      </c>
      <c r="AQ52" s="36" t="s">
        <v>57</v>
      </c>
      <c r="AR52" s="36" t="s">
        <v>57</v>
      </c>
      <c r="AS52" s="36" t="s">
        <v>57</v>
      </c>
      <c r="AT52" s="36" t="s">
        <v>57</v>
      </c>
      <c r="AU52" s="36" t="s">
        <v>57</v>
      </c>
      <c r="AV52" s="36" t="s">
        <v>57</v>
      </c>
      <c r="AW52" s="36" t="s">
        <v>57</v>
      </c>
      <c r="AX52" s="36" t="s">
        <v>57</v>
      </c>
      <c r="AY52" s="36" t="s">
        <v>57</v>
      </c>
      <c r="AZ52" s="36" t="s">
        <v>57</v>
      </c>
      <c r="BA52" s="36" t="s">
        <v>57</v>
      </c>
      <c r="BB52" s="36" t="s">
        <v>57</v>
      </c>
      <c r="BC52" s="36" t="s">
        <v>57</v>
      </c>
      <c r="BD52" s="36" t="s">
        <v>57</v>
      </c>
      <c r="BE52" s="36" t="s">
        <v>57</v>
      </c>
      <c r="BF52" s="36" t="s">
        <v>57</v>
      </c>
      <c r="BG52" s="36" t="s">
        <v>57</v>
      </c>
      <c r="BH52" s="36" t="s">
        <v>57</v>
      </c>
      <c r="BI52" s="36" t="s">
        <v>57</v>
      </c>
      <c r="BJ52" s="36" t="s">
        <v>57</v>
      </c>
      <c r="BK52" s="36" t="s">
        <v>57</v>
      </c>
      <c r="BL52" s="36" t="s">
        <v>57</v>
      </c>
      <c r="BM52" s="36" t="s">
        <v>0</v>
      </c>
      <c r="BN52" s="36" t="s">
        <v>57</v>
      </c>
      <c r="BO52" s="36" t="s">
        <v>57</v>
      </c>
      <c r="BP52" s="36" t="s">
        <v>57</v>
      </c>
      <c r="BQ52" s="36" t="s">
        <v>57</v>
      </c>
      <c r="BR52" s="36" t="s">
        <v>57</v>
      </c>
      <c r="BS52" s="36" t="s">
        <v>57</v>
      </c>
      <c r="BT52" s="36" t="s">
        <v>57</v>
      </c>
      <c r="BU52" s="36" t="s">
        <v>57</v>
      </c>
      <c r="BV52" s="36" t="s">
        <v>57</v>
      </c>
      <c r="BW52" s="36" t="s">
        <v>57</v>
      </c>
      <c r="BX52" s="36" t="s">
        <v>57</v>
      </c>
      <c r="BY52" s="36" t="s">
        <v>57</v>
      </c>
      <c r="BZ52" s="36" t="s">
        <v>57</v>
      </c>
      <c r="CA52" s="36" t="s">
        <v>57</v>
      </c>
      <c r="CB52" s="36" t="s">
        <v>57</v>
      </c>
      <c r="CC52" s="36" t="s">
        <v>57</v>
      </c>
      <c r="CD52" s="36" t="s">
        <v>57</v>
      </c>
      <c r="CE52" s="36" t="s">
        <v>57</v>
      </c>
      <c r="CF52" s="36" t="s">
        <v>57</v>
      </c>
    </row>
    <row r="53" spans="1:84">
      <c r="A53" s="51" t="s">
        <v>935</v>
      </c>
      <c r="B53" s="51"/>
      <c r="C53" s="52" t="s">
        <v>1642</v>
      </c>
      <c r="D53" s="52" t="s">
        <v>1642</v>
      </c>
      <c r="E53" s="52" t="s">
        <v>2739</v>
      </c>
      <c r="F53" s="52" t="s">
        <v>2739</v>
      </c>
      <c r="G53" s="52" t="s">
        <v>1461</v>
      </c>
      <c r="H53" s="52" t="s">
        <v>1461</v>
      </c>
      <c r="I53" s="52" t="s">
        <v>8197</v>
      </c>
      <c r="J53" s="52" t="s">
        <v>1642</v>
      </c>
      <c r="K53" s="52" t="s">
        <v>8197</v>
      </c>
      <c r="L53" s="52" t="s">
        <v>8197</v>
      </c>
      <c r="M53" s="52" t="s">
        <v>1642</v>
      </c>
      <c r="N53" s="52" t="s">
        <v>8197</v>
      </c>
      <c r="O53" s="52" t="s">
        <v>1642</v>
      </c>
      <c r="P53" s="52" t="s">
        <v>8197</v>
      </c>
      <c r="Q53" s="52" t="s">
        <v>8197</v>
      </c>
      <c r="R53" s="52" t="s">
        <v>1642</v>
      </c>
      <c r="S53" s="52" t="s">
        <v>8197</v>
      </c>
      <c r="T53" s="52" t="s">
        <v>5558</v>
      </c>
      <c r="U53" s="52" t="s">
        <v>5558</v>
      </c>
      <c r="V53" s="84"/>
      <c r="W53" s="52" t="s">
        <v>4403</v>
      </c>
      <c r="X53" s="52" t="s">
        <v>6403</v>
      </c>
      <c r="Y53" s="52" t="s">
        <v>2406</v>
      </c>
      <c r="Z53" s="52" t="s">
        <v>2406</v>
      </c>
      <c r="AA53" s="52" t="s">
        <v>2406</v>
      </c>
      <c r="AB53" s="52" t="s">
        <v>4662</v>
      </c>
      <c r="AC53" s="52" t="s">
        <v>4662</v>
      </c>
      <c r="AD53" s="52" t="s">
        <v>4662</v>
      </c>
      <c r="AE53" s="52" t="s">
        <v>6038</v>
      </c>
      <c r="AF53" s="52" t="s">
        <v>6038</v>
      </c>
      <c r="AG53" s="186" t="s">
        <v>7048</v>
      </c>
      <c r="AH53" s="186" t="s">
        <v>7048</v>
      </c>
      <c r="AI53" s="186" t="s">
        <v>7048</v>
      </c>
      <c r="AJ53" s="52" t="s">
        <v>6091</v>
      </c>
      <c r="AK53" s="52" t="s">
        <v>1886</v>
      </c>
      <c r="AL53" s="52" t="s">
        <v>1886</v>
      </c>
      <c r="AM53" s="52" t="s">
        <v>5442</v>
      </c>
      <c r="AN53" s="52" t="s">
        <v>5442</v>
      </c>
      <c r="AO53" s="52" t="s">
        <v>4281</v>
      </c>
      <c r="AP53" s="52" t="s">
        <v>2588</v>
      </c>
      <c r="AQ53" s="52" t="s">
        <v>2588</v>
      </c>
      <c r="AR53" s="52"/>
      <c r="AS53" s="52" t="s">
        <v>2032</v>
      </c>
      <c r="AT53" s="52" t="s">
        <v>2032</v>
      </c>
      <c r="AU53" s="52" t="s">
        <v>2032</v>
      </c>
      <c r="AV53" s="52" t="s">
        <v>4298</v>
      </c>
      <c r="AW53" s="52" t="s">
        <v>4298</v>
      </c>
      <c r="AX53" s="52" t="s">
        <v>1383</v>
      </c>
      <c r="AY53" s="52" t="s">
        <v>1383</v>
      </c>
      <c r="AZ53" s="52" t="s">
        <v>3677</v>
      </c>
      <c r="BA53" s="52" t="s">
        <v>3592</v>
      </c>
      <c r="BB53" s="52" t="s">
        <v>3524</v>
      </c>
      <c r="BC53" s="52" t="s">
        <v>4964</v>
      </c>
      <c r="BD53" s="52" t="s">
        <v>7573</v>
      </c>
      <c r="BE53" s="52" t="s">
        <v>4964</v>
      </c>
      <c r="BF53" s="52" t="s">
        <v>7573</v>
      </c>
      <c r="BG53" s="52" t="s">
        <v>4964</v>
      </c>
      <c r="BH53" s="52" t="s">
        <v>7573</v>
      </c>
      <c r="BI53" s="52" t="s">
        <v>7573</v>
      </c>
      <c r="BJ53" s="52" t="s">
        <v>4964</v>
      </c>
      <c r="BK53" s="52"/>
      <c r="BL53" s="52"/>
      <c r="BM53" s="52" t="s">
        <v>0</v>
      </c>
      <c r="BN53" s="52" t="s">
        <v>1642</v>
      </c>
      <c r="BO53" s="52"/>
      <c r="BP53" s="52" t="s">
        <v>1642</v>
      </c>
      <c r="BQ53" s="52" t="s">
        <v>1642</v>
      </c>
      <c r="BR53" s="52" t="s">
        <v>2689</v>
      </c>
      <c r="BS53" s="52" t="s">
        <v>2689</v>
      </c>
      <c r="BT53" s="52" t="s">
        <v>2689</v>
      </c>
      <c r="BU53" s="84" t="s">
        <v>2862</v>
      </c>
      <c r="BV53" s="84"/>
      <c r="BW53" s="52"/>
      <c r="BX53" s="52" t="s">
        <v>3766</v>
      </c>
      <c r="BY53" s="52" t="s">
        <v>3766</v>
      </c>
      <c r="BZ53" s="52" t="s">
        <v>6177</v>
      </c>
      <c r="CA53" s="52" t="s">
        <v>3151</v>
      </c>
      <c r="CB53" s="52" t="s">
        <v>3151</v>
      </c>
      <c r="CC53" s="52"/>
      <c r="CD53" s="52"/>
      <c r="CE53" s="52" t="s">
        <v>3232</v>
      </c>
      <c r="CF53" s="52" t="s">
        <v>2181</v>
      </c>
    </row>
    <row r="54" spans="1:84" ht="18">
      <c r="A54" s="6" t="s">
        <v>98</v>
      </c>
      <c r="B54" s="200"/>
      <c r="C54" s="36" t="s">
        <v>57</v>
      </c>
      <c r="D54" s="36" t="s">
        <v>57</v>
      </c>
      <c r="E54" s="36" t="s">
        <v>57</v>
      </c>
      <c r="F54" s="36" t="s">
        <v>57</v>
      </c>
      <c r="G54" s="36" t="s">
        <v>57</v>
      </c>
      <c r="H54" s="36" t="s">
        <v>57</v>
      </c>
      <c r="I54" s="36" t="s">
        <v>57</v>
      </c>
      <c r="J54" s="36" t="s">
        <v>57</v>
      </c>
      <c r="K54" s="36" t="s">
        <v>57</v>
      </c>
      <c r="L54" s="36" t="s">
        <v>57</v>
      </c>
      <c r="M54" s="36" t="s">
        <v>57</v>
      </c>
      <c r="N54" s="36" t="s">
        <v>57</v>
      </c>
      <c r="O54" s="36" t="s">
        <v>57</v>
      </c>
      <c r="P54" s="36" t="s">
        <v>57</v>
      </c>
      <c r="Q54" s="36" t="s">
        <v>57</v>
      </c>
      <c r="R54" s="36" t="s">
        <v>57</v>
      </c>
      <c r="S54" s="36" t="s">
        <v>57</v>
      </c>
      <c r="T54" s="36" t="s">
        <v>57</v>
      </c>
      <c r="U54" s="36" t="s">
        <v>57</v>
      </c>
      <c r="V54" s="145" t="s">
        <v>57</v>
      </c>
      <c r="W54" s="36" t="s">
        <v>57</v>
      </c>
      <c r="X54" s="36" t="s">
        <v>57</v>
      </c>
      <c r="Y54" s="36" t="s">
        <v>57</v>
      </c>
      <c r="Z54" s="36" t="s">
        <v>57</v>
      </c>
      <c r="AA54" s="36" t="s">
        <v>57</v>
      </c>
      <c r="AB54" s="36" t="s">
        <v>57</v>
      </c>
      <c r="AC54" s="36" t="s">
        <v>57</v>
      </c>
      <c r="AD54" s="36" t="s">
        <v>57</v>
      </c>
      <c r="AE54" s="7" t="s">
        <v>57</v>
      </c>
      <c r="AF54" s="7" t="s">
        <v>57</v>
      </c>
      <c r="AG54" s="36" t="s">
        <v>57</v>
      </c>
      <c r="AH54" s="36" t="s">
        <v>57</v>
      </c>
      <c r="AI54" s="36" t="s">
        <v>57</v>
      </c>
      <c r="AJ54" s="34" t="s">
        <v>57</v>
      </c>
      <c r="AK54" s="7" t="s">
        <v>57</v>
      </c>
      <c r="AL54" s="7" t="s">
        <v>57</v>
      </c>
      <c r="AM54" s="36" t="s">
        <v>57</v>
      </c>
      <c r="AN54" s="36" t="s">
        <v>57</v>
      </c>
      <c r="AO54" s="36" t="s">
        <v>57</v>
      </c>
      <c r="AP54" s="36" t="s">
        <v>57</v>
      </c>
      <c r="AQ54" s="36" t="s">
        <v>57</v>
      </c>
      <c r="AR54" s="36" t="s">
        <v>57</v>
      </c>
      <c r="AS54" s="36" t="s">
        <v>57</v>
      </c>
      <c r="AT54" s="36" t="s">
        <v>57</v>
      </c>
      <c r="AU54" s="36" t="s">
        <v>57</v>
      </c>
      <c r="AV54" s="36" t="s">
        <v>57</v>
      </c>
      <c r="AW54" s="36" t="s">
        <v>57</v>
      </c>
      <c r="AX54" s="36" t="s">
        <v>57</v>
      </c>
      <c r="AY54" s="36" t="s">
        <v>57</v>
      </c>
      <c r="AZ54" s="36" t="s">
        <v>57</v>
      </c>
      <c r="BA54" s="36" t="s">
        <v>57</v>
      </c>
      <c r="BB54" s="36" t="s">
        <v>57</v>
      </c>
      <c r="BC54" s="36" t="s">
        <v>57</v>
      </c>
      <c r="BD54" s="36" t="s">
        <v>57</v>
      </c>
      <c r="BE54" s="36" t="s">
        <v>57</v>
      </c>
      <c r="BF54" s="36" t="s">
        <v>57</v>
      </c>
      <c r="BG54" s="36" t="s">
        <v>57</v>
      </c>
      <c r="BH54" s="36" t="s">
        <v>57</v>
      </c>
      <c r="BI54" s="36" t="s">
        <v>57</v>
      </c>
      <c r="BJ54" s="36" t="s">
        <v>57</v>
      </c>
      <c r="BK54" s="36" t="s">
        <v>57</v>
      </c>
      <c r="BL54" s="36" t="s">
        <v>57</v>
      </c>
      <c r="BM54" s="36" t="s">
        <v>0</v>
      </c>
      <c r="BN54" s="36" t="s">
        <v>57</v>
      </c>
      <c r="BO54" s="36" t="s">
        <v>57</v>
      </c>
      <c r="BP54" s="36" t="s">
        <v>57</v>
      </c>
      <c r="BQ54" s="36" t="s">
        <v>57</v>
      </c>
      <c r="BR54" s="36" t="s">
        <v>57</v>
      </c>
      <c r="BS54" s="36" t="s">
        <v>57</v>
      </c>
      <c r="BT54" s="36" t="s">
        <v>57</v>
      </c>
      <c r="BU54" s="36" t="s">
        <v>57</v>
      </c>
      <c r="BV54" s="36" t="s">
        <v>57</v>
      </c>
      <c r="BW54" s="36" t="s">
        <v>57</v>
      </c>
      <c r="BX54" s="36" t="s">
        <v>3767</v>
      </c>
      <c r="BY54" s="36" t="s">
        <v>3767</v>
      </c>
      <c r="BZ54" s="36" t="s">
        <v>57</v>
      </c>
      <c r="CA54" s="36" t="s">
        <v>57</v>
      </c>
      <c r="CB54" s="36" t="s">
        <v>57</v>
      </c>
      <c r="CC54" s="36" t="s">
        <v>57</v>
      </c>
      <c r="CD54" s="36" t="s">
        <v>57</v>
      </c>
      <c r="CE54" s="36" t="s">
        <v>57</v>
      </c>
      <c r="CF54" s="36" t="s">
        <v>57</v>
      </c>
    </row>
    <row r="55" spans="1:84">
      <c r="A55" s="51" t="s">
        <v>935</v>
      </c>
      <c r="B55" s="51"/>
      <c r="C55" s="52" t="s">
        <v>1642</v>
      </c>
      <c r="D55" s="52" t="s">
        <v>1642</v>
      </c>
      <c r="E55" s="52" t="s">
        <v>2739</v>
      </c>
      <c r="F55" s="52" t="s">
        <v>2739</v>
      </c>
      <c r="G55" s="52" t="s">
        <v>1461</v>
      </c>
      <c r="H55" s="52" t="s">
        <v>1461</v>
      </c>
      <c r="I55" s="52" t="s">
        <v>8197</v>
      </c>
      <c r="J55" s="52" t="s">
        <v>1642</v>
      </c>
      <c r="K55" s="52" t="s">
        <v>8197</v>
      </c>
      <c r="L55" s="52" t="s">
        <v>8197</v>
      </c>
      <c r="M55" s="52" t="s">
        <v>1642</v>
      </c>
      <c r="N55" s="52" t="s">
        <v>8197</v>
      </c>
      <c r="O55" s="52" t="s">
        <v>1642</v>
      </c>
      <c r="P55" s="52" t="s">
        <v>8197</v>
      </c>
      <c r="Q55" s="52" t="s">
        <v>8197</v>
      </c>
      <c r="R55" s="52" t="s">
        <v>1642</v>
      </c>
      <c r="S55" s="52" t="s">
        <v>8197</v>
      </c>
      <c r="T55" s="52" t="s">
        <v>5561</v>
      </c>
      <c r="U55" s="52" t="s">
        <v>5562</v>
      </c>
      <c r="V55" s="84"/>
      <c r="W55" s="52" t="s">
        <v>4403</v>
      </c>
      <c r="X55" s="52" t="s">
        <v>6403</v>
      </c>
      <c r="Y55" s="52" t="s">
        <v>2406</v>
      </c>
      <c r="Z55" s="52" t="s">
        <v>2406</v>
      </c>
      <c r="AA55" s="52" t="s">
        <v>2406</v>
      </c>
      <c r="AB55" s="52" t="s">
        <v>4662</v>
      </c>
      <c r="AC55" s="52" t="s">
        <v>4662</v>
      </c>
      <c r="AD55" s="52" t="s">
        <v>4662</v>
      </c>
      <c r="AE55" s="52" t="s">
        <v>6038</v>
      </c>
      <c r="AF55" s="52" t="s">
        <v>6038</v>
      </c>
      <c r="AG55" s="186" t="s">
        <v>7048</v>
      </c>
      <c r="AH55" s="186" t="s">
        <v>7048</v>
      </c>
      <c r="AI55" s="186" t="s">
        <v>7048</v>
      </c>
      <c r="AJ55" s="52" t="s">
        <v>6091</v>
      </c>
      <c r="AK55" s="52" t="s">
        <v>1886</v>
      </c>
      <c r="AL55" s="52" t="s">
        <v>1886</v>
      </c>
      <c r="AM55" s="52" t="s">
        <v>5442</v>
      </c>
      <c r="AN55" s="52" t="s">
        <v>5442</v>
      </c>
      <c r="AO55" s="52" t="s">
        <v>4281</v>
      </c>
      <c r="AP55" s="52" t="s">
        <v>2588</v>
      </c>
      <c r="AQ55" s="52" t="s">
        <v>2588</v>
      </c>
      <c r="AR55" s="52"/>
      <c r="AS55" s="52" t="s">
        <v>2032</v>
      </c>
      <c r="AT55" s="52" t="s">
        <v>2032</v>
      </c>
      <c r="AU55" s="52" t="s">
        <v>2032</v>
      </c>
      <c r="AV55" s="52" t="s">
        <v>4298</v>
      </c>
      <c r="AW55" s="52" t="s">
        <v>4298</v>
      </c>
      <c r="AX55" s="52" t="s">
        <v>1383</v>
      </c>
      <c r="AY55" s="52" t="s">
        <v>1383</v>
      </c>
      <c r="AZ55" s="52" t="s">
        <v>3677</v>
      </c>
      <c r="BA55" s="52" t="s">
        <v>3592</v>
      </c>
      <c r="BB55" s="52" t="s">
        <v>3524</v>
      </c>
      <c r="BC55" s="52" t="s">
        <v>4964</v>
      </c>
      <c r="BD55" s="52" t="s">
        <v>7573</v>
      </c>
      <c r="BE55" s="52" t="s">
        <v>4964</v>
      </c>
      <c r="BF55" s="52" t="s">
        <v>7573</v>
      </c>
      <c r="BG55" s="52" t="s">
        <v>4964</v>
      </c>
      <c r="BH55" s="52" t="s">
        <v>7573</v>
      </c>
      <c r="BI55" s="52" t="s">
        <v>7573</v>
      </c>
      <c r="BJ55" s="52" t="s">
        <v>4964</v>
      </c>
      <c r="BK55" s="52"/>
      <c r="BL55" s="52"/>
      <c r="BM55" s="52" t="s">
        <v>0</v>
      </c>
      <c r="BN55" s="52" t="s">
        <v>1642</v>
      </c>
      <c r="BO55" s="52"/>
      <c r="BP55" s="52" t="s">
        <v>1642</v>
      </c>
      <c r="BQ55" s="52" t="s">
        <v>1642</v>
      </c>
      <c r="BR55" s="52" t="s">
        <v>2689</v>
      </c>
      <c r="BS55" s="52" t="s">
        <v>2689</v>
      </c>
      <c r="BT55" s="52" t="s">
        <v>2689</v>
      </c>
      <c r="BU55" s="84" t="s">
        <v>2862</v>
      </c>
      <c r="BV55" s="84"/>
      <c r="BW55" s="52"/>
      <c r="BX55" s="52" t="s">
        <v>3766</v>
      </c>
      <c r="BY55" s="52" t="s">
        <v>3766</v>
      </c>
      <c r="BZ55" s="52" t="s">
        <v>6177</v>
      </c>
      <c r="CA55" s="52" t="s">
        <v>3151</v>
      </c>
      <c r="CB55" s="52" t="s">
        <v>3151</v>
      </c>
      <c r="CC55" s="52"/>
      <c r="CD55" s="52"/>
      <c r="CE55" s="52" t="s">
        <v>3232</v>
      </c>
      <c r="CF55" s="52" t="s">
        <v>2181</v>
      </c>
    </row>
    <row r="56" spans="1:84">
      <c r="A56" s="6" t="s">
        <v>6284</v>
      </c>
      <c r="B56" s="200"/>
      <c r="C56" s="36" t="s">
        <v>57</v>
      </c>
      <c r="D56" s="36" t="s">
        <v>57</v>
      </c>
      <c r="E56" s="36" t="s">
        <v>57</v>
      </c>
      <c r="F56" s="36" t="s">
        <v>57</v>
      </c>
      <c r="G56" s="36" t="s">
        <v>57</v>
      </c>
      <c r="H56" s="36" t="s">
        <v>57</v>
      </c>
      <c r="I56" s="36" t="s">
        <v>57</v>
      </c>
      <c r="J56" s="36" t="s">
        <v>57</v>
      </c>
      <c r="K56" s="36" t="s">
        <v>57</v>
      </c>
      <c r="L56" s="36" t="s">
        <v>57</v>
      </c>
      <c r="M56" s="36" t="s">
        <v>57</v>
      </c>
      <c r="N56" s="36" t="s">
        <v>57</v>
      </c>
      <c r="O56" s="36" t="s">
        <v>57</v>
      </c>
      <c r="P56" s="36" t="s">
        <v>57</v>
      </c>
      <c r="Q56" s="36" t="s">
        <v>57</v>
      </c>
      <c r="R56" s="36" t="s">
        <v>57</v>
      </c>
      <c r="S56" s="36" t="s">
        <v>57</v>
      </c>
      <c r="T56" s="36" t="s">
        <v>57</v>
      </c>
      <c r="U56" s="36" t="s">
        <v>57</v>
      </c>
      <c r="V56" s="145" t="s">
        <v>57</v>
      </c>
      <c r="W56" s="36" t="s">
        <v>57</v>
      </c>
      <c r="X56" s="36" t="s">
        <v>57</v>
      </c>
      <c r="Y56" s="36" t="s">
        <v>57</v>
      </c>
      <c r="Z56" s="36" t="s">
        <v>57</v>
      </c>
      <c r="AA56" s="36" t="s">
        <v>57</v>
      </c>
      <c r="AB56" s="36" t="s">
        <v>57</v>
      </c>
      <c r="AC56" s="36" t="s">
        <v>57</v>
      </c>
      <c r="AD56" s="36" t="s">
        <v>57</v>
      </c>
      <c r="AE56" s="7" t="s">
        <v>57</v>
      </c>
      <c r="AF56" s="7" t="s">
        <v>57</v>
      </c>
      <c r="AG56" s="36" t="s">
        <v>57</v>
      </c>
      <c r="AH56" s="36" t="s">
        <v>57</v>
      </c>
      <c r="AI56" s="36" t="s">
        <v>57</v>
      </c>
      <c r="AJ56" s="34" t="s">
        <v>57</v>
      </c>
      <c r="AK56" s="7" t="s">
        <v>57</v>
      </c>
      <c r="AL56" s="7" t="s">
        <v>57</v>
      </c>
      <c r="AM56" s="36" t="s">
        <v>57</v>
      </c>
      <c r="AN56" s="36" t="s">
        <v>57</v>
      </c>
      <c r="AO56" s="36" t="s">
        <v>57</v>
      </c>
      <c r="AP56" s="36" t="s">
        <v>57</v>
      </c>
      <c r="AQ56" s="36" t="s">
        <v>57</v>
      </c>
      <c r="AR56" s="36" t="s">
        <v>57</v>
      </c>
      <c r="AS56" s="36" t="s">
        <v>57</v>
      </c>
      <c r="AT56" s="36" t="s">
        <v>57</v>
      </c>
      <c r="AU56" s="36" t="s">
        <v>57</v>
      </c>
      <c r="AV56" s="36" t="s">
        <v>57</v>
      </c>
      <c r="AW56" s="36" t="s">
        <v>57</v>
      </c>
      <c r="AX56" s="36" t="s">
        <v>57</v>
      </c>
      <c r="AY56" s="36" t="s">
        <v>57</v>
      </c>
      <c r="AZ56" s="36" t="s">
        <v>57</v>
      </c>
      <c r="BA56" s="36" t="s">
        <v>57</v>
      </c>
      <c r="BB56" s="36" t="s">
        <v>57</v>
      </c>
      <c r="BC56" s="36" t="s">
        <v>57</v>
      </c>
      <c r="BD56" s="36" t="s">
        <v>57</v>
      </c>
      <c r="BE56" s="36" t="s">
        <v>57</v>
      </c>
      <c r="BF56" s="36" t="s">
        <v>57</v>
      </c>
      <c r="BG56" s="36" t="s">
        <v>57</v>
      </c>
      <c r="BH56" s="36" t="s">
        <v>57</v>
      </c>
      <c r="BI56" s="36" t="s">
        <v>57</v>
      </c>
      <c r="BJ56" s="36" t="s">
        <v>57</v>
      </c>
      <c r="BK56" s="36" t="s">
        <v>57</v>
      </c>
      <c r="BL56" s="36" t="s">
        <v>57</v>
      </c>
      <c r="BM56" s="36" t="s">
        <v>0</v>
      </c>
      <c r="BN56" s="36" t="s">
        <v>57</v>
      </c>
      <c r="BO56" s="36" t="s">
        <v>57</v>
      </c>
      <c r="BP56" s="36" t="s">
        <v>57</v>
      </c>
      <c r="BQ56" s="36" t="s">
        <v>57</v>
      </c>
      <c r="BR56" s="36" t="s">
        <v>57</v>
      </c>
      <c r="BS56" s="36" t="s">
        <v>57</v>
      </c>
      <c r="BT56" s="36" t="s">
        <v>57</v>
      </c>
      <c r="BU56" s="36" t="s">
        <v>57</v>
      </c>
      <c r="BV56" s="36" t="s">
        <v>57</v>
      </c>
      <c r="BW56" s="36" t="s">
        <v>57</v>
      </c>
      <c r="BX56" s="36" t="s">
        <v>57</v>
      </c>
      <c r="BY56" s="36" t="s">
        <v>57</v>
      </c>
      <c r="BZ56" s="36" t="s">
        <v>57</v>
      </c>
      <c r="CA56" s="36" t="s">
        <v>57</v>
      </c>
      <c r="CB56" s="36" t="s">
        <v>57</v>
      </c>
      <c r="CC56" s="36" t="s">
        <v>57</v>
      </c>
      <c r="CD56" s="36" t="s">
        <v>57</v>
      </c>
      <c r="CE56" s="36" t="s">
        <v>57</v>
      </c>
      <c r="CF56" s="36" t="s">
        <v>57</v>
      </c>
    </row>
    <row r="57" spans="1:84">
      <c r="A57" s="51" t="s">
        <v>935</v>
      </c>
      <c r="B57" s="51"/>
      <c r="C57" s="52" t="s">
        <v>1643</v>
      </c>
      <c r="D57" s="52" t="s">
        <v>1643</v>
      </c>
      <c r="E57" s="52" t="s">
        <v>2739</v>
      </c>
      <c r="F57" s="52" t="s">
        <v>2739</v>
      </c>
      <c r="G57" s="52" t="s">
        <v>1460</v>
      </c>
      <c r="H57" s="52" t="s">
        <v>1460</v>
      </c>
      <c r="I57" s="52" t="s">
        <v>8198</v>
      </c>
      <c r="J57" s="52" t="s">
        <v>1643</v>
      </c>
      <c r="K57" s="52" t="s">
        <v>8198</v>
      </c>
      <c r="L57" s="52" t="s">
        <v>8198</v>
      </c>
      <c r="M57" s="52" t="s">
        <v>1643</v>
      </c>
      <c r="N57" s="52" t="s">
        <v>8198</v>
      </c>
      <c r="O57" s="52" t="s">
        <v>1643</v>
      </c>
      <c r="P57" s="52" t="s">
        <v>8198</v>
      </c>
      <c r="Q57" s="52" t="s">
        <v>8198</v>
      </c>
      <c r="R57" s="52" t="s">
        <v>1643</v>
      </c>
      <c r="S57" s="52" t="s">
        <v>8198</v>
      </c>
      <c r="T57" s="52" t="s">
        <v>5563</v>
      </c>
      <c r="U57" s="52" t="s">
        <v>5563</v>
      </c>
      <c r="V57" s="84"/>
      <c r="W57" s="52" t="s">
        <v>4403</v>
      </c>
      <c r="X57" s="52" t="s">
        <v>6405</v>
      </c>
      <c r="Y57" s="52" t="s">
        <v>2407</v>
      </c>
      <c r="Z57" s="52" t="s">
        <v>2407</v>
      </c>
      <c r="AA57" s="52" t="s">
        <v>2407</v>
      </c>
      <c r="AB57" s="52" t="s">
        <v>4663</v>
      </c>
      <c r="AC57" s="52" t="s">
        <v>4663</v>
      </c>
      <c r="AD57" s="52" t="s">
        <v>4663</v>
      </c>
      <c r="AE57" s="52" t="s">
        <v>6040</v>
      </c>
      <c r="AF57" s="52" t="s">
        <v>6040</v>
      </c>
      <c r="AG57" s="186" t="s">
        <v>7047</v>
      </c>
      <c r="AH57" s="186" t="s">
        <v>7047</v>
      </c>
      <c r="AI57" s="186" t="s">
        <v>7047</v>
      </c>
      <c r="AJ57" s="52" t="s">
        <v>6091</v>
      </c>
      <c r="AK57" s="52" t="s">
        <v>1887</v>
      </c>
      <c r="AL57" s="52" t="s">
        <v>1887</v>
      </c>
      <c r="AM57" s="52" t="s">
        <v>5443</v>
      </c>
      <c r="AN57" s="52" t="s">
        <v>5443</v>
      </c>
      <c r="AO57" s="52" t="s">
        <v>4281</v>
      </c>
      <c r="AP57" s="52" t="s">
        <v>2589</v>
      </c>
      <c r="AQ57" s="52" t="s">
        <v>2589</v>
      </c>
      <c r="AR57" s="52"/>
      <c r="AS57" s="52" t="s">
        <v>2033</v>
      </c>
      <c r="AT57" s="52" t="s">
        <v>2033</v>
      </c>
      <c r="AU57" s="52" t="s">
        <v>2033</v>
      </c>
      <c r="AV57" s="52" t="s">
        <v>4298</v>
      </c>
      <c r="AW57" s="52" t="s">
        <v>4298</v>
      </c>
      <c r="AX57" s="52" t="s">
        <v>1384</v>
      </c>
      <c r="AY57" s="52" t="s">
        <v>1384</v>
      </c>
      <c r="AZ57" s="52" t="s">
        <v>3678</v>
      </c>
      <c r="BA57" s="52" t="s">
        <v>3593</v>
      </c>
      <c r="BB57" s="52" t="s">
        <v>3525</v>
      </c>
      <c r="BC57" s="52" t="s">
        <v>4965</v>
      </c>
      <c r="BD57" s="52" t="s">
        <v>7574</v>
      </c>
      <c r="BE57" s="52" t="s">
        <v>4965</v>
      </c>
      <c r="BF57" s="52" t="s">
        <v>7574</v>
      </c>
      <c r="BG57" s="52" t="s">
        <v>4965</v>
      </c>
      <c r="BH57" s="52" t="s">
        <v>7574</v>
      </c>
      <c r="BI57" s="52" t="s">
        <v>7574</v>
      </c>
      <c r="BJ57" s="52" t="s">
        <v>4965</v>
      </c>
      <c r="BK57" s="52"/>
      <c r="BL57" s="52"/>
      <c r="BM57" s="52" t="s">
        <v>0</v>
      </c>
      <c r="BN57" s="52" t="s">
        <v>1643</v>
      </c>
      <c r="BO57" s="52" t="s">
        <v>1025</v>
      </c>
      <c r="BP57" s="52" t="s">
        <v>1643</v>
      </c>
      <c r="BQ57" s="52" t="s">
        <v>1643</v>
      </c>
      <c r="BR57" s="52" t="s">
        <v>2689</v>
      </c>
      <c r="BS57" s="52" t="s">
        <v>2689</v>
      </c>
      <c r="BT57" s="52" t="s">
        <v>2689</v>
      </c>
      <c r="BU57" s="84" t="s">
        <v>2863</v>
      </c>
      <c r="BV57" s="84"/>
      <c r="BW57" s="52"/>
      <c r="BX57" s="52" t="s">
        <v>3766</v>
      </c>
      <c r="BY57" s="52" t="s">
        <v>3766</v>
      </c>
      <c r="BZ57" s="52" t="s">
        <v>6177</v>
      </c>
      <c r="CA57" s="52" t="s">
        <v>3152</v>
      </c>
      <c r="CB57" s="52" t="s">
        <v>3152</v>
      </c>
      <c r="CC57" s="52"/>
      <c r="CD57" s="52"/>
      <c r="CE57" s="52" t="s">
        <v>3233</v>
      </c>
      <c r="CF57" s="52" t="s">
        <v>2181</v>
      </c>
    </row>
    <row r="58" spans="1:84">
      <c r="A58" s="6" t="s">
        <v>6285</v>
      </c>
      <c r="B58" s="200"/>
      <c r="C58" s="36" t="s">
        <v>57</v>
      </c>
      <c r="D58" s="36" t="s">
        <v>57</v>
      </c>
      <c r="E58" s="36" t="s">
        <v>57</v>
      </c>
      <c r="F58" s="36" t="s">
        <v>57</v>
      </c>
      <c r="G58" s="36" t="s">
        <v>57</v>
      </c>
      <c r="H58" s="36" t="s">
        <v>57</v>
      </c>
      <c r="I58" s="114" t="s">
        <v>57</v>
      </c>
      <c r="J58" s="36" t="s">
        <v>57</v>
      </c>
      <c r="K58" s="114" t="s">
        <v>57</v>
      </c>
      <c r="L58" s="114" t="s">
        <v>57</v>
      </c>
      <c r="M58" s="36" t="s">
        <v>57</v>
      </c>
      <c r="N58" s="114" t="s">
        <v>57</v>
      </c>
      <c r="O58" s="36" t="s">
        <v>57</v>
      </c>
      <c r="P58" s="114" t="s">
        <v>57</v>
      </c>
      <c r="Q58" s="114" t="s">
        <v>57</v>
      </c>
      <c r="R58" s="36" t="s">
        <v>57</v>
      </c>
      <c r="S58" s="114" t="s">
        <v>57</v>
      </c>
      <c r="T58" s="36" t="s">
        <v>57</v>
      </c>
      <c r="U58" s="36" t="s">
        <v>57</v>
      </c>
      <c r="V58" s="145" t="s">
        <v>57</v>
      </c>
      <c r="W58" s="36" t="s">
        <v>57</v>
      </c>
      <c r="X58" s="36" t="s">
        <v>57</v>
      </c>
      <c r="Y58" s="36" t="s">
        <v>57</v>
      </c>
      <c r="Z58" s="36" t="s">
        <v>57</v>
      </c>
      <c r="AA58" s="36" t="s">
        <v>57</v>
      </c>
      <c r="AB58" s="36" t="s">
        <v>57</v>
      </c>
      <c r="AC58" s="36" t="s">
        <v>57</v>
      </c>
      <c r="AD58" s="36" t="s">
        <v>57</v>
      </c>
      <c r="AE58" s="7" t="s">
        <v>57</v>
      </c>
      <c r="AF58" s="7" t="s">
        <v>57</v>
      </c>
      <c r="AG58" s="36" t="s">
        <v>57</v>
      </c>
      <c r="AH58" s="36" t="s">
        <v>57</v>
      </c>
      <c r="AI58" s="36" t="s">
        <v>57</v>
      </c>
      <c r="AJ58" s="34" t="s">
        <v>57</v>
      </c>
      <c r="AK58" s="7" t="s">
        <v>57</v>
      </c>
      <c r="AL58" s="7" t="s">
        <v>57</v>
      </c>
      <c r="AM58" s="36" t="s">
        <v>57</v>
      </c>
      <c r="AN58" s="36" t="s">
        <v>57</v>
      </c>
      <c r="AO58" s="36" t="s">
        <v>57</v>
      </c>
      <c r="AP58" s="36" t="s">
        <v>57</v>
      </c>
      <c r="AQ58" s="36" t="s">
        <v>57</v>
      </c>
      <c r="AR58" s="36" t="s">
        <v>57</v>
      </c>
      <c r="AS58" s="36" t="s">
        <v>6286</v>
      </c>
      <c r="AT58" s="36" t="s">
        <v>6286</v>
      </c>
      <c r="AU58" s="36" t="s">
        <v>6286</v>
      </c>
      <c r="AV58" s="36" t="s">
        <v>57</v>
      </c>
      <c r="AW58" s="36" t="s">
        <v>57</v>
      </c>
      <c r="AX58" s="36" t="s">
        <v>57</v>
      </c>
      <c r="AY58" s="36" t="s">
        <v>57</v>
      </c>
      <c r="AZ58" s="36" t="s">
        <v>57</v>
      </c>
      <c r="BA58" s="36" t="s">
        <v>57</v>
      </c>
      <c r="BB58" s="36" t="s">
        <v>57</v>
      </c>
      <c r="BC58" s="36" t="s">
        <v>57</v>
      </c>
      <c r="BD58" s="114" t="s">
        <v>57</v>
      </c>
      <c r="BE58" s="36" t="s">
        <v>57</v>
      </c>
      <c r="BF58" s="114" t="s">
        <v>57</v>
      </c>
      <c r="BG58" s="36" t="s">
        <v>57</v>
      </c>
      <c r="BH58" s="114" t="s">
        <v>57</v>
      </c>
      <c r="BI58" s="114" t="s">
        <v>57</v>
      </c>
      <c r="BJ58" s="36" t="s">
        <v>57</v>
      </c>
      <c r="BK58" s="36" t="s">
        <v>57</v>
      </c>
      <c r="BL58" s="36" t="s">
        <v>57</v>
      </c>
      <c r="BM58" s="36" t="s">
        <v>0</v>
      </c>
      <c r="BN58" s="36" t="s">
        <v>57</v>
      </c>
      <c r="BO58" s="36" t="s">
        <v>57</v>
      </c>
      <c r="BP58" s="36" t="s">
        <v>57</v>
      </c>
      <c r="BQ58" s="36" t="s">
        <v>57</v>
      </c>
      <c r="BR58" s="36" t="s">
        <v>57</v>
      </c>
      <c r="BS58" s="36" t="s">
        <v>57</v>
      </c>
      <c r="BT58" s="36" t="s">
        <v>57</v>
      </c>
      <c r="BU58" s="36" t="s">
        <v>57</v>
      </c>
      <c r="BV58" s="36" t="s">
        <v>57</v>
      </c>
      <c r="BW58" s="36" t="s">
        <v>57</v>
      </c>
      <c r="BX58" s="36" t="s">
        <v>57</v>
      </c>
      <c r="BY58" s="36" t="s">
        <v>57</v>
      </c>
      <c r="BZ58" s="36" t="s">
        <v>57</v>
      </c>
      <c r="CA58" s="36" t="s">
        <v>57</v>
      </c>
      <c r="CB58" s="36" t="s">
        <v>57</v>
      </c>
      <c r="CC58" s="36" t="s">
        <v>57</v>
      </c>
      <c r="CD58" s="36" t="s">
        <v>57</v>
      </c>
      <c r="CE58" s="36" t="s">
        <v>57</v>
      </c>
      <c r="CF58" s="36" t="s">
        <v>57</v>
      </c>
    </row>
    <row r="59" spans="1:84">
      <c r="A59" s="51" t="s">
        <v>935</v>
      </c>
      <c r="B59" s="51"/>
      <c r="C59" s="52" t="s">
        <v>1643</v>
      </c>
      <c r="D59" s="52" t="s">
        <v>1643</v>
      </c>
      <c r="E59" s="52" t="s">
        <v>2739</v>
      </c>
      <c r="F59" s="52" t="s">
        <v>2739</v>
      </c>
      <c r="G59" s="52" t="s">
        <v>1460</v>
      </c>
      <c r="H59" s="52" t="s">
        <v>1460</v>
      </c>
      <c r="I59" s="52" t="s">
        <v>8198</v>
      </c>
      <c r="J59" s="52" t="s">
        <v>1643</v>
      </c>
      <c r="K59" s="52" t="s">
        <v>8198</v>
      </c>
      <c r="L59" s="52" t="s">
        <v>8198</v>
      </c>
      <c r="M59" s="52" t="s">
        <v>1643</v>
      </c>
      <c r="N59" s="52" t="s">
        <v>8198</v>
      </c>
      <c r="O59" s="52" t="s">
        <v>1643</v>
      </c>
      <c r="P59" s="52" t="s">
        <v>8198</v>
      </c>
      <c r="Q59" s="52" t="s">
        <v>8198</v>
      </c>
      <c r="R59" s="52" t="s">
        <v>1643</v>
      </c>
      <c r="S59" s="52" t="s">
        <v>8198</v>
      </c>
      <c r="T59" s="52" t="s">
        <v>5563</v>
      </c>
      <c r="U59" s="52" t="s">
        <v>5563</v>
      </c>
      <c r="V59" s="84"/>
      <c r="W59" s="52" t="s">
        <v>4403</v>
      </c>
      <c r="X59" s="52" t="s">
        <v>6405</v>
      </c>
      <c r="Y59" s="52" t="s">
        <v>2407</v>
      </c>
      <c r="Z59" s="52" t="s">
        <v>2407</v>
      </c>
      <c r="AA59" s="52" t="s">
        <v>2407</v>
      </c>
      <c r="AB59" s="52" t="s">
        <v>4663</v>
      </c>
      <c r="AC59" s="52" t="s">
        <v>4663</v>
      </c>
      <c r="AD59" s="52" t="s">
        <v>4663</v>
      </c>
      <c r="AE59" s="52" t="s">
        <v>6040</v>
      </c>
      <c r="AF59" s="52" t="s">
        <v>6040</v>
      </c>
      <c r="AG59" s="186" t="s">
        <v>7047</v>
      </c>
      <c r="AH59" s="186" t="s">
        <v>7047</v>
      </c>
      <c r="AI59" s="186" t="s">
        <v>7047</v>
      </c>
      <c r="AJ59" s="52" t="s">
        <v>6091</v>
      </c>
      <c r="AK59" s="52" t="s">
        <v>1887</v>
      </c>
      <c r="AL59" s="52" t="s">
        <v>1887</v>
      </c>
      <c r="AM59" s="52" t="s">
        <v>5443</v>
      </c>
      <c r="AN59" s="52" t="s">
        <v>5443</v>
      </c>
      <c r="AO59" s="52" t="s">
        <v>4281</v>
      </c>
      <c r="AP59" s="52" t="s">
        <v>2589</v>
      </c>
      <c r="AQ59" s="52" t="s">
        <v>2589</v>
      </c>
      <c r="AR59" s="52"/>
      <c r="AS59" s="52" t="s">
        <v>2033</v>
      </c>
      <c r="AT59" s="52" t="s">
        <v>2033</v>
      </c>
      <c r="AU59" s="52" t="s">
        <v>2033</v>
      </c>
      <c r="AV59" s="52" t="s">
        <v>4298</v>
      </c>
      <c r="AW59" s="52" t="s">
        <v>4298</v>
      </c>
      <c r="AX59" s="52" t="s">
        <v>1384</v>
      </c>
      <c r="AY59" s="52" t="s">
        <v>1384</v>
      </c>
      <c r="AZ59" s="52" t="s">
        <v>3678</v>
      </c>
      <c r="BA59" s="52" t="s">
        <v>3593</v>
      </c>
      <c r="BB59" s="52" t="s">
        <v>3525</v>
      </c>
      <c r="BC59" s="52" t="s">
        <v>4965</v>
      </c>
      <c r="BD59" s="52" t="s">
        <v>7574</v>
      </c>
      <c r="BE59" s="52" t="s">
        <v>4965</v>
      </c>
      <c r="BF59" s="52" t="s">
        <v>7574</v>
      </c>
      <c r="BG59" s="52" t="s">
        <v>4965</v>
      </c>
      <c r="BH59" s="52" t="s">
        <v>7574</v>
      </c>
      <c r="BI59" s="52" t="s">
        <v>7574</v>
      </c>
      <c r="BJ59" s="52" t="s">
        <v>4965</v>
      </c>
      <c r="BK59" s="52"/>
      <c r="BL59" s="52"/>
      <c r="BM59" s="52" t="s">
        <v>0</v>
      </c>
      <c r="BN59" s="52" t="s">
        <v>1643</v>
      </c>
      <c r="BO59" s="52" t="s">
        <v>1025</v>
      </c>
      <c r="BP59" s="52" t="s">
        <v>1643</v>
      </c>
      <c r="BQ59" s="52" t="s">
        <v>1643</v>
      </c>
      <c r="BR59" s="52" t="s">
        <v>2689</v>
      </c>
      <c r="BS59" s="52" t="s">
        <v>2689</v>
      </c>
      <c r="BT59" s="52" t="s">
        <v>2689</v>
      </c>
      <c r="BU59" s="84" t="s">
        <v>2863</v>
      </c>
      <c r="BV59" s="84"/>
      <c r="BW59" s="52"/>
      <c r="BX59" s="52" t="s">
        <v>3766</v>
      </c>
      <c r="BY59" s="52" t="s">
        <v>3766</v>
      </c>
      <c r="BZ59" s="52" t="s">
        <v>6177</v>
      </c>
      <c r="CA59" s="52" t="s">
        <v>3152</v>
      </c>
      <c r="CB59" s="52" t="s">
        <v>3152</v>
      </c>
      <c r="CC59" s="52"/>
      <c r="CD59" s="52"/>
      <c r="CE59" s="52" t="s">
        <v>3233</v>
      </c>
      <c r="CF59" s="52" t="s">
        <v>2181</v>
      </c>
    </row>
    <row r="60" spans="1:84" ht="27">
      <c r="A60" s="81" t="s">
        <v>7792</v>
      </c>
      <c r="B60" s="200"/>
      <c r="C60" s="114"/>
      <c r="D60" s="114"/>
      <c r="E60" s="114"/>
      <c r="F60" s="114"/>
      <c r="G60" s="114"/>
      <c r="H60" s="114"/>
      <c r="I60" s="36" t="s">
        <v>8230</v>
      </c>
      <c r="J60" s="114"/>
      <c r="K60" s="36" t="s">
        <v>8230</v>
      </c>
      <c r="L60" s="36" t="s">
        <v>8230</v>
      </c>
      <c r="M60" s="114"/>
      <c r="N60" s="36" t="s">
        <v>8230</v>
      </c>
      <c r="O60" s="114"/>
      <c r="P60" s="36" t="s">
        <v>8230</v>
      </c>
      <c r="Q60" s="36" t="s">
        <v>8230</v>
      </c>
      <c r="R60" s="114"/>
      <c r="S60" s="36" t="s">
        <v>8230</v>
      </c>
      <c r="T60" s="114"/>
      <c r="U60" s="114"/>
      <c r="V60" s="221"/>
      <c r="W60" s="114"/>
      <c r="X60" s="114"/>
      <c r="Y60" s="114"/>
      <c r="Z60" s="114"/>
      <c r="AA60" s="114"/>
      <c r="AB60" s="114"/>
      <c r="AC60" s="114"/>
      <c r="AD60" s="114"/>
      <c r="AE60" s="215"/>
      <c r="AF60" s="215"/>
      <c r="AG60" s="36" t="s">
        <v>57</v>
      </c>
      <c r="AH60" s="36" t="s">
        <v>57</v>
      </c>
      <c r="AI60" s="36" t="s">
        <v>57</v>
      </c>
      <c r="AJ60" s="225"/>
      <c r="AK60" s="215"/>
      <c r="AL60" s="215"/>
      <c r="AM60" s="114"/>
      <c r="AN60" s="114"/>
      <c r="AO60" s="114"/>
      <c r="AP60" s="114"/>
      <c r="AQ60" s="114"/>
      <c r="AR60" s="114"/>
      <c r="AS60" s="114"/>
      <c r="AT60" s="114"/>
      <c r="AU60" s="114"/>
      <c r="AV60" s="114"/>
      <c r="AW60" s="114"/>
      <c r="AX60" s="114"/>
      <c r="AY60" s="114"/>
      <c r="AZ60" s="114"/>
      <c r="BA60" s="114"/>
      <c r="BB60" s="114"/>
      <c r="BC60" s="114"/>
      <c r="BD60" s="36" t="s">
        <v>57</v>
      </c>
      <c r="BE60" s="114"/>
      <c r="BF60" s="36" t="s">
        <v>57</v>
      </c>
      <c r="BG60" s="114"/>
      <c r="BH60" s="36" t="s">
        <v>57</v>
      </c>
      <c r="BI60" s="36" t="s">
        <v>57</v>
      </c>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row>
    <row r="61" spans="1:84" ht="18">
      <c r="A61" s="51" t="s">
        <v>935</v>
      </c>
      <c r="B61" s="51"/>
      <c r="C61" s="52"/>
      <c r="D61" s="52"/>
      <c r="E61" s="52"/>
      <c r="F61" s="52"/>
      <c r="G61" s="52"/>
      <c r="H61" s="52"/>
      <c r="I61" s="84" t="s">
        <v>8305</v>
      </c>
      <c r="J61" s="52"/>
      <c r="K61" s="84" t="s">
        <v>8383</v>
      </c>
      <c r="L61" s="84" t="s">
        <v>8473</v>
      </c>
      <c r="M61" s="52"/>
      <c r="N61" s="84" t="s">
        <v>8304</v>
      </c>
      <c r="O61" s="52"/>
      <c r="P61" s="84" t="s">
        <v>8672</v>
      </c>
      <c r="Q61" s="84" t="s">
        <v>8672</v>
      </c>
      <c r="R61" s="52"/>
      <c r="S61" s="84" t="s">
        <v>8571</v>
      </c>
      <c r="T61" s="52"/>
      <c r="U61" s="52"/>
      <c r="V61" s="84"/>
      <c r="W61" s="52"/>
      <c r="X61" s="52"/>
      <c r="Y61" s="52"/>
      <c r="Z61" s="52"/>
      <c r="AA61" s="52"/>
      <c r="AB61" s="52"/>
      <c r="AC61" s="52"/>
      <c r="AD61" s="52"/>
      <c r="AE61" s="52"/>
      <c r="AF61" s="52"/>
      <c r="AG61" s="186" t="s">
        <v>7046</v>
      </c>
      <c r="AH61" s="186" t="s">
        <v>7046</v>
      </c>
      <c r="AI61" s="186" t="s">
        <v>7046</v>
      </c>
      <c r="AJ61" s="52"/>
      <c r="AK61" s="52"/>
      <c r="AL61" s="52"/>
      <c r="AM61" s="52"/>
      <c r="AN61" s="52"/>
      <c r="AO61" s="52"/>
      <c r="AP61" s="52"/>
      <c r="AQ61" s="52"/>
      <c r="AR61" s="52"/>
      <c r="AS61" s="52"/>
      <c r="AT61" s="52"/>
      <c r="AU61" s="52"/>
      <c r="AV61" s="52"/>
      <c r="AW61" s="52"/>
      <c r="AX61" s="52"/>
      <c r="AY61" s="52"/>
      <c r="AZ61" s="52"/>
      <c r="BA61" s="52"/>
      <c r="BB61" s="52"/>
      <c r="BC61" s="52"/>
      <c r="BD61" s="52" t="s">
        <v>7571</v>
      </c>
      <c r="BE61" s="52"/>
      <c r="BF61" s="52" t="s">
        <v>7571</v>
      </c>
      <c r="BG61" s="52"/>
      <c r="BH61" s="52" t="s">
        <v>7571</v>
      </c>
      <c r="BI61" s="52" t="s">
        <v>7571</v>
      </c>
      <c r="BJ61" s="52"/>
      <c r="BK61" s="52"/>
      <c r="BL61" s="52"/>
      <c r="BM61" s="52"/>
      <c r="BN61" s="52"/>
      <c r="BO61" s="52"/>
      <c r="BP61" s="52"/>
      <c r="BQ61" s="52"/>
      <c r="BR61" s="52"/>
      <c r="BS61" s="52"/>
      <c r="BT61" s="52"/>
      <c r="BU61" s="84"/>
      <c r="BV61" s="84"/>
      <c r="BW61" s="52"/>
      <c r="BX61" s="52"/>
      <c r="BY61" s="52"/>
      <c r="BZ61" s="52"/>
      <c r="CA61" s="52"/>
      <c r="CB61" s="52"/>
      <c r="CC61" s="52"/>
      <c r="CD61" s="52"/>
      <c r="CE61" s="52"/>
      <c r="CF61" s="52"/>
    </row>
    <row r="62" spans="1:84">
      <c r="A62" s="20"/>
      <c r="B62" s="20"/>
      <c r="C62" s="53"/>
      <c r="D62" s="53"/>
      <c r="E62" s="53"/>
      <c r="F62" s="53"/>
      <c r="G62" s="53"/>
      <c r="H62" s="53"/>
      <c r="I62" s="53"/>
      <c r="J62" s="53"/>
      <c r="K62" s="53"/>
      <c r="L62" s="53"/>
      <c r="M62" s="53"/>
      <c r="N62" s="53"/>
      <c r="O62" s="53"/>
      <c r="P62" s="53"/>
      <c r="Q62" s="53"/>
      <c r="R62" s="53"/>
      <c r="S62" s="53"/>
      <c r="T62" s="53"/>
      <c r="U62" s="53"/>
      <c r="V62" s="7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65"/>
      <c r="BV62" s="65"/>
      <c r="BW62" s="53"/>
      <c r="BX62" s="53"/>
      <c r="BY62" s="53"/>
      <c r="BZ62" s="53"/>
      <c r="CA62" s="53"/>
      <c r="CB62" s="53"/>
      <c r="CC62" s="53"/>
      <c r="CD62" s="53"/>
      <c r="CE62" s="53"/>
      <c r="CF62" s="173"/>
    </row>
    <row r="63" spans="1:84" ht="18">
      <c r="A63" s="10" t="s">
        <v>101</v>
      </c>
      <c r="B63" s="24"/>
      <c r="C63" s="25" t="str">
        <f>C1</f>
        <v>ADCURI Basis-Schutz</v>
      </c>
      <c r="D63" s="25" t="str">
        <f t="shared" ref="D63:CC63" si="2">D1</f>
        <v>ADCURI Top-Schutz</v>
      </c>
      <c r="E63" s="25" t="str">
        <f t="shared" si="2"/>
        <v>Allianz</v>
      </c>
      <c r="F63" s="25" t="str">
        <f t="shared" si="2"/>
        <v>Allianz inkl. SicherheitPlus</v>
      </c>
      <c r="G63" s="25" t="str">
        <f t="shared" si="2"/>
        <v>Alte Leipziger classic</v>
      </c>
      <c r="H63" s="25" t="str">
        <f t="shared" si="2"/>
        <v>Alte Leipziger comfort</v>
      </c>
      <c r="I63" s="255" t="str">
        <f>I1</f>
        <v>Ammerländer Basic
(2019-02)</v>
      </c>
      <c r="J63" s="25" t="str">
        <f t="shared" si="2"/>
        <v>Ammerländer Classic
(2016-01)</v>
      </c>
      <c r="K63" s="255" t="str">
        <f>K1</f>
        <v>Ammerländer Classic
(2019-02)</v>
      </c>
      <c r="L63" s="255" t="str">
        <f>L1</f>
        <v>Ammerländer Comfort
(2019-02)</v>
      </c>
      <c r="M63" s="25" t="str">
        <f t="shared" si="2"/>
        <v>Ammerländer Comfort
(2016-01)</v>
      </c>
      <c r="N63" s="255" t="str">
        <f>N1</f>
        <v>Ammerländer Economic
(2019-02)</v>
      </c>
      <c r="O63" s="25" t="str">
        <f t="shared" si="2"/>
        <v>Ammerländer Excellent
(2016-01)</v>
      </c>
      <c r="P63" s="255" t="str">
        <f>P1</f>
        <v>Ammerländer Excellent
(2019-02)</v>
      </c>
      <c r="Q63" s="255" t="str">
        <f>Q1</f>
        <v>Ammerländer Excellent
(2020-02)</v>
      </c>
      <c r="R63" s="25" t="str">
        <f>R1</f>
        <v>Ammerländer Exclusiv
(2016-01)</v>
      </c>
      <c r="S63" s="255" t="str">
        <f>S1</f>
        <v>Ammerländer Exclusiv
(2019-02)</v>
      </c>
      <c r="T63" s="25" t="str">
        <f t="shared" si="2"/>
        <v>ARAG Komfort (Wohnfläche)</v>
      </c>
      <c r="U63" s="25" t="str">
        <f t="shared" si="2"/>
        <v>ARAG Premium (Wohnfläche)</v>
      </c>
      <c r="V63" s="25" t="str">
        <f t="shared" si="2"/>
        <v>AXA BOXflex</v>
      </c>
      <c r="W63" s="25" t="str">
        <f t="shared" si="2"/>
        <v>Baden Badener TOP</v>
      </c>
      <c r="X63" s="25" t="str">
        <f t="shared" si="2"/>
        <v>Concordia Sorglos</v>
      </c>
      <c r="Y63" s="25" t="str">
        <f t="shared" si="2"/>
        <v>Debeka Basis</v>
      </c>
      <c r="Z63" s="25" t="str">
        <f t="shared" si="2"/>
        <v>Debeka Standard</v>
      </c>
      <c r="AA63" s="25" t="str">
        <f t="shared" si="2"/>
        <v>Debeka Top</v>
      </c>
      <c r="AB63" s="25" t="str">
        <f t="shared" si="2"/>
        <v>die Bayerische (Komfort)</v>
      </c>
      <c r="AC63" s="25" t="str">
        <f t="shared" si="2"/>
        <v>die Bayerische (Prestige)</v>
      </c>
      <c r="AD63" s="25" t="str">
        <f t="shared" si="2"/>
        <v>die Bayerische (Smart)</v>
      </c>
      <c r="AE63" s="25" t="str">
        <f t="shared" si="2"/>
        <v>Domcura Komfort
(Stand 2014-10)</v>
      </c>
      <c r="AF63" s="25" t="str">
        <f t="shared" si="2"/>
        <v>Domcura Top
(Stand 2014-10)</v>
      </c>
      <c r="AG63" s="255" t="str">
        <f>AG1</f>
        <v>Domcura Standard
(2016-10-01)</v>
      </c>
      <c r="AH63" s="255" t="str">
        <f>AH1</f>
        <v>Domcura Komfort
(2016-10-01)</v>
      </c>
      <c r="AI63" s="255" t="str">
        <f>AI1</f>
        <v>Domcura Top
(2016-10-01)</v>
      </c>
      <c r="AJ63" s="25" t="str">
        <f t="shared" si="2"/>
        <v>ERGO Hausrat Spezial</v>
      </c>
      <c r="AK63" s="25" t="str">
        <f t="shared" si="2"/>
        <v>Generali Basis</v>
      </c>
      <c r="AL63" s="25" t="str">
        <f t="shared" si="2"/>
        <v>Generali KomfortPlus</v>
      </c>
      <c r="AM63" s="25" t="str">
        <f t="shared" si="2"/>
        <v>Gothaer Top</v>
      </c>
      <c r="AN63" s="25" t="str">
        <f t="shared" si="2"/>
        <v>Gothaer Top Plus</v>
      </c>
      <c r="AO63" s="25" t="str">
        <f t="shared" si="2"/>
        <v>HDI Privatschutz</v>
      </c>
      <c r="AP63" s="25" t="str">
        <f t="shared" si="2"/>
        <v>Helvetia Basis</v>
      </c>
      <c r="AQ63" s="25" t="str">
        <f t="shared" si="2"/>
        <v>Helvetia Komfort</v>
      </c>
      <c r="AR63" s="25" t="str">
        <f t="shared" si="2"/>
        <v>HFK Rundumschutz</v>
      </c>
      <c r="AS63" s="25" t="str">
        <f t="shared" si="2"/>
        <v>HKD Einfach Gut</v>
      </c>
      <c r="AT63" s="25" t="str">
        <f t="shared" si="2"/>
        <v>HKD Einfach Besser</v>
      </c>
      <c r="AU63" s="25" t="str">
        <f t="shared" si="2"/>
        <v>HKD Einfach Komplett</v>
      </c>
      <c r="AV63" s="25" t="str">
        <f t="shared" si="2"/>
        <v>HUK Classic</v>
      </c>
      <c r="AW63" s="25" t="str">
        <f t="shared" si="2"/>
        <v>HUK Plus</v>
      </c>
      <c r="AX63" s="25" t="str">
        <f t="shared" si="2"/>
        <v>Ideal Exklusiv</v>
      </c>
      <c r="AY63" s="25" t="str">
        <f t="shared" si="2"/>
        <v>Ideal Klassik</v>
      </c>
      <c r="AZ63" s="25" t="str">
        <f t="shared" si="2"/>
        <v>InterRisk L</v>
      </c>
      <c r="BA63" s="25" t="str">
        <f t="shared" si="2"/>
        <v>InterRisk XL</v>
      </c>
      <c r="BB63" s="25" t="str">
        <f t="shared" si="2"/>
        <v>InterRisk XXL</v>
      </c>
      <c r="BC63" s="25" t="str">
        <f t="shared" si="2"/>
        <v>ITL afm Eurosecure Plus</v>
      </c>
      <c r="BD63" s="255" t="str">
        <f>BD1</f>
        <v>ITL Eurosecure Plus afm
Stand 2013-08</v>
      </c>
      <c r="BE63" s="25" t="str">
        <f t="shared" si="2"/>
        <v>ITL afm Infinitus</v>
      </c>
      <c r="BF63" s="255" t="str">
        <f>BF1</f>
        <v>ITL Infinitus
Stand 2013-08</v>
      </c>
      <c r="BG63" s="25" t="str">
        <f t="shared" si="2"/>
        <v>ITL afm Protect Plus</v>
      </c>
      <c r="BH63" s="255" t="str">
        <f>BH1</f>
        <v>ITL Protect Plus afm
Stand 2013-08</v>
      </c>
      <c r="BI63" s="255" t="str">
        <f>BI1</f>
        <v>ITL Classic
Stand 2013-08</v>
      </c>
      <c r="BJ63" s="25" t="str">
        <f t="shared" si="2"/>
        <v>ITL Classic</v>
      </c>
      <c r="BK63" s="25" t="str">
        <f t="shared" si="2"/>
        <v>Janitos Balance</v>
      </c>
      <c r="BL63" s="25" t="str">
        <f t="shared" si="2"/>
        <v>Janitos Best Selection</v>
      </c>
      <c r="BM63" s="25" t="str">
        <f t="shared" si="2"/>
        <v>Keine</v>
      </c>
      <c r="BN63" s="25" t="str">
        <f t="shared" si="2"/>
        <v>Nürnberger KomplettSchutz</v>
      </c>
      <c r="BO63" s="25" t="str">
        <f t="shared" si="2"/>
        <v>NV Premium. 2.0</v>
      </c>
      <c r="BP63" s="25" t="str">
        <f t="shared" si="2"/>
        <v>Prokundo ExklusivPaket</v>
      </c>
      <c r="BQ63" s="25" t="str">
        <f t="shared" si="2"/>
        <v>Prokundo Komfort</v>
      </c>
      <c r="BR63" s="25" t="str">
        <f t="shared" si="2"/>
        <v>Provinzial Kompakt</v>
      </c>
      <c r="BS63" s="25" t="str">
        <f t="shared" si="2"/>
        <v>Provinzial Rundum inkl. Plus</v>
      </c>
      <c r="BT63" s="25" t="str">
        <f t="shared" si="2"/>
        <v>Provinzial Rundumschutz</v>
      </c>
      <c r="BU63" s="25" t="str">
        <f t="shared" si="2"/>
        <v>R+V PrivatPolice</v>
      </c>
      <c r="BV63" s="25" t="str">
        <f t="shared" si="2"/>
        <v>SLP Prima</v>
      </c>
      <c r="BW63" s="25" t="str">
        <f t="shared" si="2"/>
        <v>SLP Prima Plus</v>
      </c>
      <c r="BX63" s="25" t="str">
        <f t="shared" si="2"/>
        <v>VdVA Classic</v>
      </c>
      <c r="BY63" s="25" t="str">
        <f t="shared" si="2"/>
        <v>VdVA Exclusiv</v>
      </c>
      <c r="BZ63" s="25" t="str">
        <f t="shared" si="2"/>
        <v>VGH Standard</v>
      </c>
      <c r="CA63" s="25" t="str">
        <f>CA1</f>
        <v>VHV Klassik Garant
(Stand 2015-04)</v>
      </c>
      <c r="CB63" s="25" t="str">
        <f>CB1</f>
        <v>VHV Klassik Garant Exkl.
(Stand 2015-04)</v>
      </c>
      <c r="CC63" s="25" t="str">
        <f t="shared" si="2"/>
        <v>VWB Komfort</v>
      </c>
      <c r="CD63" s="25" t="str">
        <f t="shared" ref="CD63:CF63" si="3">CD1</f>
        <v>VWB Komfort Plus</v>
      </c>
      <c r="CE63" s="25" t="str">
        <f t="shared" si="3"/>
        <v>WÜBA Plus</v>
      </c>
      <c r="CF63" s="25" t="str">
        <f t="shared" si="3"/>
        <v>Zurich Maklerkonzept</v>
      </c>
    </row>
    <row r="64" spans="1:84" ht="45">
      <c r="A64" s="62" t="s">
        <v>102</v>
      </c>
      <c r="B64" s="200" t="s">
        <v>6750</v>
      </c>
      <c r="C64" s="36" t="s">
        <v>529</v>
      </c>
      <c r="D64" s="36" t="s">
        <v>529</v>
      </c>
      <c r="E64" s="36" t="s">
        <v>463</v>
      </c>
      <c r="F64" s="36" t="s">
        <v>463</v>
      </c>
      <c r="G64" s="36" t="s">
        <v>529</v>
      </c>
      <c r="H64" s="36" t="s">
        <v>1416</v>
      </c>
      <c r="I64" s="36" t="s">
        <v>8189</v>
      </c>
      <c r="J64" s="36" t="s">
        <v>1510</v>
      </c>
      <c r="K64" s="36" t="s">
        <v>8380</v>
      </c>
      <c r="L64" s="36" t="s">
        <v>8467</v>
      </c>
      <c r="M64" s="36" t="s">
        <v>5786</v>
      </c>
      <c r="N64" s="36" t="s">
        <v>8281</v>
      </c>
      <c r="O64" s="36" t="s">
        <v>5786</v>
      </c>
      <c r="P64" s="36" t="s">
        <v>8671</v>
      </c>
      <c r="Q64" s="36" t="s">
        <v>8671</v>
      </c>
      <c r="R64" s="36" t="s">
        <v>5786</v>
      </c>
      <c r="S64" s="36" t="s">
        <v>8535</v>
      </c>
      <c r="T64" s="36" t="s">
        <v>3284</v>
      </c>
      <c r="U64" s="36" t="s">
        <v>3284</v>
      </c>
      <c r="V64" s="145" t="s">
        <v>5720</v>
      </c>
      <c r="W64" s="36" t="s">
        <v>4439</v>
      </c>
      <c r="X64" s="36" t="s">
        <v>6406</v>
      </c>
      <c r="Y64" s="38" t="s">
        <v>57</v>
      </c>
      <c r="Z64" s="7" t="s">
        <v>2344</v>
      </c>
      <c r="AA64" s="7" t="s">
        <v>2345</v>
      </c>
      <c r="AB64" s="36" t="s">
        <v>4664</v>
      </c>
      <c r="AC64" s="36" t="s">
        <v>4664</v>
      </c>
      <c r="AD64" s="36" t="s">
        <v>4664</v>
      </c>
      <c r="AE64" s="7" t="s">
        <v>1752</v>
      </c>
      <c r="AF64" s="7" t="s">
        <v>1752</v>
      </c>
      <c r="AG64" s="36" t="s">
        <v>6988</v>
      </c>
      <c r="AH64" s="36" t="s">
        <v>6988</v>
      </c>
      <c r="AI64" s="36" t="s">
        <v>6988</v>
      </c>
      <c r="AJ64" s="7" t="s">
        <v>3444</v>
      </c>
      <c r="AK64" s="36" t="s">
        <v>529</v>
      </c>
      <c r="AL64" s="36" t="s">
        <v>529</v>
      </c>
      <c r="AM64" s="36" t="s">
        <v>529</v>
      </c>
      <c r="AN64" s="36" t="s">
        <v>529</v>
      </c>
      <c r="AO64" s="36" t="s">
        <v>529</v>
      </c>
      <c r="AP64" s="36" t="s">
        <v>5078</v>
      </c>
      <c r="AQ64" s="36" t="s">
        <v>5078</v>
      </c>
      <c r="AR64" s="36" t="s">
        <v>929</v>
      </c>
      <c r="AS64" s="36" t="s">
        <v>1995</v>
      </c>
      <c r="AT64" s="36" t="s">
        <v>1995</v>
      </c>
      <c r="AU64" s="36" t="s">
        <v>1995</v>
      </c>
      <c r="AV64" s="36" t="s">
        <v>862</v>
      </c>
      <c r="AW64" s="36" t="s">
        <v>862</v>
      </c>
      <c r="AX64" s="36" t="s">
        <v>5052</v>
      </c>
      <c r="AY64" s="36" t="s">
        <v>5052</v>
      </c>
      <c r="AZ64" s="36" t="s">
        <v>3598</v>
      </c>
      <c r="BA64" s="36" t="s">
        <v>3598</v>
      </c>
      <c r="BB64" s="36" t="s">
        <v>4504</v>
      </c>
      <c r="BC64" s="36" t="s">
        <v>3284</v>
      </c>
      <c r="BD64" s="36" t="s">
        <v>7581</v>
      </c>
      <c r="BE64" s="36" t="s">
        <v>3284</v>
      </c>
      <c r="BF64" s="36" t="s">
        <v>7581</v>
      </c>
      <c r="BG64" s="36" t="s">
        <v>3284</v>
      </c>
      <c r="BH64" s="36" t="s">
        <v>7581</v>
      </c>
      <c r="BI64" s="36" t="s">
        <v>7581</v>
      </c>
      <c r="BJ64" s="36" t="s">
        <v>3284</v>
      </c>
      <c r="BK64" s="159" t="s">
        <v>528</v>
      </c>
      <c r="BL64" s="36" t="s">
        <v>562</v>
      </c>
      <c r="BM64" s="38" t="s">
        <v>0</v>
      </c>
      <c r="BN64" s="36" t="s">
        <v>3284</v>
      </c>
      <c r="BO64" s="36" t="s">
        <v>3284</v>
      </c>
      <c r="BP64" s="36" t="s">
        <v>3284</v>
      </c>
      <c r="BQ64" s="36" t="s">
        <v>3284</v>
      </c>
      <c r="BR64" s="36" t="s">
        <v>2725</v>
      </c>
      <c r="BS64" s="36" t="s">
        <v>2725</v>
      </c>
      <c r="BT64" s="36" t="s">
        <v>2725</v>
      </c>
      <c r="BU64" s="36" t="s">
        <v>3284</v>
      </c>
      <c r="BV64" s="36" t="s">
        <v>671</v>
      </c>
      <c r="BW64" s="36" t="s">
        <v>671</v>
      </c>
      <c r="BX64" s="36" t="s">
        <v>3818</v>
      </c>
      <c r="BY64" s="36" t="s">
        <v>3818</v>
      </c>
      <c r="BZ64" s="36" t="s">
        <v>57</v>
      </c>
      <c r="CA64" s="36" t="s">
        <v>3117</v>
      </c>
      <c r="CB64" s="36" t="s">
        <v>3117</v>
      </c>
      <c r="CC64" s="38" t="s">
        <v>57</v>
      </c>
      <c r="CD64" s="38" t="s">
        <v>57</v>
      </c>
      <c r="CE64" s="36" t="s">
        <v>3237</v>
      </c>
      <c r="CF64" s="36" t="s">
        <v>2136</v>
      </c>
    </row>
    <row r="65" spans="1:84" ht="18">
      <c r="A65" s="51" t="s">
        <v>935</v>
      </c>
      <c r="B65" s="51"/>
      <c r="C65" s="52" t="s">
        <v>2301</v>
      </c>
      <c r="D65" s="52" t="s">
        <v>2301</v>
      </c>
      <c r="E65" s="52" t="s">
        <v>3749</v>
      </c>
      <c r="F65" s="52" t="s">
        <v>2784</v>
      </c>
      <c r="G65" s="52" t="s">
        <v>1464</v>
      </c>
      <c r="H65" s="52" t="s">
        <v>1413</v>
      </c>
      <c r="I65" s="52" t="s">
        <v>8190</v>
      </c>
      <c r="J65" s="52" t="s">
        <v>5764</v>
      </c>
      <c r="K65" s="52" t="s">
        <v>8381</v>
      </c>
      <c r="L65" s="52" t="s">
        <v>8468</v>
      </c>
      <c r="M65" s="52" t="s">
        <v>5838</v>
      </c>
      <c r="N65" s="52" t="s">
        <v>8282</v>
      </c>
      <c r="O65" s="52" t="s">
        <v>5785</v>
      </c>
      <c r="P65" s="52" t="s">
        <v>8670</v>
      </c>
      <c r="Q65" s="52" t="s">
        <v>8670</v>
      </c>
      <c r="R65" s="52" t="s">
        <v>5814</v>
      </c>
      <c r="S65" s="52" t="s">
        <v>8534</v>
      </c>
      <c r="T65" s="52" t="s">
        <v>5564</v>
      </c>
      <c r="U65" s="52" t="s">
        <v>5564</v>
      </c>
      <c r="V65" s="84"/>
      <c r="W65" s="52" t="s">
        <v>4438</v>
      </c>
      <c r="X65" s="52" t="s">
        <v>6407</v>
      </c>
      <c r="Y65" s="52" t="s">
        <v>2413</v>
      </c>
      <c r="Z65" s="52" t="s">
        <v>2413</v>
      </c>
      <c r="AA65" s="52" t="s">
        <v>2413</v>
      </c>
      <c r="AB65" s="52" t="s">
        <v>4666</v>
      </c>
      <c r="AC65" s="52" t="s">
        <v>4666</v>
      </c>
      <c r="AD65" s="52" t="s">
        <v>4665</v>
      </c>
      <c r="AE65" s="52" t="s">
        <v>6042</v>
      </c>
      <c r="AF65" s="52" t="s">
        <v>6042</v>
      </c>
      <c r="AG65" s="186" t="s">
        <v>7045</v>
      </c>
      <c r="AH65" s="186" t="s">
        <v>7045</v>
      </c>
      <c r="AI65" s="186" t="s">
        <v>7045</v>
      </c>
      <c r="AJ65" s="52" t="s">
        <v>6100</v>
      </c>
      <c r="AK65" s="52" t="s">
        <v>1920</v>
      </c>
      <c r="AL65" s="52" t="s">
        <v>1920</v>
      </c>
      <c r="AM65" s="52" t="s">
        <v>5446</v>
      </c>
      <c r="AN65" s="52" t="s">
        <v>5446</v>
      </c>
      <c r="AO65" s="52" t="s">
        <v>4282</v>
      </c>
      <c r="AP65" s="52" t="s">
        <v>6330</v>
      </c>
      <c r="AQ65" s="52" t="s">
        <v>2566</v>
      </c>
      <c r="AR65" s="52"/>
      <c r="AS65" s="52" t="s">
        <v>2038</v>
      </c>
      <c r="AT65" s="52" t="s">
        <v>2038</v>
      </c>
      <c r="AU65" s="52" t="s">
        <v>2038</v>
      </c>
      <c r="AV65" s="52" t="s">
        <v>4306</v>
      </c>
      <c r="AW65" s="52" t="s">
        <v>4306</v>
      </c>
      <c r="AX65" s="52" t="s">
        <v>5053</v>
      </c>
      <c r="AY65" s="52" t="s">
        <v>5053</v>
      </c>
      <c r="AZ65" s="52" t="s">
        <v>4551</v>
      </c>
      <c r="BA65" s="52" t="s">
        <v>3597</v>
      </c>
      <c r="BB65" s="52" t="s">
        <v>3530</v>
      </c>
      <c r="BC65" s="52" t="s">
        <v>4956</v>
      </c>
      <c r="BD65" s="52" t="s">
        <v>7580</v>
      </c>
      <c r="BE65" s="52" t="s">
        <v>4956</v>
      </c>
      <c r="BF65" s="52" t="s">
        <v>7580</v>
      </c>
      <c r="BG65" s="52" t="s">
        <v>4956</v>
      </c>
      <c r="BH65" s="52" t="s">
        <v>7580</v>
      </c>
      <c r="BI65" s="52" t="s">
        <v>7580</v>
      </c>
      <c r="BJ65" s="52" t="s">
        <v>4956</v>
      </c>
      <c r="BK65" s="52"/>
      <c r="BL65" s="52"/>
      <c r="BM65" s="52" t="s">
        <v>0</v>
      </c>
      <c r="BN65" s="52" t="s">
        <v>2301</v>
      </c>
      <c r="BO65" s="52" t="s">
        <v>6357</v>
      </c>
      <c r="BP65" s="52" t="s">
        <v>2301</v>
      </c>
      <c r="BQ65" s="52" t="s">
        <v>2301</v>
      </c>
      <c r="BR65" s="52" t="s">
        <v>2724</v>
      </c>
      <c r="BS65" s="52" t="s">
        <v>2724</v>
      </c>
      <c r="BT65" s="52" t="s">
        <v>2724</v>
      </c>
      <c r="BU65" s="84" t="s">
        <v>2869</v>
      </c>
      <c r="BV65" s="84"/>
      <c r="BW65" s="52"/>
      <c r="BX65" s="52" t="s">
        <v>3816</v>
      </c>
      <c r="BY65" s="52" t="s">
        <v>3817</v>
      </c>
      <c r="BZ65" s="52" t="s">
        <v>6178</v>
      </c>
      <c r="CA65" s="52" t="s">
        <v>3116</v>
      </c>
      <c r="CB65" s="52" t="s">
        <v>3116</v>
      </c>
      <c r="CC65" s="52"/>
      <c r="CD65" s="52"/>
      <c r="CE65" s="52" t="s">
        <v>3238</v>
      </c>
      <c r="CF65" s="52" t="s">
        <v>2202</v>
      </c>
    </row>
    <row r="66" spans="1:84" ht="36">
      <c r="A66" s="88" t="s">
        <v>7436</v>
      </c>
      <c r="B66" s="200"/>
      <c r="C66" s="36" t="s">
        <v>792</v>
      </c>
      <c r="D66" s="36" t="s">
        <v>792</v>
      </c>
      <c r="E66" s="36" t="s">
        <v>0</v>
      </c>
      <c r="F66" s="36" t="s">
        <v>792</v>
      </c>
      <c r="G66" s="36" t="s">
        <v>792</v>
      </c>
      <c r="H66" s="36" t="s">
        <v>792</v>
      </c>
      <c r="I66" s="36" t="s">
        <v>8283</v>
      </c>
      <c r="J66" s="36" t="s">
        <v>3369</v>
      </c>
      <c r="K66" s="36" t="s">
        <v>8283</v>
      </c>
      <c r="L66" s="36" t="s">
        <v>8283</v>
      </c>
      <c r="M66" s="36" t="s">
        <v>3369</v>
      </c>
      <c r="N66" s="36" t="s">
        <v>8283</v>
      </c>
      <c r="O66" s="36" t="s">
        <v>3369</v>
      </c>
      <c r="P66" s="36" t="s">
        <v>8283</v>
      </c>
      <c r="Q66" s="36" t="s">
        <v>8283</v>
      </c>
      <c r="R66" s="36" t="s">
        <v>3369</v>
      </c>
      <c r="S66" s="36" t="s">
        <v>8283</v>
      </c>
      <c r="T66" s="36" t="s">
        <v>5565</v>
      </c>
      <c r="U66" s="36" t="s">
        <v>5565</v>
      </c>
      <c r="V66" s="145" t="s">
        <v>5716</v>
      </c>
      <c r="W66" s="36" t="s">
        <v>4440</v>
      </c>
      <c r="X66" s="36" t="s">
        <v>6408</v>
      </c>
      <c r="Y66" s="36" t="s">
        <v>0</v>
      </c>
      <c r="Z66" s="36" t="s">
        <v>2373</v>
      </c>
      <c r="AA66" s="36" t="s">
        <v>2372</v>
      </c>
      <c r="AB66" s="36" t="s">
        <v>4668</v>
      </c>
      <c r="AC66" s="36" t="s">
        <v>4669</v>
      </c>
      <c r="AD66" s="36" t="s">
        <v>4667</v>
      </c>
      <c r="AE66" s="36" t="s">
        <v>792</v>
      </c>
      <c r="AF66" s="36" t="s">
        <v>792</v>
      </c>
      <c r="AG66" s="36" t="s">
        <v>7437</v>
      </c>
      <c r="AH66" s="36" t="s">
        <v>7437</v>
      </c>
      <c r="AI66" s="36" t="s">
        <v>7437</v>
      </c>
      <c r="AJ66" s="7" t="s">
        <v>3445</v>
      </c>
      <c r="AK66" s="7" t="s">
        <v>0</v>
      </c>
      <c r="AL66" s="36" t="s">
        <v>4185</v>
      </c>
      <c r="AM66" s="36" t="s">
        <v>792</v>
      </c>
      <c r="AN66" s="36" t="s">
        <v>792</v>
      </c>
      <c r="AO66" s="36" t="s">
        <v>4207</v>
      </c>
      <c r="AP66" s="38" t="s">
        <v>196</v>
      </c>
      <c r="AQ66" s="38" t="s">
        <v>113</v>
      </c>
      <c r="AR66" s="36" t="s">
        <v>919</v>
      </c>
      <c r="AS66" s="36" t="s">
        <v>6361</v>
      </c>
      <c r="AT66" s="36" t="s">
        <v>6362</v>
      </c>
      <c r="AU66" s="36" t="s">
        <v>6362</v>
      </c>
      <c r="AV66" s="36" t="s">
        <v>792</v>
      </c>
      <c r="AW66" s="36" t="s">
        <v>792</v>
      </c>
      <c r="AX66" s="36" t="s">
        <v>1386</v>
      </c>
      <c r="AY66" s="36" t="s">
        <v>1386</v>
      </c>
      <c r="AZ66" s="36" t="s">
        <v>792</v>
      </c>
      <c r="BA66" s="36" t="s">
        <v>792</v>
      </c>
      <c r="BB66" s="36" t="s">
        <v>4498</v>
      </c>
      <c r="BC66" s="36" t="s">
        <v>4861</v>
      </c>
      <c r="BD66" s="36" t="s">
        <v>7583</v>
      </c>
      <c r="BE66" s="36" t="s">
        <v>4861</v>
      </c>
      <c r="BF66" s="36" t="s">
        <v>7583</v>
      </c>
      <c r="BG66" s="36" t="s">
        <v>4861</v>
      </c>
      <c r="BH66" s="36" t="s">
        <v>7583</v>
      </c>
      <c r="BI66" s="36" t="s">
        <v>7437</v>
      </c>
      <c r="BJ66" s="36" t="s">
        <v>5025</v>
      </c>
      <c r="BK66" s="36" t="s">
        <v>552</v>
      </c>
      <c r="BL66" s="36" t="s">
        <v>563</v>
      </c>
      <c r="BM66" s="38" t="s">
        <v>0</v>
      </c>
      <c r="BN66" s="38" t="s">
        <v>113</v>
      </c>
      <c r="BO66" s="38" t="s">
        <v>6359</v>
      </c>
      <c r="BP66" s="36" t="s">
        <v>792</v>
      </c>
      <c r="BQ66" s="36" t="s">
        <v>792</v>
      </c>
      <c r="BR66" s="38" t="s">
        <v>0</v>
      </c>
      <c r="BS66" s="36" t="s">
        <v>2637</v>
      </c>
      <c r="BT66" s="36" t="s">
        <v>2637</v>
      </c>
      <c r="BU66" s="36" t="s">
        <v>527</v>
      </c>
      <c r="BV66" s="36" t="s">
        <v>113</v>
      </c>
      <c r="BW66" s="36" t="s">
        <v>196</v>
      </c>
      <c r="BX66" s="36" t="s">
        <v>3819</v>
      </c>
      <c r="BY66" s="36" t="s">
        <v>3819</v>
      </c>
      <c r="BZ66" s="36" t="s">
        <v>3819</v>
      </c>
      <c r="CA66" s="36" t="s">
        <v>3119</v>
      </c>
      <c r="CB66" s="36" t="s">
        <v>3120</v>
      </c>
      <c r="CC66" s="38" t="s">
        <v>57</v>
      </c>
      <c r="CD66" s="38" t="s">
        <v>57</v>
      </c>
      <c r="CE66" s="36" t="s">
        <v>3239</v>
      </c>
      <c r="CF66" s="36" t="s">
        <v>838</v>
      </c>
    </row>
    <row r="67" spans="1:84">
      <c r="A67" s="51" t="s">
        <v>935</v>
      </c>
      <c r="B67" s="51"/>
      <c r="C67" s="52" t="s">
        <v>2303</v>
      </c>
      <c r="D67" s="52" t="s">
        <v>2303</v>
      </c>
      <c r="E67" s="52" t="s">
        <v>2788</v>
      </c>
      <c r="F67" s="52" t="s">
        <v>2788</v>
      </c>
      <c r="G67" s="52" t="s">
        <v>1465</v>
      </c>
      <c r="H67" s="52" t="s">
        <v>1465</v>
      </c>
      <c r="I67" s="52" t="s">
        <v>8192</v>
      </c>
      <c r="J67" s="52" t="s">
        <v>5311</v>
      </c>
      <c r="K67" s="52" t="s">
        <v>8382</v>
      </c>
      <c r="L67" s="52" t="s">
        <v>8469</v>
      </c>
      <c r="M67" s="52" t="s">
        <v>3336</v>
      </c>
      <c r="N67" s="52" t="s">
        <v>8284</v>
      </c>
      <c r="O67" s="52" t="s">
        <v>1619</v>
      </c>
      <c r="P67" s="52" t="s">
        <v>8669</v>
      </c>
      <c r="Q67" s="52" t="s">
        <v>8669</v>
      </c>
      <c r="R67" s="52" t="s">
        <v>1565</v>
      </c>
      <c r="S67" s="52" t="s">
        <v>8536</v>
      </c>
      <c r="T67" s="52" t="s">
        <v>5566</v>
      </c>
      <c r="U67" s="52" t="s">
        <v>5566</v>
      </c>
      <c r="V67" s="84"/>
      <c r="W67" s="52" t="s">
        <v>4038</v>
      </c>
      <c r="X67" s="52" t="s">
        <v>6409</v>
      </c>
      <c r="Y67" s="52" t="s">
        <v>2353</v>
      </c>
      <c r="Z67" s="52" t="s">
        <v>2371</v>
      </c>
      <c r="AA67" s="52" t="s">
        <v>2371</v>
      </c>
      <c r="AB67" s="52" t="s">
        <v>4671</v>
      </c>
      <c r="AC67" s="52" t="s">
        <v>5923</v>
      </c>
      <c r="AD67" s="52" t="s">
        <v>4670</v>
      </c>
      <c r="AE67" s="52" t="s">
        <v>6043</v>
      </c>
      <c r="AF67" s="52" t="s">
        <v>6043</v>
      </c>
      <c r="AG67" s="186" t="s">
        <v>7044</v>
      </c>
      <c r="AH67" s="186" t="s">
        <v>7044</v>
      </c>
      <c r="AI67" s="186" t="s">
        <v>7044</v>
      </c>
      <c r="AJ67" s="52" t="s">
        <v>6101</v>
      </c>
      <c r="AK67" s="52" t="s">
        <v>1921</v>
      </c>
      <c r="AL67" s="52" t="s">
        <v>4184</v>
      </c>
      <c r="AM67" s="52" t="s">
        <v>5447</v>
      </c>
      <c r="AN67" s="52" t="s">
        <v>5447</v>
      </c>
      <c r="AO67" s="52" t="s">
        <v>4220</v>
      </c>
      <c r="AP67" s="52" t="s">
        <v>6334</v>
      </c>
      <c r="AQ67" s="52" t="s">
        <v>6333</v>
      </c>
      <c r="AR67" s="52"/>
      <c r="AS67" s="52" t="s">
        <v>1025</v>
      </c>
      <c r="AT67" s="52" t="s">
        <v>1025</v>
      </c>
      <c r="AU67" s="52" t="s">
        <v>1025</v>
      </c>
      <c r="AV67" s="52" t="s">
        <v>4305</v>
      </c>
      <c r="AW67" s="52" t="s">
        <v>4305</v>
      </c>
      <c r="AX67" s="52" t="s">
        <v>5051</v>
      </c>
      <c r="AY67" s="52" t="s">
        <v>5051</v>
      </c>
      <c r="AZ67" s="52" t="s">
        <v>4552</v>
      </c>
      <c r="BA67" s="52" t="s">
        <v>4531</v>
      </c>
      <c r="BB67" s="52" t="s">
        <v>4497</v>
      </c>
      <c r="BC67" s="52" t="s">
        <v>4860</v>
      </c>
      <c r="BD67" s="52" t="s">
        <v>7712</v>
      </c>
      <c r="BE67" s="52" t="s">
        <v>4892</v>
      </c>
      <c r="BF67" s="52" t="s">
        <v>7713</v>
      </c>
      <c r="BG67" s="52" t="s">
        <v>4860</v>
      </c>
      <c r="BH67" s="52" t="s">
        <v>7712</v>
      </c>
      <c r="BI67" s="52" t="s">
        <v>7793</v>
      </c>
      <c r="BJ67" s="52" t="s">
        <v>5024</v>
      </c>
      <c r="BK67" s="52"/>
      <c r="BL67" s="52"/>
      <c r="BM67" s="52" t="s">
        <v>0</v>
      </c>
      <c r="BN67" s="52" t="s">
        <v>3851</v>
      </c>
      <c r="BO67" s="52" t="s">
        <v>6358</v>
      </c>
      <c r="BP67" s="52" t="s">
        <v>2303</v>
      </c>
      <c r="BQ67" s="52" t="s">
        <v>2303</v>
      </c>
      <c r="BR67" s="52" t="s">
        <v>2638</v>
      </c>
      <c r="BS67" s="52" t="s">
        <v>2636</v>
      </c>
      <c r="BT67" s="52" t="s">
        <v>2636</v>
      </c>
      <c r="BU67" s="84" t="s">
        <v>2117</v>
      </c>
      <c r="BV67" s="84"/>
      <c r="BW67" s="52"/>
      <c r="BX67" s="52" t="s">
        <v>3812</v>
      </c>
      <c r="BY67" s="52" t="s">
        <v>3820</v>
      </c>
      <c r="BZ67" s="52" t="s">
        <v>6179</v>
      </c>
      <c r="CA67" s="52" t="s">
        <v>3137</v>
      </c>
      <c r="CB67" s="52" t="s">
        <v>3138</v>
      </c>
      <c r="CC67" s="52"/>
      <c r="CD67" s="52"/>
      <c r="CE67" s="52" t="s">
        <v>3218</v>
      </c>
      <c r="CF67" s="52" t="s">
        <v>2213</v>
      </c>
    </row>
    <row r="68" spans="1:84">
      <c r="A68" s="88" t="s">
        <v>7229</v>
      </c>
      <c r="B68" s="200" t="s">
        <v>6717</v>
      </c>
      <c r="C68" s="36" t="s">
        <v>57</v>
      </c>
      <c r="D68" s="36" t="s">
        <v>57</v>
      </c>
      <c r="E68" s="36" t="s">
        <v>2785</v>
      </c>
      <c r="F68" s="36" t="s">
        <v>2785</v>
      </c>
      <c r="G68" s="38" t="s">
        <v>57</v>
      </c>
      <c r="H68" s="38" t="s">
        <v>57</v>
      </c>
      <c r="I68" s="38" t="s">
        <v>57</v>
      </c>
      <c r="J68" s="38" t="s">
        <v>57</v>
      </c>
      <c r="K68" s="38" t="s">
        <v>57</v>
      </c>
      <c r="L68" s="38" t="s">
        <v>57</v>
      </c>
      <c r="M68" s="38" t="s">
        <v>57</v>
      </c>
      <c r="N68" s="38" t="s">
        <v>57</v>
      </c>
      <c r="O68" s="38" t="s">
        <v>57</v>
      </c>
      <c r="P68" s="38" t="s">
        <v>57</v>
      </c>
      <c r="Q68" s="38" t="s">
        <v>57</v>
      </c>
      <c r="R68" s="38" t="s">
        <v>57</v>
      </c>
      <c r="S68" s="38" t="s">
        <v>57</v>
      </c>
      <c r="T68" s="38" t="s">
        <v>57</v>
      </c>
      <c r="U68" s="38" t="s">
        <v>57</v>
      </c>
      <c r="V68" s="73" t="s">
        <v>57</v>
      </c>
      <c r="W68" s="38" t="s">
        <v>57</v>
      </c>
      <c r="X68" s="38" t="s">
        <v>57</v>
      </c>
      <c r="Y68" s="38" t="s">
        <v>57</v>
      </c>
      <c r="Z68" s="38" t="s">
        <v>57</v>
      </c>
      <c r="AA68" s="38" t="s">
        <v>57</v>
      </c>
      <c r="AB68" s="38" t="s">
        <v>57</v>
      </c>
      <c r="AC68" s="38" t="s">
        <v>57</v>
      </c>
      <c r="AD68" s="38" t="s">
        <v>57</v>
      </c>
      <c r="AE68" s="7" t="s">
        <v>57</v>
      </c>
      <c r="AF68" s="7" t="s">
        <v>57</v>
      </c>
      <c r="AG68" s="38" t="s">
        <v>57</v>
      </c>
      <c r="AH68" s="38" t="s">
        <v>57</v>
      </c>
      <c r="AI68" s="38" t="s">
        <v>57</v>
      </c>
      <c r="AJ68" s="34" t="s">
        <v>3443</v>
      </c>
      <c r="AK68" s="7" t="s">
        <v>0</v>
      </c>
      <c r="AL68" s="34" t="s">
        <v>0</v>
      </c>
      <c r="AM68" s="38" t="s">
        <v>57</v>
      </c>
      <c r="AN68" s="38" t="s">
        <v>57</v>
      </c>
      <c r="AO68" s="38" t="s">
        <v>57</v>
      </c>
      <c r="AP68" s="38" t="s">
        <v>57</v>
      </c>
      <c r="AQ68" s="38" t="s">
        <v>57</v>
      </c>
      <c r="AR68" s="38" t="s">
        <v>57</v>
      </c>
      <c r="AS68" s="38" t="s">
        <v>57</v>
      </c>
      <c r="AT68" s="38" t="s">
        <v>57</v>
      </c>
      <c r="AU68" s="38" t="s">
        <v>57</v>
      </c>
      <c r="AV68" s="38" t="s">
        <v>57</v>
      </c>
      <c r="AW68" s="38" t="s">
        <v>57</v>
      </c>
      <c r="AX68" s="38" t="s">
        <v>57</v>
      </c>
      <c r="AY68" s="38" t="s">
        <v>57</v>
      </c>
      <c r="AZ68" s="38" t="s">
        <v>57</v>
      </c>
      <c r="BA68" s="38" t="s">
        <v>57</v>
      </c>
      <c r="BB68" s="38" t="s">
        <v>57</v>
      </c>
      <c r="BC68" s="38" t="s">
        <v>57</v>
      </c>
      <c r="BD68" s="36" t="s">
        <v>57</v>
      </c>
      <c r="BE68" s="38" t="s">
        <v>57</v>
      </c>
      <c r="BF68" s="36" t="s">
        <v>57</v>
      </c>
      <c r="BG68" s="38" t="s">
        <v>57</v>
      </c>
      <c r="BH68" s="38" t="s">
        <v>57</v>
      </c>
      <c r="BI68" s="36" t="s">
        <v>57</v>
      </c>
      <c r="BJ68" s="38" t="s">
        <v>57</v>
      </c>
      <c r="BK68" s="38" t="s">
        <v>57</v>
      </c>
      <c r="BL68" s="36" t="s">
        <v>57</v>
      </c>
      <c r="BM68" s="38" t="s">
        <v>0</v>
      </c>
      <c r="BN68" s="38" t="s">
        <v>57</v>
      </c>
      <c r="BO68" s="38"/>
      <c r="BP68" s="38" t="s">
        <v>57</v>
      </c>
      <c r="BQ68" s="38" t="s">
        <v>57</v>
      </c>
      <c r="BR68" s="38" t="s">
        <v>57</v>
      </c>
      <c r="BS68" s="38" t="s">
        <v>57</v>
      </c>
      <c r="BT68" s="38" t="s">
        <v>57</v>
      </c>
      <c r="BU68" s="36" t="s">
        <v>57</v>
      </c>
      <c r="BV68" s="36" t="s">
        <v>57</v>
      </c>
      <c r="BW68" s="38" t="s">
        <v>57</v>
      </c>
      <c r="BX68" s="38" t="s">
        <v>0</v>
      </c>
      <c r="BY68" s="38" t="s">
        <v>0</v>
      </c>
      <c r="BZ68" s="38" t="s">
        <v>57</v>
      </c>
      <c r="CA68" s="38" t="s">
        <v>57</v>
      </c>
      <c r="CB68" s="38" t="s">
        <v>57</v>
      </c>
      <c r="CC68" s="38" t="s">
        <v>57</v>
      </c>
      <c r="CD68" s="38" t="s">
        <v>57</v>
      </c>
      <c r="CE68" s="38" t="s">
        <v>57</v>
      </c>
      <c r="CF68" s="38" t="s">
        <v>57</v>
      </c>
    </row>
    <row r="69" spans="1:84">
      <c r="A69" s="51" t="s">
        <v>935</v>
      </c>
      <c r="B69" s="51"/>
      <c r="C69" s="52" t="s">
        <v>1650</v>
      </c>
      <c r="D69" s="52" t="s">
        <v>1650</v>
      </c>
      <c r="E69" s="52" t="s">
        <v>3749</v>
      </c>
      <c r="F69" s="52" t="s">
        <v>2783</v>
      </c>
      <c r="G69" s="52" t="s">
        <v>1463</v>
      </c>
      <c r="H69" s="52" t="s">
        <v>1463</v>
      </c>
      <c r="I69" s="52" t="s">
        <v>8191</v>
      </c>
      <c r="J69" s="52" t="s">
        <v>1650</v>
      </c>
      <c r="K69" s="52" t="s">
        <v>8191</v>
      </c>
      <c r="L69" s="52" t="s">
        <v>8191</v>
      </c>
      <c r="M69" s="52" t="s">
        <v>1650</v>
      </c>
      <c r="N69" s="52" t="s">
        <v>8191</v>
      </c>
      <c r="O69" s="52" t="s">
        <v>1650</v>
      </c>
      <c r="P69" s="52" t="s">
        <v>8191</v>
      </c>
      <c r="Q69" s="52" t="s">
        <v>8191</v>
      </c>
      <c r="R69" s="52" t="s">
        <v>1650</v>
      </c>
      <c r="S69" s="52" t="s">
        <v>8191</v>
      </c>
      <c r="T69" s="52" t="s">
        <v>5567</v>
      </c>
      <c r="U69" s="52" t="s">
        <v>5567</v>
      </c>
      <c r="V69" s="84"/>
      <c r="W69" s="52" t="s">
        <v>2025</v>
      </c>
      <c r="X69" s="52" t="s">
        <v>6410</v>
      </c>
      <c r="Y69" s="52" t="s">
        <v>2412</v>
      </c>
      <c r="Z69" s="52" t="s">
        <v>2412</v>
      </c>
      <c r="AA69" s="52" t="s">
        <v>2412</v>
      </c>
      <c r="AB69" s="52" t="s">
        <v>4672</v>
      </c>
      <c r="AC69" s="52" t="s">
        <v>4672</v>
      </c>
      <c r="AD69" s="52" t="s">
        <v>4672</v>
      </c>
      <c r="AE69" s="52" t="s">
        <v>6041</v>
      </c>
      <c r="AF69" s="52" t="s">
        <v>6041</v>
      </c>
      <c r="AG69" s="186" t="s">
        <v>7043</v>
      </c>
      <c r="AH69" s="186" t="s">
        <v>7043</v>
      </c>
      <c r="AI69" s="186" t="s">
        <v>7043</v>
      </c>
      <c r="AJ69" s="52" t="s">
        <v>6099</v>
      </c>
      <c r="AK69" s="52" t="s">
        <v>0</v>
      </c>
      <c r="AL69" s="52" t="s">
        <v>0</v>
      </c>
      <c r="AM69" s="52" t="s">
        <v>5448</v>
      </c>
      <c r="AN69" s="52" t="s">
        <v>5448</v>
      </c>
      <c r="AO69" s="52" t="s">
        <v>4283</v>
      </c>
      <c r="AP69" s="52" t="s">
        <v>2554</v>
      </c>
      <c r="AQ69" s="52" t="s">
        <v>2554</v>
      </c>
      <c r="AR69" s="52"/>
      <c r="AS69" s="52" t="s">
        <v>2037</v>
      </c>
      <c r="AT69" s="52" t="s">
        <v>2037</v>
      </c>
      <c r="AU69" s="52" t="s">
        <v>2037</v>
      </c>
      <c r="AV69" s="52" t="s">
        <v>4306</v>
      </c>
      <c r="AW69" s="52" t="s">
        <v>4306</v>
      </c>
      <c r="AX69" s="52" t="s">
        <v>1347</v>
      </c>
      <c r="AY69" s="52" t="s">
        <v>1347</v>
      </c>
      <c r="AZ69" s="52" t="s">
        <v>4550</v>
      </c>
      <c r="BA69" s="52" t="s">
        <v>4532</v>
      </c>
      <c r="BB69" s="52" t="s">
        <v>4503</v>
      </c>
      <c r="BC69" s="52" t="s">
        <v>4955</v>
      </c>
      <c r="BD69" s="52" t="s">
        <v>7582</v>
      </c>
      <c r="BE69" s="52" t="s">
        <v>4955</v>
      </c>
      <c r="BF69" s="52" t="s">
        <v>7582</v>
      </c>
      <c r="BG69" s="52" t="s">
        <v>4955</v>
      </c>
      <c r="BH69" s="52" t="s">
        <v>4955</v>
      </c>
      <c r="BI69" s="52" t="s">
        <v>7582</v>
      </c>
      <c r="BJ69" s="52" t="s">
        <v>4955</v>
      </c>
      <c r="BK69" s="52"/>
      <c r="BL69" s="52"/>
      <c r="BM69" s="52" t="s">
        <v>0</v>
      </c>
      <c r="BN69" s="52" t="s">
        <v>1650</v>
      </c>
      <c r="BO69" s="52"/>
      <c r="BP69" s="52" t="s">
        <v>1650</v>
      </c>
      <c r="BQ69" s="52" t="s">
        <v>1650</v>
      </c>
      <c r="BR69" s="52" t="s">
        <v>2723</v>
      </c>
      <c r="BS69" s="52" t="s">
        <v>2723</v>
      </c>
      <c r="BT69" s="52" t="s">
        <v>2723</v>
      </c>
      <c r="BU69" s="84" t="s">
        <v>2868</v>
      </c>
      <c r="BV69" s="84"/>
      <c r="BW69" s="52"/>
      <c r="BX69" s="52" t="s">
        <v>3914</v>
      </c>
      <c r="BY69" s="52" t="s">
        <v>3836</v>
      </c>
      <c r="BZ69" s="52" t="s">
        <v>6180</v>
      </c>
      <c r="CA69" s="52" t="s">
        <v>3139</v>
      </c>
      <c r="CB69" s="52" t="s">
        <v>3139</v>
      </c>
      <c r="CC69" s="52"/>
      <c r="CD69" s="52"/>
      <c r="CE69" s="52" t="s">
        <v>3236</v>
      </c>
      <c r="CF69" s="52" t="s">
        <v>2203</v>
      </c>
    </row>
    <row r="70" spans="1:84" ht="36">
      <c r="A70" s="88" t="s">
        <v>7</v>
      </c>
      <c r="B70" s="200" t="s">
        <v>6758</v>
      </c>
      <c r="C70" s="36" t="s">
        <v>5150</v>
      </c>
      <c r="D70" s="36" t="s">
        <v>5149</v>
      </c>
      <c r="E70" s="36" t="s">
        <v>3747</v>
      </c>
      <c r="F70" s="36" t="s">
        <v>2733</v>
      </c>
      <c r="G70" s="36" t="s">
        <v>5496</v>
      </c>
      <c r="H70" s="36" t="s">
        <v>5497</v>
      </c>
      <c r="I70" s="36" t="s">
        <v>8278</v>
      </c>
      <c r="J70" s="36" t="s">
        <v>3602</v>
      </c>
      <c r="K70" s="36" t="s">
        <v>8378</v>
      </c>
      <c r="L70" s="36" t="s">
        <v>8465</v>
      </c>
      <c r="M70" s="36" t="s">
        <v>5837</v>
      </c>
      <c r="N70" s="36" t="s">
        <v>8279</v>
      </c>
      <c r="O70" s="36" t="s">
        <v>4674</v>
      </c>
      <c r="P70" s="36" t="s">
        <v>8531</v>
      </c>
      <c r="Q70" s="36" t="s">
        <v>8531</v>
      </c>
      <c r="R70" s="36" t="s">
        <v>4674</v>
      </c>
      <c r="S70" s="36" t="s">
        <v>8531</v>
      </c>
      <c r="T70" s="36" t="s">
        <v>5568</v>
      </c>
      <c r="U70" s="36" t="s">
        <v>5569</v>
      </c>
      <c r="V70" s="73" t="s">
        <v>5721</v>
      </c>
      <c r="W70" s="7" t="s">
        <v>819</v>
      </c>
      <c r="X70" s="7" t="s">
        <v>6411</v>
      </c>
      <c r="Y70" s="36" t="s">
        <v>2342</v>
      </c>
      <c r="Z70" s="36" t="s">
        <v>2341</v>
      </c>
      <c r="AA70" s="36" t="s">
        <v>2343</v>
      </c>
      <c r="AB70" s="36" t="s">
        <v>4673</v>
      </c>
      <c r="AC70" s="36" t="s">
        <v>4674</v>
      </c>
      <c r="AD70" s="36" t="s">
        <v>410</v>
      </c>
      <c r="AE70" s="7" t="s">
        <v>5979</v>
      </c>
      <c r="AF70" s="7" t="s">
        <v>5979</v>
      </c>
      <c r="AG70" s="36" t="s">
        <v>6989</v>
      </c>
      <c r="AH70" s="36" t="s">
        <v>7117</v>
      </c>
      <c r="AI70" s="36" t="s">
        <v>7117</v>
      </c>
      <c r="AJ70" s="7" t="s">
        <v>3446</v>
      </c>
      <c r="AK70" s="7" t="s">
        <v>410</v>
      </c>
      <c r="AL70" s="37" t="s">
        <v>4174</v>
      </c>
      <c r="AM70" s="159" t="s">
        <v>359</v>
      </c>
      <c r="AN70" s="159" t="s">
        <v>359</v>
      </c>
      <c r="AO70" s="36" t="s">
        <v>4234</v>
      </c>
      <c r="AP70" s="36" t="s">
        <v>2305</v>
      </c>
      <c r="AQ70" s="36" t="s">
        <v>6331</v>
      </c>
      <c r="AR70" s="36" t="s">
        <v>930</v>
      </c>
      <c r="AS70" s="36" t="s">
        <v>6363</v>
      </c>
      <c r="AT70" s="36" t="s">
        <v>1946</v>
      </c>
      <c r="AU70" s="36" t="s">
        <v>1946</v>
      </c>
      <c r="AV70" s="36" t="s">
        <v>860</v>
      </c>
      <c r="AW70" s="36" t="s">
        <v>860</v>
      </c>
      <c r="AX70" s="36" t="s">
        <v>994</v>
      </c>
      <c r="AY70" s="36" t="s">
        <v>994</v>
      </c>
      <c r="AZ70" s="36" t="s">
        <v>3687</v>
      </c>
      <c r="BA70" s="36" t="s">
        <v>3602</v>
      </c>
      <c r="BB70" s="36" t="s">
        <v>4506</v>
      </c>
      <c r="BC70" s="36" t="s">
        <v>282</v>
      </c>
      <c r="BD70" s="36" t="s">
        <v>7584</v>
      </c>
      <c r="BE70" s="36" t="s">
        <v>282</v>
      </c>
      <c r="BF70" s="36" t="s">
        <v>7584</v>
      </c>
      <c r="BG70" s="36" t="s">
        <v>282</v>
      </c>
      <c r="BH70" s="36" t="s">
        <v>7886</v>
      </c>
      <c r="BI70" s="36" t="s">
        <v>7787</v>
      </c>
      <c r="BJ70" s="36" t="s">
        <v>4997</v>
      </c>
      <c r="BK70" s="36" t="s">
        <v>6138</v>
      </c>
      <c r="BL70" s="36" t="s">
        <v>5837</v>
      </c>
      <c r="BM70" s="38" t="s">
        <v>0</v>
      </c>
      <c r="BN70" s="36" t="s">
        <v>3839</v>
      </c>
      <c r="BO70" s="36"/>
      <c r="BP70" s="36" t="s">
        <v>2222</v>
      </c>
      <c r="BQ70" s="36" t="s">
        <v>2305</v>
      </c>
      <c r="BR70" s="36" t="s">
        <v>2618</v>
      </c>
      <c r="BS70" s="36" t="s">
        <v>2619</v>
      </c>
      <c r="BT70" s="36" t="s">
        <v>2619</v>
      </c>
      <c r="BU70" s="36" t="s">
        <v>1228</v>
      </c>
      <c r="BV70" s="36" t="s">
        <v>284</v>
      </c>
      <c r="BW70" s="36" t="s">
        <v>678</v>
      </c>
      <c r="BX70" s="36" t="s">
        <v>3759</v>
      </c>
      <c r="BY70" s="36" t="s">
        <v>3760</v>
      </c>
      <c r="BZ70" s="36" t="s">
        <v>6265</v>
      </c>
      <c r="CA70" s="36" t="s">
        <v>3121</v>
      </c>
      <c r="CB70" s="36" t="s">
        <v>285</v>
      </c>
      <c r="CC70" s="36" t="s">
        <v>303</v>
      </c>
      <c r="CD70" s="36" t="s">
        <v>304</v>
      </c>
      <c r="CE70" s="36" t="s">
        <v>3223</v>
      </c>
      <c r="CF70" s="36" t="s">
        <v>819</v>
      </c>
    </row>
    <row r="71" spans="1:84" ht="18">
      <c r="A71" s="51" t="s">
        <v>935</v>
      </c>
      <c r="B71" s="51"/>
      <c r="C71" s="52" t="s">
        <v>2304</v>
      </c>
      <c r="D71" s="52" t="s">
        <v>5151</v>
      </c>
      <c r="E71" s="52" t="s">
        <v>2790</v>
      </c>
      <c r="F71" s="52" t="s">
        <v>2790</v>
      </c>
      <c r="G71" s="52" t="s">
        <v>1466</v>
      </c>
      <c r="H71" s="52" t="s">
        <v>1413</v>
      </c>
      <c r="I71" s="52" t="s">
        <v>8205</v>
      </c>
      <c r="J71" s="52" t="s">
        <v>5308</v>
      </c>
      <c r="K71" s="52" t="s">
        <v>8379</v>
      </c>
      <c r="L71" s="52" t="s">
        <v>8464</v>
      </c>
      <c r="M71" s="52" t="s">
        <v>3327</v>
      </c>
      <c r="N71" s="52" t="s">
        <v>8280</v>
      </c>
      <c r="O71" s="52" t="s">
        <v>1616</v>
      </c>
      <c r="P71" s="52" t="s">
        <v>8668</v>
      </c>
      <c r="Q71" s="52" t="s">
        <v>8668</v>
      </c>
      <c r="R71" s="52" t="s">
        <v>1561</v>
      </c>
      <c r="S71" s="52" t="s">
        <v>8532</v>
      </c>
      <c r="T71" s="52" t="s">
        <v>5570</v>
      </c>
      <c r="U71" s="52" t="s">
        <v>5570</v>
      </c>
      <c r="V71" s="84"/>
      <c r="W71" s="52" t="s">
        <v>4442</v>
      </c>
      <c r="X71" s="84" t="s">
        <v>6427</v>
      </c>
      <c r="Y71" s="52" t="s">
        <v>2414</v>
      </c>
      <c r="Z71" s="52" t="s">
        <v>2340</v>
      </c>
      <c r="AA71" s="52" t="s">
        <v>2340</v>
      </c>
      <c r="AB71" s="52" t="s">
        <v>5947</v>
      </c>
      <c r="AC71" s="52" t="s">
        <v>5924</v>
      </c>
      <c r="AD71" s="52" t="s">
        <v>5956</v>
      </c>
      <c r="AE71" s="52" t="s">
        <v>5996</v>
      </c>
      <c r="AF71" s="52" t="s">
        <v>6079</v>
      </c>
      <c r="AG71" s="186" t="s">
        <v>7042</v>
      </c>
      <c r="AH71" s="186" t="s">
        <v>7118</v>
      </c>
      <c r="AI71" s="186" t="s">
        <v>7158</v>
      </c>
      <c r="AJ71" s="52" t="s">
        <v>6088</v>
      </c>
      <c r="AK71" s="52" t="s">
        <v>4203</v>
      </c>
      <c r="AL71" s="52" t="s">
        <v>4203</v>
      </c>
      <c r="AM71" s="52" t="s">
        <v>5416</v>
      </c>
      <c r="AN71" s="52" t="s">
        <v>5416</v>
      </c>
      <c r="AO71" s="52" t="s">
        <v>4285</v>
      </c>
      <c r="AP71" s="52" t="s">
        <v>1025</v>
      </c>
      <c r="AQ71" s="52" t="s">
        <v>1025</v>
      </c>
      <c r="AR71" s="52"/>
      <c r="AS71" s="52" t="s">
        <v>1025</v>
      </c>
      <c r="AT71" s="52" t="s">
        <v>1025</v>
      </c>
      <c r="AU71" s="52" t="s">
        <v>1025</v>
      </c>
      <c r="AV71" s="52" t="s">
        <v>4307</v>
      </c>
      <c r="AW71" s="52" t="s">
        <v>4307</v>
      </c>
      <c r="AX71" s="52" t="s">
        <v>1346</v>
      </c>
      <c r="AY71" s="52" t="s">
        <v>1346</v>
      </c>
      <c r="AZ71" s="52" t="s">
        <v>3686</v>
      </c>
      <c r="BA71" s="52" t="s">
        <v>3601</v>
      </c>
      <c r="BB71" s="52" t="s">
        <v>4505</v>
      </c>
      <c r="BC71" s="52" t="s">
        <v>4862</v>
      </c>
      <c r="BD71" s="84" t="s">
        <v>7762</v>
      </c>
      <c r="BE71" s="52" t="s">
        <v>4894</v>
      </c>
      <c r="BF71" s="52" t="s">
        <v>7789</v>
      </c>
      <c r="BG71" s="52" t="s">
        <v>4862</v>
      </c>
      <c r="BH71" s="84" t="s">
        <v>7885</v>
      </c>
      <c r="BI71" s="52" t="s">
        <v>7788</v>
      </c>
      <c r="BJ71" s="52" t="s">
        <v>5470</v>
      </c>
      <c r="BK71" s="52"/>
      <c r="BL71" s="52"/>
      <c r="BM71" s="52" t="s">
        <v>0</v>
      </c>
      <c r="BN71" s="52" t="s">
        <v>3863</v>
      </c>
      <c r="BO71" s="52"/>
      <c r="BP71" s="52" t="s">
        <v>2221</v>
      </c>
      <c r="BQ71" s="52" t="s">
        <v>2304</v>
      </c>
      <c r="BR71" s="52" t="s">
        <v>2639</v>
      </c>
      <c r="BS71" s="52" t="s">
        <v>2640</v>
      </c>
      <c r="BT71" s="52" t="s">
        <v>2640</v>
      </c>
      <c r="BU71" s="84" t="s">
        <v>2871</v>
      </c>
      <c r="BV71" s="84"/>
      <c r="BW71" s="52"/>
      <c r="BX71" s="52" t="s">
        <v>3915</v>
      </c>
      <c r="BY71" s="52" t="s">
        <v>3785</v>
      </c>
      <c r="BZ71" s="52" t="s">
        <v>6181</v>
      </c>
      <c r="CA71" s="52" t="s">
        <v>3140</v>
      </c>
      <c r="CB71" s="52" t="s">
        <v>3083</v>
      </c>
      <c r="CC71" s="52"/>
      <c r="CD71" s="52"/>
      <c r="CE71" s="52" t="s">
        <v>3224</v>
      </c>
      <c r="CF71" s="52" t="s">
        <v>2206</v>
      </c>
    </row>
    <row r="72" spans="1:84" ht="108">
      <c r="A72" s="198" t="s">
        <v>6952</v>
      </c>
      <c r="B72" s="200" t="s">
        <v>6951</v>
      </c>
      <c r="C72" s="113" t="s">
        <v>57</v>
      </c>
      <c r="D72" s="113" t="s">
        <v>57</v>
      </c>
      <c r="E72" s="113"/>
      <c r="F72" s="113"/>
      <c r="G72" s="114"/>
      <c r="H72" s="114"/>
      <c r="I72" s="36" t="s">
        <v>0</v>
      </c>
      <c r="J72" s="114"/>
      <c r="K72" s="36" t="s">
        <v>0</v>
      </c>
      <c r="L72" s="36" t="s">
        <v>0</v>
      </c>
      <c r="M72" s="114"/>
      <c r="N72" s="36" t="s">
        <v>0</v>
      </c>
      <c r="O72" s="114"/>
      <c r="P72" s="36" t="s">
        <v>8666</v>
      </c>
      <c r="Q72" s="36" t="s">
        <v>8666</v>
      </c>
      <c r="R72" s="114"/>
      <c r="S72" s="36" t="s">
        <v>8574</v>
      </c>
      <c r="T72" s="113"/>
      <c r="U72" s="113"/>
      <c r="V72" s="227"/>
      <c r="W72" s="114"/>
      <c r="X72" s="215"/>
      <c r="Y72" s="113"/>
      <c r="Z72" s="113"/>
      <c r="AA72" s="113"/>
      <c r="AB72" s="114"/>
      <c r="AC72" s="114"/>
      <c r="AD72" s="114"/>
      <c r="AE72" s="215"/>
      <c r="AF72" s="215"/>
      <c r="AG72" s="36" t="s">
        <v>0</v>
      </c>
      <c r="AH72" s="36" t="s">
        <v>9023</v>
      </c>
      <c r="AI72" s="36" t="s">
        <v>0</v>
      </c>
      <c r="AJ72" s="215"/>
      <c r="AK72" s="215"/>
      <c r="AL72" s="226"/>
      <c r="AM72" s="114"/>
      <c r="AN72" s="114"/>
      <c r="AO72" s="114"/>
      <c r="AP72" s="113"/>
      <c r="AQ72" s="113"/>
      <c r="AR72" s="114"/>
      <c r="AS72" s="114"/>
      <c r="AT72" s="114"/>
      <c r="AU72" s="114"/>
      <c r="AV72" s="113"/>
      <c r="AW72" s="113"/>
      <c r="AX72" s="114"/>
      <c r="AY72" s="114"/>
      <c r="AZ72" s="114"/>
      <c r="BA72" s="114"/>
      <c r="BB72" s="114"/>
      <c r="BC72" s="114"/>
      <c r="BD72" s="36" t="s">
        <v>0</v>
      </c>
      <c r="BE72" s="114"/>
      <c r="BF72" s="36" t="s">
        <v>0</v>
      </c>
      <c r="BG72" s="114"/>
      <c r="BH72" s="36" t="s">
        <v>0</v>
      </c>
      <c r="BI72" s="36" t="s">
        <v>0</v>
      </c>
      <c r="BJ72" s="113"/>
      <c r="BK72" s="114"/>
      <c r="BL72" s="114"/>
      <c r="BM72" s="113"/>
      <c r="BN72" s="114"/>
      <c r="BO72" s="114"/>
      <c r="BP72" s="114"/>
      <c r="BQ72" s="114"/>
      <c r="BR72" s="113"/>
      <c r="BS72" s="113"/>
      <c r="BT72" s="114"/>
      <c r="BU72" s="114"/>
      <c r="BV72" s="114"/>
      <c r="BW72" s="113"/>
      <c r="BX72" s="113"/>
      <c r="BY72" s="113"/>
      <c r="BZ72" s="113"/>
      <c r="CA72" s="114"/>
      <c r="CB72" s="114"/>
      <c r="CC72" s="113"/>
      <c r="CD72" s="113"/>
      <c r="CE72" s="114"/>
      <c r="CF72" s="114"/>
    </row>
    <row r="73" spans="1:84">
      <c r="A73" s="51" t="s">
        <v>935</v>
      </c>
      <c r="B73" s="51"/>
      <c r="C73" s="52" t="s">
        <v>5153</v>
      </c>
      <c r="D73" s="52" t="s">
        <v>5175</v>
      </c>
      <c r="E73" s="52"/>
      <c r="F73" s="52"/>
      <c r="G73" s="52"/>
      <c r="H73" s="52"/>
      <c r="I73" s="84" t="s">
        <v>0</v>
      </c>
      <c r="J73" s="52"/>
      <c r="K73" s="84" t="s">
        <v>0</v>
      </c>
      <c r="L73" s="84" t="s">
        <v>0</v>
      </c>
      <c r="M73" s="52"/>
      <c r="N73" s="84" t="s">
        <v>0</v>
      </c>
      <c r="O73" s="52"/>
      <c r="P73" s="52" t="s">
        <v>8667</v>
      </c>
      <c r="Q73" s="52" t="s">
        <v>8667</v>
      </c>
      <c r="R73" s="52"/>
      <c r="S73" s="84" t="s">
        <v>8575</v>
      </c>
      <c r="T73" s="119"/>
      <c r="U73" s="119"/>
      <c r="V73" s="84"/>
      <c r="W73" s="52"/>
      <c r="X73" s="84"/>
      <c r="Y73" s="52"/>
      <c r="Z73" s="52"/>
      <c r="AA73" s="52"/>
      <c r="AB73" s="52"/>
      <c r="AC73" s="52"/>
      <c r="AD73" s="52"/>
      <c r="AE73" s="52"/>
      <c r="AF73" s="52"/>
      <c r="AG73" s="52" t="s">
        <v>0</v>
      </c>
      <c r="AH73" s="84" t="s">
        <v>7159</v>
      </c>
      <c r="AI73" s="52" t="s">
        <v>0</v>
      </c>
      <c r="AJ73" s="52"/>
      <c r="AK73" s="52"/>
      <c r="AL73" s="52"/>
      <c r="AM73" s="52"/>
      <c r="AN73" s="52"/>
      <c r="AO73" s="52"/>
      <c r="AP73" s="52"/>
      <c r="AQ73" s="52"/>
      <c r="AR73" s="52"/>
      <c r="AS73" s="52"/>
      <c r="AT73" s="52"/>
      <c r="AU73" s="52"/>
      <c r="AV73" s="52"/>
      <c r="AW73" s="52"/>
      <c r="AX73" s="52"/>
      <c r="AY73" s="52"/>
      <c r="AZ73" s="52"/>
      <c r="BA73" s="52"/>
      <c r="BB73" s="52"/>
      <c r="BC73" s="52"/>
      <c r="BD73" s="52" t="s">
        <v>0</v>
      </c>
      <c r="BE73" s="52"/>
      <c r="BF73" s="52" t="s">
        <v>0</v>
      </c>
      <c r="BG73" s="52"/>
      <c r="BH73" s="52" t="s">
        <v>0</v>
      </c>
      <c r="BI73" s="52" t="s">
        <v>0</v>
      </c>
      <c r="BJ73" s="52"/>
      <c r="BK73" s="52"/>
      <c r="BL73" s="52"/>
      <c r="BM73" s="52"/>
      <c r="BN73" s="52"/>
      <c r="BO73" s="52"/>
      <c r="BP73" s="52"/>
      <c r="BQ73" s="52"/>
      <c r="BR73" s="52"/>
      <c r="BS73" s="52"/>
      <c r="BT73" s="52"/>
      <c r="BU73" s="84"/>
      <c r="BV73" s="84"/>
      <c r="BW73" s="52"/>
      <c r="BX73" s="52"/>
      <c r="BY73" s="52"/>
      <c r="BZ73" s="52"/>
      <c r="CA73" s="52"/>
      <c r="CB73" s="52"/>
      <c r="CC73" s="52"/>
      <c r="CD73" s="52"/>
      <c r="CE73" s="52"/>
      <c r="CF73" s="52"/>
    </row>
    <row r="74" spans="1:84" ht="27">
      <c r="A74" s="88" t="s">
        <v>321</v>
      </c>
      <c r="B74" s="200"/>
      <c r="C74" s="38" t="s">
        <v>57</v>
      </c>
      <c r="D74" s="38" t="s">
        <v>57</v>
      </c>
      <c r="E74" s="38" t="s">
        <v>0</v>
      </c>
      <c r="F74" s="38" t="s">
        <v>57</v>
      </c>
      <c r="G74" s="36" t="s">
        <v>5501</v>
      </c>
      <c r="H74" s="36" t="s">
        <v>5502</v>
      </c>
      <c r="I74" s="36" t="s">
        <v>0</v>
      </c>
      <c r="J74" s="36" t="s">
        <v>5276</v>
      </c>
      <c r="K74" s="36" t="s">
        <v>8375</v>
      </c>
      <c r="L74" s="36" t="s">
        <v>8453</v>
      </c>
      <c r="M74" s="36" t="s">
        <v>5809</v>
      </c>
      <c r="N74" s="36" t="s">
        <v>8376</v>
      </c>
      <c r="O74" s="36" t="s">
        <v>5780</v>
      </c>
      <c r="P74" s="36" t="s">
        <v>8518</v>
      </c>
      <c r="Q74" s="36" t="s">
        <v>8518</v>
      </c>
      <c r="R74" s="36" t="s">
        <v>5809</v>
      </c>
      <c r="S74" s="36" t="s">
        <v>8518</v>
      </c>
      <c r="T74" s="38" t="s">
        <v>223</v>
      </c>
      <c r="U74" s="38" t="s">
        <v>210</v>
      </c>
      <c r="V74" s="73" t="s">
        <v>6</v>
      </c>
      <c r="W74" s="36" t="s">
        <v>4428</v>
      </c>
      <c r="X74" s="7" t="s">
        <v>6412</v>
      </c>
      <c r="Y74" s="38" t="s">
        <v>0</v>
      </c>
      <c r="Z74" s="38" t="s">
        <v>0</v>
      </c>
      <c r="AA74" s="38" t="s">
        <v>0</v>
      </c>
      <c r="AB74" s="36" t="s">
        <v>4803</v>
      </c>
      <c r="AC74" s="36" t="s">
        <v>4806</v>
      </c>
      <c r="AD74" s="36" t="s">
        <v>4802</v>
      </c>
      <c r="AE74" s="7" t="s">
        <v>57</v>
      </c>
      <c r="AF74" s="7" t="s">
        <v>57</v>
      </c>
      <c r="AG74" s="36" t="s">
        <v>7013</v>
      </c>
      <c r="AH74" s="36" t="s">
        <v>7013</v>
      </c>
      <c r="AI74" s="36" t="s">
        <v>7013</v>
      </c>
      <c r="AJ74" s="7" t="s">
        <v>3451</v>
      </c>
      <c r="AK74" s="7" t="s">
        <v>0</v>
      </c>
      <c r="AL74" s="37" t="s">
        <v>3854</v>
      </c>
      <c r="AM74" s="36" t="s">
        <v>5343</v>
      </c>
      <c r="AN74" s="36" t="s">
        <v>5369</v>
      </c>
      <c r="AO74" s="36" t="s">
        <v>57</v>
      </c>
      <c r="AP74" s="38" t="s">
        <v>0</v>
      </c>
      <c r="AQ74" s="38" t="s">
        <v>6332</v>
      </c>
      <c r="AR74" s="36" t="s">
        <v>926</v>
      </c>
      <c r="AS74" s="36" t="s">
        <v>159</v>
      </c>
      <c r="AT74" s="36" t="s">
        <v>6364</v>
      </c>
      <c r="AU74" s="36" t="s">
        <v>6364</v>
      </c>
      <c r="AV74" s="38" t="s">
        <v>57</v>
      </c>
      <c r="AW74" s="38" t="s">
        <v>57</v>
      </c>
      <c r="AX74" s="36" t="s">
        <v>1313</v>
      </c>
      <c r="AY74" s="36" t="s">
        <v>1313</v>
      </c>
      <c r="AZ74" s="36" t="s">
        <v>0</v>
      </c>
      <c r="BA74" s="36" t="s">
        <v>0</v>
      </c>
      <c r="BB74" s="36" t="s">
        <v>57</v>
      </c>
      <c r="BC74" s="36" t="s">
        <v>57</v>
      </c>
      <c r="BD74" s="36" t="s">
        <v>57</v>
      </c>
      <c r="BE74" s="36" t="s">
        <v>4953</v>
      </c>
      <c r="BF74" s="36" t="s">
        <v>57</v>
      </c>
      <c r="BG74" s="36" t="s">
        <v>57</v>
      </c>
      <c r="BH74" s="38" t="s">
        <v>57</v>
      </c>
      <c r="BI74" s="38" t="s">
        <v>7795</v>
      </c>
      <c r="BJ74" s="38" t="s">
        <v>159</v>
      </c>
      <c r="BK74" s="36" t="s">
        <v>159</v>
      </c>
      <c r="BL74" s="36" t="s">
        <v>305</v>
      </c>
      <c r="BM74" s="38" t="s">
        <v>0</v>
      </c>
      <c r="BN74" s="36" t="s">
        <v>3854</v>
      </c>
      <c r="BO74" s="36"/>
      <c r="BP74" s="36" t="s">
        <v>2229</v>
      </c>
      <c r="BQ74" s="36" t="s">
        <v>0</v>
      </c>
      <c r="BR74" s="38" t="s">
        <v>0</v>
      </c>
      <c r="BS74" s="38" t="s">
        <v>210</v>
      </c>
      <c r="BT74" s="36" t="s">
        <v>2660</v>
      </c>
      <c r="BU74" s="36" t="s">
        <v>57</v>
      </c>
      <c r="BV74" s="36" t="s">
        <v>17</v>
      </c>
      <c r="BW74" s="38" t="s">
        <v>26</v>
      </c>
      <c r="BX74" s="38" t="s">
        <v>0</v>
      </c>
      <c r="BY74" s="38" t="s">
        <v>57</v>
      </c>
      <c r="BZ74" s="38" t="s">
        <v>57</v>
      </c>
      <c r="CA74" s="36" t="s">
        <v>776</v>
      </c>
      <c r="CB74" s="36" t="s">
        <v>776</v>
      </c>
      <c r="CC74" s="38" t="s">
        <v>0</v>
      </c>
      <c r="CD74" s="38" t="s">
        <v>0</v>
      </c>
      <c r="CE74" s="36" t="s">
        <v>0</v>
      </c>
      <c r="CF74" s="36" t="s">
        <v>2153</v>
      </c>
    </row>
    <row r="75" spans="1:84" ht="18">
      <c r="A75" s="51" t="s">
        <v>935</v>
      </c>
      <c r="B75" s="51"/>
      <c r="C75" s="52" t="s">
        <v>5153</v>
      </c>
      <c r="D75" s="52" t="s">
        <v>5175</v>
      </c>
      <c r="E75" s="52" t="s">
        <v>0</v>
      </c>
      <c r="F75" s="52" t="s">
        <v>2766</v>
      </c>
      <c r="G75" s="52" t="s">
        <v>1407</v>
      </c>
      <c r="H75" s="52" t="s">
        <v>1407</v>
      </c>
      <c r="I75" s="84" t="s">
        <v>0</v>
      </c>
      <c r="J75" s="52" t="s">
        <v>5291</v>
      </c>
      <c r="K75" s="84" t="s">
        <v>8377</v>
      </c>
      <c r="L75" s="84" t="s">
        <v>8452</v>
      </c>
      <c r="M75" s="52" t="s">
        <v>3327</v>
      </c>
      <c r="N75" s="84" t="s">
        <v>8269</v>
      </c>
      <c r="O75" s="52" t="s">
        <v>1603</v>
      </c>
      <c r="P75" s="52" t="s">
        <v>8665</v>
      </c>
      <c r="Q75" s="52" t="s">
        <v>8665</v>
      </c>
      <c r="R75" s="52" t="s">
        <v>3412</v>
      </c>
      <c r="S75" s="52" t="s">
        <v>8519</v>
      </c>
      <c r="T75" s="119" t="s">
        <v>5572</v>
      </c>
      <c r="U75" s="119" t="s">
        <v>5572</v>
      </c>
      <c r="V75" s="84"/>
      <c r="W75" s="52" t="s">
        <v>4423</v>
      </c>
      <c r="X75" s="84" t="s">
        <v>6426</v>
      </c>
      <c r="Y75" s="52" t="s">
        <v>0</v>
      </c>
      <c r="Z75" s="52" t="s">
        <v>0</v>
      </c>
      <c r="AA75" s="52" t="s">
        <v>0</v>
      </c>
      <c r="AB75" s="52" t="s">
        <v>4804</v>
      </c>
      <c r="AC75" s="52" t="s">
        <v>4805</v>
      </c>
      <c r="AD75" s="52" t="s">
        <v>4801</v>
      </c>
      <c r="AE75" s="52" t="s">
        <v>6061</v>
      </c>
      <c r="AF75" s="52" t="s">
        <v>6061</v>
      </c>
      <c r="AG75" s="186" t="s">
        <v>7041</v>
      </c>
      <c r="AH75" s="186" t="s">
        <v>7041</v>
      </c>
      <c r="AI75" s="186" t="s">
        <v>7041</v>
      </c>
      <c r="AJ75" s="52" t="s">
        <v>6114</v>
      </c>
      <c r="AK75" s="52" t="s">
        <v>0</v>
      </c>
      <c r="AL75" s="52" t="s">
        <v>1872</v>
      </c>
      <c r="AM75" s="52" t="s">
        <v>5344</v>
      </c>
      <c r="AN75" s="52" t="s">
        <v>5396</v>
      </c>
      <c r="AO75" s="52" t="s">
        <v>4220</v>
      </c>
      <c r="AP75" s="52" t="s">
        <v>0</v>
      </c>
      <c r="AQ75" s="52" t="s">
        <v>6333</v>
      </c>
      <c r="AR75" s="52"/>
      <c r="AS75" s="52" t="s">
        <v>1025</v>
      </c>
      <c r="AT75" s="52" t="s">
        <v>1025</v>
      </c>
      <c r="AU75" s="52" t="s">
        <v>1025</v>
      </c>
      <c r="AV75" s="52" t="s">
        <v>4342</v>
      </c>
      <c r="AW75" s="52" t="s">
        <v>4342</v>
      </c>
      <c r="AX75" s="52" t="s">
        <v>1312</v>
      </c>
      <c r="AY75" s="52" t="s">
        <v>1312</v>
      </c>
      <c r="AZ75" s="52" t="s">
        <v>0</v>
      </c>
      <c r="BA75" s="52" t="s">
        <v>0</v>
      </c>
      <c r="BB75" s="52" t="s">
        <v>4507</v>
      </c>
      <c r="BC75" s="52" t="s">
        <v>4849</v>
      </c>
      <c r="BD75" s="52" t="s">
        <v>7706</v>
      </c>
      <c r="BE75" s="52" t="s">
        <v>4954</v>
      </c>
      <c r="BF75" s="52" t="s">
        <v>7585</v>
      </c>
      <c r="BG75" s="52" t="s">
        <v>4849</v>
      </c>
      <c r="BH75" s="52" t="s">
        <v>7869</v>
      </c>
      <c r="BI75" s="52" t="s">
        <v>7794</v>
      </c>
      <c r="BJ75" s="52" t="s">
        <v>4996</v>
      </c>
      <c r="BK75" s="52"/>
      <c r="BL75" s="52"/>
      <c r="BM75" s="52" t="s">
        <v>0</v>
      </c>
      <c r="BN75" s="52" t="s">
        <v>3853</v>
      </c>
      <c r="BO75" s="52"/>
      <c r="BP75" s="52" t="s">
        <v>6144</v>
      </c>
      <c r="BQ75" s="52" t="s">
        <v>0</v>
      </c>
      <c r="BR75" s="52" t="s">
        <v>2727</v>
      </c>
      <c r="BS75" s="52" t="s">
        <v>2681</v>
      </c>
      <c r="BT75" s="52" t="s">
        <v>2659</v>
      </c>
      <c r="BU75" s="84" t="s">
        <v>2874</v>
      </c>
      <c r="BV75" s="84"/>
      <c r="BW75" s="52"/>
      <c r="BX75" s="52" t="s">
        <v>0</v>
      </c>
      <c r="BY75" s="52" t="s">
        <v>3805</v>
      </c>
      <c r="BZ75" s="52" t="s">
        <v>6182</v>
      </c>
      <c r="CA75" s="52" t="s">
        <v>3110</v>
      </c>
      <c r="CB75" s="52" t="s">
        <v>3110</v>
      </c>
      <c r="CC75" s="52"/>
      <c r="CD75" s="52"/>
      <c r="CE75" s="52" t="s">
        <v>0</v>
      </c>
      <c r="CF75" s="52" t="s">
        <v>2152</v>
      </c>
    </row>
    <row r="76" spans="1:84" ht="18">
      <c r="A76" s="88" t="s">
        <v>451</v>
      </c>
      <c r="B76" s="200"/>
      <c r="C76" s="38" t="s">
        <v>57</v>
      </c>
      <c r="D76" s="38" t="s">
        <v>57</v>
      </c>
      <c r="E76" s="38" t="s">
        <v>57</v>
      </c>
      <c r="F76" s="38" t="s">
        <v>57</v>
      </c>
      <c r="G76" s="38" t="s">
        <v>57</v>
      </c>
      <c r="H76" s="38" t="s">
        <v>57</v>
      </c>
      <c r="I76" s="36" t="s">
        <v>57</v>
      </c>
      <c r="J76" s="38" t="s">
        <v>57</v>
      </c>
      <c r="K76" s="36" t="s">
        <v>57</v>
      </c>
      <c r="L76" s="36" t="s">
        <v>57</v>
      </c>
      <c r="M76" s="38" t="s">
        <v>57</v>
      </c>
      <c r="N76" s="36" t="s">
        <v>57</v>
      </c>
      <c r="O76" s="38" t="s">
        <v>57</v>
      </c>
      <c r="P76" s="36" t="s">
        <v>57</v>
      </c>
      <c r="Q76" s="36" t="s">
        <v>57</v>
      </c>
      <c r="R76" s="38" t="s">
        <v>57</v>
      </c>
      <c r="S76" s="36" t="s">
        <v>57</v>
      </c>
      <c r="T76" s="38" t="s">
        <v>1045</v>
      </c>
      <c r="U76" s="38" t="s">
        <v>752</v>
      </c>
      <c r="V76" s="73" t="s">
        <v>57</v>
      </c>
      <c r="W76" s="38" t="s">
        <v>57</v>
      </c>
      <c r="X76" s="36" t="s">
        <v>6413</v>
      </c>
      <c r="Y76" s="38" t="s">
        <v>57</v>
      </c>
      <c r="Z76" s="38" t="s">
        <v>57</v>
      </c>
      <c r="AA76" s="38" t="s">
        <v>57</v>
      </c>
      <c r="AB76" s="38" t="s">
        <v>57</v>
      </c>
      <c r="AC76" s="38" t="s">
        <v>57</v>
      </c>
      <c r="AD76" s="38" t="s">
        <v>57</v>
      </c>
      <c r="AE76" s="7" t="s">
        <v>196</v>
      </c>
      <c r="AF76" s="7" t="s">
        <v>196</v>
      </c>
      <c r="AG76" s="36" t="s">
        <v>6990</v>
      </c>
      <c r="AH76" s="36" t="s">
        <v>6990</v>
      </c>
      <c r="AI76" s="36" t="s">
        <v>6990</v>
      </c>
      <c r="AJ76" s="7" t="s">
        <v>0</v>
      </c>
      <c r="AK76" s="7" t="s">
        <v>57</v>
      </c>
      <c r="AL76" s="7" t="s">
        <v>57</v>
      </c>
      <c r="AM76" s="38" t="s">
        <v>57</v>
      </c>
      <c r="AN76" s="38" t="s">
        <v>57</v>
      </c>
      <c r="AO76" s="38" t="s">
        <v>57</v>
      </c>
      <c r="AP76" s="38" t="s">
        <v>0</v>
      </c>
      <c r="AQ76" s="38" t="s">
        <v>57</v>
      </c>
      <c r="AR76" s="38" t="s">
        <v>57</v>
      </c>
      <c r="AS76" s="38" t="s">
        <v>57</v>
      </c>
      <c r="AT76" s="38" t="s">
        <v>57</v>
      </c>
      <c r="AU76" s="38" t="s">
        <v>57</v>
      </c>
      <c r="AV76" s="38" t="s">
        <v>57</v>
      </c>
      <c r="AW76" s="38" t="s">
        <v>57</v>
      </c>
      <c r="AX76" s="38" t="s">
        <v>57</v>
      </c>
      <c r="AY76" s="38" t="s">
        <v>57</v>
      </c>
      <c r="AZ76" s="38" t="s">
        <v>57</v>
      </c>
      <c r="BA76" s="38" t="s">
        <v>57</v>
      </c>
      <c r="BB76" s="36" t="s">
        <v>3535</v>
      </c>
      <c r="BC76" s="38" t="s">
        <v>57</v>
      </c>
      <c r="BD76" s="38" t="s">
        <v>57</v>
      </c>
      <c r="BE76" s="38" t="s">
        <v>57</v>
      </c>
      <c r="BF76" s="38" t="s">
        <v>57</v>
      </c>
      <c r="BG76" s="38" t="s">
        <v>57</v>
      </c>
      <c r="BH76" s="38" t="s">
        <v>57</v>
      </c>
      <c r="BI76" s="38" t="s">
        <v>57</v>
      </c>
      <c r="BJ76" s="38" t="s">
        <v>57</v>
      </c>
      <c r="BK76" s="36" t="s">
        <v>577</v>
      </c>
      <c r="BL76" s="159" t="s">
        <v>576</v>
      </c>
      <c r="BM76" s="38" t="s">
        <v>0</v>
      </c>
      <c r="BN76" s="36" t="s">
        <v>57</v>
      </c>
      <c r="BO76" s="36"/>
      <c r="BP76" s="38" t="s">
        <v>57</v>
      </c>
      <c r="BQ76" s="38" t="s">
        <v>57</v>
      </c>
      <c r="BR76" s="38" t="s">
        <v>57</v>
      </c>
      <c r="BS76" s="38" t="s">
        <v>57</v>
      </c>
      <c r="BT76" s="38" t="s">
        <v>57</v>
      </c>
      <c r="BU76" s="36" t="s">
        <v>57</v>
      </c>
      <c r="BV76" s="36" t="s">
        <v>704</v>
      </c>
      <c r="BW76" s="36" t="s">
        <v>704</v>
      </c>
      <c r="BX76" s="38" t="s">
        <v>57</v>
      </c>
      <c r="BY76" s="38" t="s">
        <v>57</v>
      </c>
      <c r="BZ76" s="38" t="s">
        <v>57</v>
      </c>
      <c r="CA76" s="38" t="s">
        <v>57</v>
      </c>
      <c r="CB76" s="38" t="s">
        <v>57</v>
      </c>
      <c r="CC76" s="38" t="s">
        <v>57</v>
      </c>
      <c r="CD76" s="38" t="s">
        <v>57</v>
      </c>
      <c r="CE76" s="38" t="s">
        <v>57</v>
      </c>
      <c r="CF76" s="36" t="s">
        <v>57</v>
      </c>
    </row>
    <row r="77" spans="1:84">
      <c r="A77" s="51" t="s">
        <v>935</v>
      </c>
      <c r="B77" s="51"/>
      <c r="C77" s="52" t="s">
        <v>5211</v>
      </c>
      <c r="D77" s="52" t="s">
        <v>5152</v>
      </c>
      <c r="E77" s="52" t="s">
        <v>2802</v>
      </c>
      <c r="F77" s="52" t="s">
        <v>2802</v>
      </c>
      <c r="G77" s="52" t="s">
        <v>1467</v>
      </c>
      <c r="H77" s="52" t="s">
        <v>1467</v>
      </c>
      <c r="I77" s="52" t="s">
        <v>8202</v>
      </c>
      <c r="J77" s="52" t="s">
        <v>1654</v>
      </c>
      <c r="K77" s="52" t="s">
        <v>8202</v>
      </c>
      <c r="L77" s="52" t="s">
        <v>8202</v>
      </c>
      <c r="M77" s="52" t="s">
        <v>1654</v>
      </c>
      <c r="N77" s="52" t="s">
        <v>8202</v>
      </c>
      <c r="O77" s="52" t="s">
        <v>1654</v>
      </c>
      <c r="P77" s="52" t="s">
        <v>8202</v>
      </c>
      <c r="Q77" s="52" t="s">
        <v>8202</v>
      </c>
      <c r="R77" s="52" t="s">
        <v>1654</v>
      </c>
      <c r="S77" s="52" t="s">
        <v>8202</v>
      </c>
      <c r="T77" s="52" t="s">
        <v>5573</v>
      </c>
      <c r="U77" s="52" t="s">
        <v>5573</v>
      </c>
      <c r="V77" s="84"/>
      <c r="W77" s="52" t="s">
        <v>4444</v>
      </c>
      <c r="X77" s="52" t="s">
        <v>6416</v>
      </c>
      <c r="Y77" s="52" t="s">
        <v>2415</v>
      </c>
      <c r="Z77" s="52" t="s">
        <v>2415</v>
      </c>
      <c r="AA77" s="52" t="s">
        <v>2415</v>
      </c>
      <c r="AB77" s="52" t="s">
        <v>4678</v>
      </c>
      <c r="AC77" s="52" t="s">
        <v>4678</v>
      </c>
      <c r="AD77" s="52" t="s">
        <v>4678</v>
      </c>
      <c r="AE77" s="52" t="s">
        <v>6062</v>
      </c>
      <c r="AF77" s="52" t="s">
        <v>6062</v>
      </c>
      <c r="AG77" s="186" t="s">
        <v>7040</v>
      </c>
      <c r="AH77" s="186" t="s">
        <v>7040</v>
      </c>
      <c r="AI77" s="186" t="s">
        <v>7040</v>
      </c>
      <c r="AJ77" s="52" t="s">
        <v>0</v>
      </c>
      <c r="AK77" s="52" t="s">
        <v>1919</v>
      </c>
      <c r="AL77" s="52" t="s">
        <v>1919</v>
      </c>
      <c r="AM77" s="52" t="s">
        <v>5449</v>
      </c>
      <c r="AN77" s="52" t="s">
        <v>5449</v>
      </c>
      <c r="AO77" s="52" t="s">
        <v>4286</v>
      </c>
      <c r="AP77" s="52" t="s">
        <v>0</v>
      </c>
      <c r="AQ77" s="52" t="s">
        <v>2602</v>
      </c>
      <c r="AR77" s="52"/>
      <c r="AS77" s="52" t="s">
        <v>2039</v>
      </c>
      <c r="AT77" s="52" t="s">
        <v>2039</v>
      </c>
      <c r="AU77" s="52" t="s">
        <v>2039</v>
      </c>
      <c r="AV77" s="52" t="s">
        <v>4308</v>
      </c>
      <c r="AW77" s="52" t="s">
        <v>4308</v>
      </c>
      <c r="AX77" s="52" t="s">
        <v>1348</v>
      </c>
      <c r="AY77" s="52" t="s">
        <v>1348</v>
      </c>
      <c r="AZ77" s="52" t="s">
        <v>3688</v>
      </c>
      <c r="BA77" s="52" t="s">
        <v>3603</v>
      </c>
      <c r="BB77" s="52" t="s">
        <v>3534</v>
      </c>
      <c r="BC77" s="52" t="s">
        <v>4952</v>
      </c>
      <c r="BD77" s="52" t="s">
        <v>7586</v>
      </c>
      <c r="BE77" s="52" t="s">
        <v>4952</v>
      </c>
      <c r="BF77" s="52" t="s">
        <v>7586</v>
      </c>
      <c r="BG77" s="52" t="s">
        <v>4952</v>
      </c>
      <c r="BH77" s="52" t="s">
        <v>7586</v>
      </c>
      <c r="BI77" s="52" t="s">
        <v>7586</v>
      </c>
      <c r="BJ77" s="52" t="s">
        <v>4952</v>
      </c>
      <c r="BK77" s="52"/>
      <c r="BL77" s="52"/>
      <c r="BM77" s="52" t="s">
        <v>0</v>
      </c>
      <c r="BN77" s="52" t="s">
        <v>1654</v>
      </c>
      <c r="BO77" s="52"/>
      <c r="BP77" s="52" t="s">
        <v>1654</v>
      </c>
      <c r="BQ77" s="52" t="s">
        <v>1654</v>
      </c>
      <c r="BR77" s="52" t="s">
        <v>2674</v>
      </c>
      <c r="BS77" s="52" t="s">
        <v>2674</v>
      </c>
      <c r="BT77" s="52" t="s">
        <v>2674</v>
      </c>
      <c r="BU77" s="84" t="s">
        <v>2872</v>
      </c>
      <c r="BV77" s="84"/>
      <c r="BW77" s="52"/>
      <c r="BX77" s="52" t="s">
        <v>3916</v>
      </c>
      <c r="BY77" s="52" t="s">
        <v>3835</v>
      </c>
      <c r="BZ77" s="52" t="s">
        <v>6183</v>
      </c>
      <c r="CA77" s="52" t="s">
        <v>3154</v>
      </c>
      <c r="CB77" s="52" t="s">
        <v>3154</v>
      </c>
      <c r="CC77" s="52"/>
      <c r="CD77" s="52"/>
      <c r="CE77" s="52" t="s">
        <v>3264</v>
      </c>
      <c r="CF77" s="52" t="s">
        <v>2205</v>
      </c>
    </row>
    <row r="78" spans="1:84" ht="36">
      <c r="A78" s="6" t="s">
        <v>63</v>
      </c>
      <c r="B78" s="200"/>
      <c r="C78" s="36" t="s">
        <v>0</v>
      </c>
      <c r="D78" s="36" t="s">
        <v>0</v>
      </c>
      <c r="E78" s="36" t="s">
        <v>2810</v>
      </c>
      <c r="F78" s="36" t="s">
        <v>2810</v>
      </c>
      <c r="G78" s="38" t="s">
        <v>0</v>
      </c>
      <c r="H78" s="38" t="s">
        <v>0</v>
      </c>
      <c r="I78" s="36" t="s">
        <v>0</v>
      </c>
      <c r="J78" s="38" t="s">
        <v>0</v>
      </c>
      <c r="K78" s="36" t="s">
        <v>0</v>
      </c>
      <c r="L78" s="36" t="s">
        <v>0</v>
      </c>
      <c r="M78" s="38" t="s">
        <v>0</v>
      </c>
      <c r="N78" s="36" t="s">
        <v>0</v>
      </c>
      <c r="O78" s="38" t="s">
        <v>0</v>
      </c>
      <c r="P78" s="36" t="s">
        <v>0</v>
      </c>
      <c r="Q78" s="36" t="s">
        <v>0</v>
      </c>
      <c r="R78" s="38" t="s">
        <v>0</v>
      </c>
      <c r="S78" s="36" t="s">
        <v>0</v>
      </c>
      <c r="T78" s="36" t="s">
        <v>0</v>
      </c>
      <c r="U78" s="36" t="s">
        <v>0</v>
      </c>
      <c r="V78" s="143" t="s">
        <v>5712</v>
      </c>
      <c r="W78" s="38" t="s">
        <v>0</v>
      </c>
      <c r="X78" s="38" t="s">
        <v>0</v>
      </c>
      <c r="Y78" s="38" t="s">
        <v>0</v>
      </c>
      <c r="Z78" s="38" t="s">
        <v>0</v>
      </c>
      <c r="AA78" s="38" t="s">
        <v>0</v>
      </c>
      <c r="AB78" s="36" t="s">
        <v>0</v>
      </c>
      <c r="AC78" s="36" t="s">
        <v>0</v>
      </c>
      <c r="AD78" s="36" t="s">
        <v>0</v>
      </c>
      <c r="AE78" s="7" t="s">
        <v>0</v>
      </c>
      <c r="AF78" s="34" t="s">
        <v>0</v>
      </c>
      <c r="AG78" s="36" t="s">
        <v>6990</v>
      </c>
      <c r="AH78" s="36" t="s">
        <v>6990</v>
      </c>
      <c r="AI78" s="36" t="s">
        <v>6990</v>
      </c>
      <c r="AJ78" s="34" t="s">
        <v>0</v>
      </c>
      <c r="AK78" s="7" t="s">
        <v>0</v>
      </c>
      <c r="AL78" s="7" t="s">
        <v>0</v>
      </c>
      <c r="AM78" s="36" t="s">
        <v>0</v>
      </c>
      <c r="AN78" s="36" t="s">
        <v>0</v>
      </c>
      <c r="AO78" s="36" t="s">
        <v>4238</v>
      </c>
      <c r="AP78" s="38" t="s">
        <v>0</v>
      </c>
      <c r="AQ78" s="164" t="s">
        <v>0</v>
      </c>
      <c r="AR78" s="36" t="s">
        <v>2215</v>
      </c>
      <c r="AS78" s="38" t="s">
        <v>0</v>
      </c>
      <c r="AT78" s="38" t="s">
        <v>0</v>
      </c>
      <c r="AU78" s="38" t="s">
        <v>0</v>
      </c>
      <c r="AV78" s="38" t="s">
        <v>0</v>
      </c>
      <c r="AW78" s="38" t="s">
        <v>0</v>
      </c>
      <c r="AX78" s="38" t="s">
        <v>0</v>
      </c>
      <c r="AY78" s="38" t="s">
        <v>0</v>
      </c>
      <c r="AZ78" s="38" t="s">
        <v>0</v>
      </c>
      <c r="BA78" s="38" t="s">
        <v>0</v>
      </c>
      <c r="BB78" s="38" t="s">
        <v>0</v>
      </c>
      <c r="BC78" s="36" t="s">
        <v>4951</v>
      </c>
      <c r="BD78" s="36" t="s">
        <v>7587</v>
      </c>
      <c r="BE78" s="36" t="s">
        <v>4951</v>
      </c>
      <c r="BF78" s="36" t="s">
        <v>7587</v>
      </c>
      <c r="BG78" s="36" t="s">
        <v>4951</v>
      </c>
      <c r="BH78" s="36" t="s">
        <v>7587</v>
      </c>
      <c r="BI78" s="36" t="s">
        <v>0</v>
      </c>
      <c r="BJ78" s="38" t="s">
        <v>0</v>
      </c>
      <c r="BK78" s="38" t="s">
        <v>0</v>
      </c>
      <c r="BL78" s="38" t="s">
        <v>0</v>
      </c>
      <c r="BM78" s="38" t="s">
        <v>0</v>
      </c>
      <c r="BN78" s="38" t="s">
        <v>0</v>
      </c>
      <c r="BO78" s="38"/>
      <c r="BP78" s="38" t="s">
        <v>0</v>
      </c>
      <c r="BQ78" s="38" t="s">
        <v>0</v>
      </c>
      <c r="BR78" s="38" t="s">
        <v>0</v>
      </c>
      <c r="BS78" s="38" t="s">
        <v>0</v>
      </c>
      <c r="BT78" s="38" t="s">
        <v>0</v>
      </c>
      <c r="BU78" s="36" t="s">
        <v>0</v>
      </c>
      <c r="BV78" s="36" t="s">
        <v>0</v>
      </c>
      <c r="BW78" s="36" t="s">
        <v>0</v>
      </c>
      <c r="BX78" s="38" t="s">
        <v>0</v>
      </c>
      <c r="BY78" s="38" t="s">
        <v>0</v>
      </c>
      <c r="BZ78" s="38" t="s">
        <v>0</v>
      </c>
      <c r="CA78" s="38" t="s">
        <v>0</v>
      </c>
      <c r="CB78" s="36" t="s">
        <v>3156</v>
      </c>
      <c r="CC78" s="38" t="s">
        <v>0</v>
      </c>
      <c r="CD78" s="38" t="s">
        <v>0</v>
      </c>
      <c r="CE78" s="36" t="s">
        <v>0</v>
      </c>
      <c r="CF78" s="38" t="s">
        <v>0</v>
      </c>
    </row>
    <row r="79" spans="1:84">
      <c r="A79" s="51" t="s">
        <v>935</v>
      </c>
      <c r="B79" s="51"/>
      <c r="C79" s="52" t="s">
        <v>0</v>
      </c>
      <c r="D79" s="52" t="s">
        <v>0</v>
      </c>
      <c r="E79" s="52" t="s">
        <v>63</v>
      </c>
      <c r="F79" s="52" t="s">
        <v>63</v>
      </c>
      <c r="G79" s="52" t="s">
        <v>0</v>
      </c>
      <c r="H79" s="52" t="s">
        <v>0</v>
      </c>
      <c r="I79" s="52" t="s">
        <v>0</v>
      </c>
      <c r="J79" s="52" t="s">
        <v>0</v>
      </c>
      <c r="K79" s="52" t="s">
        <v>0</v>
      </c>
      <c r="L79" s="52" t="s">
        <v>0</v>
      </c>
      <c r="M79" s="52" t="s">
        <v>0</v>
      </c>
      <c r="N79" s="52" t="s">
        <v>0</v>
      </c>
      <c r="O79" s="52" t="s">
        <v>0</v>
      </c>
      <c r="P79" s="52" t="s">
        <v>0</v>
      </c>
      <c r="Q79" s="52" t="s">
        <v>0</v>
      </c>
      <c r="R79" s="52" t="s">
        <v>0</v>
      </c>
      <c r="S79" s="52" t="s">
        <v>0</v>
      </c>
      <c r="T79" s="52" t="s">
        <v>0</v>
      </c>
      <c r="U79" s="52" t="s">
        <v>0</v>
      </c>
      <c r="V79" s="84"/>
      <c r="W79" s="52" t="s">
        <v>0</v>
      </c>
      <c r="X79" s="52" t="s">
        <v>0</v>
      </c>
      <c r="Y79" s="52" t="s">
        <v>0</v>
      </c>
      <c r="Z79" s="52" t="s">
        <v>0</v>
      </c>
      <c r="AA79" s="52" t="s">
        <v>0</v>
      </c>
      <c r="AB79" s="52" t="s">
        <v>0</v>
      </c>
      <c r="AC79" s="52" t="s">
        <v>0</v>
      </c>
      <c r="AD79" s="52" t="s">
        <v>0</v>
      </c>
      <c r="AE79" s="52" t="s">
        <v>0</v>
      </c>
      <c r="AF79" s="52" t="s">
        <v>0</v>
      </c>
      <c r="AG79" s="186" t="s">
        <v>7040</v>
      </c>
      <c r="AH79" s="186" t="s">
        <v>7040</v>
      </c>
      <c r="AI79" s="186" t="s">
        <v>7040</v>
      </c>
      <c r="AJ79" s="52" t="s">
        <v>0</v>
      </c>
      <c r="AK79" s="52" t="s">
        <v>0</v>
      </c>
      <c r="AL79" s="52" t="s">
        <v>0</v>
      </c>
      <c r="AM79" s="52" t="s">
        <v>0</v>
      </c>
      <c r="AN79" s="52" t="s">
        <v>0</v>
      </c>
      <c r="AO79" s="52" t="s">
        <v>4225</v>
      </c>
      <c r="AP79" s="52" t="s">
        <v>0</v>
      </c>
      <c r="AQ79" s="52" t="s">
        <v>0</v>
      </c>
      <c r="AR79" s="52"/>
      <c r="AS79" s="52" t="s">
        <v>0</v>
      </c>
      <c r="AT79" s="52" t="s">
        <v>0</v>
      </c>
      <c r="AU79" s="52" t="s">
        <v>0</v>
      </c>
      <c r="AV79" s="52" t="s">
        <v>0</v>
      </c>
      <c r="AW79" s="52" t="s">
        <v>0</v>
      </c>
      <c r="AX79" s="52" t="s">
        <v>0</v>
      </c>
      <c r="AY79" s="52" t="s">
        <v>0</v>
      </c>
      <c r="AZ79" s="52" t="s">
        <v>0</v>
      </c>
      <c r="BA79" s="52" t="s">
        <v>0</v>
      </c>
      <c r="BB79" s="52" t="s">
        <v>0</v>
      </c>
      <c r="BC79" s="52" t="s">
        <v>4568</v>
      </c>
      <c r="BD79" s="52" t="s">
        <v>4568</v>
      </c>
      <c r="BE79" s="52" t="s">
        <v>4568</v>
      </c>
      <c r="BF79" s="52" t="s">
        <v>4568</v>
      </c>
      <c r="BG79" s="52" t="s">
        <v>4568</v>
      </c>
      <c r="BH79" s="52" t="s">
        <v>7796</v>
      </c>
      <c r="BI79" s="52" t="s">
        <v>0</v>
      </c>
      <c r="BJ79" s="52" t="s">
        <v>4568</v>
      </c>
      <c r="BK79" s="52"/>
      <c r="BL79" s="52"/>
      <c r="BM79" s="52" t="s">
        <v>0</v>
      </c>
      <c r="BN79" s="52" t="s">
        <v>0</v>
      </c>
      <c r="BO79" s="52"/>
      <c r="BP79" s="52" t="s">
        <v>0</v>
      </c>
      <c r="BQ79" s="52" t="s">
        <v>0</v>
      </c>
      <c r="BR79" s="52" t="s">
        <v>0</v>
      </c>
      <c r="BS79" s="52" t="s">
        <v>0</v>
      </c>
      <c r="BT79" s="52" t="s">
        <v>0</v>
      </c>
      <c r="BU79" s="84" t="s">
        <v>0</v>
      </c>
      <c r="BV79" s="84"/>
      <c r="BW79" s="52"/>
      <c r="BX79" s="52" t="s">
        <v>0</v>
      </c>
      <c r="BY79" s="52" t="s">
        <v>0</v>
      </c>
      <c r="BZ79" s="52" t="s">
        <v>0</v>
      </c>
      <c r="CA79" s="52" t="s">
        <v>0</v>
      </c>
      <c r="CB79" s="52" t="s">
        <v>3155</v>
      </c>
      <c r="CC79" s="52"/>
      <c r="CD79" s="52"/>
      <c r="CE79" s="52" t="s">
        <v>0</v>
      </c>
      <c r="CF79" s="52" t="s">
        <v>0</v>
      </c>
    </row>
    <row r="80" spans="1:84" ht="45">
      <c r="A80" s="182" t="s">
        <v>6863</v>
      </c>
      <c r="B80" s="200" t="s">
        <v>6866</v>
      </c>
      <c r="C80" s="212" t="s">
        <v>0</v>
      </c>
      <c r="D80" s="212" t="s">
        <v>5154</v>
      </c>
      <c r="E80" s="212" t="s">
        <v>0</v>
      </c>
      <c r="F80" s="212" t="s">
        <v>2791</v>
      </c>
      <c r="G80" s="212" t="s">
        <v>5492</v>
      </c>
      <c r="H80" s="212" t="s">
        <v>224</v>
      </c>
      <c r="I80" s="36" t="s">
        <v>0</v>
      </c>
      <c r="J80" s="212" t="s">
        <v>0</v>
      </c>
      <c r="K80" s="36" t="s">
        <v>0</v>
      </c>
      <c r="L80" s="36" t="s">
        <v>0</v>
      </c>
      <c r="M80" s="212" t="s">
        <v>0</v>
      </c>
      <c r="N80" s="36" t="s">
        <v>0</v>
      </c>
      <c r="O80" s="212" t="s">
        <v>5270</v>
      </c>
      <c r="P80" s="36" t="s">
        <v>8664</v>
      </c>
      <c r="Q80" s="36" t="s">
        <v>9133</v>
      </c>
      <c r="R80" s="212" t="s">
        <v>0</v>
      </c>
      <c r="S80" s="36" t="s">
        <v>8573</v>
      </c>
      <c r="T80" s="212" t="s">
        <v>0</v>
      </c>
      <c r="U80" s="212" t="s">
        <v>0</v>
      </c>
      <c r="V80" s="217" t="s">
        <v>5712</v>
      </c>
      <c r="W80" s="212" t="s">
        <v>0</v>
      </c>
      <c r="X80" s="212" t="s">
        <v>6385</v>
      </c>
      <c r="Y80" s="212" t="s">
        <v>0</v>
      </c>
      <c r="Z80" s="212" t="s">
        <v>0</v>
      </c>
      <c r="AA80" s="212" t="s">
        <v>0</v>
      </c>
      <c r="AB80" s="212" t="s">
        <v>4634</v>
      </c>
      <c r="AC80" s="212" t="s">
        <v>4634</v>
      </c>
      <c r="AD80" s="212" t="s">
        <v>0</v>
      </c>
      <c r="AE80" s="213" t="s">
        <v>0</v>
      </c>
      <c r="AF80" s="219" t="s">
        <v>420</v>
      </c>
      <c r="AG80" s="36" t="s">
        <v>0</v>
      </c>
      <c r="AH80" s="36" t="s">
        <v>0</v>
      </c>
      <c r="AI80" s="37" t="s">
        <v>420</v>
      </c>
      <c r="AJ80" s="219" t="s">
        <v>3439</v>
      </c>
      <c r="AK80" s="213" t="s">
        <v>0</v>
      </c>
      <c r="AL80" s="219" t="s">
        <v>4173</v>
      </c>
      <c r="AM80" s="212" t="s">
        <v>359</v>
      </c>
      <c r="AN80" s="212" t="s">
        <v>359</v>
      </c>
      <c r="AO80" s="212" t="s">
        <v>0</v>
      </c>
      <c r="AP80" s="214" t="s">
        <v>0</v>
      </c>
      <c r="AQ80" s="214" t="s">
        <v>0</v>
      </c>
      <c r="AR80" s="212" t="s">
        <v>0</v>
      </c>
      <c r="AS80" s="212" t="s">
        <v>0</v>
      </c>
      <c r="AT80" s="212" t="s">
        <v>273</v>
      </c>
      <c r="AU80" s="212" t="s">
        <v>273</v>
      </c>
      <c r="AV80" s="212" t="s">
        <v>883</v>
      </c>
      <c r="AW80" s="212" t="s">
        <v>883</v>
      </c>
      <c r="AX80" s="212" t="s">
        <v>0</v>
      </c>
      <c r="AY80" s="212" t="s">
        <v>0</v>
      </c>
      <c r="AZ80" s="212" t="s">
        <v>0</v>
      </c>
      <c r="BA80" s="212" t="s">
        <v>420</v>
      </c>
      <c r="BB80" s="212" t="s">
        <v>591</v>
      </c>
      <c r="BC80" s="212" t="s">
        <v>79</v>
      </c>
      <c r="BD80" s="37" t="s">
        <v>7588</v>
      </c>
      <c r="BE80" s="212" t="s">
        <v>79</v>
      </c>
      <c r="BF80" s="37" t="s">
        <v>7588</v>
      </c>
      <c r="BG80" s="212" t="s">
        <v>79</v>
      </c>
      <c r="BH80" s="37" t="s">
        <v>7588</v>
      </c>
      <c r="BI80" s="37" t="s">
        <v>0</v>
      </c>
      <c r="BJ80" s="212" t="s">
        <v>0</v>
      </c>
      <c r="BK80" s="212" t="s">
        <v>0</v>
      </c>
      <c r="BL80" s="212" t="s">
        <v>798</v>
      </c>
      <c r="BM80" s="214" t="s">
        <v>0</v>
      </c>
      <c r="BN80" s="214" t="s">
        <v>0</v>
      </c>
      <c r="BO80" s="214" t="s">
        <v>0</v>
      </c>
      <c r="BP80" s="212" t="s">
        <v>2220</v>
      </c>
      <c r="BQ80" s="212" t="s">
        <v>0</v>
      </c>
      <c r="BR80" s="214" t="s">
        <v>0</v>
      </c>
      <c r="BS80" s="212" t="s">
        <v>2672</v>
      </c>
      <c r="BT80" s="214" t="s">
        <v>0</v>
      </c>
      <c r="BU80" s="212" t="s">
        <v>2889</v>
      </c>
      <c r="BV80" s="212" t="s">
        <v>0</v>
      </c>
      <c r="BW80" s="212" t="s">
        <v>682</v>
      </c>
      <c r="BX80" s="212" t="s">
        <v>0</v>
      </c>
      <c r="BY80" s="212" t="s">
        <v>0</v>
      </c>
      <c r="BZ80" s="212" t="s">
        <v>6161</v>
      </c>
      <c r="CA80" s="214" t="s">
        <v>0</v>
      </c>
      <c r="CB80" s="212" t="s">
        <v>3091</v>
      </c>
      <c r="CC80" s="212" t="s">
        <v>0</v>
      </c>
      <c r="CD80" s="214" t="s">
        <v>57</v>
      </c>
      <c r="CE80" s="212" t="s">
        <v>0</v>
      </c>
      <c r="CF80" s="212" t="s">
        <v>0</v>
      </c>
    </row>
    <row r="81" spans="1:84">
      <c r="A81" s="51" t="s">
        <v>935</v>
      </c>
      <c r="B81" s="51"/>
      <c r="C81" s="52" t="s">
        <v>0</v>
      </c>
      <c r="D81" s="52" t="s">
        <v>2223</v>
      </c>
      <c r="E81" s="52" t="s">
        <v>0</v>
      </c>
      <c r="F81" s="52" t="s">
        <v>2792</v>
      </c>
      <c r="G81" s="52" t="s">
        <v>0</v>
      </c>
      <c r="H81" s="52" t="s">
        <v>1408</v>
      </c>
      <c r="I81" s="52" t="s">
        <v>0</v>
      </c>
      <c r="J81" s="52" t="s">
        <v>0</v>
      </c>
      <c r="K81" s="52" t="s">
        <v>0</v>
      </c>
      <c r="L81" s="52" t="s">
        <v>0</v>
      </c>
      <c r="M81" s="52" t="s">
        <v>0</v>
      </c>
      <c r="N81" s="52" t="s">
        <v>0</v>
      </c>
      <c r="O81" s="52" t="s">
        <v>3392</v>
      </c>
      <c r="P81" s="52" t="s">
        <v>8665</v>
      </c>
      <c r="Q81" s="52" t="s">
        <v>8665</v>
      </c>
      <c r="R81" s="52" t="s">
        <v>0</v>
      </c>
      <c r="S81" s="52" t="s">
        <v>8663</v>
      </c>
      <c r="T81" s="52" t="s">
        <v>0</v>
      </c>
      <c r="U81" s="52" t="s">
        <v>0</v>
      </c>
      <c r="V81" s="84"/>
      <c r="W81" s="52" t="s">
        <v>0</v>
      </c>
      <c r="X81" s="52" t="s">
        <v>6386</v>
      </c>
      <c r="Y81" s="52" t="s">
        <v>0</v>
      </c>
      <c r="Z81" s="52" t="s">
        <v>0</v>
      </c>
      <c r="AA81" s="52" t="s">
        <v>0</v>
      </c>
      <c r="AB81" s="52" t="s">
        <v>4635</v>
      </c>
      <c r="AC81" s="52" t="s">
        <v>4635</v>
      </c>
      <c r="AD81" s="52" t="s">
        <v>0</v>
      </c>
      <c r="AE81" s="52" t="s">
        <v>0</v>
      </c>
      <c r="AF81" s="52" t="s">
        <v>5989</v>
      </c>
      <c r="AG81" s="52" t="s">
        <v>0</v>
      </c>
      <c r="AH81" s="52" t="s">
        <v>0</v>
      </c>
      <c r="AI81" s="52" t="s">
        <v>5989</v>
      </c>
      <c r="AJ81" s="52" t="s">
        <v>6088</v>
      </c>
      <c r="AK81" s="52" t="s">
        <v>0</v>
      </c>
      <c r="AL81" s="52" t="s">
        <v>1860</v>
      </c>
      <c r="AM81" s="52" t="s">
        <v>5414</v>
      </c>
      <c r="AN81" s="52" t="s">
        <v>5414</v>
      </c>
      <c r="AO81" s="52"/>
      <c r="AP81" s="52" t="s">
        <v>0</v>
      </c>
      <c r="AQ81" s="52" t="s">
        <v>0</v>
      </c>
      <c r="AR81" s="52"/>
      <c r="AS81" s="52" t="s">
        <v>1025</v>
      </c>
      <c r="AT81" s="52" t="s">
        <v>1025</v>
      </c>
      <c r="AU81" s="52" t="s">
        <v>1025</v>
      </c>
      <c r="AV81" s="52" t="s">
        <v>4352</v>
      </c>
      <c r="AW81" s="52" t="s">
        <v>4352</v>
      </c>
      <c r="AX81" s="52" t="s">
        <v>0</v>
      </c>
      <c r="AY81" s="52" t="s">
        <v>0</v>
      </c>
      <c r="AZ81" s="52" t="s">
        <v>0</v>
      </c>
      <c r="BA81" s="52" t="s">
        <v>4527</v>
      </c>
      <c r="BB81" s="52" t="s">
        <v>3551</v>
      </c>
      <c r="BC81" s="52" t="s">
        <v>4877</v>
      </c>
      <c r="BD81" s="52" t="s">
        <v>7687</v>
      </c>
      <c r="BE81" s="52" t="s">
        <v>4876</v>
      </c>
      <c r="BF81" s="52" t="s">
        <v>7752</v>
      </c>
      <c r="BG81" s="52" t="s">
        <v>4878</v>
      </c>
      <c r="BH81" s="52" t="s">
        <v>7634</v>
      </c>
      <c r="BI81" s="52" t="s">
        <v>0</v>
      </c>
      <c r="BJ81" s="52" t="s">
        <v>0</v>
      </c>
      <c r="BK81" s="52"/>
      <c r="BL81" s="52"/>
      <c r="BM81" s="52" t="s">
        <v>0</v>
      </c>
      <c r="BN81" s="52" t="s">
        <v>0</v>
      </c>
      <c r="BO81" s="52" t="s">
        <v>0</v>
      </c>
      <c r="BP81" s="52" t="s">
        <v>2219</v>
      </c>
      <c r="BQ81" s="52" t="s">
        <v>0</v>
      </c>
      <c r="BR81" s="52" t="s">
        <v>0</v>
      </c>
      <c r="BS81" s="52" t="s">
        <v>2671</v>
      </c>
      <c r="BT81" s="52" t="s">
        <v>0</v>
      </c>
      <c r="BU81" s="84" t="s">
        <v>2888</v>
      </c>
      <c r="BV81" s="84"/>
      <c r="BW81" s="52"/>
      <c r="BX81" s="52" t="s">
        <v>0</v>
      </c>
      <c r="BY81" s="52" t="s">
        <v>0</v>
      </c>
      <c r="BZ81" s="52" t="s">
        <v>6163</v>
      </c>
      <c r="CA81" s="52" t="s">
        <v>0</v>
      </c>
      <c r="CB81" s="52" t="s">
        <v>3090</v>
      </c>
      <c r="CC81" s="52"/>
      <c r="CD81" s="52"/>
      <c r="CE81" s="52" t="s">
        <v>0</v>
      </c>
      <c r="CF81" s="52" t="s">
        <v>0</v>
      </c>
    </row>
    <row r="82" spans="1:84" ht="18">
      <c r="A82" s="88" t="s">
        <v>107</v>
      </c>
      <c r="B82" s="200"/>
      <c r="C82" s="36" t="s">
        <v>0</v>
      </c>
      <c r="D82" s="38" t="s">
        <v>195</v>
      </c>
      <c r="E82" s="38" t="s">
        <v>0</v>
      </c>
      <c r="F82" s="38" t="s">
        <v>57</v>
      </c>
      <c r="G82" s="38" t="s">
        <v>0</v>
      </c>
      <c r="H82" s="38" t="s">
        <v>210</v>
      </c>
      <c r="I82" s="38" t="s">
        <v>0</v>
      </c>
      <c r="J82" s="38" t="s">
        <v>0</v>
      </c>
      <c r="K82" s="38" t="s">
        <v>0</v>
      </c>
      <c r="L82" s="38" t="s">
        <v>5556</v>
      </c>
      <c r="M82" s="38" t="s">
        <v>0</v>
      </c>
      <c r="N82" s="38" t="s">
        <v>0</v>
      </c>
      <c r="O82" s="36" t="s">
        <v>17</v>
      </c>
      <c r="P82" s="38" t="s">
        <v>6991</v>
      </c>
      <c r="Q82" s="38" t="s">
        <v>6991</v>
      </c>
      <c r="R82" s="36" t="s">
        <v>17</v>
      </c>
      <c r="S82" s="38" t="s">
        <v>5529</v>
      </c>
      <c r="T82" s="36" t="s">
        <v>0</v>
      </c>
      <c r="U82" s="36" t="s">
        <v>5574</v>
      </c>
      <c r="V82" s="73" t="s">
        <v>5722</v>
      </c>
      <c r="W82" s="38" t="s">
        <v>223</v>
      </c>
      <c r="X82" s="36" t="s">
        <v>6414</v>
      </c>
      <c r="Y82" s="38" t="s">
        <v>0</v>
      </c>
      <c r="Z82" s="38" t="s">
        <v>0</v>
      </c>
      <c r="AA82" s="38" t="s">
        <v>0</v>
      </c>
      <c r="AB82" s="36" t="s">
        <v>0</v>
      </c>
      <c r="AC82" s="36" t="s">
        <v>4680</v>
      </c>
      <c r="AD82" s="36" t="s">
        <v>0</v>
      </c>
      <c r="AE82" s="7" t="s">
        <v>197</v>
      </c>
      <c r="AF82" s="7" t="s">
        <v>197</v>
      </c>
      <c r="AG82" s="36" t="s">
        <v>0</v>
      </c>
      <c r="AH82" s="36" t="s">
        <v>5529</v>
      </c>
      <c r="AI82" s="36" t="s">
        <v>5529</v>
      </c>
      <c r="AJ82" s="37" t="s">
        <v>198</v>
      </c>
      <c r="AK82" s="7" t="s">
        <v>0</v>
      </c>
      <c r="AL82" s="7" t="s">
        <v>57</v>
      </c>
      <c r="AM82" s="38" t="s">
        <v>0</v>
      </c>
      <c r="AN82" s="38" t="s">
        <v>26</v>
      </c>
      <c r="AO82" s="36" t="s">
        <v>892</v>
      </c>
      <c r="AP82" s="38" t="s">
        <v>0</v>
      </c>
      <c r="AQ82" s="36" t="s">
        <v>6335</v>
      </c>
      <c r="AR82" s="36" t="s">
        <v>922</v>
      </c>
      <c r="AS82" s="38" t="s">
        <v>56</v>
      </c>
      <c r="AT82" s="36" t="s">
        <v>44</v>
      </c>
      <c r="AU82" s="36" t="s">
        <v>44</v>
      </c>
      <c r="AV82" s="36" t="s">
        <v>2911</v>
      </c>
      <c r="AW82" s="36" t="s">
        <v>2911</v>
      </c>
      <c r="AX82" s="36" t="s">
        <v>17</v>
      </c>
      <c r="AY82" s="36" t="s">
        <v>0</v>
      </c>
      <c r="AZ82" s="38" t="s">
        <v>0</v>
      </c>
      <c r="BA82" s="38" t="s">
        <v>0</v>
      </c>
      <c r="BB82" s="38" t="s">
        <v>57</v>
      </c>
      <c r="BC82" s="36" t="s">
        <v>4947</v>
      </c>
      <c r="BD82" s="36" t="s">
        <v>7705</v>
      </c>
      <c r="BE82" s="38" t="s">
        <v>195</v>
      </c>
      <c r="BF82" s="36" t="s">
        <v>7589</v>
      </c>
      <c r="BG82" s="36" t="s">
        <v>4947</v>
      </c>
      <c r="BH82" s="36" t="s">
        <v>7705</v>
      </c>
      <c r="BI82" s="36" t="s">
        <v>0</v>
      </c>
      <c r="BJ82" s="38" t="s">
        <v>0</v>
      </c>
      <c r="BK82" s="38" t="s">
        <v>159</v>
      </c>
      <c r="BL82" s="38" t="s">
        <v>26</v>
      </c>
      <c r="BM82" s="38" t="s">
        <v>0</v>
      </c>
      <c r="BN82" s="36" t="s">
        <v>3893</v>
      </c>
      <c r="BO82" s="36"/>
      <c r="BP82" s="36" t="s">
        <v>195</v>
      </c>
      <c r="BQ82" s="36" t="s">
        <v>0</v>
      </c>
      <c r="BR82" s="38" t="s">
        <v>0</v>
      </c>
      <c r="BS82" s="38" t="s">
        <v>210</v>
      </c>
      <c r="BT82" s="38" t="s">
        <v>350</v>
      </c>
      <c r="BU82" s="36" t="s">
        <v>0</v>
      </c>
      <c r="BV82" s="36" t="s">
        <v>0</v>
      </c>
      <c r="BW82" s="38" t="s">
        <v>223</v>
      </c>
      <c r="BX82" s="38" t="s">
        <v>0</v>
      </c>
      <c r="BY82" s="38" t="s">
        <v>0</v>
      </c>
      <c r="BZ82" s="36" t="s">
        <v>6184</v>
      </c>
      <c r="CA82" s="38" t="s">
        <v>0</v>
      </c>
      <c r="CB82" s="38" t="s">
        <v>195</v>
      </c>
      <c r="CC82" s="38" t="s">
        <v>0</v>
      </c>
      <c r="CD82" s="38" t="s">
        <v>195</v>
      </c>
      <c r="CE82" s="36" t="s">
        <v>0</v>
      </c>
      <c r="CF82" s="38" t="s">
        <v>0</v>
      </c>
    </row>
    <row r="83" spans="1:84" ht="18">
      <c r="A83" s="51" t="s">
        <v>935</v>
      </c>
      <c r="B83" s="51"/>
      <c r="C83" s="52" t="s">
        <v>0</v>
      </c>
      <c r="D83" s="52" t="s">
        <v>5153</v>
      </c>
      <c r="E83" s="52" t="s">
        <v>0</v>
      </c>
      <c r="F83" s="52" t="s">
        <v>2787</v>
      </c>
      <c r="G83" s="118"/>
      <c r="H83" s="52" t="s">
        <v>1413</v>
      </c>
      <c r="I83" s="52" t="s">
        <v>0</v>
      </c>
      <c r="J83" s="52" t="s">
        <v>0</v>
      </c>
      <c r="K83" s="52" t="s">
        <v>0</v>
      </c>
      <c r="L83" s="52" t="s">
        <v>8466</v>
      </c>
      <c r="M83" s="52" t="s">
        <v>0</v>
      </c>
      <c r="N83" s="52" t="s">
        <v>0</v>
      </c>
      <c r="O83" s="52" t="s">
        <v>1613</v>
      </c>
      <c r="P83" s="52" t="s">
        <v>8662</v>
      </c>
      <c r="Q83" s="52" t="s">
        <v>8662</v>
      </c>
      <c r="R83" s="52" t="s">
        <v>1554</v>
      </c>
      <c r="S83" s="52" t="s">
        <v>8533</v>
      </c>
      <c r="T83" s="52" t="s">
        <v>0</v>
      </c>
      <c r="U83" s="52" t="s">
        <v>5575</v>
      </c>
      <c r="V83" s="84"/>
      <c r="W83" s="52" t="s">
        <v>4443</v>
      </c>
      <c r="X83" s="84" t="s">
        <v>6425</v>
      </c>
      <c r="Y83" s="52" t="s">
        <v>0</v>
      </c>
      <c r="Z83" s="52" t="s">
        <v>0</v>
      </c>
      <c r="AA83" s="52" t="s">
        <v>0</v>
      </c>
      <c r="AB83" s="52" t="s">
        <v>0</v>
      </c>
      <c r="AC83" s="52" t="s">
        <v>5925</v>
      </c>
      <c r="AD83" s="52" t="s">
        <v>0</v>
      </c>
      <c r="AE83" s="52" t="s">
        <v>6063</v>
      </c>
      <c r="AF83" s="52" t="s">
        <v>6063</v>
      </c>
      <c r="AG83" s="52" t="s">
        <v>0</v>
      </c>
      <c r="AH83" s="186" t="s">
        <v>7119</v>
      </c>
      <c r="AI83" s="186" t="s">
        <v>7156</v>
      </c>
      <c r="AJ83" s="52" t="s">
        <v>6088</v>
      </c>
      <c r="AK83" s="52" t="s">
        <v>0</v>
      </c>
      <c r="AL83" s="52" t="s">
        <v>4196</v>
      </c>
      <c r="AM83" s="52" t="s">
        <v>0</v>
      </c>
      <c r="AN83" s="52" t="s">
        <v>5412</v>
      </c>
      <c r="AO83" s="52" t="s">
        <v>4226</v>
      </c>
      <c r="AP83" s="52" t="s">
        <v>0</v>
      </c>
      <c r="AQ83" s="52" t="s">
        <v>6333</v>
      </c>
      <c r="AR83" s="52"/>
      <c r="AS83" s="52" t="s">
        <v>1025</v>
      </c>
      <c r="AT83" s="52" t="s">
        <v>1025</v>
      </c>
      <c r="AU83" s="52" t="s">
        <v>1025</v>
      </c>
      <c r="AV83" s="52" t="s">
        <v>6303</v>
      </c>
      <c r="AW83" s="52" t="s">
        <v>6303</v>
      </c>
      <c r="AX83" s="52" t="s">
        <v>1273</v>
      </c>
      <c r="AY83" s="52" t="s">
        <v>0</v>
      </c>
      <c r="AZ83" s="52" t="s">
        <v>0</v>
      </c>
      <c r="BA83" s="52" t="s">
        <v>0</v>
      </c>
      <c r="BB83" s="52" t="s">
        <v>3533</v>
      </c>
      <c r="BC83" s="52" t="s">
        <v>4948</v>
      </c>
      <c r="BD83" s="52" t="s">
        <v>7704</v>
      </c>
      <c r="BE83" s="52" t="s">
        <v>4895</v>
      </c>
      <c r="BF83" s="52" t="s">
        <v>7750</v>
      </c>
      <c r="BG83" s="52" t="s">
        <v>4948</v>
      </c>
      <c r="BH83" s="52" t="s">
        <v>7870</v>
      </c>
      <c r="BI83" s="52" t="s">
        <v>0</v>
      </c>
      <c r="BJ83" s="52" t="s">
        <v>0</v>
      </c>
      <c r="BK83" s="52"/>
      <c r="BL83" s="52"/>
      <c r="BM83" s="52" t="s">
        <v>0</v>
      </c>
      <c r="BN83" s="52" t="s">
        <v>1687</v>
      </c>
      <c r="BO83" s="52"/>
      <c r="BP83" s="52" t="s">
        <v>2230</v>
      </c>
      <c r="BQ83" s="52" t="s">
        <v>0</v>
      </c>
      <c r="BR83" s="52" t="s">
        <v>2674</v>
      </c>
      <c r="BS83" s="52" t="s">
        <v>2673</v>
      </c>
      <c r="BT83" s="52" t="s">
        <v>2641</v>
      </c>
      <c r="BU83" s="84" t="s">
        <v>0</v>
      </c>
      <c r="BV83" s="84"/>
      <c r="BW83" s="52"/>
      <c r="BX83" s="52" t="s">
        <v>0</v>
      </c>
      <c r="BY83" s="52" t="s">
        <v>0</v>
      </c>
      <c r="BZ83" s="52" t="s">
        <v>6185</v>
      </c>
      <c r="CA83" s="52" t="s">
        <v>0</v>
      </c>
      <c r="CB83" s="52" t="s">
        <v>3084</v>
      </c>
      <c r="CC83" s="52"/>
      <c r="CD83" s="52"/>
      <c r="CE83" s="52" t="s">
        <v>0</v>
      </c>
      <c r="CF83" s="52" t="s">
        <v>0</v>
      </c>
    </row>
    <row r="84" spans="1:84" ht="18">
      <c r="A84" s="247" t="s">
        <v>6858</v>
      </c>
      <c r="B84" s="200" t="s">
        <v>6856</v>
      </c>
      <c r="C84" s="38" t="s">
        <v>26</v>
      </c>
      <c r="D84" s="36" t="s">
        <v>5172</v>
      </c>
      <c r="E84" s="214" t="s">
        <v>0</v>
      </c>
      <c r="F84" s="214" t="s">
        <v>196</v>
      </c>
      <c r="G84" s="214" t="s">
        <v>200</v>
      </c>
      <c r="H84" s="212" t="s">
        <v>5498</v>
      </c>
      <c r="I84" s="246" t="s">
        <v>192</v>
      </c>
      <c r="J84" s="212" t="s">
        <v>196</v>
      </c>
      <c r="K84" s="246" t="s">
        <v>701</v>
      </c>
      <c r="L84" s="246" t="s">
        <v>8470</v>
      </c>
      <c r="M84" s="212" t="s">
        <v>57</v>
      </c>
      <c r="N84" s="246" t="s">
        <v>201</v>
      </c>
      <c r="O84" s="212" t="s">
        <v>57</v>
      </c>
      <c r="P84" s="246" t="s">
        <v>57</v>
      </c>
      <c r="Q84" s="246" t="s">
        <v>57</v>
      </c>
      <c r="R84" s="212" t="s">
        <v>57</v>
      </c>
      <c r="S84" s="246" t="s">
        <v>57</v>
      </c>
      <c r="T84" s="212" t="s">
        <v>0</v>
      </c>
      <c r="U84" s="214" t="s">
        <v>1045</v>
      </c>
      <c r="V84" s="248" t="s">
        <v>5722</v>
      </c>
      <c r="W84" s="212" t="s">
        <v>830</v>
      </c>
      <c r="X84" s="212" t="s">
        <v>6415</v>
      </c>
      <c r="Y84" s="212" t="s">
        <v>0</v>
      </c>
      <c r="Z84" s="212" t="s">
        <v>0</v>
      </c>
      <c r="AA84" s="212" t="s">
        <v>57</v>
      </c>
      <c r="AB84" s="212" t="s">
        <v>204</v>
      </c>
      <c r="AC84" s="214" t="s">
        <v>57</v>
      </c>
      <c r="AD84" s="212" t="s">
        <v>0</v>
      </c>
      <c r="AE84" s="213" t="s">
        <v>196</v>
      </c>
      <c r="AF84" s="213" t="s">
        <v>196</v>
      </c>
      <c r="AG84" s="36" t="s">
        <v>6991</v>
      </c>
      <c r="AH84" s="36" t="s">
        <v>7130</v>
      </c>
      <c r="AI84" s="36" t="s">
        <v>7130</v>
      </c>
      <c r="AJ84" s="213" t="s">
        <v>64</v>
      </c>
      <c r="AK84" s="213" t="s">
        <v>0</v>
      </c>
      <c r="AL84" s="218" t="s">
        <v>57</v>
      </c>
      <c r="AM84" s="214" t="s">
        <v>67</v>
      </c>
      <c r="AN84" s="212" t="s">
        <v>198</v>
      </c>
      <c r="AO84" s="212" t="s">
        <v>4215</v>
      </c>
      <c r="AP84" s="214" t="s">
        <v>26</v>
      </c>
      <c r="AQ84" s="214" t="s">
        <v>408</v>
      </c>
      <c r="AR84" s="214" t="s">
        <v>910</v>
      </c>
      <c r="AS84" s="214" t="s">
        <v>6365</v>
      </c>
      <c r="AT84" s="214" t="s">
        <v>57</v>
      </c>
      <c r="AU84" s="214" t="s">
        <v>57</v>
      </c>
      <c r="AV84" s="212" t="s">
        <v>4361</v>
      </c>
      <c r="AW84" s="212" t="s">
        <v>4361</v>
      </c>
      <c r="AX84" s="212" t="s">
        <v>113</v>
      </c>
      <c r="AY84" s="212" t="s">
        <v>113</v>
      </c>
      <c r="AZ84" s="212" t="s">
        <v>0</v>
      </c>
      <c r="BA84" s="212" t="s">
        <v>3605</v>
      </c>
      <c r="BB84" s="212" t="s">
        <v>780</v>
      </c>
      <c r="BC84" s="212" t="s">
        <v>83</v>
      </c>
      <c r="BD84" s="36" t="s">
        <v>7590</v>
      </c>
      <c r="BE84" s="212" t="s">
        <v>83</v>
      </c>
      <c r="BF84" s="36" t="s">
        <v>7590</v>
      </c>
      <c r="BG84" s="212" t="s">
        <v>83</v>
      </c>
      <c r="BH84" s="36" t="s">
        <v>7590</v>
      </c>
      <c r="BI84" s="36" t="s">
        <v>7590</v>
      </c>
      <c r="BJ84" s="212" t="s">
        <v>83</v>
      </c>
      <c r="BK84" s="212" t="s">
        <v>225</v>
      </c>
      <c r="BL84" s="212" t="s">
        <v>561</v>
      </c>
      <c r="BM84" s="214" t="s">
        <v>0</v>
      </c>
      <c r="BN84" s="214" t="s">
        <v>64</v>
      </c>
      <c r="BO84" s="214"/>
      <c r="BP84" s="212" t="s">
        <v>83</v>
      </c>
      <c r="BQ84" s="212" t="s">
        <v>83</v>
      </c>
      <c r="BR84" s="214" t="s">
        <v>0</v>
      </c>
      <c r="BS84" s="214" t="s">
        <v>113</v>
      </c>
      <c r="BT84" s="214" t="s">
        <v>0</v>
      </c>
      <c r="BU84" s="212" t="s">
        <v>196</v>
      </c>
      <c r="BV84" s="212" t="s">
        <v>67</v>
      </c>
      <c r="BW84" s="214" t="s">
        <v>67</v>
      </c>
      <c r="BX84" s="214" t="s">
        <v>197</v>
      </c>
      <c r="BY84" s="214" t="s">
        <v>196</v>
      </c>
      <c r="BZ84" s="214" t="s">
        <v>196</v>
      </c>
      <c r="CA84" s="214" t="s">
        <v>67</v>
      </c>
      <c r="CB84" s="214" t="s">
        <v>67</v>
      </c>
      <c r="CC84" s="214" t="s">
        <v>57</v>
      </c>
      <c r="CD84" s="214" t="s">
        <v>57</v>
      </c>
      <c r="CE84" s="214" t="s">
        <v>67</v>
      </c>
      <c r="CF84" s="214" t="s">
        <v>830</v>
      </c>
    </row>
    <row r="85" spans="1:84" ht="18">
      <c r="A85" s="51" t="s">
        <v>935</v>
      </c>
      <c r="B85" s="51"/>
      <c r="C85" s="52" t="s">
        <v>5170</v>
      </c>
      <c r="D85" s="52" t="s">
        <v>5171</v>
      </c>
      <c r="E85" s="52" t="s">
        <v>0</v>
      </c>
      <c r="F85" s="52" t="s">
        <v>2786</v>
      </c>
      <c r="G85" s="52" t="s">
        <v>1025</v>
      </c>
      <c r="H85" s="52" t="s">
        <v>1413</v>
      </c>
      <c r="I85" s="52" t="s">
        <v>8226</v>
      </c>
      <c r="J85" s="52" t="s">
        <v>5769</v>
      </c>
      <c r="K85" s="52" t="s">
        <v>8471</v>
      </c>
      <c r="L85" s="52" t="s">
        <v>8472</v>
      </c>
      <c r="M85" s="52" t="s">
        <v>5850</v>
      </c>
      <c r="N85" s="84" t="s">
        <v>8311</v>
      </c>
      <c r="O85" s="52" t="s">
        <v>3391</v>
      </c>
      <c r="P85" s="52" t="s">
        <v>8660</v>
      </c>
      <c r="Q85" s="52" t="s">
        <v>8660</v>
      </c>
      <c r="R85" s="52" t="s">
        <v>3430</v>
      </c>
      <c r="S85" s="52" t="s">
        <v>8537</v>
      </c>
      <c r="T85" s="52" t="s">
        <v>0</v>
      </c>
      <c r="U85" s="52" t="s">
        <v>5576</v>
      </c>
      <c r="V85" s="84"/>
      <c r="W85" s="52" t="s">
        <v>4443</v>
      </c>
      <c r="X85" s="52" t="s">
        <v>6424</v>
      </c>
      <c r="Y85" s="52" t="s">
        <v>2336</v>
      </c>
      <c r="Z85" s="52" t="s">
        <v>2336</v>
      </c>
      <c r="AA85" s="52" t="s">
        <v>2378</v>
      </c>
      <c r="AB85" s="52" t="s">
        <v>5926</v>
      </c>
      <c r="AC85" s="52" t="s">
        <v>5926</v>
      </c>
      <c r="AD85" s="52" t="s">
        <v>0</v>
      </c>
      <c r="AE85" s="52" t="s">
        <v>6065</v>
      </c>
      <c r="AF85" s="52" t="s">
        <v>6064</v>
      </c>
      <c r="AG85" s="186" t="s">
        <v>7039</v>
      </c>
      <c r="AH85" s="186" t="s">
        <v>7128</v>
      </c>
      <c r="AI85" s="186" t="s">
        <v>7128</v>
      </c>
      <c r="AJ85" s="52" t="s">
        <v>6102</v>
      </c>
      <c r="AK85" s="52" t="s">
        <v>0</v>
      </c>
      <c r="AL85" s="52" t="s">
        <v>1858</v>
      </c>
      <c r="AM85" s="52" t="s">
        <v>5415</v>
      </c>
      <c r="AN85" s="52" t="s">
        <v>5366</v>
      </c>
      <c r="AO85" s="52" t="s">
        <v>4225</v>
      </c>
      <c r="AP85" s="52" t="s">
        <v>1025</v>
      </c>
      <c r="AQ85" s="52" t="s">
        <v>1025</v>
      </c>
      <c r="AR85" s="52"/>
      <c r="AS85" s="52" t="s">
        <v>1025</v>
      </c>
      <c r="AT85" s="52" t="s">
        <v>1025</v>
      </c>
      <c r="AU85" s="52" t="s">
        <v>1025</v>
      </c>
      <c r="AV85" s="52" t="s">
        <v>4358</v>
      </c>
      <c r="AW85" s="52" t="s">
        <v>4358</v>
      </c>
      <c r="AX85" s="52" t="s">
        <v>1330</v>
      </c>
      <c r="AY85" s="52" t="s">
        <v>1330</v>
      </c>
      <c r="AZ85" s="52" t="s">
        <v>0</v>
      </c>
      <c r="BA85" s="52" t="s">
        <v>3604</v>
      </c>
      <c r="BB85" s="52" t="s">
        <v>3531</v>
      </c>
      <c r="BC85" s="52" t="s">
        <v>4863</v>
      </c>
      <c r="BD85" s="52" t="s">
        <v>7749</v>
      </c>
      <c r="BE85" s="52" t="s">
        <v>4896</v>
      </c>
      <c r="BF85" s="52" t="s">
        <v>7751</v>
      </c>
      <c r="BG85" s="52" t="s">
        <v>4863</v>
      </c>
      <c r="BH85" s="52" t="s">
        <v>7871</v>
      </c>
      <c r="BI85" s="52" t="s">
        <v>7807</v>
      </c>
      <c r="BJ85" s="52" t="s">
        <v>4891</v>
      </c>
      <c r="BK85" s="52"/>
      <c r="BL85" s="52"/>
      <c r="BM85" s="52" t="s">
        <v>0</v>
      </c>
      <c r="BN85" s="52" t="s">
        <v>3872</v>
      </c>
      <c r="BO85" s="52"/>
      <c r="BP85" s="52" t="s">
        <v>2269</v>
      </c>
      <c r="BQ85" s="52" t="s">
        <v>2268</v>
      </c>
      <c r="BR85" s="52" t="s">
        <v>0</v>
      </c>
      <c r="BS85" s="52" t="s">
        <v>2663</v>
      </c>
      <c r="BT85" s="52" t="s">
        <v>0</v>
      </c>
      <c r="BU85" s="84" t="s">
        <v>2873</v>
      </c>
      <c r="BV85" s="84"/>
      <c r="BW85" s="52"/>
      <c r="BX85" s="52" t="s">
        <v>3917</v>
      </c>
      <c r="BY85" s="52" t="s">
        <v>3784</v>
      </c>
      <c r="BZ85" s="52" t="s">
        <v>6186</v>
      </c>
      <c r="CA85" s="52" t="s">
        <v>3118</v>
      </c>
      <c r="CB85" s="52" t="s">
        <v>3118</v>
      </c>
      <c r="CC85" s="52"/>
      <c r="CD85" s="52"/>
      <c r="CE85" s="52" t="s">
        <v>3218</v>
      </c>
      <c r="CF85" s="52" t="s">
        <v>2141</v>
      </c>
    </row>
    <row r="86" spans="1:84" ht="18">
      <c r="A86" s="235" t="s">
        <v>6751</v>
      </c>
      <c r="B86" s="200"/>
      <c r="C86" s="233"/>
      <c r="D86" s="233"/>
      <c r="E86" s="233"/>
      <c r="F86" s="233"/>
      <c r="G86" s="233"/>
      <c r="H86" s="233"/>
      <c r="I86" s="143" t="s">
        <v>7274</v>
      </c>
      <c r="J86" s="233"/>
      <c r="K86" s="143" t="s">
        <v>7274</v>
      </c>
      <c r="L86" s="143" t="s">
        <v>8476</v>
      </c>
      <c r="M86" s="233"/>
      <c r="N86" s="143" t="s">
        <v>7274</v>
      </c>
      <c r="O86" s="233"/>
      <c r="P86" s="143" t="s">
        <v>8476</v>
      </c>
      <c r="Q86" s="143" t="s">
        <v>8476</v>
      </c>
      <c r="R86" s="233"/>
      <c r="S86" s="143" t="s">
        <v>8476</v>
      </c>
      <c r="T86" s="233"/>
      <c r="U86" s="233"/>
      <c r="V86" s="221"/>
      <c r="W86" s="233"/>
      <c r="X86" s="233"/>
      <c r="Y86" s="233"/>
      <c r="Z86" s="233"/>
      <c r="AA86" s="233"/>
      <c r="AB86" s="233"/>
      <c r="AC86" s="233"/>
      <c r="AD86" s="233"/>
      <c r="AE86" s="233"/>
      <c r="AF86" s="233"/>
      <c r="AG86" s="143" t="s">
        <v>6992</v>
      </c>
      <c r="AH86" s="143" t="s">
        <v>6992</v>
      </c>
      <c r="AI86" s="143" t="s">
        <v>6992</v>
      </c>
      <c r="AJ86" s="233"/>
      <c r="AK86" s="233"/>
      <c r="AL86" s="233"/>
      <c r="AM86" s="233"/>
      <c r="AN86" s="233"/>
      <c r="AO86" s="233"/>
      <c r="AP86" s="233"/>
      <c r="AQ86" s="233"/>
      <c r="AR86" s="233"/>
      <c r="AS86" s="233"/>
      <c r="AT86" s="233"/>
      <c r="AU86" s="233"/>
      <c r="AV86" s="233"/>
      <c r="AW86" s="233"/>
      <c r="AX86" s="233"/>
      <c r="AY86" s="233"/>
      <c r="AZ86" s="233"/>
      <c r="BA86" s="233"/>
      <c r="BB86" s="233"/>
      <c r="BC86" s="233"/>
      <c r="BD86" s="143" t="s">
        <v>7274</v>
      </c>
      <c r="BE86" s="233"/>
      <c r="BF86" s="143" t="s">
        <v>7274</v>
      </c>
      <c r="BG86" s="233"/>
      <c r="BH86" s="143" t="s">
        <v>7274</v>
      </c>
      <c r="BI86" s="143" t="s">
        <v>7274</v>
      </c>
      <c r="BJ86" s="233"/>
      <c r="BK86" s="233"/>
      <c r="BL86" s="233"/>
      <c r="BM86" s="233"/>
      <c r="BN86" s="233"/>
      <c r="BO86" s="233"/>
      <c r="BP86" s="233"/>
      <c r="BQ86" s="233"/>
      <c r="BR86" s="233"/>
      <c r="BS86" s="233"/>
      <c r="BT86" s="233"/>
      <c r="BU86" s="221"/>
      <c r="BV86" s="221"/>
      <c r="BW86" s="233"/>
      <c r="BX86" s="233"/>
      <c r="BY86" s="233"/>
      <c r="BZ86" s="233"/>
      <c r="CA86" s="233"/>
      <c r="CB86" s="233"/>
      <c r="CC86" s="233"/>
      <c r="CD86" s="233"/>
      <c r="CE86" s="233"/>
      <c r="CF86" s="233"/>
    </row>
    <row r="87" spans="1:84">
      <c r="A87" s="51" t="s">
        <v>935</v>
      </c>
      <c r="B87" s="51"/>
      <c r="C87" s="52"/>
      <c r="D87" s="52"/>
      <c r="E87" s="52"/>
      <c r="F87" s="52"/>
      <c r="G87" s="52"/>
      <c r="H87" s="52"/>
      <c r="I87" s="52" t="s">
        <v>8221</v>
      </c>
      <c r="J87" s="52"/>
      <c r="K87" s="52" t="s">
        <v>8221</v>
      </c>
      <c r="L87" s="52" t="s">
        <v>8477</v>
      </c>
      <c r="M87" s="52"/>
      <c r="N87" s="52" t="s">
        <v>8221</v>
      </c>
      <c r="O87" s="52"/>
      <c r="P87" s="52" t="s">
        <v>8661</v>
      </c>
      <c r="Q87" s="52" t="s">
        <v>8661</v>
      </c>
      <c r="R87" s="52"/>
      <c r="S87" s="52" t="s">
        <v>8538</v>
      </c>
      <c r="T87" s="52"/>
      <c r="U87" s="52"/>
      <c r="V87" s="84"/>
      <c r="W87" s="52"/>
      <c r="X87" s="52"/>
      <c r="Y87" s="52"/>
      <c r="Z87" s="52"/>
      <c r="AA87" s="52"/>
      <c r="AB87" s="52"/>
      <c r="AC87" s="52"/>
      <c r="AD87" s="52"/>
      <c r="AE87" s="52"/>
      <c r="AF87" s="52"/>
      <c r="AG87" s="186" t="s">
        <v>7038</v>
      </c>
      <c r="AH87" s="186" t="s">
        <v>7038</v>
      </c>
      <c r="AI87" s="186" t="s">
        <v>7038</v>
      </c>
      <c r="AJ87" s="52"/>
      <c r="AK87" s="52"/>
      <c r="AL87" s="52"/>
      <c r="AM87" s="52"/>
      <c r="AN87" s="52"/>
      <c r="AO87" s="52"/>
      <c r="AP87" s="52"/>
      <c r="AQ87" s="52"/>
      <c r="AR87" s="52"/>
      <c r="AS87" s="52"/>
      <c r="AT87" s="52"/>
      <c r="AU87" s="52"/>
      <c r="AV87" s="52"/>
      <c r="AW87" s="52"/>
      <c r="AX87" s="52"/>
      <c r="AY87" s="52"/>
      <c r="AZ87" s="52"/>
      <c r="BA87" s="52"/>
      <c r="BB87" s="52"/>
      <c r="BC87" s="52"/>
      <c r="BD87" s="52" t="s">
        <v>7645</v>
      </c>
      <c r="BE87" s="52"/>
      <c r="BF87" s="52" t="s">
        <v>7645</v>
      </c>
      <c r="BG87" s="52"/>
      <c r="BH87" s="52" t="s">
        <v>7645</v>
      </c>
      <c r="BI87" s="52" t="s">
        <v>7645</v>
      </c>
      <c r="BJ87" s="52"/>
      <c r="BK87" s="52"/>
      <c r="BL87" s="52"/>
      <c r="BM87" s="52"/>
      <c r="BN87" s="52"/>
      <c r="BO87" s="52"/>
      <c r="BP87" s="52"/>
      <c r="BQ87" s="52"/>
      <c r="BR87" s="52"/>
      <c r="BS87" s="52"/>
      <c r="BT87" s="52"/>
      <c r="BU87" s="84"/>
      <c r="BV87" s="84"/>
      <c r="BW87" s="52"/>
      <c r="BX87" s="52"/>
      <c r="BY87" s="52"/>
      <c r="BZ87" s="52"/>
      <c r="CA87" s="52"/>
      <c r="CB87" s="52"/>
      <c r="CC87" s="52"/>
      <c r="CD87" s="52"/>
      <c r="CE87" s="52"/>
      <c r="CF87" s="52"/>
    </row>
    <row r="88" spans="1:84" ht="18">
      <c r="A88" s="235" t="s">
        <v>6868</v>
      </c>
      <c r="B88" s="200"/>
      <c r="C88" s="233"/>
      <c r="D88" s="233"/>
      <c r="E88" s="233"/>
      <c r="F88" s="233"/>
      <c r="G88" s="233"/>
      <c r="H88" s="233"/>
      <c r="I88" s="36" t="s">
        <v>6993</v>
      </c>
      <c r="J88" s="233"/>
      <c r="K88" s="36" t="s">
        <v>6993</v>
      </c>
      <c r="L88" s="36" t="s">
        <v>6993</v>
      </c>
      <c r="M88" s="233"/>
      <c r="N88" s="36" t="s">
        <v>6993</v>
      </c>
      <c r="O88" s="233"/>
      <c r="P88" s="36" t="s">
        <v>6993</v>
      </c>
      <c r="Q88" s="36" t="s">
        <v>6993</v>
      </c>
      <c r="R88" s="233"/>
      <c r="S88" s="36" t="s">
        <v>6993</v>
      </c>
      <c r="T88" s="233"/>
      <c r="U88" s="233"/>
      <c r="V88" s="221"/>
      <c r="W88" s="233"/>
      <c r="X88" s="233"/>
      <c r="Y88" s="233"/>
      <c r="Z88" s="233"/>
      <c r="AA88" s="233"/>
      <c r="AB88" s="233"/>
      <c r="AC88" s="233"/>
      <c r="AD88" s="233"/>
      <c r="AE88" s="233"/>
      <c r="AF88" s="233"/>
      <c r="AG88" s="36" t="s">
        <v>6993</v>
      </c>
      <c r="AH88" s="36" t="s">
        <v>6993</v>
      </c>
      <c r="AI88" s="36" t="s">
        <v>6993</v>
      </c>
      <c r="AJ88" s="233"/>
      <c r="AK88" s="233"/>
      <c r="AL88" s="233"/>
      <c r="AM88" s="233"/>
      <c r="AN88" s="233"/>
      <c r="AO88" s="233"/>
      <c r="AP88" s="233"/>
      <c r="AQ88" s="233"/>
      <c r="AR88" s="233"/>
      <c r="AS88" s="233"/>
      <c r="AT88" s="233"/>
      <c r="AU88" s="233"/>
      <c r="AV88" s="233"/>
      <c r="AW88" s="233"/>
      <c r="AX88" s="233"/>
      <c r="AY88" s="233"/>
      <c r="AZ88" s="233"/>
      <c r="BA88" s="233"/>
      <c r="BB88" s="233"/>
      <c r="BC88" s="233"/>
      <c r="BD88" s="36" t="s">
        <v>7648</v>
      </c>
      <c r="BE88" s="233"/>
      <c r="BF88" s="36" t="s">
        <v>7648</v>
      </c>
      <c r="BG88" s="233"/>
      <c r="BH88" s="36" t="s">
        <v>7648</v>
      </c>
      <c r="BI88" s="36" t="s">
        <v>7648</v>
      </c>
      <c r="BJ88" s="233"/>
      <c r="BK88" s="233"/>
      <c r="BL88" s="233"/>
      <c r="BM88" s="233"/>
      <c r="BN88" s="233"/>
      <c r="BO88" s="233"/>
      <c r="BP88" s="233"/>
      <c r="BQ88" s="233"/>
      <c r="BR88" s="233"/>
      <c r="BS88" s="233"/>
      <c r="BT88" s="233"/>
      <c r="BU88" s="221"/>
      <c r="BV88" s="221"/>
      <c r="BW88" s="233"/>
      <c r="BX88" s="233"/>
      <c r="BY88" s="233"/>
      <c r="BZ88" s="233"/>
      <c r="CA88" s="233"/>
      <c r="CB88" s="233"/>
      <c r="CC88" s="233"/>
      <c r="CD88" s="233"/>
      <c r="CE88" s="233"/>
      <c r="CF88" s="233"/>
    </row>
    <row r="89" spans="1:84">
      <c r="A89" s="51" t="s">
        <v>935</v>
      </c>
      <c r="B89" s="51"/>
      <c r="C89" s="52"/>
      <c r="D89" s="52"/>
      <c r="E89" s="52"/>
      <c r="F89" s="52"/>
      <c r="G89" s="52"/>
      <c r="H89" s="52"/>
      <c r="I89" s="52" t="s">
        <v>8222</v>
      </c>
      <c r="J89" s="52"/>
      <c r="K89" s="52" t="s">
        <v>8222</v>
      </c>
      <c r="L89" s="52" t="s">
        <v>8222</v>
      </c>
      <c r="M89" s="52"/>
      <c r="N89" s="52" t="s">
        <v>8222</v>
      </c>
      <c r="O89" s="52"/>
      <c r="P89" s="52" t="s">
        <v>8222</v>
      </c>
      <c r="Q89" s="52" t="s">
        <v>8222</v>
      </c>
      <c r="R89" s="52"/>
      <c r="S89" s="52" t="s">
        <v>8222</v>
      </c>
      <c r="T89" s="52"/>
      <c r="U89" s="52"/>
      <c r="V89" s="84"/>
      <c r="W89" s="52"/>
      <c r="X89" s="52"/>
      <c r="Y89" s="52"/>
      <c r="Z89" s="52"/>
      <c r="AA89" s="52"/>
      <c r="AB89" s="52"/>
      <c r="AC89" s="52"/>
      <c r="AD89" s="52"/>
      <c r="AE89" s="52"/>
      <c r="AF89" s="52"/>
      <c r="AG89" s="186" t="s">
        <v>7037</v>
      </c>
      <c r="AH89" s="186" t="s">
        <v>7037</v>
      </c>
      <c r="AI89" s="186" t="s">
        <v>7037</v>
      </c>
      <c r="AJ89" s="52"/>
      <c r="AK89" s="52"/>
      <c r="AL89" s="52"/>
      <c r="AM89" s="52"/>
      <c r="AN89" s="52"/>
      <c r="AO89" s="52"/>
      <c r="AP89" s="52"/>
      <c r="AQ89" s="52"/>
      <c r="AR89" s="52"/>
      <c r="AS89" s="52"/>
      <c r="AT89" s="52"/>
      <c r="AU89" s="52"/>
      <c r="AV89" s="52"/>
      <c r="AW89" s="52"/>
      <c r="AX89" s="52"/>
      <c r="AY89" s="52"/>
      <c r="AZ89" s="52"/>
      <c r="BA89" s="52"/>
      <c r="BB89" s="52"/>
      <c r="BC89" s="52"/>
      <c r="BD89" s="52" t="s">
        <v>7649</v>
      </c>
      <c r="BE89" s="52"/>
      <c r="BF89" s="52" t="s">
        <v>7649</v>
      </c>
      <c r="BG89" s="52"/>
      <c r="BH89" s="52" t="s">
        <v>7649</v>
      </c>
      <c r="BI89" s="52" t="s">
        <v>7649</v>
      </c>
      <c r="BJ89" s="52"/>
      <c r="BK89" s="52"/>
      <c r="BL89" s="52"/>
      <c r="BM89" s="52"/>
      <c r="BN89" s="52"/>
      <c r="BO89" s="52"/>
      <c r="BP89" s="52"/>
      <c r="BQ89" s="52"/>
      <c r="BR89" s="52"/>
      <c r="BS89" s="52"/>
      <c r="BT89" s="52"/>
      <c r="BU89" s="84"/>
      <c r="BV89" s="84"/>
      <c r="BW89" s="52"/>
      <c r="BX89" s="52"/>
      <c r="BY89" s="52"/>
      <c r="BZ89" s="52"/>
      <c r="CA89" s="52"/>
      <c r="CB89" s="52"/>
      <c r="CC89" s="52"/>
      <c r="CD89" s="52"/>
      <c r="CE89" s="52"/>
      <c r="CF89" s="52"/>
    </row>
    <row r="90" spans="1:84">
      <c r="A90" s="23"/>
      <c r="B90" s="23"/>
      <c r="C90" s="53"/>
      <c r="D90" s="53"/>
      <c r="E90" s="53"/>
      <c r="F90" s="53"/>
      <c r="G90" s="53"/>
      <c r="H90" s="53"/>
      <c r="I90" s="53"/>
      <c r="J90" s="53"/>
      <c r="K90" s="53"/>
      <c r="L90" s="53"/>
      <c r="M90" s="53"/>
      <c r="N90" s="53"/>
      <c r="O90" s="53"/>
      <c r="P90" s="53"/>
      <c r="Q90" s="53"/>
      <c r="R90" s="53"/>
      <c r="S90" s="53"/>
      <c r="T90" s="53"/>
      <c r="U90" s="53"/>
      <c r="V90" s="7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3"/>
      <c r="BR90" s="53"/>
      <c r="BS90" s="53"/>
      <c r="BT90" s="53"/>
      <c r="BU90" s="65"/>
      <c r="BV90" s="65"/>
      <c r="BW90" s="53"/>
      <c r="BX90" s="53"/>
      <c r="BY90" s="53"/>
      <c r="BZ90" s="53"/>
      <c r="CA90" s="53"/>
      <c r="CB90" s="53"/>
      <c r="CC90" s="53"/>
      <c r="CD90" s="53"/>
      <c r="CE90" s="53"/>
      <c r="CF90" s="173"/>
    </row>
    <row r="91" spans="1:84" ht="18">
      <c r="A91" s="22" t="s">
        <v>6517</v>
      </c>
      <c r="B91" s="22"/>
      <c r="C91" s="18" t="str">
        <f>C1</f>
        <v>ADCURI Basis-Schutz</v>
      </c>
      <c r="D91" s="18" t="str">
        <f t="shared" ref="D91:CC91" si="4">D1</f>
        <v>ADCURI Top-Schutz</v>
      </c>
      <c r="E91" s="18" t="str">
        <f t="shared" si="4"/>
        <v>Allianz</v>
      </c>
      <c r="F91" s="18" t="str">
        <f t="shared" si="4"/>
        <v>Allianz inkl. SicherheitPlus</v>
      </c>
      <c r="G91" s="18" t="str">
        <f t="shared" si="4"/>
        <v>Alte Leipziger classic</v>
      </c>
      <c r="H91" s="18" t="str">
        <f t="shared" si="4"/>
        <v>Alte Leipziger comfort</v>
      </c>
      <c r="I91" s="18" t="str">
        <f>I1</f>
        <v>Ammerländer Basic
(2019-02)</v>
      </c>
      <c r="J91" s="18" t="str">
        <f t="shared" si="4"/>
        <v>Ammerländer Classic
(2016-01)</v>
      </c>
      <c r="K91" s="18" t="str">
        <f>K1</f>
        <v>Ammerländer Classic
(2019-02)</v>
      </c>
      <c r="L91" s="18" t="str">
        <f>L1</f>
        <v>Ammerländer Comfort
(2019-02)</v>
      </c>
      <c r="M91" s="18" t="str">
        <f t="shared" si="4"/>
        <v>Ammerländer Comfort
(2016-01)</v>
      </c>
      <c r="N91" s="18" t="str">
        <f>N1</f>
        <v>Ammerländer Economic
(2019-02)</v>
      </c>
      <c r="O91" s="18" t="str">
        <f t="shared" si="4"/>
        <v>Ammerländer Excellent
(2016-01)</v>
      </c>
      <c r="P91" s="18" t="str">
        <f>P1</f>
        <v>Ammerländer Excellent
(2019-02)</v>
      </c>
      <c r="Q91" s="18" t="str">
        <f>Q1</f>
        <v>Ammerländer Excellent
(2020-02)</v>
      </c>
      <c r="R91" s="18" t="str">
        <f>R1</f>
        <v>Ammerländer Exclusiv
(2016-01)</v>
      </c>
      <c r="S91" s="18" t="str">
        <f>S1</f>
        <v>Ammerländer Exclusiv
(2019-02)</v>
      </c>
      <c r="T91" s="18" t="str">
        <f t="shared" si="4"/>
        <v>ARAG Komfort (Wohnfläche)</v>
      </c>
      <c r="U91" s="18" t="str">
        <f t="shared" si="4"/>
        <v>ARAG Premium (Wohnfläche)</v>
      </c>
      <c r="V91" s="18" t="str">
        <f t="shared" si="4"/>
        <v>AXA BOXflex</v>
      </c>
      <c r="W91" s="18" t="str">
        <f t="shared" si="4"/>
        <v>Baden Badener TOP</v>
      </c>
      <c r="X91" s="18" t="str">
        <f t="shared" si="4"/>
        <v>Concordia Sorglos</v>
      </c>
      <c r="Y91" s="18" t="str">
        <f t="shared" si="4"/>
        <v>Debeka Basis</v>
      </c>
      <c r="Z91" s="18" t="str">
        <f t="shared" si="4"/>
        <v>Debeka Standard</v>
      </c>
      <c r="AA91" s="18" t="str">
        <f t="shared" si="4"/>
        <v>Debeka Top</v>
      </c>
      <c r="AB91" s="18" t="str">
        <f t="shared" si="4"/>
        <v>die Bayerische (Komfort)</v>
      </c>
      <c r="AC91" s="18" t="str">
        <f t="shared" si="4"/>
        <v>die Bayerische (Prestige)</v>
      </c>
      <c r="AD91" s="18" t="str">
        <f t="shared" si="4"/>
        <v>die Bayerische (Smart)</v>
      </c>
      <c r="AE91" s="18" t="str">
        <f t="shared" si="4"/>
        <v>Domcura Komfort
(Stand 2014-10)</v>
      </c>
      <c r="AF91" s="18" t="str">
        <f t="shared" si="4"/>
        <v>Domcura Top
(Stand 2014-10)</v>
      </c>
      <c r="AG91" s="18" t="str">
        <f>AG1</f>
        <v>Domcura Standard
(2016-10-01)</v>
      </c>
      <c r="AH91" s="18" t="str">
        <f>AH1</f>
        <v>Domcura Komfort
(2016-10-01)</v>
      </c>
      <c r="AI91" s="18" t="str">
        <f>AI1</f>
        <v>Domcura Top
(2016-10-01)</v>
      </c>
      <c r="AJ91" s="18" t="str">
        <f t="shared" si="4"/>
        <v>ERGO Hausrat Spezial</v>
      </c>
      <c r="AK91" s="18" t="str">
        <f t="shared" si="4"/>
        <v>Generali Basis</v>
      </c>
      <c r="AL91" s="18" t="str">
        <f t="shared" si="4"/>
        <v>Generali KomfortPlus</v>
      </c>
      <c r="AM91" s="18" t="str">
        <f t="shared" si="4"/>
        <v>Gothaer Top</v>
      </c>
      <c r="AN91" s="18" t="str">
        <f t="shared" si="4"/>
        <v>Gothaer Top Plus</v>
      </c>
      <c r="AO91" s="18" t="str">
        <f t="shared" si="4"/>
        <v>HDI Privatschutz</v>
      </c>
      <c r="AP91" s="18" t="str">
        <f t="shared" si="4"/>
        <v>Helvetia Basis</v>
      </c>
      <c r="AQ91" s="18" t="str">
        <f t="shared" si="4"/>
        <v>Helvetia Komfort</v>
      </c>
      <c r="AR91" s="18" t="str">
        <f t="shared" si="4"/>
        <v>HFK Rundumschutz</v>
      </c>
      <c r="AS91" s="18" t="str">
        <f t="shared" si="4"/>
        <v>HKD Einfach Gut</v>
      </c>
      <c r="AT91" s="18" t="str">
        <f t="shared" si="4"/>
        <v>HKD Einfach Besser</v>
      </c>
      <c r="AU91" s="18" t="str">
        <f t="shared" si="4"/>
        <v>HKD Einfach Komplett</v>
      </c>
      <c r="AV91" s="18" t="str">
        <f t="shared" si="4"/>
        <v>HUK Classic</v>
      </c>
      <c r="AW91" s="18" t="str">
        <f t="shared" si="4"/>
        <v>HUK Plus</v>
      </c>
      <c r="AX91" s="18" t="str">
        <f t="shared" si="4"/>
        <v>Ideal Exklusiv</v>
      </c>
      <c r="AY91" s="18" t="str">
        <f t="shared" si="4"/>
        <v>Ideal Klassik</v>
      </c>
      <c r="AZ91" s="18" t="str">
        <f t="shared" si="4"/>
        <v>InterRisk L</v>
      </c>
      <c r="BA91" s="18" t="str">
        <f t="shared" si="4"/>
        <v>InterRisk XL</v>
      </c>
      <c r="BB91" s="18" t="str">
        <f t="shared" si="4"/>
        <v>InterRisk XXL</v>
      </c>
      <c r="BC91" s="18" t="str">
        <f t="shared" si="4"/>
        <v>ITL afm Eurosecure Plus</v>
      </c>
      <c r="BD91" s="18" t="str">
        <f>BD1</f>
        <v>ITL Eurosecure Plus afm
Stand 2013-08</v>
      </c>
      <c r="BE91" s="18" t="str">
        <f t="shared" si="4"/>
        <v>ITL afm Infinitus</v>
      </c>
      <c r="BF91" s="18" t="str">
        <f>BF1</f>
        <v>ITL Infinitus
Stand 2013-08</v>
      </c>
      <c r="BG91" s="18" t="str">
        <f t="shared" si="4"/>
        <v>ITL afm Protect Plus</v>
      </c>
      <c r="BH91" s="18" t="str">
        <f>BH1</f>
        <v>ITL Protect Plus afm
Stand 2013-08</v>
      </c>
      <c r="BI91" s="18" t="str">
        <f>BI1</f>
        <v>ITL Classic
Stand 2013-08</v>
      </c>
      <c r="BJ91" s="18" t="str">
        <f t="shared" si="4"/>
        <v>ITL Classic</v>
      </c>
      <c r="BK91" s="18" t="str">
        <f t="shared" si="4"/>
        <v>Janitos Balance</v>
      </c>
      <c r="BL91" s="18" t="str">
        <f t="shared" si="4"/>
        <v>Janitos Best Selection</v>
      </c>
      <c r="BM91" s="18" t="str">
        <f t="shared" si="4"/>
        <v>Keine</v>
      </c>
      <c r="BN91" s="18" t="str">
        <f t="shared" si="4"/>
        <v>Nürnberger KomplettSchutz</v>
      </c>
      <c r="BO91" s="18" t="str">
        <f t="shared" si="4"/>
        <v>NV Premium. 2.0</v>
      </c>
      <c r="BP91" s="18" t="str">
        <f t="shared" si="4"/>
        <v>Prokundo ExklusivPaket</v>
      </c>
      <c r="BQ91" s="18" t="str">
        <f t="shared" si="4"/>
        <v>Prokundo Komfort</v>
      </c>
      <c r="BR91" s="18" t="str">
        <f t="shared" si="4"/>
        <v>Provinzial Kompakt</v>
      </c>
      <c r="BS91" s="18" t="str">
        <f t="shared" si="4"/>
        <v>Provinzial Rundum inkl. Plus</v>
      </c>
      <c r="BT91" s="18" t="str">
        <f t="shared" si="4"/>
        <v>Provinzial Rundumschutz</v>
      </c>
      <c r="BU91" s="18" t="str">
        <f t="shared" si="4"/>
        <v>R+V PrivatPolice</v>
      </c>
      <c r="BV91" s="18" t="str">
        <f t="shared" si="4"/>
        <v>SLP Prima</v>
      </c>
      <c r="BW91" s="18" t="str">
        <f t="shared" si="4"/>
        <v>SLP Prima Plus</v>
      </c>
      <c r="BX91" s="18" t="str">
        <f t="shared" si="4"/>
        <v>VdVA Classic</v>
      </c>
      <c r="BY91" s="18" t="str">
        <f t="shared" si="4"/>
        <v>VdVA Exclusiv</v>
      </c>
      <c r="BZ91" s="18" t="str">
        <f t="shared" si="4"/>
        <v>VGH Standard</v>
      </c>
      <c r="CA91" s="18" t="str">
        <f>CA1</f>
        <v>VHV Klassik Garant
(Stand 2015-04)</v>
      </c>
      <c r="CB91" s="18" t="str">
        <f>CB1</f>
        <v>VHV Klassik Garant Exkl.
(Stand 2015-04)</v>
      </c>
      <c r="CC91" s="18" t="str">
        <f t="shared" si="4"/>
        <v>VWB Komfort</v>
      </c>
      <c r="CD91" s="18" t="str">
        <f t="shared" ref="CD91:CF91" si="5">CD1</f>
        <v>VWB Komfort Plus</v>
      </c>
      <c r="CE91" s="18" t="str">
        <f t="shared" si="5"/>
        <v>WÜBA Plus</v>
      </c>
      <c r="CF91" s="18" t="str">
        <f t="shared" si="5"/>
        <v>Zurich Maklerkonzept</v>
      </c>
    </row>
    <row r="92" spans="1:84" ht="18">
      <c r="A92" s="183" t="s">
        <v>6518</v>
      </c>
      <c r="B92" s="63"/>
      <c r="C92" s="60"/>
      <c r="D92" s="60"/>
      <c r="E92" s="60"/>
      <c r="F92" s="60"/>
      <c r="G92" s="60"/>
      <c r="H92" s="60"/>
      <c r="I92" s="60"/>
      <c r="J92" s="60"/>
      <c r="K92" s="60"/>
      <c r="L92" s="60"/>
      <c r="M92" s="60"/>
      <c r="N92" s="60"/>
      <c r="O92" s="60"/>
      <c r="P92" s="60"/>
      <c r="Q92" s="60"/>
      <c r="R92" s="60"/>
      <c r="S92" s="60"/>
      <c r="T92" s="60"/>
      <c r="U92" s="60"/>
      <c r="V92" s="156"/>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117"/>
      <c r="BV92" s="117"/>
      <c r="BW92" s="60"/>
      <c r="BX92" s="60"/>
      <c r="BY92" s="60"/>
      <c r="BZ92" s="60"/>
      <c r="CA92" s="60"/>
      <c r="CB92" s="60"/>
      <c r="CC92" s="60"/>
      <c r="CD92" s="60"/>
      <c r="CE92" s="60"/>
      <c r="CF92" s="174"/>
    </row>
    <row r="93" spans="1:84">
      <c r="A93" s="182" t="s">
        <v>6519</v>
      </c>
      <c r="B93" s="200"/>
      <c r="C93" s="214" t="s">
        <v>57</v>
      </c>
      <c r="D93" s="214" t="s">
        <v>57</v>
      </c>
      <c r="E93" s="214" t="s">
        <v>57</v>
      </c>
      <c r="F93" s="214" t="s">
        <v>57</v>
      </c>
      <c r="G93" s="214" t="s">
        <v>57</v>
      </c>
      <c r="H93" s="214" t="s">
        <v>57</v>
      </c>
      <c r="I93" s="38" t="s">
        <v>57</v>
      </c>
      <c r="J93" s="214" t="s">
        <v>57</v>
      </c>
      <c r="K93" s="38" t="s">
        <v>57</v>
      </c>
      <c r="L93" s="38" t="s">
        <v>57</v>
      </c>
      <c r="M93" s="214" t="s">
        <v>57</v>
      </c>
      <c r="N93" s="38" t="s">
        <v>57</v>
      </c>
      <c r="O93" s="214" t="s">
        <v>57</v>
      </c>
      <c r="P93" s="38" t="s">
        <v>57</v>
      </c>
      <c r="Q93" s="38" t="s">
        <v>57</v>
      </c>
      <c r="R93" s="214" t="s">
        <v>57</v>
      </c>
      <c r="S93" s="38" t="s">
        <v>57</v>
      </c>
      <c r="T93" s="214" t="s">
        <v>57</v>
      </c>
      <c r="U93" s="214" t="s">
        <v>57</v>
      </c>
      <c r="V93" s="217" t="s">
        <v>57</v>
      </c>
      <c r="W93" s="214" t="s">
        <v>57</v>
      </c>
      <c r="X93" s="214" t="s">
        <v>57</v>
      </c>
      <c r="Y93" s="214" t="s">
        <v>57</v>
      </c>
      <c r="Z93" s="214" t="s">
        <v>57</v>
      </c>
      <c r="AA93" s="214" t="s">
        <v>57</v>
      </c>
      <c r="AB93" s="214" t="s">
        <v>57</v>
      </c>
      <c r="AC93" s="214" t="s">
        <v>57</v>
      </c>
      <c r="AD93" s="214" t="s">
        <v>57</v>
      </c>
      <c r="AE93" s="213" t="s">
        <v>57</v>
      </c>
      <c r="AF93" s="218" t="s">
        <v>57</v>
      </c>
      <c r="AG93" s="38" t="s">
        <v>57</v>
      </c>
      <c r="AH93" s="38" t="s">
        <v>57</v>
      </c>
      <c r="AI93" s="38" t="s">
        <v>57</v>
      </c>
      <c r="AJ93" s="218" t="s">
        <v>57</v>
      </c>
      <c r="AK93" s="213" t="s">
        <v>57</v>
      </c>
      <c r="AL93" s="213" t="s">
        <v>57</v>
      </c>
      <c r="AM93" s="212" t="s">
        <v>57</v>
      </c>
      <c r="AN93" s="212" t="s">
        <v>57</v>
      </c>
      <c r="AO93" s="214" t="s">
        <v>57</v>
      </c>
      <c r="AP93" s="214" t="s">
        <v>57</v>
      </c>
      <c r="AQ93" s="214" t="s">
        <v>57</v>
      </c>
      <c r="AR93" s="214" t="s">
        <v>57</v>
      </c>
      <c r="AS93" s="214" t="s">
        <v>57</v>
      </c>
      <c r="AT93" s="214" t="s">
        <v>57</v>
      </c>
      <c r="AU93" s="214" t="s">
        <v>57</v>
      </c>
      <c r="AV93" s="214" t="s">
        <v>57</v>
      </c>
      <c r="AW93" s="214" t="s">
        <v>57</v>
      </c>
      <c r="AX93" s="214" t="s">
        <v>57</v>
      </c>
      <c r="AY93" s="214" t="s">
        <v>57</v>
      </c>
      <c r="AZ93" s="214" t="s">
        <v>57</v>
      </c>
      <c r="BA93" s="214" t="s">
        <v>57</v>
      </c>
      <c r="BB93" s="214" t="s">
        <v>57</v>
      </c>
      <c r="BC93" s="214" t="s">
        <v>57</v>
      </c>
      <c r="BD93" s="38" t="s">
        <v>57</v>
      </c>
      <c r="BE93" s="214" t="s">
        <v>57</v>
      </c>
      <c r="BF93" s="38" t="s">
        <v>57</v>
      </c>
      <c r="BG93" s="214" t="s">
        <v>57</v>
      </c>
      <c r="BH93" s="38" t="s">
        <v>57</v>
      </c>
      <c r="BI93" s="38" t="s">
        <v>57</v>
      </c>
      <c r="BJ93" s="214" t="s">
        <v>57</v>
      </c>
      <c r="BK93" s="214" t="s">
        <v>57</v>
      </c>
      <c r="BL93" s="214" t="s">
        <v>57</v>
      </c>
      <c r="BM93" s="214" t="s">
        <v>0</v>
      </c>
      <c r="BN93" s="214" t="s">
        <v>57</v>
      </c>
      <c r="BO93" s="214"/>
      <c r="BP93" s="214" t="s">
        <v>57</v>
      </c>
      <c r="BQ93" s="214" t="s">
        <v>57</v>
      </c>
      <c r="BR93" s="212" t="s">
        <v>57</v>
      </c>
      <c r="BS93" s="212" t="s">
        <v>57</v>
      </c>
      <c r="BT93" s="212" t="s">
        <v>57</v>
      </c>
      <c r="BU93" s="212" t="s">
        <v>57</v>
      </c>
      <c r="BV93" s="212" t="s">
        <v>57</v>
      </c>
      <c r="BW93" s="212" t="s">
        <v>57</v>
      </c>
      <c r="BX93" s="212" t="s">
        <v>57</v>
      </c>
      <c r="BY93" s="212" t="s">
        <v>57</v>
      </c>
      <c r="BZ93" s="212" t="s">
        <v>57</v>
      </c>
      <c r="CA93" s="214" t="s">
        <v>57</v>
      </c>
      <c r="CB93" s="214" t="s">
        <v>57</v>
      </c>
      <c r="CC93" s="214" t="s">
        <v>57</v>
      </c>
      <c r="CD93" s="214" t="s">
        <v>57</v>
      </c>
      <c r="CE93" s="214" t="s">
        <v>57</v>
      </c>
      <c r="CF93" s="214" t="s">
        <v>57</v>
      </c>
    </row>
    <row r="94" spans="1:84">
      <c r="A94" s="51" t="s">
        <v>935</v>
      </c>
      <c r="B94" s="51"/>
      <c r="C94" s="52" t="s">
        <v>1657</v>
      </c>
      <c r="D94" s="52" t="s">
        <v>1657</v>
      </c>
      <c r="E94" s="52" t="s">
        <v>2758</v>
      </c>
      <c r="F94" s="52" t="s">
        <v>2758</v>
      </c>
      <c r="G94" s="52" t="s">
        <v>1438</v>
      </c>
      <c r="H94" s="52" t="s">
        <v>1437</v>
      </c>
      <c r="I94" s="52" t="s">
        <v>8149</v>
      </c>
      <c r="J94" s="52" t="s">
        <v>1657</v>
      </c>
      <c r="K94" s="52" t="s">
        <v>8149</v>
      </c>
      <c r="L94" s="52" t="s">
        <v>8149</v>
      </c>
      <c r="M94" s="52" t="s">
        <v>1657</v>
      </c>
      <c r="N94" s="52" t="s">
        <v>8149</v>
      </c>
      <c r="O94" s="52" t="s">
        <v>1657</v>
      </c>
      <c r="P94" s="52" t="s">
        <v>8149</v>
      </c>
      <c r="Q94" s="52" t="s">
        <v>8149</v>
      </c>
      <c r="R94" s="52" t="s">
        <v>1657</v>
      </c>
      <c r="S94" s="52" t="s">
        <v>8149</v>
      </c>
      <c r="T94" s="52" t="s">
        <v>5581</v>
      </c>
      <c r="U94" s="52" t="s">
        <v>5581</v>
      </c>
      <c r="V94" s="84"/>
      <c r="W94" s="52" t="s">
        <v>4420</v>
      </c>
      <c r="X94" s="52" t="s">
        <v>6417</v>
      </c>
      <c r="Y94" s="52" t="s">
        <v>2382</v>
      </c>
      <c r="Z94" s="52" t="s">
        <v>2382</v>
      </c>
      <c r="AA94" s="52" t="s">
        <v>2382</v>
      </c>
      <c r="AB94" s="52" t="s">
        <v>4689</v>
      </c>
      <c r="AC94" s="52" t="s">
        <v>4689</v>
      </c>
      <c r="AD94" s="52" t="s">
        <v>4689</v>
      </c>
      <c r="AE94" s="52" t="s">
        <v>6001</v>
      </c>
      <c r="AF94" s="52" t="s">
        <v>1695</v>
      </c>
      <c r="AG94" s="186" t="s">
        <v>6994</v>
      </c>
      <c r="AH94" s="186" t="s">
        <v>6994</v>
      </c>
      <c r="AI94" s="186" t="s">
        <v>6994</v>
      </c>
      <c r="AJ94" s="52" t="s">
        <v>6104</v>
      </c>
      <c r="AK94" s="52" t="s">
        <v>1913</v>
      </c>
      <c r="AL94" s="52" t="s">
        <v>1913</v>
      </c>
      <c r="AM94" s="52" t="s">
        <v>5453</v>
      </c>
      <c r="AN94" s="52" t="s">
        <v>5453</v>
      </c>
      <c r="AO94" s="52" t="s">
        <v>4289</v>
      </c>
      <c r="AP94" s="52" t="s">
        <v>2604</v>
      </c>
      <c r="AQ94" s="52" t="s">
        <v>2604</v>
      </c>
      <c r="AR94" s="52"/>
      <c r="AS94" s="52" t="s">
        <v>6136</v>
      </c>
      <c r="AT94" s="52" t="s">
        <v>6136</v>
      </c>
      <c r="AU94" s="52" t="s">
        <v>6136</v>
      </c>
      <c r="AV94" s="52" t="s">
        <v>4312</v>
      </c>
      <c r="AW94" s="52" t="s">
        <v>4312</v>
      </c>
      <c r="AX94" s="52" t="s">
        <v>1375</v>
      </c>
      <c r="AY94" s="52" t="s">
        <v>1375</v>
      </c>
      <c r="AZ94" s="52" t="s">
        <v>4546</v>
      </c>
      <c r="BA94" s="52" t="s">
        <v>3661</v>
      </c>
      <c r="BB94" s="52" t="s">
        <v>3662</v>
      </c>
      <c r="BC94" s="52" t="s">
        <v>4950</v>
      </c>
      <c r="BD94" s="52" t="s">
        <v>7592</v>
      </c>
      <c r="BE94" s="52" t="s">
        <v>4950</v>
      </c>
      <c r="BF94" s="52" t="s">
        <v>7592</v>
      </c>
      <c r="BG94" s="52" t="s">
        <v>4950</v>
      </c>
      <c r="BH94" s="52" t="s">
        <v>7592</v>
      </c>
      <c r="BI94" s="52" t="s">
        <v>7592</v>
      </c>
      <c r="BJ94" s="52" t="s">
        <v>4950</v>
      </c>
      <c r="BK94" s="52"/>
      <c r="BL94" s="52"/>
      <c r="BM94" s="52" t="s">
        <v>0</v>
      </c>
      <c r="BN94" s="52" t="s">
        <v>2287</v>
      </c>
      <c r="BO94" s="52"/>
      <c r="BP94" s="52" t="s">
        <v>2287</v>
      </c>
      <c r="BQ94" s="52" t="s">
        <v>2287</v>
      </c>
      <c r="BR94" s="52" t="s">
        <v>2646</v>
      </c>
      <c r="BS94" s="52" t="s">
        <v>2646</v>
      </c>
      <c r="BT94" s="52" t="s">
        <v>2646</v>
      </c>
      <c r="BU94" s="84" t="s">
        <v>2824</v>
      </c>
      <c r="BV94" s="84"/>
      <c r="BW94" s="52"/>
      <c r="BX94" s="52" t="s">
        <v>3794</v>
      </c>
      <c r="BY94" s="52" t="s">
        <v>3794</v>
      </c>
      <c r="BZ94" s="52" t="s">
        <v>6191</v>
      </c>
      <c r="CA94" s="52" t="s">
        <v>3162</v>
      </c>
      <c r="CB94" s="52" t="s">
        <v>3162</v>
      </c>
      <c r="CC94" s="52"/>
      <c r="CD94" s="52"/>
      <c r="CE94" s="52" t="s">
        <v>3242</v>
      </c>
      <c r="CF94" s="52" t="s">
        <v>2176</v>
      </c>
    </row>
    <row r="95" spans="1:84" ht="18">
      <c r="A95" s="6" t="s">
        <v>2</v>
      </c>
      <c r="B95" s="200"/>
      <c r="C95" s="38" t="s">
        <v>0</v>
      </c>
      <c r="D95" s="38" t="s">
        <v>57</v>
      </c>
      <c r="E95" s="38" t="s">
        <v>57</v>
      </c>
      <c r="F95" s="38" t="s">
        <v>57</v>
      </c>
      <c r="G95" s="38" t="s">
        <v>57</v>
      </c>
      <c r="H95" s="38" t="s">
        <v>57</v>
      </c>
      <c r="I95" s="38" t="s">
        <v>8152</v>
      </c>
      <c r="J95" s="36" t="s">
        <v>57</v>
      </c>
      <c r="K95" s="36" t="s">
        <v>57</v>
      </c>
      <c r="L95" s="36" t="s">
        <v>57</v>
      </c>
      <c r="M95" s="36" t="s">
        <v>57</v>
      </c>
      <c r="N95" s="38" t="s">
        <v>8152</v>
      </c>
      <c r="O95" s="36" t="s">
        <v>57</v>
      </c>
      <c r="P95" s="36" t="s">
        <v>57</v>
      </c>
      <c r="Q95" s="36" t="s">
        <v>57</v>
      </c>
      <c r="R95" s="36" t="s">
        <v>26</v>
      </c>
      <c r="S95" s="36" t="s">
        <v>57</v>
      </c>
      <c r="T95" s="38" t="s">
        <v>57</v>
      </c>
      <c r="U95" s="38" t="s">
        <v>57</v>
      </c>
      <c r="V95" s="145" t="s">
        <v>57</v>
      </c>
      <c r="W95" s="38" t="s">
        <v>0</v>
      </c>
      <c r="X95" s="38" t="s">
        <v>57</v>
      </c>
      <c r="Y95" s="38" t="s">
        <v>57</v>
      </c>
      <c r="Z95" s="38" t="s">
        <v>57</v>
      </c>
      <c r="AA95" s="38" t="s">
        <v>57</v>
      </c>
      <c r="AB95" s="36" t="s">
        <v>57</v>
      </c>
      <c r="AC95" s="38" t="s">
        <v>57</v>
      </c>
      <c r="AD95" s="38" t="s">
        <v>0</v>
      </c>
      <c r="AE95" s="7" t="s">
        <v>57</v>
      </c>
      <c r="AF95" s="37" t="s">
        <v>57</v>
      </c>
      <c r="AG95" s="38" t="s">
        <v>57</v>
      </c>
      <c r="AH95" s="38" t="s">
        <v>57</v>
      </c>
      <c r="AI95" s="38" t="s">
        <v>57</v>
      </c>
      <c r="AJ95" s="34" t="s">
        <v>57</v>
      </c>
      <c r="AK95" s="7" t="s">
        <v>57</v>
      </c>
      <c r="AL95" s="7" t="s">
        <v>57</v>
      </c>
      <c r="AM95" s="38" t="s">
        <v>57</v>
      </c>
      <c r="AN95" s="38" t="s">
        <v>57</v>
      </c>
      <c r="AO95" s="38" t="s">
        <v>57</v>
      </c>
      <c r="AP95" s="38" t="s">
        <v>57</v>
      </c>
      <c r="AQ95" s="38" t="s">
        <v>57</v>
      </c>
      <c r="AR95" s="38" t="s">
        <v>0</v>
      </c>
      <c r="AS95" s="38" t="s">
        <v>57</v>
      </c>
      <c r="AT95" s="38" t="s">
        <v>57</v>
      </c>
      <c r="AU95" s="38" t="s">
        <v>57</v>
      </c>
      <c r="AV95" s="38" t="s">
        <v>57</v>
      </c>
      <c r="AW95" s="38" t="s">
        <v>57</v>
      </c>
      <c r="AX95" s="36" t="s">
        <v>57</v>
      </c>
      <c r="AY95" s="36" t="s">
        <v>57</v>
      </c>
      <c r="AZ95" s="38" t="s">
        <v>0</v>
      </c>
      <c r="BA95" s="38" t="s">
        <v>57</v>
      </c>
      <c r="BB95" s="38" t="s">
        <v>57</v>
      </c>
      <c r="BC95" s="38" t="s">
        <v>57</v>
      </c>
      <c r="BD95" s="38" t="s">
        <v>57</v>
      </c>
      <c r="BE95" s="36" t="s">
        <v>57</v>
      </c>
      <c r="BF95" s="38" t="s">
        <v>57</v>
      </c>
      <c r="BG95" s="38" t="s">
        <v>57</v>
      </c>
      <c r="BH95" s="38" t="s">
        <v>57</v>
      </c>
      <c r="BI95" s="36" t="s">
        <v>778</v>
      </c>
      <c r="BJ95" s="36" t="s">
        <v>778</v>
      </c>
      <c r="BK95" s="38" t="s">
        <v>57</v>
      </c>
      <c r="BL95" s="38" t="s">
        <v>57</v>
      </c>
      <c r="BM95" s="38" t="s">
        <v>0</v>
      </c>
      <c r="BN95" s="38" t="s">
        <v>0</v>
      </c>
      <c r="BO95" s="38"/>
      <c r="BP95" s="38" t="s">
        <v>57</v>
      </c>
      <c r="BQ95" s="38" t="s">
        <v>57</v>
      </c>
      <c r="BR95" s="38" t="s">
        <v>0</v>
      </c>
      <c r="BS95" s="38" t="s">
        <v>0</v>
      </c>
      <c r="BT95" s="38" t="s">
        <v>0</v>
      </c>
      <c r="BU95" s="36" t="s">
        <v>57</v>
      </c>
      <c r="BV95" s="36" t="s">
        <v>57</v>
      </c>
      <c r="BW95" s="38" t="s">
        <v>57</v>
      </c>
      <c r="BX95" s="36" t="s">
        <v>57</v>
      </c>
      <c r="BY95" s="36" t="s">
        <v>57</v>
      </c>
      <c r="BZ95" s="36" t="s">
        <v>6193</v>
      </c>
      <c r="CA95" s="38" t="s">
        <v>57</v>
      </c>
      <c r="CB95" s="38" t="s">
        <v>57</v>
      </c>
      <c r="CC95" s="38" t="s">
        <v>57</v>
      </c>
      <c r="CD95" s="38" t="s">
        <v>57</v>
      </c>
      <c r="CE95" s="38" t="s">
        <v>57</v>
      </c>
      <c r="CF95" s="38" t="s">
        <v>0</v>
      </c>
    </row>
    <row r="96" spans="1:84">
      <c r="A96" s="51" t="s">
        <v>935</v>
      </c>
      <c r="B96" s="51"/>
      <c r="C96" s="52" t="s">
        <v>0</v>
      </c>
      <c r="D96" s="52" t="s">
        <v>5163</v>
      </c>
      <c r="E96" s="52" t="s">
        <v>2757</v>
      </c>
      <c r="F96" s="52" t="s">
        <v>2757</v>
      </c>
      <c r="G96" s="52" t="s">
        <v>1403</v>
      </c>
      <c r="H96" s="52" t="s">
        <v>1403</v>
      </c>
      <c r="I96" s="52" t="s">
        <v>8153</v>
      </c>
      <c r="J96" s="52" t="s">
        <v>5234</v>
      </c>
      <c r="K96" s="52" t="s">
        <v>8400</v>
      </c>
      <c r="L96" s="52" t="s">
        <v>8401</v>
      </c>
      <c r="M96" s="52" t="s">
        <v>3312</v>
      </c>
      <c r="N96" s="52" t="s">
        <v>8253</v>
      </c>
      <c r="O96" s="52" t="s">
        <v>3343</v>
      </c>
      <c r="P96" s="52" t="s">
        <v>8496</v>
      </c>
      <c r="Q96" s="52" t="s">
        <v>8496</v>
      </c>
      <c r="R96" s="52" t="s">
        <v>3399</v>
      </c>
      <c r="S96" s="52" t="s">
        <v>8496</v>
      </c>
      <c r="T96" s="52" t="s">
        <v>5581</v>
      </c>
      <c r="U96" s="52" t="s">
        <v>5581</v>
      </c>
      <c r="V96" s="84"/>
      <c r="W96" s="52" t="s">
        <v>0</v>
      </c>
      <c r="X96" s="52" t="s">
        <v>6418</v>
      </c>
      <c r="Y96" s="52" t="s">
        <v>2383</v>
      </c>
      <c r="Z96" s="52" t="s">
        <v>2383</v>
      </c>
      <c r="AA96" s="52" t="s">
        <v>2383</v>
      </c>
      <c r="AB96" s="52" t="s">
        <v>5929</v>
      </c>
      <c r="AC96" s="52" t="s">
        <v>5929</v>
      </c>
      <c r="AD96" s="52" t="s">
        <v>0</v>
      </c>
      <c r="AE96" s="52" t="s">
        <v>6002</v>
      </c>
      <c r="AF96" s="52" t="s">
        <v>1697</v>
      </c>
      <c r="AG96" s="186" t="s">
        <v>6995</v>
      </c>
      <c r="AH96" s="186" t="s">
        <v>6995</v>
      </c>
      <c r="AI96" s="186" t="s">
        <v>6995</v>
      </c>
      <c r="AJ96" s="52" t="s">
        <v>6106</v>
      </c>
      <c r="AK96" s="52" t="s">
        <v>1913</v>
      </c>
      <c r="AL96" s="52" t="s">
        <v>1913</v>
      </c>
      <c r="AM96" s="52" t="s">
        <v>5357</v>
      </c>
      <c r="AN96" s="52" t="s">
        <v>5357</v>
      </c>
      <c r="AO96" s="52" t="s">
        <v>4290</v>
      </c>
      <c r="AP96" s="52" t="s">
        <v>6334</v>
      </c>
      <c r="AQ96" s="52" t="s">
        <v>6333</v>
      </c>
      <c r="AR96" s="52"/>
      <c r="AS96" s="52" t="s">
        <v>1929</v>
      </c>
      <c r="AT96" s="52" t="s">
        <v>1929</v>
      </c>
      <c r="AU96" s="52" t="s">
        <v>1929</v>
      </c>
      <c r="AV96" s="52" t="s">
        <v>4312</v>
      </c>
      <c r="AW96" s="52" t="s">
        <v>4312</v>
      </c>
      <c r="AX96" s="52" t="s">
        <v>1294</v>
      </c>
      <c r="AY96" s="52" t="s">
        <v>1294</v>
      </c>
      <c r="AZ96" s="52" t="s">
        <v>0</v>
      </c>
      <c r="BA96" s="52" t="s">
        <v>3572</v>
      </c>
      <c r="BB96" s="52" t="s">
        <v>3476</v>
      </c>
      <c r="BC96" s="52" t="s">
        <v>5482</v>
      </c>
      <c r="BD96" s="52" t="s">
        <v>7745</v>
      </c>
      <c r="BE96" s="52" t="s">
        <v>4880</v>
      </c>
      <c r="BF96" s="52" t="s">
        <v>7591</v>
      </c>
      <c r="BG96" s="52" t="s">
        <v>5481</v>
      </c>
      <c r="BH96" s="52" t="s">
        <v>7591</v>
      </c>
      <c r="BI96" s="52" t="s">
        <v>7811</v>
      </c>
      <c r="BJ96" s="52" t="s">
        <v>3215</v>
      </c>
      <c r="BK96" s="52"/>
      <c r="BL96" s="52"/>
      <c r="BM96" s="52" t="s">
        <v>0</v>
      </c>
      <c r="BN96" s="52" t="s">
        <v>0</v>
      </c>
      <c r="BO96" s="52"/>
      <c r="BP96" s="52" t="s">
        <v>2266</v>
      </c>
      <c r="BQ96" s="52" t="s">
        <v>2266</v>
      </c>
      <c r="BR96" s="52" t="s">
        <v>0</v>
      </c>
      <c r="BS96" s="52" t="s">
        <v>0</v>
      </c>
      <c r="BT96" s="52" t="s">
        <v>0</v>
      </c>
      <c r="BU96" s="84" t="s">
        <v>2824</v>
      </c>
      <c r="BV96" s="84"/>
      <c r="BW96" s="52"/>
      <c r="BX96" s="52" t="s">
        <v>3794</v>
      </c>
      <c r="BY96" s="52" t="s">
        <v>3794</v>
      </c>
      <c r="BZ96" s="52" t="s">
        <v>6199</v>
      </c>
      <c r="CA96" s="52" t="s">
        <v>3099</v>
      </c>
      <c r="CB96" s="52" t="s">
        <v>3100</v>
      </c>
      <c r="CC96" s="52"/>
      <c r="CD96" s="52"/>
      <c r="CE96" s="52" t="s">
        <v>3213</v>
      </c>
      <c r="CF96" s="52" t="s">
        <v>0</v>
      </c>
    </row>
    <row r="97" spans="1:84" ht="54">
      <c r="A97" s="62" t="s">
        <v>23</v>
      </c>
      <c r="B97" s="200" t="s">
        <v>8248</v>
      </c>
      <c r="C97" s="38" t="s">
        <v>0</v>
      </c>
      <c r="D97" s="36" t="s">
        <v>2229</v>
      </c>
      <c r="E97" s="38" t="s">
        <v>0</v>
      </c>
      <c r="F97" s="38" t="s">
        <v>0</v>
      </c>
      <c r="G97" s="38" t="s">
        <v>57</v>
      </c>
      <c r="H97" s="38" t="s">
        <v>57</v>
      </c>
      <c r="I97" s="36" t="s">
        <v>8250</v>
      </c>
      <c r="J97" s="36" t="s">
        <v>57</v>
      </c>
      <c r="K97" s="36" t="s">
        <v>57</v>
      </c>
      <c r="L97" s="36" t="s">
        <v>57</v>
      </c>
      <c r="M97" s="36" t="s">
        <v>57</v>
      </c>
      <c r="N97" s="36" t="s">
        <v>8250</v>
      </c>
      <c r="O97" s="36" t="s">
        <v>57</v>
      </c>
      <c r="P97" s="36" t="s">
        <v>57</v>
      </c>
      <c r="Q97" s="36" t="s">
        <v>57</v>
      </c>
      <c r="R97" s="36" t="s">
        <v>26</v>
      </c>
      <c r="S97" s="36" t="s">
        <v>57</v>
      </c>
      <c r="T97" s="38" t="s">
        <v>57</v>
      </c>
      <c r="U97" s="38" t="s">
        <v>57</v>
      </c>
      <c r="V97" s="145" t="s">
        <v>57</v>
      </c>
      <c r="W97" s="38" t="s">
        <v>0</v>
      </c>
      <c r="X97" s="36" t="s">
        <v>6433</v>
      </c>
      <c r="Y97" s="38" t="s">
        <v>0</v>
      </c>
      <c r="Z97" s="38" t="s">
        <v>0</v>
      </c>
      <c r="AA97" s="38" t="s">
        <v>0</v>
      </c>
      <c r="AB97" s="36" t="s">
        <v>57</v>
      </c>
      <c r="AC97" s="38" t="s">
        <v>57</v>
      </c>
      <c r="AD97" s="36" t="s">
        <v>0</v>
      </c>
      <c r="AE97" s="7" t="s">
        <v>57</v>
      </c>
      <c r="AF97" s="7" t="s">
        <v>57</v>
      </c>
      <c r="AG97" s="38" t="s">
        <v>57</v>
      </c>
      <c r="AH97" s="38" t="s">
        <v>57</v>
      </c>
      <c r="AI97" s="38" t="s">
        <v>57</v>
      </c>
      <c r="AJ97" s="7" t="s">
        <v>454</v>
      </c>
      <c r="AK97" s="7" t="s">
        <v>0</v>
      </c>
      <c r="AL97" s="34" t="s">
        <v>57</v>
      </c>
      <c r="AM97" s="36" t="s">
        <v>57</v>
      </c>
      <c r="AN97" s="36" t="s">
        <v>57</v>
      </c>
      <c r="AO97" s="38" t="s">
        <v>57</v>
      </c>
      <c r="AP97" s="38" t="s">
        <v>0</v>
      </c>
      <c r="AQ97" s="38" t="s">
        <v>57</v>
      </c>
      <c r="AR97" s="38" t="s">
        <v>0</v>
      </c>
      <c r="AS97" s="38" t="s">
        <v>5524</v>
      </c>
      <c r="AT97" s="38" t="s">
        <v>57</v>
      </c>
      <c r="AU97" s="38" t="s">
        <v>57</v>
      </c>
      <c r="AV97" s="38" t="s">
        <v>0</v>
      </c>
      <c r="AW97" s="38" t="s">
        <v>0</v>
      </c>
      <c r="AX97" s="38" t="s">
        <v>6314</v>
      </c>
      <c r="AY97" s="36" t="s">
        <v>0</v>
      </c>
      <c r="AZ97" s="38" t="s">
        <v>0</v>
      </c>
      <c r="BA97" s="38" t="s">
        <v>57</v>
      </c>
      <c r="BB97" s="36" t="s">
        <v>3693</v>
      </c>
      <c r="BC97" s="36" t="s">
        <v>57</v>
      </c>
      <c r="BD97" s="36" t="s">
        <v>8251</v>
      </c>
      <c r="BE97" s="36" t="s">
        <v>57</v>
      </c>
      <c r="BF97" s="36" t="s">
        <v>8251</v>
      </c>
      <c r="BG97" s="36" t="s">
        <v>801</v>
      </c>
      <c r="BH97" s="36" t="s">
        <v>8251</v>
      </c>
      <c r="BI97" s="36" t="s">
        <v>8252</v>
      </c>
      <c r="BJ97" s="36" t="s">
        <v>778</v>
      </c>
      <c r="BK97" s="38" t="s">
        <v>57</v>
      </c>
      <c r="BL97" s="38" t="s">
        <v>57</v>
      </c>
      <c r="BM97" s="38" t="s">
        <v>0</v>
      </c>
      <c r="BN97" s="38" t="s">
        <v>0</v>
      </c>
      <c r="BO97" s="38"/>
      <c r="BP97" s="38" t="s">
        <v>111</v>
      </c>
      <c r="BQ97" s="38" t="s">
        <v>0</v>
      </c>
      <c r="BR97" s="38" t="s">
        <v>0</v>
      </c>
      <c r="BS97" s="38" t="s">
        <v>0</v>
      </c>
      <c r="BT97" s="38" t="s">
        <v>0</v>
      </c>
      <c r="BU97" s="36" t="s">
        <v>57</v>
      </c>
      <c r="BV97" s="36" t="s">
        <v>57</v>
      </c>
      <c r="BW97" s="38" t="s">
        <v>57</v>
      </c>
      <c r="BX97" s="38" t="s">
        <v>0</v>
      </c>
      <c r="BY97" s="38" t="s">
        <v>0</v>
      </c>
      <c r="BZ97" s="38" t="s">
        <v>57</v>
      </c>
      <c r="CA97" s="38" t="s">
        <v>454</v>
      </c>
      <c r="CB97" s="38" t="s">
        <v>454</v>
      </c>
      <c r="CC97" s="38" t="s">
        <v>0</v>
      </c>
      <c r="CD97" s="38" t="s">
        <v>111</v>
      </c>
      <c r="CE97" s="38" t="s">
        <v>0</v>
      </c>
      <c r="CF97" s="38" t="s">
        <v>0</v>
      </c>
    </row>
    <row r="98" spans="1:84" ht="18">
      <c r="A98" s="51" t="s">
        <v>935</v>
      </c>
      <c r="B98" s="51"/>
      <c r="C98" s="52" t="s">
        <v>0</v>
      </c>
      <c r="D98" s="52" t="s">
        <v>2234</v>
      </c>
      <c r="E98" s="52" t="s">
        <v>0</v>
      </c>
      <c r="F98" s="52" t="s">
        <v>0</v>
      </c>
      <c r="G98" s="52" t="s">
        <v>1417</v>
      </c>
      <c r="H98" s="52" t="s">
        <v>1417</v>
      </c>
      <c r="I98" s="52" t="s">
        <v>8153</v>
      </c>
      <c r="J98" s="52" t="s">
        <v>5234</v>
      </c>
      <c r="K98" s="52" t="s">
        <v>8317</v>
      </c>
      <c r="L98" s="52" t="s">
        <v>8399</v>
      </c>
      <c r="M98" s="52" t="s">
        <v>3312</v>
      </c>
      <c r="N98" s="52" t="s">
        <v>8254</v>
      </c>
      <c r="O98" s="52" t="s">
        <v>3343</v>
      </c>
      <c r="P98" s="52" t="s">
        <v>8585</v>
      </c>
      <c r="Q98" s="52" t="s">
        <v>8585</v>
      </c>
      <c r="R98" s="52" t="s">
        <v>3399</v>
      </c>
      <c r="S98" s="52" t="s">
        <v>8496</v>
      </c>
      <c r="T98" s="52" t="s">
        <v>5584</v>
      </c>
      <c r="U98" s="52" t="s">
        <v>5584</v>
      </c>
      <c r="V98" s="84"/>
      <c r="W98" s="52" t="s">
        <v>0</v>
      </c>
      <c r="X98" s="84" t="s">
        <v>6434</v>
      </c>
      <c r="Y98" s="52" t="s">
        <v>0</v>
      </c>
      <c r="Z98" s="52" t="s">
        <v>0</v>
      </c>
      <c r="AA98" s="52" t="s">
        <v>0</v>
      </c>
      <c r="AB98" s="52" t="s">
        <v>5914</v>
      </c>
      <c r="AC98" s="52" t="s">
        <v>5914</v>
      </c>
      <c r="AD98" s="52" t="s">
        <v>0</v>
      </c>
      <c r="AE98" s="52" t="s">
        <v>6029</v>
      </c>
      <c r="AF98" s="52" t="s">
        <v>6029</v>
      </c>
      <c r="AG98" s="186" t="s">
        <v>6996</v>
      </c>
      <c r="AH98" s="186" t="s">
        <v>6996</v>
      </c>
      <c r="AI98" s="186" t="s">
        <v>6996</v>
      </c>
      <c r="AJ98" s="52" t="s">
        <v>6106</v>
      </c>
      <c r="AK98" s="52" t="s">
        <v>0</v>
      </c>
      <c r="AL98" s="52" t="s">
        <v>4177</v>
      </c>
      <c r="AM98" s="52" t="s">
        <v>5334</v>
      </c>
      <c r="AN98" s="52" t="s">
        <v>5334</v>
      </c>
      <c r="AO98" s="52" t="s">
        <v>4220</v>
      </c>
      <c r="AP98" s="52" t="s">
        <v>0</v>
      </c>
      <c r="AQ98" s="52" t="s">
        <v>6333</v>
      </c>
      <c r="AR98" s="52"/>
      <c r="AS98" s="52" t="s">
        <v>1025</v>
      </c>
      <c r="AT98" s="52" t="s">
        <v>1929</v>
      </c>
      <c r="AU98" s="52" t="s">
        <v>1929</v>
      </c>
      <c r="AV98" s="52" t="s">
        <v>6304</v>
      </c>
      <c r="AW98" s="52" t="s">
        <v>6304</v>
      </c>
      <c r="AX98" s="52" t="s">
        <v>1271</v>
      </c>
      <c r="AY98" s="52" t="s">
        <v>0</v>
      </c>
      <c r="AZ98" s="52" t="s">
        <v>0</v>
      </c>
      <c r="BA98" s="52" t="s">
        <v>3611</v>
      </c>
      <c r="BB98" s="52" t="s">
        <v>3491</v>
      </c>
      <c r="BC98" s="52" t="s">
        <v>5326</v>
      </c>
      <c r="BD98" s="52" t="s">
        <v>7746</v>
      </c>
      <c r="BE98" s="52" t="s">
        <v>3215</v>
      </c>
      <c r="BF98" s="52" t="s">
        <v>7593</v>
      </c>
      <c r="BG98" s="52" t="s">
        <v>3215</v>
      </c>
      <c r="BH98" s="52" t="s">
        <v>7593</v>
      </c>
      <c r="BI98" s="52" t="s">
        <v>7812</v>
      </c>
      <c r="BJ98" s="52" t="s">
        <v>3215</v>
      </c>
      <c r="BK98" s="52"/>
      <c r="BL98" s="52"/>
      <c r="BM98" s="52" t="s">
        <v>0</v>
      </c>
      <c r="BN98" s="52" t="s">
        <v>0</v>
      </c>
      <c r="BO98" s="52"/>
      <c r="BP98" s="52" t="s">
        <v>2239</v>
      </c>
      <c r="BQ98" s="52" t="s">
        <v>0</v>
      </c>
      <c r="BR98" s="52" t="s">
        <v>0</v>
      </c>
      <c r="BS98" s="52" t="s">
        <v>0</v>
      </c>
      <c r="BT98" s="52" t="s">
        <v>0</v>
      </c>
      <c r="BU98" s="84" t="s">
        <v>2826</v>
      </c>
      <c r="BV98" s="84"/>
      <c r="BW98" s="52"/>
      <c r="BX98" s="52" t="s">
        <v>0</v>
      </c>
      <c r="BY98" s="52" t="s">
        <v>0</v>
      </c>
      <c r="BZ98" s="52" t="s">
        <v>6195</v>
      </c>
      <c r="CA98" s="52" t="s">
        <v>3096</v>
      </c>
      <c r="CB98" s="52" t="s">
        <v>3096</v>
      </c>
      <c r="CC98" s="52"/>
      <c r="CD98" s="52"/>
      <c r="CE98" s="52" t="s">
        <v>0</v>
      </c>
      <c r="CF98" s="52" t="s">
        <v>0</v>
      </c>
    </row>
    <row r="99" spans="1:84" ht="27">
      <c r="A99" s="62" t="s">
        <v>19</v>
      </c>
      <c r="B99" s="200"/>
      <c r="C99" s="38" t="s">
        <v>396</v>
      </c>
      <c r="D99" s="38" t="s">
        <v>396</v>
      </c>
      <c r="E99" s="38" t="s">
        <v>0</v>
      </c>
      <c r="F99" s="38" t="s">
        <v>396</v>
      </c>
      <c r="G99" s="38" t="s">
        <v>5504</v>
      </c>
      <c r="H99" s="36" t="s">
        <v>5503</v>
      </c>
      <c r="I99" s="36" t="s">
        <v>0</v>
      </c>
      <c r="J99" s="36" t="s">
        <v>5761</v>
      </c>
      <c r="K99" s="36" t="s">
        <v>8315</v>
      </c>
      <c r="L99" s="36" t="s">
        <v>8397</v>
      </c>
      <c r="M99" s="36" t="s">
        <v>5287</v>
      </c>
      <c r="N99" s="36" t="s">
        <v>8247</v>
      </c>
      <c r="O99" s="36" t="s">
        <v>5771</v>
      </c>
      <c r="P99" s="36" t="s">
        <v>8583</v>
      </c>
      <c r="Q99" s="36" t="s">
        <v>8583</v>
      </c>
      <c r="R99" s="36" t="s">
        <v>6276</v>
      </c>
      <c r="S99" s="36" t="s">
        <v>8397</v>
      </c>
      <c r="T99" s="36" t="s">
        <v>5585</v>
      </c>
      <c r="U99" s="36" t="s">
        <v>210</v>
      </c>
      <c r="V99" s="145" t="s">
        <v>396</v>
      </c>
      <c r="W99" s="36" t="s">
        <v>4392</v>
      </c>
      <c r="X99" s="36" t="s">
        <v>6435</v>
      </c>
      <c r="Y99" s="36" t="s">
        <v>0</v>
      </c>
      <c r="Z99" s="36" t="s">
        <v>0</v>
      </c>
      <c r="AA99" s="36" t="s">
        <v>0</v>
      </c>
      <c r="AB99" s="36" t="s">
        <v>57</v>
      </c>
      <c r="AC99" s="36" t="s">
        <v>57</v>
      </c>
      <c r="AD99" s="36" t="s">
        <v>0</v>
      </c>
      <c r="AE99" s="7" t="s">
        <v>57</v>
      </c>
      <c r="AF99" s="7" t="s">
        <v>57</v>
      </c>
      <c r="AG99" s="36" t="s">
        <v>57</v>
      </c>
      <c r="AH99" s="36" t="s">
        <v>57</v>
      </c>
      <c r="AI99" s="36" t="s">
        <v>57</v>
      </c>
      <c r="AJ99" s="7" t="s">
        <v>396</v>
      </c>
      <c r="AK99" s="7" t="s">
        <v>0</v>
      </c>
      <c r="AL99" s="37" t="s">
        <v>57</v>
      </c>
      <c r="AM99" s="36" t="s">
        <v>396</v>
      </c>
      <c r="AN99" s="36" t="s">
        <v>396</v>
      </c>
      <c r="AO99" s="36" t="s">
        <v>898</v>
      </c>
      <c r="AP99" s="38" t="s">
        <v>0</v>
      </c>
      <c r="AQ99" s="38" t="s">
        <v>57</v>
      </c>
      <c r="AR99" s="36" t="s">
        <v>923</v>
      </c>
      <c r="AS99" s="36" t="s">
        <v>6366</v>
      </c>
      <c r="AT99" s="36" t="s">
        <v>57</v>
      </c>
      <c r="AU99" s="36" t="s">
        <v>57</v>
      </c>
      <c r="AV99" s="36" t="s">
        <v>861</v>
      </c>
      <c r="AW99" s="36" t="s">
        <v>861</v>
      </c>
      <c r="AX99" s="36" t="s">
        <v>251</v>
      </c>
      <c r="AY99" s="36" t="s">
        <v>6313</v>
      </c>
      <c r="AZ99" s="38" t="s">
        <v>0</v>
      </c>
      <c r="BA99" s="38" t="s">
        <v>57</v>
      </c>
      <c r="BB99" s="38" t="s">
        <v>57</v>
      </c>
      <c r="BC99" s="36" t="s">
        <v>57</v>
      </c>
      <c r="BD99" s="36" t="s">
        <v>57</v>
      </c>
      <c r="BE99" s="36" t="s">
        <v>57</v>
      </c>
      <c r="BF99" s="38" t="s">
        <v>57</v>
      </c>
      <c r="BG99" s="36" t="s">
        <v>801</v>
      </c>
      <c r="BH99" s="36" t="s">
        <v>801</v>
      </c>
      <c r="BI99" s="36" t="s">
        <v>778</v>
      </c>
      <c r="BJ99" s="36" t="s">
        <v>778</v>
      </c>
      <c r="BK99" s="36" t="s">
        <v>541</v>
      </c>
      <c r="BL99" s="36" t="s">
        <v>57</v>
      </c>
      <c r="BM99" s="38" t="s">
        <v>0</v>
      </c>
      <c r="BN99" s="38" t="s">
        <v>0</v>
      </c>
      <c r="BO99" s="38"/>
      <c r="BP99" s="36" t="s">
        <v>307</v>
      </c>
      <c r="BQ99" s="36" t="s">
        <v>2263</v>
      </c>
      <c r="BR99" s="36" t="s">
        <v>0</v>
      </c>
      <c r="BS99" s="36" t="s">
        <v>2644</v>
      </c>
      <c r="BT99" s="36" t="s">
        <v>2644</v>
      </c>
      <c r="BU99" s="36" t="s">
        <v>6</v>
      </c>
      <c r="BV99" s="36" t="s">
        <v>57</v>
      </c>
      <c r="BW99" s="36" t="s">
        <v>57</v>
      </c>
      <c r="BX99" s="38" t="s">
        <v>0</v>
      </c>
      <c r="BY99" s="36" t="s">
        <v>993</v>
      </c>
      <c r="BZ99" s="36" t="s">
        <v>6196</v>
      </c>
      <c r="CA99" s="38" t="s">
        <v>57</v>
      </c>
      <c r="CB99" s="38" t="s">
        <v>57</v>
      </c>
      <c r="CC99" s="36" t="s">
        <v>306</v>
      </c>
      <c r="CD99" s="36" t="s">
        <v>307</v>
      </c>
      <c r="CE99" s="38" t="s">
        <v>0</v>
      </c>
      <c r="CF99" s="36" t="s">
        <v>2157</v>
      </c>
    </row>
    <row r="100" spans="1:84">
      <c r="A100" s="51" t="s">
        <v>935</v>
      </c>
      <c r="B100" s="51"/>
      <c r="C100" s="52" t="s">
        <v>5214</v>
      </c>
      <c r="D100" s="52" t="s">
        <v>5214</v>
      </c>
      <c r="E100" s="52" t="s">
        <v>0</v>
      </c>
      <c r="F100" s="52" t="s">
        <v>2757</v>
      </c>
      <c r="G100" s="52" t="s">
        <v>1436</v>
      </c>
      <c r="H100" s="52" t="s">
        <v>1408</v>
      </c>
      <c r="I100" s="52" t="s">
        <v>8154</v>
      </c>
      <c r="J100" s="52" t="s">
        <v>5233</v>
      </c>
      <c r="K100" s="52" t="s">
        <v>8316</v>
      </c>
      <c r="L100" s="52" t="s">
        <v>8398</v>
      </c>
      <c r="M100" s="52" t="s">
        <v>3314</v>
      </c>
      <c r="N100" s="52" t="s">
        <v>8246</v>
      </c>
      <c r="O100" s="52" t="s">
        <v>1574</v>
      </c>
      <c r="P100" s="52" t="s">
        <v>8584</v>
      </c>
      <c r="Q100" s="52" t="s">
        <v>8584</v>
      </c>
      <c r="R100" s="52" t="s">
        <v>3395</v>
      </c>
      <c r="S100" s="52" t="s">
        <v>8495</v>
      </c>
      <c r="T100" s="52" t="s">
        <v>5586</v>
      </c>
      <c r="U100" s="52" t="s">
        <v>5586</v>
      </c>
      <c r="V100" s="84"/>
      <c r="W100" s="52" t="s">
        <v>4432</v>
      </c>
      <c r="X100" s="52" t="s">
        <v>6436</v>
      </c>
      <c r="Y100" s="52" t="s">
        <v>2384</v>
      </c>
      <c r="Z100" s="52" t="s">
        <v>2384</v>
      </c>
      <c r="AA100" s="52" t="s">
        <v>2384</v>
      </c>
      <c r="AB100" s="52" t="s">
        <v>5914</v>
      </c>
      <c r="AC100" s="52" t="s">
        <v>5914</v>
      </c>
      <c r="AD100" s="52" t="s">
        <v>4700</v>
      </c>
      <c r="AE100" s="52" t="s">
        <v>6068</v>
      </c>
      <c r="AF100" s="52" t="s">
        <v>6068</v>
      </c>
      <c r="AG100" s="186" t="s">
        <v>6997</v>
      </c>
      <c r="AH100" s="186" t="s">
        <v>6997</v>
      </c>
      <c r="AI100" s="186" t="s">
        <v>6997</v>
      </c>
      <c r="AJ100" s="52" t="s">
        <v>6103</v>
      </c>
      <c r="AK100" s="52" t="s">
        <v>0</v>
      </c>
      <c r="AL100" s="52" t="s">
        <v>4182</v>
      </c>
      <c r="AM100" s="52" t="s">
        <v>5333</v>
      </c>
      <c r="AN100" s="52" t="s">
        <v>5333</v>
      </c>
      <c r="AO100" s="52" t="s">
        <v>4225</v>
      </c>
      <c r="AP100" s="52" t="s">
        <v>0</v>
      </c>
      <c r="AQ100" s="52" t="s">
        <v>6333</v>
      </c>
      <c r="AR100" s="52"/>
      <c r="AS100" s="52" t="s">
        <v>1025</v>
      </c>
      <c r="AT100" s="52" t="s">
        <v>1025</v>
      </c>
      <c r="AU100" s="52" t="s">
        <v>1025</v>
      </c>
      <c r="AV100" s="52" t="s">
        <v>4315</v>
      </c>
      <c r="AW100" s="52" t="s">
        <v>4315</v>
      </c>
      <c r="AX100" s="52" t="s">
        <v>6137</v>
      </c>
      <c r="AY100" s="52" t="s">
        <v>1296</v>
      </c>
      <c r="AZ100" s="52" t="s">
        <v>4555</v>
      </c>
      <c r="BA100" s="52" t="s">
        <v>3612</v>
      </c>
      <c r="BB100" s="52" t="s">
        <v>3492</v>
      </c>
      <c r="BC100" s="52" t="s">
        <v>5327</v>
      </c>
      <c r="BD100" s="52" t="s">
        <v>7765</v>
      </c>
      <c r="BE100" s="52" t="s">
        <v>2253</v>
      </c>
      <c r="BF100" s="52" t="s">
        <v>7594</v>
      </c>
      <c r="BG100" s="52" t="s">
        <v>4834</v>
      </c>
      <c r="BH100" s="52" t="s">
        <v>7594</v>
      </c>
      <c r="BI100" s="52" t="s">
        <v>7813</v>
      </c>
      <c r="BJ100" s="52" t="s">
        <v>4834</v>
      </c>
      <c r="BK100" s="52"/>
      <c r="BL100" s="52"/>
      <c r="BM100" s="52" t="s">
        <v>0</v>
      </c>
      <c r="BN100" s="52" t="s">
        <v>3896</v>
      </c>
      <c r="BO100" s="52"/>
      <c r="BP100" s="52" t="s">
        <v>2244</v>
      </c>
      <c r="BQ100" s="52" t="s">
        <v>2262</v>
      </c>
      <c r="BR100" s="52" t="s">
        <v>2712</v>
      </c>
      <c r="BS100" s="52" t="s">
        <v>2643</v>
      </c>
      <c r="BT100" s="52" t="s">
        <v>2643</v>
      </c>
      <c r="BU100" s="84" t="s">
        <v>2827</v>
      </c>
      <c r="BV100" s="84"/>
      <c r="BW100" s="52"/>
      <c r="BX100" s="52" t="s">
        <v>3922</v>
      </c>
      <c r="BY100" s="52" t="s">
        <v>3774</v>
      </c>
      <c r="BZ100" s="52" t="s">
        <v>6197</v>
      </c>
      <c r="CA100" s="52" t="s">
        <v>3097</v>
      </c>
      <c r="CB100" s="52" t="s">
        <v>3097</v>
      </c>
      <c r="CC100" s="52"/>
      <c r="CD100" s="52"/>
      <c r="CE100" s="52" t="s">
        <v>3243</v>
      </c>
      <c r="CF100" s="52" t="s">
        <v>2156</v>
      </c>
    </row>
    <row r="101" spans="1:84" ht="18">
      <c r="A101" s="6" t="s">
        <v>120</v>
      </c>
      <c r="B101" s="200" t="s">
        <v>6769</v>
      </c>
      <c r="C101" s="38" t="s">
        <v>57</v>
      </c>
      <c r="D101" s="38" t="s">
        <v>57</v>
      </c>
      <c r="E101" s="38" t="s">
        <v>0</v>
      </c>
      <c r="F101" s="38" t="s">
        <v>0</v>
      </c>
      <c r="G101" s="38" t="s">
        <v>57</v>
      </c>
      <c r="H101" s="38" t="s">
        <v>57</v>
      </c>
      <c r="I101" s="38" t="s">
        <v>57</v>
      </c>
      <c r="J101" s="36" t="s">
        <v>57</v>
      </c>
      <c r="K101" s="38" t="s">
        <v>57</v>
      </c>
      <c r="L101" s="38" t="s">
        <v>57</v>
      </c>
      <c r="M101" s="36" t="s">
        <v>57</v>
      </c>
      <c r="N101" s="38" t="s">
        <v>57</v>
      </c>
      <c r="O101" s="36" t="s">
        <v>57</v>
      </c>
      <c r="P101" s="38" t="s">
        <v>57</v>
      </c>
      <c r="Q101" s="38" t="s">
        <v>57</v>
      </c>
      <c r="R101" s="36" t="s">
        <v>57</v>
      </c>
      <c r="S101" s="38" t="s">
        <v>57</v>
      </c>
      <c r="T101" s="38" t="s">
        <v>57</v>
      </c>
      <c r="U101" s="38" t="s">
        <v>57</v>
      </c>
      <c r="V101" s="145" t="s">
        <v>57</v>
      </c>
      <c r="W101" s="38" t="s">
        <v>57</v>
      </c>
      <c r="X101" s="38" t="s">
        <v>0</v>
      </c>
      <c r="Y101" s="38" t="s">
        <v>0</v>
      </c>
      <c r="Z101" s="38" t="s">
        <v>0</v>
      </c>
      <c r="AA101" s="38" t="s">
        <v>0</v>
      </c>
      <c r="AB101" s="36" t="s">
        <v>57</v>
      </c>
      <c r="AC101" s="36" t="s">
        <v>57</v>
      </c>
      <c r="AD101" s="36" t="s">
        <v>57</v>
      </c>
      <c r="AE101" s="7" t="s">
        <v>57</v>
      </c>
      <c r="AF101" s="7" t="s">
        <v>57</v>
      </c>
      <c r="AG101" s="36" t="s">
        <v>57</v>
      </c>
      <c r="AH101" s="36" t="s">
        <v>57</v>
      </c>
      <c r="AI101" s="36" t="s">
        <v>57</v>
      </c>
      <c r="AJ101" s="7" t="s">
        <v>57</v>
      </c>
      <c r="AK101" s="7" t="s">
        <v>0</v>
      </c>
      <c r="AL101" s="7" t="s">
        <v>0</v>
      </c>
      <c r="AM101" s="38" t="s">
        <v>57</v>
      </c>
      <c r="AN101" s="38" t="s">
        <v>57</v>
      </c>
      <c r="AO101" s="38" t="s">
        <v>0</v>
      </c>
      <c r="AP101" s="38" t="s">
        <v>57</v>
      </c>
      <c r="AQ101" s="38" t="s">
        <v>57</v>
      </c>
      <c r="AR101" s="38" t="s">
        <v>0</v>
      </c>
      <c r="AS101" s="38" t="s">
        <v>57</v>
      </c>
      <c r="AT101" s="38" t="s">
        <v>57</v>
      </c>
      <c r="AU101" s="38" t="s">
        <v>57</v>
      </c>
      <c r="AV101" s="38" t="s">
        <v>0</v>
      </c>
      <c r="AW101" s="38" t="s">
        <v>0</v>
      </c>
      <c r="AX101" s="36" t="s">
        <v>57</v>
      </c>
      <c r="AY101" s="36" t="s">
        <v>57</v>
      </c>
      <c r="AZ101" s="38" t="s">
        <v>57</v>
      </c>
      <c r="BA101" s="38" t="s">
        <v>57</v>
      </c>
      <c r="BB101" s="38" t="s">
        <v>57</v>
      </c>
      <c r="BC101" s="36" t="s">
        <v>5331</v>
      </c>
      <c r="BD101" s="36" t="s">
        <v>57</v>
      </c>
      <c r="BE101" s="36" t="s">
        <v>5331</v>
      </c>
      <c r="BF101" s="36" t="s">
        <v>57</v>
      </c>
      <c r="BG101" s="36" t="s">
        <v>5331</v>
      </c>
      <c r="BH101" s="36" t="s">
        <v>57</v>
      </c>
      <c r="BI101" s="36" t="s">
        <v>0</v>
      </c>
      <c r="BJ101" s="38" t="s">
        <v>0</v>
      </c>
      <c r="BK101" s="38" t="s">
        <v>57</v>
      </c>
      <c r="BL101" s="38" t="s">
        <v>57</v>
      </c>
      <c r="BM101" s="38" t="s">
        <v>0</v>
      </c>
      <c r="BN101" s="38" t="s">
        <v>0</v>
      </c>
      <c r="BO101" s="38"/>
      <c r="BP101" s="36" t="s">
        <v>57</v>
      </c>
      <c r="BQ101" s="36" t="s">
        <v>57</v>
      </c>
      <c r="BR101" s="36" t="s">
        <v>1658</v>
      </c>
      <c r="BS101" s="36" t="s">
        <v>1658</v>
      </c>
      <c r="BT101" s="36" t="s">
        <v>1658</v>
      </c>
      <c r="BU101" s="36" t="s">
        <v>57</v>
      </c>
      <c r="BV101" s="36" t="s">
        <v>57</v>
      </c>
      <c r="BW101" s="38" t="s">
        <v>57</v>
      </c>
      <c r="BX101" s="36" t="s">
        <v>57</v>
      </c>
      <c r="BY101" s="36" t="s">
        <v>57</v>
      </c>
      <c r="BZ101" s="36" t="s">
        <v>57</v>
      </c>
      <c r="CA101" s="38" t="s">
        <v>57</v>
      </c>
      <c r="CB101" s="38" t="s">
        <v>57</v>
      </c>
      <c r="CC101" s="38" t="s">
        <v>57</v>
      </c>
      <c r="CD101" s="38" t="s">
        <v>57</v>
      </c>
      <c r="CE101" s="38" t="s">
        <v>0</v>
      </c>
      <c r="CF101" s="36" t="s">
        <v>1658</v>
      </c>
    </row>
    <row r="102" spans="1:84">
      <c r="A102" s="51" t="s">
        <v>935</v>
      </c>
      <c r="B102" s="51"/>
      <c r="C102" s="52" t="s">
        <v>5213</v>
      </c>
      <c r="D102" s="52" t="s">
        <v>5213</v>
      </c>
      <c r="E102" s="52" t="s">
        <v>0</v>
      </c>
      <c r="F102" s="52" t="s">
        <v>0</v>
      </c>
      <c r="G102" s="52" t="s">
        <v>1403</v>
      </c>
      <c r="H102" s="52" t="s">
        <v>1403</v>
      </c>
      <c r="I102" s="52" t="s">
        <v>8150</v>
      </c>
      <c r="J102" s="52" t="s">
        <v>5232</v>
      </c>
      <c r="K102" s="52" t="s">
        <v>8312</v>
      </c>
      <c r="L102" s="52" t="s">
        <v>8395</v>
      </c>
      <c r="M102" s="52" t="s">
        <v>3310</v>
      </c>
      <c r="N102" s="52" t="s">
        <v>8244</v>
      </c>
      <c r="O102" s="52" t="s">
        <v>3340</v>
      </c>
      <c r="P102" s="52" t="s">
        <v>8577</v>
      </c>
      <c r="Q102" s="52" t="s">
        <v>8577</v>
      </c>
      <c r="R102" s="52" t="s">
        <v>3341</v>
      </c>
      <c r="S102" s="52" t="s">
        <v>8492</v>
      </c>
      <c r="T102" s="52" t="s">
        <v>5581</v>
      </c>
      <c r="U102" s="52" t="s">
        <v>5581</v>
      </c>
      <c r="V102" s="84"/>
      <c r="W102" s="52" t="s">
        <v>4421</v>
      </c>
      <c r="X102" s="52" t="s">
        <v>0</v>
      </c>
      <c r="Y102" s="52" t="s">
        <v>0</v>
      </c>
      <c r="Z102" s="52" t="s">
        <v>0</v>
      </c>
      <c r="AA102" s="52" t="s">
        <v>0</v>
      </c>
      <c r="AB102" s="52" t="s">
        <v>4691</v>
      </c>
      <c r="AC102" s="52" t="s">
        <v>4691</v>
      </c>
      <c r="AD102" s="52" t="s">
        <v>4690</v>
      </c>
      <c r="AE102" s="52" t="s">
        <v>6000</v>
      </c>
      <c r="AF102" s="52" t="s">
        <v>1696</v>
      </c>
      <c r="AG102" s="186" t="s">
        <v>6997</v>
      </c>
      <c r="AH102" s="186" t="s">
        <v>6997</v>
      </c>
      <c r="AI102" s="186" t="s">
        <v>6997</v>
      </c>
      <c r="AJ102" s="52" t="s">
        <v>6103</v>
      </c>
      <c r="AK102" s="52" t="s">
        <v>0</v>
      </c>
      <c r="AL102" s="52" t="s">
        <v>0</v>
      </c>
      <c r="AM102" s="52" t="s">
        <v>5358</v>
      </c>
      <c r="AN102" s="52" t="s">
        <v>5358</v>
      </c>
      <c r="AO102" s="52" t="s">
        <v>0</v>
      </c>
      <c r="AP102" s="52" t="s">
        <v>6334</v>
      </c>
      <c r="AQ102" s="52" t="s">
        <v>6333</v>
      </c>
      <c r="AR102" s="52"/>
      <c r="AS102" s="52" t="s">
        <v>1984</v>
      </c>
      <c r="AT102" s="52" t="s">
        <v>1984</v>
      </c>
      <c r="AU102" s="52" t="s">
        <v>1984</v>
      </c>
      <c r="AV102" s="52" t="s">
        <v>0</v>
      </c>
      <c r="AW102" s="52" t="s">
        <v>0</v>
      </c>
      <c r="AX102" s="52" t="s">
        <v>1295</v>
      </c>
      <c r="AY102" s="52" t="s">
        <v>1295</v>
      </c>
      <c r="AZ102" s="52" t="s">
        <v>3691</v>
      </c>
      <c r="BA102" s="52" t="s">
        <v>3608</v>
      </c>
      <c r="BB102" s="52" t="s">
        <v>3473</v>
      </c>
      <c r="BC102" s="52" t="s">
        <v>4973</v>
      </c>
      <c r="BD102" s="52" t="s">
        <v>7747</v>
      </c>
      <c r="BE102" s="52" t="s">
        <v>4973</v>
      </c>
      <c r="BF102" s="52" t="s">
        <v>7595</v>
      </c>
      <c r="BG102" s="52" t="s">
        <v>4973</v>
      </c>
      <c r="BH102" s="52" t="s">
        <v>7872</v>
      </c>
      <c r="BI102" s="52" t="s">
        <v>7814</v>
      </c>
      <c r="BJ102" s="52" t="s">
        <v>4973</v>
      </c>
      <c r="BK102" s="52"/>
      <c r="BL102" s="52"/>
      <c r="BM102" s="52" t="s">
        <v>0</v>
      </c>
      <c r="BN102" s="52" t="s">
        <v>0</v>
      </c>
      <c r="BO102" s="52"/>
      <c r="BP102" s="52" t="s">
        <v>2260</v>
      </c>
      <c r="BQ102" s="52" t="s">
        <v>2260</v>
      </c>
      <c r="BR102" s="52" t="s">
        <v>1025</v>
      </c>
      <c r="BS102" s="52" t="s">
        <v>1025</v>
      </c>
      <c r="BT102" s="52" t="s">
        <v>1025</v>
      </c>
      <c r="BU102" s="84" t="s">
        <v>2828</v>
      </c>
      <c r="BV102" s="84"/>
      <c r="BW102" s="52"/>
      <c r="BX102" s="52" t="s">
        <v>3795</v>
      </c>
      <c r="BY102" s="52" t="s">
        <v>3795</v>
      </c>
      <c r="BZ102" s="52" t="s">
        <v>6192</v>
      </c>
      <c r="CA102" s="52" t="s">
        <v>3098</v>
      </c>
      <c r="CB102" s="52" t="s">
        <v>3098</v>
      </c>
      <c r="CC102" s="52"/>
      <c r="CD102" s="52"/>
      <c r="CE102" s="52" t="s">
        <v>0</v>
      </c>
      <c r="CF102" s="52" t="s">
        <v>1025</v>
      </c>
    </row>
    <row r="103" spans="1:84" ht="27">
      <c r="A103" s="181" t="s">
        <v>7453</v>
      </c>
      <c r="B103" s="200"/>
      <c r="C103" s="214" t="s">
        <v>26</v>
      </c>
      <c r="D103" s="214" t="s">
        <v>57</v>
      </c>
      <c r="E103" s="214" t="s">
        <v>305</v>
      </c>
      <c r="F103" s="214" t="s">
        <v>57</v>
      </c>
      <c r="G103" s="214" t="s">
        <v>192</v>
      </c>
      <c r="H103" s="214" t="s">
        <v>251</v>
      </c>
      <c r="I103" s="36" t="s">
        <v>8155</v>
      </c>
      <c r="J103" s="212" t="s">
        <v>57</v>
      </c>
      <c r="K103" s="36" t="s">
        <v>8313</v>
      </c>
      <c r="L103" s="36" t="s">
        <v>8313</v>
      </c>
      <c r="M103" s="214" t="s">
        <v>57</v>
      </c>
      <c r="N103" s="36" t="s">
        <v>7454</v>
      </c>
      <c r="O103" s="214" t="s">
        <v>57</v>
      </c>
      <c r="P103" s="36" t="s">
        <v>8582</v>
      </c>
      <c r="Q103" s="36" t="s">
        <v>8582</v>
      </c>
      <c r="R103" s="214" t="s">
        <v>57</v>
      </c>
      <c r="S103" s="36" t="s">
        <v>8494</v>
      </c>
      <c r="T103" s="214" t="s">
        <v>57</v>
      </c>
      <c r="U103" s="214" t="s">
        <v>57</v>
      </c>
      <c r="V103" s="217" t="s">
        <v>57</v>
      </c>
      <c r="W103" s="212" t="s">
        <v>57</v>
      </c>
      <c r="X103" s="212" t="s">
        <v>6419</v>
      </c>
      <c r="Y103" s="212" t="s">
        <v>0</v>
      </c>
      <c r="Z103" s="212" t="s">
        <v>57</v>
      </c>
      <c r="AA103" s="212" t="s">
        <v>57</v>
      </c>
      <c r="AB103" s="212" t="s">
        <v>4533</v>
      </c>
      <c r="AC103" s="212" t="s">
        <v>4533</v>
      </c>
      <c r="AD103" s="212" t="s">
        <v>4693</v>
      </c>
      <c r="AE103" s="213" t="s">
        <v>57</v>
      </c>
      <c r="AF103" s="213" t="s">
        <v>57</v>
      </c>
      <c r="AG103" s="36" t="s">
        <v>7454</v>
      </c>
      <c r="AH103" s="36" t="s">
        <v>7454</v>
      </c>
      <c r="AI103" s="36" t="s">
        <v>7454</v>
      </c>
      <c r="AJ103" s="213" t="s">
        <v>57</v>
      </c>
      <c r="AK103" s="213" t="s">
        <v>111</v>
      </c>
      <c r="AL103" s="218" t="s">
        <v>57</v>
      </c>
      <c r="AM103" s="214" t="s">
        <v>57</v>
      </c>
      <c r="AN103" s="214" t="s">
        <v>57</v>
      </c>
      <c r="AO103" s="212" t="s">
        <v>4224</v>
      </c>
      <c r="AP103" s="214" t="s">
        <v>6336</v>
      </c>
      <c r="AQ103" s="214" t="s">
        <v>57</v>
      </c>
      <c r="AR103" s="214" t="s">
        <v>57</v>
      </c>
      <c r="AS103" s="214" t="s">
        <v>57</v>
      </c>
      <c r="AT103" s="214" t="s">
        <v>57</v>
      </c>
      <c r="AU103" s="214" t="s">
        <v>57</v>
      </c>
      <c r="AV103" s="214" t="s">
        <v>57</v>
      </c>
      <c r="AW103" s="214" t="s">
        <v>57</v>
      </c>
      <c r="AX103" s="214" t="s">
        <v>57</v>
      </c>
      <c r="AY103" s="214" t="s">
        <v>113</v>
      </c>
      <c r="AZ103" s="214" t="s">
        <v>111</v>
      </c>
      <c r="BA103" s="212" t="s">
        <v>4533</v>
      </c>
      <c r="BB103" s="212" t="s">
        <v>4533</v>
      </c>
      <c r="BC103" s="214" t="s">
        <v>57</v>
      </c>
      <c r="BD103" s="36" t="s">
        <v>7454</v>
      </c>
      <c r="BE103" s="214" t="s">
        <v>57</v>
      </c>
      <c r="BF103" s="36" t="s">
        <v>7454</v>
      </c>
      <c r="BG103" s="214" t="s">
        <v>57</v>
      </c>
      <c r="BH103" s="36" t="s">
        <v>7454</v>
      </c>
      <c r="BI103" s="36" t="s">
        <v>7815</v>
      </c>
      <c r="BJ103" s="214" t="s">
        <v>269</v>
      </c>
      <c r="BK103" s="214" t="s">
        <v>56</v>
      </c>
      <c r="BL103" s="214" t="s">
        <v>56</v>
      </c>
      <c r="BM103" s="214" t="s">
        <v>0</v>
      </c>
      <c r="BN103" s="212" t="s">
        <v>3883</v>
      </c>
      <c r="BO103" s="212"/>
      <c r="BP103" s="214" t="s">
        <v>57</v>
      </c>
      <c r="BQ103" s="214" t="s">
        <v>26</v>
      </c>
      <c r="BR103" s="212" t="s">
        <v>57</v>
      </c>
      <c r="BS103" s="212" t="s">
        <v>57</v>
      </c>
      <c r="BT103" s="212" t="s">
        <v>57</v>
      </c>
      <c r="BU103" s="212" t="s">
        <v>5080</v>
      </c>
      <c r="BV103" s="212" t="s">
        <v>473</v>
      </c>
      <c r="BW103" s="212" t="s">
        <v>57</v>
      </c>
      <c r="BX103" s="212" t="s">
        <v>473</v>
      </c>
      <c r="BY103" s="212" t="s">
        <v>57</v>
      </c>
      <c r="BZ103" s="212" t="s">
        <v>57</v>
      </c>
      <c r="CA103" s="214" t="s">
        <v>199</v>
      </c>
      <c r="CB103" s="214" t="s">
        <v>57</v>
      </c>
      <c r="CC103" s="212" t="s">
        <v>305</v>
      </c>
      <c r="CD103" s="214" t="s">
        <v>57</v>
      </c>
      <c r="CE103" s="214" t="s">
        <v>57</v>
      </c>
      <c r="CF103" s="214" t="s">
        <v>57</v>
      </c>
    </row>
    <row r="104" spans="1:84" ht="18">
      <c r="A104" s="51" t="s">
        <v>935</v>
      </c>
      <c r="B104" s="51"/>
      <c r="C104" s="52" t="s">
        <v>5148</v>
      </c>
      <c r="D104" s="52" t="s">
        <v>5160</v>
      </c>
      <c r="E104" s="52" t="s">
        <v>2771</v>
      </c>
      <c r="F104" s="52" t="s">
        <v>2771</v>
      </c>
      <c r="G104" s="52" t="s">
        <v>1408</v>
      </c>
      <c r="H104" s="52" t="s">
        <v>1408</v>
      </c>
      <c r="I104" s="52" t="s">
        <v>8151</v>
      </c>
      <c r="J104" s="52" t="s">
        <v>5760</v>
      </c>
      <c r="K104" s="52" t="s">
        <v>8314</v>
      </c>
      <c r="L104" s="52" t="s">
        <v>8396</v>
      </c>
      <c r="M104" s="52" t="s">
        <v>3311</v>
      </c>
      <c r="N104" s="52" t="s">
        <v>8245</v>
      </c>
      <c r="O104" s="52" t="s">
        <v>3342</v>
      </c>
      <c r="P104" s="52" t="s">
        <v>8578</v>
      </c>
      <c r="Q104" s="52" t="s">
        <v>8578</v>
      </c>
      <c r="R104" s="52" t="s">
        <v>3393</v>
      </c>
      <c r="S104" s="52" t="s">
        <v>8493</v>
      </c>
      <c r="T104" s="52" t="s">
        <v>5582</v>
      </c>
      <c r="U104" s="52" t="s">
        <v>5582</v>
      </c>
      <c r="V104" s="84"/>
      <c r="W104" s="52" t="s">
        <v>4422</v>
      </c>
      <c r="X104" s="84" t="s">
        <v>6422</v>
      </c>
      <c r="Y104" s="52" t="s">
        <v>2325</v>
      </c>
      <c r="Z104" s="52" t="s">
        <v>2325</v>
      </c>
      <c r="AA104" s="52" t="s">
        <v>2325</v>
      </c>
      <c r="AB104" s="52" t="s">
        <v>5930</v>
      </c>
      <c r="AC104" s="52" t="s">
        <v>5930</v>
      </c>
      <c r="AD104" s="52" t="s">
        <v>5930</v>
      </c>
      <c r="AE104" s="52" t="s">
        <v>6067</v>
      </c>
      <c r="AF104" s="52" t="s">
        <v>6067</v>
      </c>
      <c r="AG104" s="186" t="s">
        <v>6998</v>
      </c>
      <c r="AH104" s="186" t="s">
        <v>6998</v>
      </c>
      <c r="AI104" s="186" t="s">
        <v>6998</v>
      </c>
      <c r="AJ104" s="52" t="s">
        <v>6105</v>
      </c>
      <c r="AK104" s="52" t="s">
        <v>4181</v>
      </c>
      <c r="AL104" s="52" t="s">
        <v>4181</v>
      </c>
      <c r="AM104" s="52" t="s">
        <v>5382</v>
      </c>
      <c r="AN104" s="52" t="s">
        <v>5382</v>
      </c>
      <c r="AO104" s="52" t="s">
        <v>4222</v>
      </c>
      <c r="AP104" s="52" t="s">
        <v>6334</v>
      </c>
      <c r="AQ104" s="52" t="s">
        <v>6333</v>
      </c>
      <c r="AR104" s="52"/>
      <c r="AS104" s="52" t="s">
        <v>1928</v>
      </c>
      <c r="AT104" s="52" t="s">
        <v>1928</v>
      </c>
      <c r="AU104" s="52" t="s">
        <v>1928</v>
      </c>
      <c r="AV104" s="52" t="s">
        <v>4312</v>
      </c>
      <c r="AW104" s="52" t="s">
        <v>4312</v>
      </c>
      <c r="AX104" s="52" t="s">
        <v>1264</v>
      </c>
      <c r="AY104" s="52" t="s">
        <v>1299</v>
      </c>
      <c r="AZ104" s="52" t="s">
        <v>4553</v>
      </c>
      <c r="BA104" s="52" t="s">
        <v>3609</v>
      </c>
      <c r="BB104" s="52" t="s">
        <v>3478</v>
      </c>
      <c r="BC104" s="52" t="s">
        <v>4833</v>
      </c>
      <c r="BD104" s="52" t="s">
        <v>7748</v>
      </c>
      <c r="BE104" s="52" t="s">
        <v>4833</v>
      </c>
      <c r="BF104" s="52" t="s">
        <v>7598</v>
      </c>
      <c r="BG104" s="52" t="s">
        <v>4833</v>
      </c>
      <c r="BH104" s="52" t="s">
        <v>7598</v>
      </c>
      <c r="BI104" s="52" t="s">
        <v>7748</v>
      </c>
      <c r="BJ104" s="52" t="s">
        <v>4833</v>
      </c>
      <c r="BK104" s="52"/>
      <c r="BL104" s="52"/>
      <c r="BM104" s="52" t="s">
        <v>0</v>
      </c>
      <c r="BN104" s="52" t="s">
        <v>3882</v>
      </c>
      <c r="BO104" s="52"/>
      <c r="BP104" s="52" t="s">
        <v>2248</v>
      </c>
      <c r="BQ104" s="52" t="s">
        <v>2264</v>
      </c>
      <c r="BR104" s="52" t="s">
        <v>2646</v>
      </c>
      <c r="BS104" s="52" t="s">
        <v>2646</v>
      </c>
      <c r="BT104" s="52" t="s">
        <v>2646</v>
      </c>
      <c r="BU104" s="84" t="s">
        <v>5086</v>
      </c>
      <c r="BV104" s="84"/>
      <c r="BW104" s="52"/>
      <c r="BX104" s="52" t="s">
        <v>3919</v>
      </c>
      <c r="BY104" s="52" t="s">
        <v>3783</v>
      </c>
      <c r="BZ104" s="52" t="s">
        <v>6194</v>
      </c>
      <c r="CA104" s="52" t="s">
        <v>3095</v>
      </c>
      <c r="CB104" s="52" t="s">
        <v>3080</v>
      </c>
      <c r="CC104" s="52"/>
      <c r="CD104" s="52"/>
      <c r="CE104" s="52" t="s">
        <v>3207</v>
      </c>
      <c r="CF104" s="52" t="s">
        <v>2131</v>
      </c>
    </row>
    <row r="105" spans="1:84" ht="36">
      <c r="A105" s="62" t="s">
        <v>7451</v>
      </c>
      <c r="B105" s="200"/>
      <c r="C105" s="36" t="s">
        <v>0</v>
      </c>
      <c r="D105" s="36" t="s">
        <v>5162</v>
      </c>
      <c r="E105" s="36" t="s">
        <v>0</v>
      </c>
      <c r="F105" s="36" t="s">
        <v>2773</v>
      </c>
      <c r="G105" s="38" t="s">
        <v>659</v>
      </c>
      <c r="H105" s="36" t="s">
        <v>251</v>
      </c>
      <c r="I105" s="36" t="s">
        <v>8587</v>
      </c>
      <c r="J105" s="36" t="s">
        <v>494</v>
      </c>
      <c r="K105" s="36" t="s">
        <v>8589</v>
      </c>
      <c r="L105" s="36" t="s">
        <v>8589</v>
      </c>
      <c r="M105" s="36" t="s">
        <v>57</v>
      </c>
      <c r="N105" s="36" t="s">
        <v>8588</v>
      </c>
      <c r="O105" s="36" t="s">
        <v>57</v>
      </c>
      <c r="P105" s="36" t="s">
        <v>8320</v>
      </c>
      <c r="Q105" s="36" t="s">
        <v>8320</v>
      </c>
      <c r="R105" s="36" t="s">
        <v>57</v>
      </c>
      <c r="S105" s="36" t="s">
        <v>8589</v>
      </c>
      <c r="T105" s="38" t="s">
        <v>57</v>
      </c>
      <c r="U105" s="38" t="s">
        <v>57</v>
      </c>
      <c r="V105" s="145" t="s">
        <v>197</v>
      </c>
      <c r="W105" s="38" t="s">
        <v>6</v>
      </c>
      <c r="X105" s="36" t="s">
        <v>6420</v>
      </c>
      <c r="Y105" s="38" t="s">
        <v>0</v>
      </c>
      <c r="Z105" s="38" t="s">
        <v>685</v>
      </c>
      <c r="AA105" s="38" t="s">
        <v>27</v>
      </c>
      <c r="AB105" s="36" t="s">
        <v>4695</v>
      </c>
      <c r="AC105" s="36" t="s">
        <v>595</v>
      </c>
      <c r="AD105" s="36" t="s">
        <v>0</v>
      </c>
      <c r="AE105" s="7" t="s">
        <v>0</v>
      </c>
      <c r="AF105" s="37" t="s">
        <v>5967</v>
      </c>
      <c r="AG105" s="36" t="s">
        <v>0</v>
      </c>
      <c r="AH105" s="36" t="s">
        <v>0</v>
      </c>
      <c r="AI105" s="250">
        <v>1000</v>
      </c>
      <c r="AJ105" s="37" t="s">
        <v>223</v>
      </c>
      <c r="AK105" s="7" t="s">
        <v>0</v>
      </c>
      <c r="AL105" s="34" t="s">
        <v>57</v>
      </c>
      <c r="AM105" s="36" t="s">
        <v>5336</v>
      </c>
      <c r="AN105" s="36" t="s">
        <v>5336</v>
      </c>
      <c r="AO105" s="36" t="s">
        <v>4212</v>
      </c>
      <c r="AP105" s="38" t="s">
        <v>57</v>
      </c>
      <c r="AQ105" s="38" t="s">
        <v>57</v>
      </c>
      <c r="AR105" s="38" t="s">
        <v>350</v>
      </c>
      <c r="AS105" s="38" t="s">
        <v>57</v>
      </c>
      <c r="AT105" s="38" t="s">
        <v>57</v>
      </c>
      <c r="AU105" s="38" t="s">
        <v>57</v>
      </c>
      <c r="AV105" s="38" t="s">
        <v>57</v>
      </c>
      <c r="AW105" s="38" t="s">
        <v>57</v>
      </c>
      <c r="AX105" s="38" t="s">
        <v>57</v>
      </c>
      <c r="AY105" s="38" t="s">
        <v>366</v>
      </c>
      <c r="AZ105" s="36" t="s">
        <v>0</v>
      </c>
      <c r="BA105" s="36" t="s">
        <v>57</v>
      </c>
      <c r="BB105" s="36" t="s">
        <v>595</v>
      </c>
      <c r="BC105" s="38" t="s">
        <v>111</v>
      </c>
      <c r="BD105" s="37" t="s">
        <v>9489</v>
      </c>
      <c r="BE105" s="36" t="s">
        <v>57</v>
      </c>
      <c r="BF105" s="37" t="s">
        <v>9488</v>
      </c>
      <c r="BG105" s="38" t="s">
        <v>111</v>
      </c>
      <c r="BH105" s="37" t="s">
        <v>9488</v>
      </c>
      <c r="BI105" s="36" t="s">
        <v>0</v>
      </c>
      <c r="BJ105" s="36" t="s">
        <v>0</v>
      </c>
      <c r="BK105" s="38" t="s">
        <v>17</v>
      </c>
      <c r="BL105" s="36" t="s">
        <v>558</v>
      </c>
      <c r="BM105" s="38" t="s">
        <v>0</v>
      </c>
      <c r="BN105" s="36" t="s">
        <v>3870</v>
      </c>
      <c r="BO105" s="36"/>
      <c r="BP105" s="38" t="s">
        <v>6</v>
      </c>
      <c r="BQ105" s="38" t="s">
        <v>0</v>
      </c>
      <c r="BR105" s="38" t="s">
        <v>0</v>
      </c>
      <c r="BS105" s="36" t="s">
        <v>2711</v>
      </c>
      <c r="BT105" s="36" t="s">
        <v>2711</v>
      </c>
      <c r="BU105" s="36" t="s">
        <v>111</v>
      </c>
      <c r="BV105" s="36" t="s">
        <v>57</v>
      </c>
      <c r="BW105" s="38" t="s">
        <v>57</v>
      </c>
      <c r="BX105" s="38" t="s">
        <v>6</v>
      </c>
      <c r="BY105" s="38" t="s">
        <v>111</v>
      </c>
      <c r="BZ105" s="36" t="s">
        <v>6193</v>
      </c>
      <c r="CA105" s="38" t="s">
        <v>57</v>
      </c>
      <c r="CB105" s="38" t="s">
        <v>57</v>
      </c>
      <c r="CC105" s="38" t="s">
        <v>0</v>
      </c>
      <c r="CD105" s="38" t="s">
        <v>6</v>
      </c>
      <c r="CE105" s="36" t="s">
        <v>27</v>
      </c>
      <c r="CF105" s="38" t="s">
        <v>6</v>
      </c>
    </row>
    <row r="106" spans="1:84" ht="18">
      <c r="A106" s="51" t="s">
        <v>935</v>
      </c>
      <c r="B106" s="51"/>
      <c r="C106" s="52" t="s">
        <v>0</v>
      </c>
      <c r="D106" s="52" t="s">
        <v>5161</v>
      </c>
      <c r="E106" s="52" t="s">
        <v>0</v>
      </c>
      <c r="F106" s="52" t="s">
        <v>2772</v>
      </c>
      <c r="G106" s="52" t="s">
        <v>0</v>
      </c>
      <c r="H106" s="52" t="s">
        <v>1408</v>
      </c>
      <c r="I106" s="52" t="s">
        <v>8156</v>
      </c>
      <c r="J106" s="52" t="s">
        <v>5236</v>
      </c>
      <c r="K106" s="52" t="s">
        <v>8321</v>
      </c>
      <c r="L106" s="52" t="s">
        <v>8402</v>
      </c>
      <c r="M106" s="52" t="s">
        <v>5828</v>
      </c>
      <c r="N106" s="52" t="s">
        <v>8256</v>
      </c>
      <c r="O106" s="52" t="s">
        <v>5773</v>
      </c>
      <c r="P106" s="52" t="s">
        <v>8579</v>
      </c>
      <c r="Q106" s="52" t="s">
        <v>8579</v>
      </c>
      <c r="R106" s="52" t="s">
        <v>5801</v>
      </c>
      <c r="S106" s="52" t="s">
        <v>8497</v>
      </c>
      <c r="T106" s="52" t="s">
        <v>5583</v>
      </c>
      <c r="U106" s="52" t="s">
        <v>5583</v>
      </c>
      <c r="V106" s="84"/>
      <c r="W106" s="52" t="s">
        <v>4411</v>
      </c>
      <c r="X106" s="84" t="s">
        <v>6421</v>
      </c>
      <c r="Y106" s="52" t="s">
        <v>2354</v>
      </c>
      <c r="Z106" s="52" t="s">
        <v>2374</v>
      </c>
      <c r="AA106" s="52" t="s">
        <v>2374</v>
      </c>
      <c r="AB106" s="52" t="s">
        <v>5927</v>
      </c>
      <c r="AC106" s="52" t="s">
        <v>5927</v>
      </c>
      <c r="AD106" s="52" t="s">
        <v>0</v>
      </c>
      <c r="AE106" s="52" t="s">
        <v>0</v>
      </c>
      <c r="AF106" s="52" t="s">
        <v>5968</v>
      </c>
      <c r="AG106" s="52" t="s">
        <v>0</v>
      </c>
      <c r="AH106" s="52" t="s">
        <v>0</v>
      </c>
      <c r="AI106" s="186" t="s">
        <v>7139</v>
      </c>
      <c r="AJ106" s="52" t="s">
        <v>6119</v>
      </c>
      <c r="AK106" s="52" t="s">
        <v>0</v>
      </c>
      <c r="AL106" s="52" t="s">
        <v>1866</v>
      </c>
      <c r="AM106" s="52" t="s">
        <v>5335</v>
      </c>
      <c r="AN106" s="52" t="s">
        <v>5335</v>
      </c>
      <c r="AO106" s="52" t="s">
        <v>4225</v>
      </c>
      <c r="AP106" s="52" t="s">
        <v>6334</v>
      </c>
      <c r="AQ106" s="52" t="s">
        <v>6333</v>
      </c>
      <c r="AR106" s="52"/>
      <c r="AS106" s="52" t="s">
        <v>1990</v>
      </c>
      <c r="AT106" s="52" t="s">
        <v>1990</v>
      </c>
      <c r="AU106" s="52" t="s">
        <v>1990</v>
      </c>
      <c r="AV106" s="52" t="s">
        <v>4314</v>
      </c>
      <c r="AW106" s="52" t="s">
        <v>4314</v>
      </c>
      <c r="AX106" s="52" t="s">
        <v>1265</v>
      </c>
      <c r="AY106" s="52" t="s">
        <v>1298</v>
      </c>
      <c r="AZ106" s="52" t="s">
        <v>0</v>
      </c>
      <c r="BA106" s="52" t="s">
        <v>3610</v>
      </c>
      <c r="BB106" s="52" t="s">
        <v>3490</v>
      </c>
      <c r="BC106" s="52" t="s">
        <v>4836</v>
      </c>
      <c r="BD106" s="52" t="s">
        <v>7741</v>
      </c>
      <c r="BE106" s="52" t="s">
        <v>3222</v>
      </c>
      <c r="BF106" s="52" t="s">
        <v>7596</v>
      </c>
      <c r="BG106" s="52" t="s">
        <v>4836</v>
      </c>
      <c r="BH106" s="52" t="s">
        <v>7596</v>
      </c>
      <c r="BI106" s="52" t="s">
        <v>0</v>
      </c>
      <c r="BJ106" s="52" t="s">
        <v>0</v>
      </c>
      <c r="BK106" s="52"/>
      <c r="BL106" s="52"/>
      <c r="BM106" s="52" t="s">
        <v>0</v>
      </c>
      <c r="BN106" s="52" t="s">
        <v>3869</v>
      </c>
      <c r="BO106" s="52"/>
      <c r="BP106" s="52" t="s">
        <v>2243</v>
      </c>
      <c r="BQ106" s="52" t="s">
        <v>0</v>
      </c>
      <c r="BR106" s="52" t="s">
        <v>0</v>
      </c>
      <c r="BS106" s="52" t="s">
        <v>2647</v>
      </c>
      <c r="BT106" s="52" t="s">
        <v>2647</v>
      </c>
      <c r="BU106" s="84" t="s">
        <v>5087</v>
      </c>
      <c r="BV106" s="84"/>
      <c r="BW106" s="52"/>
      <c r="BX106" s="52" t="s">
        <v>3920</v>
      </c>
      <c r="BY106" s="52" t="s">
        <v>3782</v>
      </c>
      <c r="BZ106" s="52" t="s">
        <v>6198</v>
      </c>
      <c r="CA106" s="52" t="s">
        <v>3092</v>
      </c>
      <c r="CB106" s="52" t="s">
        <v>3092</v>
      </c>
      <c r="CC106" s="52"/>
      <c r="CD106" s="52"/>
      <c r="CE106" s="52" t="s">
        <v>3213</v>
      </c>
      <c r="CF106" s="52" t="s">
        <v>2154</v>
      </c>
    </row>
    <row r="107" spans="1:84">
      <c r="A107" s="62" t="s">
        <v>124</v>
      </c>
      <c r="B107" s="200"/>
      <c r="C107" s="38" t="s">
        <v>0</v>
      </c>
      <c r="D107" s="38" t="s">
        <v>0</v>
      </c>
      <c r="E107" s="38" t="s">
        <v>0</v>
      </c>
      <c r="F107" s="38" t="s">
        <v>0</v>
      </c>
      <c r="G107" s="38" t="s">
        <v>57</v>
      </c>
      <c r="H107" s="38" t="s">
        <v>57</v>
      </c>
      <c r="I107" s="36" t="s">
        <v>0</v>
      </c>
      <c r="J107" s="38" t="s">
        <v>0</v>
      </c>
      <c r="K107" s="36" t="s">
        <v>6999</v>
      </c>
      <c r="L107" s="36" t="s">
        <v>6999</v>
      </c>
      <c r="M107" s="38" t="s">
        <v>57</v>
      </c>
      <c r="N107" s="36" t="s">
        <v>0</v>
      </c>
      <c r="O107" s="38" t="s">
        <v>57</v>
      </c>
      <c r="P107" s="36" t="s">
        <v>6999</v>
      </c>
      <c r="Q107" s="36" t="s">
        <v>6999</v>
      </c>
      <c r="R107" s="38" t="s">
        <v>57</v>
      </c>
      <c r="S107" s="36" t="s">
        <v>6999</v>
      </c>
      <c r="T107" s="38" t="s">
        <v>57</v>
      </c>
      <c r="U107" s="38" t="s">
        <v>57</v>
      </c>
      <c r="V107" s="145" t="s">
        <v>5493</v>
      </c>
      <c r="W107" s="38" t="s">
        <v>0</v>
      </c>
      <c r="X107" s="38" t="s">
        <v>57</v>
      </c>
      <c r="Y107" s="38" t="s">
        <v>57</v>
      </c>
      <c r="Z107" s="38" t="s">
        <v>57</v>
      </c>
      <c r="AA107" s="38" t="s">
        <v>57</v>
      </c>
      <c r="AB107" s="36" t="s">
        <v>0</v>
      </c>
      <c r="AC107" s="36" t="s">
        <v>0</v>
      </c>
      <c r="AD107" s="36" t="s">
        <v>0</v>
      </c>
      <c r="AE107" s="7" t="s">
        <v>0</v>
      </c>
      <c r="AF107" s="7" t="s">
        <v>0</v>
      </c>
      <c r="AG107" s="36" t="s">
        <v>6999</v>
      </c>
      <c r="AH107" s="36" t="s">
        <v>6999</v>
      </c>
      <c r="AI107" s="36" t="s">
        <v>6999</v>
      </c>
      <c r="AJ107" s="34" t="s">
        <v>57</v>
      </c>
      <c r="AK107" s="7" t="s">
        <v>0</v>
      </c>
      <c r="AL107" s="7" t="s">
        <v>0</v>
      </c>
      <c r="AM107" s="38" t="s">
        <v>57</v>
      </c>
      <c r="AN107" s="38" t="s">
        <v>57</v>
      </c>
      <c r="AO107" s="38" t="s">
        <v>0</v>
      </c>
      <c r="AP107" s="38" t="s">
        <v>0</v>
      </c>
      <c r="AQ107" s="38" t="s">
        <v>57</v>
      </c>
      <c r="AR107" s="38" t="s">
        <v>57</v>
      </c>
      <c r="AS107" s="38" t="s">
        <v>0</v>
      </c>
      <c r="AT107" s="38" t="s">
        <v>0</v>
      </c>
      <c r="AU107" s="38" t="s">
        <v>0</v>
      </c>
      <c r="AV107" s="38" t="s">
        <v>57</v>
      </c>
      <c r="AW107" s="38" t="s">
        <v>57</v>
      </c>
      <c r="AX107" s="36" t="s">
        <v>0</v>
      </c>
      <c r="AY107" s="36" t="s">
        <v>0</v>
      </c>
      <c r="AZ107" s="38" t="s">
        <v>57</v>
      </c>
      <c r="BA107" s="38" t="s">
        <v>57</v>
      </c>
      <c r="BB107" s="38" t="s">
        <v>57</v>
      </c>
      <c r="BC107" s="38" t="s">
        <v>57</v>
      </c>
      <c r="BD107" s="36" t="s">
        <v>57</v>
      </c>
      <c r="BE107" s="36" t="s">
        <v>57</v>
      </c>
      <c r="BF107" s="36" t="s">
        <v>57</v>
      </c>
      <c r="BG107" s="36" t="s">
        <v>57</v>
      </c>
      <c r="BH107" s="38" t="s">
        <v>57</v>
      </c>
      <c r="BI107" s="36" t="s">
        <v>57</v>
      </c>
      <c r="BJ107" s="36" t="s">
        <v>57</v>
      </c>
      <c r="BK107" s="38" t="s">
        <v>57</v>
      </c>
      <c r="BL107" s="38" t="s">
        <v>57</v>
      </c>
      <c r="BM107" s="38" t="s">
        <v>0</v>
      </c>
      <c r="BN107" s="38" t="s">
        <v>0</v>
      </c>
      <c r="BO107" s="38"/>
      <c r="BP107" s="36" t="s">
        <v>0</v>
      </c>
      <c r="BQ107" s="36" t="s">
        <v>0</v>
      </c>
      <c r="BR107" s="38" t="s">
        <v>0</v>
      </c>
      <c r="BS107" s="38" t="s">
        <v>57</v>
      </c>
      <c r="BT107" s="38" t="s">
        <v>57</v>
      </c>
      <c r="BU107" s="36" t="s">
        <v>57</v>
      </c>
      <c r="BV107" s="36" t="s">
        <v>57</v>
      </c>
      <c r="BW107" s="38" t="s">
        <v>57</v>
      </c>
      <c r="BX107" s="36" t="s">
        <v>57</v>
      </c>
      <c r="BY107" s="36" t="s">
        <v>57</v>
      </c>
      <c r="BZ107" s="36" t="s">
        <v>0</v>
      </c>
      <c r="CA107" s="38" t="s">
        <v>0</v>
      </c>
      <c r="CB107" s="38" t="s">
        <v>0</v>
      </c>
      <c r="CC107" s="38" t="s">
        <v>0</v>
      </c>
      <c r="CD107" s="38" t="s">
        <v>0</v>
      </c>
      <c r="CE107" s="38" t="s">
        <v>0</v>
      </c>
      <c r="CF107" s="38" t="s">
        <v>0</v>
      </c>
    </row>
    <row r="108" spans="1:84">
      <c r="A108" s="51" t="s">
        <v>935</v>
      </c>
      <c r="B108" s="51"/>
      <c r="C108" s="52" t="s">
        <v>0</v>
      </c>
      <c r="D108" s="52" t="s">
        <v>0</v>
      </c>
      <c r="E108" s="52" t="s">
        <v>0</v>
      </c>
      <c r="F108" s="52" t="s">
        <v>0</v>
      </c>
      <c r="G108" s="52" t="s">
        <v>5505</v>
      </c>
      <c r="H108" s="52" t="s">
        <v>5505</v>
      </c>
      <c r="I108" s="52" t="s">
        <v>8157</v>
      </c>
      <c r="J108" s="52" t="s">
        <v>0</v>
      </c>
      <c r="K108" s="52" t="s">
        <v>8322</v>
      </c>
      <c r="L108" s="52" t="s">
        <v>8403</v>
      </c>
      <c r="M108" s="52" t="s">
        <v>1497</v>
      </c>
      <c r="N108" s="52" t="s">
        <v>8157</v>
      </c>
      <c r="O108" s="52" t="s">
        <v>5774</v>
      </c>
      <c r="P108" s="52" t="s">
        <v>8580</v>
      </c>
      <c r="Q108" s="52" t="s">
        <v>8580</v>
      </c>
      <c r="R108" s="52" t="s">
        <v>5802</v>
      </c>
      <c r="S108" s="52" t="s">
        <v>8498</v>
      </c>
      <c r="T108" s="52" t="s">
        <v>5588</v>
      </c>
      <c r="U108" s="52" t="s">
        <v>5588</v>
      </c>
      <c r="V108" s="84"/>
      <c r="W108" s="52" t="s">
        <v>4434</v>
      </c>
      <c r="X108" s="52" t="s">
        <v>6438</v>
      </c>
      <c r="Y108" s="52" t="s">
        <v>2383</v>
      </c>
      <c r="Z108" s="52" t="s">
        <v>2383</v>
      </c>
      <c r="AA108" s="52" t="s">
        <v>2383</v>
      </c>
      <c r="AB108" s="52" t="s">
        <v>4701</v>
      </c>
      <c r="AC108" s="52" t="s">
        <v>4701</v>
      </c>
      <c r="AD108" s="52" t="s">
        <v>4701</v>
      </c>
      <c r="AE108" s="52" t="s">
        <v>0</v>
      </c>
      <c r="AF108" s="52" t="s">
        <v>0</v>
      </c>
      <c r="AG108" s="186" t="s">
        <v>7000</v>
      </c>
      <c r="AH108" s="186" t="s">
        <v>7000</v>
      </c>
      <c r="AI108" s="186" t="s">
        <v>7000</v>
      </c>
      <c r="AJ108" s="52" t="s">
        <v>6106</v>
      </c>
      <c r="AK108" s="52" t="s">
        <v>1915</v>
      </c>
      <c r="AL108" s="52" t="s">
        <v>1915</v>
      </c>
      <c r="AM108" s="52" t="s">
        <v>5455</v>
      </c>
      <c r="AN108" s="52" t="s">
        <v>5455</v>
      </c>
      <c r="AO108" s="52" t="s">
        <v>0</v>
      </c>
      <c r="AP108" s="52" t="s">
        <v>0</v>
      </c>
      <c r="AQ108" s="52" t="s">
        <v>6333</v>
      </c>
      <c r="AR108" s="52"/>
      <c r="AS108" s="52" t="s">
        <v>0</v>
      </c>
      <c r="AT108" s="52" t="s">
        <v>0</v>
      </c>
      <c r="AU108" s="52" t="s">
        <v>0</v>
      </c>
      <c r="AV108" s="52" t="s">
        <v>4316</v>
      </c>
      <c r="AW108" s="52" t="s">
        <v>4316</v>
      </c>
      <c r="AX108" s="52" t="s">
        <v>0</v>
      </c>
      <c r="AY108" s="52" t="s">
        <v>0</v>
      </c>
      <c r="AZ108" s="52" t="s">
        <v>3663</v>
      </c>
      <c r="BA108" s="52" t="s">
        <v>3573</v>
      </c>
      <c r="BB108" s="52" t="s">
        <v>3474</v>
      </c>
      <c r="BC108" s="52" t="s">
        <v>4835</v>
      </c>
      <c r="BD108" s="52" t="s">
        <v>7742</v>
      </c>
      <c r="BE108" s="52" t="s">
        <v>4835</v>
      </c>
      <c r="BF108" s="52" t="s">
        <v>7597</v>
      </c>
      <c r="BG108" s="52" t="s">
        <v>4835</v>
      </c>
      <c r="BH108" s="52" t="s">
        <v>7597</v>
      </c>
      <c r="BI108" s="52" t="s">
        <v>7742</v>
      </c>
      <c r="BJ108" s="52" t="s">
        <v>4835</v>
      </c>
      <c r="BK108" s="52"/>
      <c r="BL108" s="52"/>
      <c r="BM108" s="52" t="s">
        <v>0</v>
      </c>
      <c r="BN108" s="52" t="s">
        <v>0</v>
      </c>
      <c r="BO108" s="52"/>
      <c r="BP108" s="52" t="s">
        <v>0</v>
      </c>
      <c r="BQ108" s="52" t="s">
        <v>0</v>
      </c>
      <c r="BR108" s="52" t="s">
        <v>0</v>
      </c>
      <c r="BS108" s="52" t="s">
        <v>2642</v>
      </c>
      <c r="BT108" s="52" t="s">
        <v>2642</v>
      </c>
      <c r="BU108" s="84" t="s">
        <v>2829</v>
      </c>
      <c r="BV108" s="84"/>
      <c r="BW108" s="52"/>
      <c r="BX108" s="52" t="s">
        <v>3796</v>
      </c>
      <c r="BY108" s="52" t="s">
        <v>3796</v>
      </c>
      <c r="BZ108" s="52" t="s">
        <v>0</v>
      </c>
      <c r="CA108" s="52" t="s">
        <v>0</v>
      </c>
      <c r="CB108" s="52" t="s">
        <v>0</v>
      </c>
      <c r="CC108" s="52"/>
      <c r="CD108" s="52"/>
      <c r="CE108" s="52" t="s">
        <v>0</v>
      </c>
      <c r="CF108" s="52" t="s">
        <v>0</v>
      </c>
    </row>
    <row r="109" spans="1:84" ht="18">
      <c r="A109" s="62" t="s">
        <v>16</v>
      </c>
      <c r="B109" s="200"/>
      <c r="C109" s="38" t="s">
        <v>0</v>
      </c>
      <c r="D109" s="38" t="s">
        <v>57</v>
      </c>
      <c r="E109" s="38" t="s">
        <v>0</v>
      </c>
      <c r="F109" s="38" t="s">
        <v>0</v>
      </c>
      <c r="G109" s="38" t="s">
        <v>57</v>
      </c>
      <c r="H109" s="38" t="s">
        <v>57</v>
      </c>
      <c r="I109" s="36" t="s">
        <v>57</v>
      </c>
      <c r="J109" s="38" t="s">
        <v>57</v>
      </c>
      <c r="K109" s="38" t="s">
        <v>57</v>
      </c>
      <c r="L109" s="38" t="s">
        <v>57</v>
      </c>
      <c r="M109" s="38" t="s">
        <v>57</v>
      </c>
      <c r="N109" s="36" t="s">
        <v>57</v>
      </c>
      <c r="O109" s="38" t="s">
        <v>57</v>
      </c>
      <c r="P109" s="38" t="s">
        <v>57</v>
      </c>
      <c r="Q109" s="38" t="s">
        <v>57</v>
      </c>
      <c r="R109" s="38" t="s">
        <v>57</v>
      </c>
      <c r="S109" s="234" t="s">
        <v>57</v>
      </c>
      <c r="T109" s="38" t="s">
        <v>57</v>
      </c>
      <c r="U109" s="38" t="s">
        <v>57</v>
      </c>
      <c r="V109" s="145" t="s">
        <v>57</v>
      </c>
      <c r="W109" s="38" t="s">
        <v>0</v>
      </c>
      <c r="X109" s="38" t="s">
        <v>57</v>
      </c>
      <c r="Y109" s="38" t="s">
        <v>0</v>
      </c>
      <c r="Z109" s="38" t="s">
        <v>0</v>
      </c>
      <c r="AA109" s="38" t="s">
        <v>0</v>
      </c>
      <c r="AB109" s="38" t="s">
        <v>57</v>
      </c>
      <c r="AC109" s="38" t="s">
        <v>57</v>
      </c>
      <c r="AD109" s="38" t="s">
        <v>5913</v>
      </c>
      <c r="AE109" s="7" t="s">
        <v>57</v>
      </c>
      <c r="AF109" s="7" t="s">
        <v>57</v>
      </c>
      <c r="AG109" s="36" t="s">
        <v>7001</v>
      </c>
      <c r="AH109" s="36" t="s">
        <v>7001</v>
      </c>
      <c r="AI109" s="36" t="s">
        <v>7001</v>
      </c>
      <c r="AJ109" s="34" t="s">
        <v>57</v>
      </c>
      <c r="AK109" s="7" t="s">
        <v>0</v>
      </c>
      <c r="AL109" s="7" t="s">
        <v>0</v>
      </c>
      <c r="AM109" s="38" t="s">
        <v>57</v>
      </c>
      <c r="AN109" s="38" t="s">
        <v>57</v>
      </c>
      <c r="AO109" s="38" t="s">
        <v>57</v>
      </c>
      <c r="AP109" s="38" t="s">
        <v>57</v>
      </c>
      <c r="AQ109" s="38" t="s">
        <v>57</v>
      </c>
      <c r="AR109" s="38" t="s">
        <v>0</v>
      </c>
      <c r="AS109" s="38" t="s">
        <v>57</v>
      </c>
      <c r="AT109" s="38" t="s">
        <v>57</v>
      </c>
      <c r="AU109" s="38" t="s">
        <v>57</v>
      </c>
      <c r="AV109" s="38" t="s">
        <v>57</v>
      </c>
      <c r="AW109" s="38" t="s">
        <v>57</v>
      </c>
      <c r="AX109" s="38" t="s">
        <v>251</v>
      </c>
      <c r="AY109" s="38" t="s">
        <v>0</v>
      </c>
      <c r="AZ109" s="38" t="s">
        <v>0</v>
      </c>
      <c r="BA109" s="38" t="s">
        <v>57</v>
      </c>
      <c r="BB109" s="38" t="s">
        <v>57</v>
      </c>
      <c r="BC109" s="38" t="s">
        <v>57</v>
      </c>
      <c r="BD109" s="36" t="s">
        <v>57</v>
      </c>
      <c r="BE109" s="36" t="s">
        <v>57</v>
      </c>
      <c r="BF109" s="36" t="s">
        <v>57</v>
      </c>
      <c r="BG109" s="38" t="s">
        <v>57</v>
      </c>
      <c r="BH109" s="38" t="s">
        <v>57</v>
      </c>
      <c r="BI109" s="36" t="s">
        <v>778</v>
      </c>
      <c r="BJ109" s="36" t="s">
        <v>778</v>
      </c>
      <c r="BK109" s="38" t="s">
        <v>57</v>
      </c>
      <c r="BL109" s="38" t="s">
        <v>57</v>
      </c>
      <c r="BM109" s="38" t="s">
        <v>0</v>
      </c>
      <c r="BN109" s="38" t="s">
        <v>0</v>
      </c>
      <c r="BO109" s="38"/>
      <c r="BP109" s="38" t="s">
        <v>57</v>
      </c>
      <c r="BQ109" s="38" t="s">
        <v>57</v>
      </c>
      <c r="BR109" s="38" t="s">
        <v>0</v>
      </c>
      <c r="BS109" s="38" t="s">
        <v>0</v>
      </c>
      <c r="BT109" s="38" t="s">
        <v>0</v>
      </c>
      <c r="BU109" s="36" t="s">
        <v>57</v>
      </c>
      <c r="BV109" s="36" t="s">
        <v>57</v>
      </c>
      <c r="BW109" s="38" t="s">
        <v>57</v>
      </c>
      <c r="BX109" s="36" t="s">
        <v>57</v>
      </c>
      <c r="BY109" s="36" t="s">
        <v>57</v>
      </c>
      <c r="BZ109" s="36" t="s">
        <v>6193</v>
      </c>
      <c r="CA109" s="38" t="s">
        <v>57</v>
      </c>
      <c r="CB109" s="38" t="s">
        <v>57</v>
      </c>
      <c r="CC109" s="38" t="s">
        <v>57</v>
      </c>
      <c r="CD109" s="38" t="s">
        <v>57</v>
      </c>
      <c r="CE109" s="38" t="s">
        <v>57</v>
      </c>
      <c r="CF109" s="38" t="s">
        <v>0</v>
      </c>
    </row>
    <row r="110" spans="1:84">
      <c r="A110" s="51" t="s">
        <v>935</v>
      </c>
      <c r="B110" s="51"/>
      <c r="C110" s="52" t="s">
        <v>0</v>
      </c>
      <c r="D110" s="52" t="s">
        <v>5165</v>
      </c>
      <c r="E110" s="52" t="s">
        <v>0</v>
      </c>
      <c r="F110" s="52" t="s">
        <v>0</v>
      </c>
      <c r="G110" s="52" t="s">
        <v>1417</v>
      </c>
      <c r="H110" s="52" t="s">
        <v>1417</v>
      </c>
      <c r="I110" s="52" t="s">
        <v>8158</v>
      </c>
      <c r="J110" s="52" t="s">
        <v>5235</v>
      </c>
      <c r="K110" s="52" t="s">
        <v>8318</v>
      </c>
      <c r="L110" s="52" t="s">
        <v>8405</v>
      </c>
      <c r="M110" s="52" t="s">
        <v>5826</v>
      </c>
      <c r="N110" s="52" t="s">
        <v>8255</v>
      </c>
      <c r="O110" s="52" t="s">
        <v>1577</v>
      </c>
      <c r="P110" s="52" t="s">
        <v>8581</v>
      </c>
      <c r="Q110" s="52" t="s">
        <v>8581</v>
      </c>
      <c r="R110" s="52" t="s">
        <v>5799</v>
      </c>
      <c r="S110" s="52" t="s">
        <v>8499</v>
      </c>
      <c r="T110" s="52" t="s">
        <v>5587</v>
      </c>
      <c r="U110" s="52" t="s">
        <v>5587</v>
      </c>
      <c r="V110" s="84"/>
      <c r="W110" s="52" t="s">
        <v>0</v>
      </c>
      <c r="X110" s="84" t="s">
        <v>6437</v>
      </c>
      <c r="Y110" s="52" t="s">
        <v>0</v>
      </c>
      <c r="Z110" s="52" t="s">
        <v>0</v>
      </c>
      <c r="AA110" s="52" t="s">
        <v>0</v>
      </c>
      <c r="AB110" s="52" t="s">
        <v>5929</v>
      </c>
      <c r="AC110" s="52" t="s">
        <v>5929</v>
      </c>
      <c r="AD110" s="52" t="s">
        <v>0</v>
      </c>
      <c r="AE110" s="52" t="s">
        <v>6030</v>
      </c>
      <c r="AF110" s="52" t="s">
        <v>6030</v>
      </c>
      <c r="AG110" s="186" t="s">
        <v>7002</v>
      </c>
      <c r="AH110" s="186" t="s">
        <v>7002</v>
      </c>
      <c r="AI110" s="186" t="s">
        <v>7002</v>
      </c>
      <c r="AJ110" s="52" t="s">
        <v>6106</v>
      </c>
      <c r="AK110" s="52" t="s">
        <v>0</v>
      </c>
      <c r="AL110" s="52" t="s">
        <v>0</v>
      </c>
      <c r="AM110" s="52" t="s">
        <v>5359</v>
      </c>
      <c r="AN110" s="52" t="s">
        <v>5359</v>
      </c>
      <c r="AO110" s="52" t="s">
        <v>4220</v>
      </c>
      <c r="AP110" s="52" t="s">
        <v>6334</v>
      </c>
      <c r="AQ110" s="52" t="s">
        <v>6333</v>
      </c>
      <c r="AR110" s="52"/>
      <c r="AS110" s="52" t="s">
        <v>1929</v>
      </c>
      <c r="AT110" s="52" t="s">
        <v>1929</v>
      </c>
      <c r="AU110" s="52" t="s">
        <v>1929</v>
      </c>
      <c r="AV110" s="52" t="s">
        <v>4312</v>
      </c>
      <c r="AW110" s="52" t="s">
        <v>4312</v>
      </c>
      <c r="AX110" s="52" t="s">
        <v>1025</v>
      </c>
      <c r="AY110" s="52" t="s">
        <v>0</v>
      </c>
      <c r="AZ110" s="52" t="s">
        <v>0</v>
      </c>
      <c r="BA110" s="52" t="s">
        <v>3574</v>
      </c>
      <c r="BB110" s="52" t="s">
        <v>3475</v>
      </c>
      <c r="BC110" s="52" t="s">
        <v>5480</v>
      </c>
      <c r="BD110" s="52" t="s">
        <v>7744</v>
      </c>
      <c r="BE110" s="52" t="s">
        <v>4881</v>
      </c>
      <c r="BF110" s="52" t="s">
        <v>7599</v>
      </c>
      <c r="BG110" s="52" t="s">
        <v>5481</v>
      </c>
      <c r="BH110" s="52" t="s">
        <v>7873</v>
      </c>
      <c r="BI110" s="52" t="s">
        <v>7816</v>
      </c>
      <c r="BJ110" s="52" t="s">
        <v>3215</v>
      </c>
      <c r="BK110" s="52"/>
      <c r="BL110" s="52"/>
      <c r="BM110" s="52" t="s">
        <v>0</v>
      </c>
      <c r="BN110" s="52" t="s">
        <v>0</v>
      </c>
      <c r="BO110" s="52"/>
      <c r="BP110" s="52" t="s">
        <v>2267</v>
      </c>
      <c r="BQ110" s="52" t="s">
        <v>2267</v>
      </c>
      <c r="BR110" s="52" t="s">
        <v>0</v>
      </c>
      <c r="BS110" s="52" t="s">
        <v>0</v>
      </c>
      <c r="BT110" s="52" t="s">
        <v>0</v>
      </c>
      <c r="BU110" s="84" t="s">
        <v>2824</v>
      </c>
      <c r="BV110" s="84"/>
      <c r="BW110" s="52"/>
      <c r="BX110" s="52" t="s">
        <v>3797</v>
      </c>
      <c r="BY110" s="52" t="s">
        <v>3797</v>
      </c>
      <c r="BZ110" s="52" t="s">
        <v>6200</v>
      </c>
      <c r="CA110" s="52" t="s">
        <v>3100</v>
      </c>
      <c r="CB110" s="52" t="s">
        <v>3100</v>
      </c>
      <c r="CC110" s="52"/>
      <c r="CD110" s="52"/>
      <c r="CE110" s="52" t="s">
        <v>3209</v>
      </c>
      <c r="CF110" s="52" t="s">
        <v>0</v>
      </c>
    </row>
    <row r="111" spans="1:84" ht="18">
      <c r="A111" s="62" t="s">
        <v>8159</v>
      </c>
      <c r="B111" s="200" t="s">
        <v>6763</v>
      </c>
      <c r="C111" s="36" t="s">
        <v>211</v>
      </c>
      <c r="D111" s="36" t="s">
        <v>1808</v>
      </c>
      <c r="E111" s="36" t="s">
        <v>211</v>
      </c>
      <c r="F111" s="36" t="s">
        <v>1808</v>
      </c>
      <c r="G111" s="36" t="s">
        <v>57</v>
      </c>
      <c r="H111" s="36" t="s">
        <v>57</v>
      </c>
      <c r="I111" s="36" t="s">
        <v>57</v>
      </c>
      <c r="J111" s="36" t="s">
        <v>57</v>
      </c>
      <c r="K111" s="36" t="s">
        <v>57</v>
      </c>
      <c r="L111" s="36" t="s">
        <v>57</v>
      </c>
      <c r="M111" s="36" t="s">
        <v>5253</v>
      </c>
      <c r="N111" s="36" t="s">
        <v>57</v>
      </c>
      <c r="O111" s="36" t="s">
        <v>5252</v>
      </c>
      <c r="P111" s="38" t="s">
        <v>57</v>
      </c>
      <c r="Q111" s="38" t="s">
        <v>57</v>
      </c>
      <c r="R111" s="36" t="s">
        <v>5253</v>
      </c>
      <c r="S111" s="234" t="s">
        <v>57</v>
      </c>
      <c r="T111" s="38" t="s">
        <v>57</v>
      </c>
      <c r="U111" s="38" t="s">
        <v>57</v>
      </c>
      <c r="V111" s="145" t="s">
        <v>57</v>
      </c>
      <c r="W111" s="37" t="s">
        <v>232</v>
      </c>
      <c r="X111" s="37" t="s">
        <v>57</v>
      </c>
      <c r="Y111" s="36" t="s">
        <v>211</v>
      </c>
      <c r="Z111" s="36" t="s">
        <v>57</v>
      </c>
      <c r="AA111" s="36" t="s">
        <v>57</v>
      </c>
      <c r="AB111" s="36" t="s">
        <v>57</v>
      </c>
      <c r="AC111" s="36" t="s">
        <v>57</v>
      </c>
      <c r="AD111" s="36" t="s">
        <v>57</v>
      </c>
      <c r="AE111" s="7" t="s">
        <v>6027</v>
      </c>
      <c r="AF111" s="7" t="s">
        <v>6027</v>
      </c>
      <c r="AG111" s="36" t="s">
        <v>57</v>
      </c>
      <c r="AH111" s="36" t="s">
        <v>57</v>
      </c>
      <c r="AI111" s="36" t="s">
        <v>57</v>
      </c>
      <c r="AJ111" s="37" t="s">
        <v>3447</v>
      </c>
      <c r="AK111" s="7" t="s">
        <v>211</v>
      </c>
      <c r="AL111" s="37" t="s">
        <v>232</v>
      </c>
      <c r="AM111" s="36" t="s">
        <v>57</v>
      </c>
      <c r="AN111" s="36" t="s">
        <v>57</v>
      </c>
      <c r="AO111" s="36" t="s">
        <v>57</v>
      </c>
      <c r="AP111" s="38" t="s">
        <v>0</v>
      </c>
      <c r="AQ111" s="38" t="s">
        <v>57</v>
      </c>
      <c r="AR111" s="36" t="s">
        <v>57</v>
      </c>
      <c r="AS111" s="36" t="s">
        <v>57</v>
      </c>
      <c r="AT111" s="36" t="s">
        <v>57</v>
      </c>
      <c r="AU111" s="36" t="s">
        <v>57</v>
      </c>
      <c r="AV111" s="38" t="s">
        <v>57</v>
      </c>
      <c r="AW111" s="38" t="s">
        <v>57</v>
      </c>
      <c r="AX111" s="36" t="s">
        <v>232</v>
      </c>
      <c r="AY111" s="36" t="s">
        <v>232</v>
      </c>
      <c r="AZ111" s="36" t="s">
        <v>211</v>
      </c>
      <c r="BA111" s="36" t="s">
        <v>57</v>
      </c>
      <c r="BB111" s="36" t="s">
        <v>4494</v>
      </c>
      <c r="BC111" s="38" t="s">
        <v>57</v>
      </c>
      <c r="BD111" s="36" t="s">
        <v>8160</v>
      </c>
      <c r="BE111" s="36" t="s">
        <v>57</v>
      </c>
      <c r="BF111" s="36" t="s">
        <v>8160</v>
      </c>
      <c r="BG111" s="36" t="s">
        <v>57</v>
      </c>
      <c r="BH111" s="36" t="s">
        <v>8160</v>
      </c>
      <c r="BI111" s="36" t="s">
        <v>8160</v>
      </c>
      <c r="BJ111" s="36" t="s">
        <v>57</v>
      </c>
      <c r="BK111" s="38" t="s">
        <v>57</v>
      </c>
      <c r="BL111" s="38" t="s">
        <v>57</v>
      </c>
      <c r="BM111" s="38" t="s">
        <v>0</v>
      </c>
      <c r="BN111" s="36" t="s">
        <v>232</v>
      </c>
      <c r="BO111" s="36"/>
      <c r="BP111" s="36" t="s">
        <v>232</v>
      </c>
      <c r="BQ111" s="36" t="s">
        <v>232</v>
      </c>
      <c r="BR111" s="38" t="s">
        <v>2623</v>
      </c>
      <c r="BS111" s="38" t="s">
        <v>57</v>
      </c>
      <c r="BT111" s="38" t="s">
        <v>57</v>
      </c>
      <c r="BU111" s="36" t="s">
        <v>5088</v>
      </c>
      <c r="BV111" s="36" t="s">
        <v>57</v>
      </c>
      <c r="BW111" s="36" t="s">
        <v>57</v>
      </c>
      <c r="BX111" s="38" t="s">
        <v>232</v>
      </c>
      <c r="BY111" s="38" t="s">
        <v>232</v>
      </c>
      <c r="BZ111" s="36" t="s">
        <v>6202</v>
      </c>
      <c r="CA111" s="38" t="s">
        <v>57</v>
      </c>
      <c r="CB111" s="38" t="s">
        <v>57</v>
      </c>
      <c r="CC111" s="38" t="s">
        <v>232</v>
      </c>
      <c r="CD111" s="38" t="s">
        <v>232</v>
      </c>
      <c r="CE111" s="36" t="s">
        <v>232</v>
      </c>
      <c r="CF111" s="38" t="s">
        <v>232</v>
      </c>
    </row>
    <row r="112" spans="1:84" ht="18">
      <c r="A112" s="51" t="s">
        <v>935</v>
      </c>
      <c r="B112" s="51"/>
      <c r="C112" s="52" t="s">
        <v>5216</v>
      </c>
      <c r="D112" s="52" t="s">
        <v>5164</v>
      </c>
      <c r="E112" s="52" t="s">
        <v>2757</v>
      </c>
      <c r="F112" s="52" t="s">
        <v>2777</v>
      </c>
      <c r="G112" s="52" t="s">
        <v>5505</v>
      </c>
      <c r="H112" s="52" t="s">
        <v>5505</v>
      </c>
      <c r="I112" s="84" t="s">
        <v>8258</v>
      </c>
      <c r="J112" s="52" t="s">
        <v>5237</v>
      </c>
      <c r="K112" s="84" t="s">
        <v>8319</v>
      </c>
      <c r="L112" s="84" t="s">
        <v>8404</v>
      </c>
      <c r="M112" s="52" t="s">
        <v>5827</v>
      </c>
      <c r="N112" s="84" t="s">
        <v>8257</v>
      </c>
      <c r="O112" s="52" t="s">
        <v>5772</v>
      </c>
      <c r="P112" s="84" t="s">
        <v>8586</v>
      </c>
      <c r="Q112" s="84" t="s">
        <v>8586</v>
      </c>
      <c r="R112" s="52" t="s">
        <v>5800</v>
      </c>
      <c r="S112" s="84" t="s">
        <v>8500</v>
      </c>
      <c r="T112" s="52" t="s">
        <v>5590</v>
      </c>
      <c r="U112" s="52" t="s">
        <v>5590</v>
      </c>
      <c r="V112" s="84"/>
      <c r="W112" s="52" t="s">
        <v>2012</v>
      </c>
      <c r="X112" s="84" t="s">
        <v>6439</v>
      </c>
      <c r="Y112" s="52" t="s">
        <v>2385</v>
      </c>
      <c r="Z112" s="52" t="s">
        <v>2346</v>
      </c>
      <c r="AA112" s="52" t="s">
        <v>2346</v>
      </c>
      <c r="AB112" s="52" t="s">
        <v>5931</v>
      </c>
      <c r="AC112" s="52" t="s">
        <v>5931</v>
      </c>
      <c r="AD112" s="52" t="s">
        <v>5957</v>
      </c>
      <c r="AE112" s="52" t="s">
        <v>6028</v>
      </c>
      <c r="AF112" s="52" t="s">
        <v>6028</v>
      </c>
      <c r="AG112" s="186" t="s">
        <v>7003</v>
      </c>
      <c r="AH112" s="186" t="s">
        <v>7003</v>
      </c>
      <c r="AI112" s="186" t="s">
        <v>7003</v>
      </c>
      <c r="AJ112" s="52" t="s">
        <v>6084</v>
      </c>
      <c r="AK112" s="52" t="s">
        <v>1914</v>
      </c>
      <c r="AL112" s="52" t="s">
        <v>1916</v>
      </c>
      <c r="AM112" s="52" t="s">
        <v>5454</v>
      </c>
      <c r="AN112" s="52" t="s">
        <v>5454</v>
      </c>
      <c r="AO112" s="52" t="s">
        <v>4221</v>
      </c>
      <c r="AP112" s="52" t="s">
        <v>0</v>
      </c>
      <c r="AQ112" s="52" t="s">
        <v>2557</v>
      </c>
      <c r="AR112" s="52"/>
      <c r="AS112" s="52" t="s">
        <v>1025</v>
      </c>
      <c r="AT112" s="52" t="s">
        <v>1025</v>
      </c>
      <c r="AU112" s="52" t="s">
        <v>1025</v>
      </c>
      <c r="AV112" s="52" t="s">
        <v>4313</v>
      </c>
      <c r="AW112" s="52" t="s">
        <v>4313</v>
      </c>
      <c r="AX112" s="52" t="s">
        <v>1297</v>
      </c>
      <c r="AY112" s="52" t="s">
        <v>1297</v>
      </c>
      <c r="AZ112" s="52" t="s">
        <v>4554</v>
      </c>
      <c r="BA112" s="52" t="s">
        <v>3575</v>
      </c>
      <c r="BB112" s="52" t="s">
        <v>3477</v>
      </c>
      <c r="BC112" s="52" t="s">
        <v>3218</v>
      </c>
      <c r="BD112" s="52" t="s">
        <v>7743</v>
      </c>
      <c r="BE112" s="52" t="s">
        <v>3218</v>
      </c>
      <c r="BF112" s="52" t="s">
        <v>7601</v>
      </c>
      <c r="BG112" s="52" t="s">
        <v>3218</v>
      </c>
      <c r="BH112" s="52" t="s">
        <v>7874</v>
      </c>
      <c r="BI112" s="52" t="s">
        <v>7743</v>
      </c>
      <c r="BJ112" s="52" t="s">
        <v>3218</v>
      </c>
      <c r="BK112" s="52"/>
      <c r="BL112" s="52"/>
      <c r="BM112" s="52" t="s">
        <v>0</v>
      </c>
      <c r="BN112" s="52" t="s">
        <v>3858</v>
      </c>
      <c r="BO112" s="52"/>
      <c r="BP112" s="52" t="s">
        <v>2282</v>
      </c>
      <c r="BQ112" s="52" t="s">
        <v>2282</v>
      </c>
      <c r="BR112" s="52" t="s">
        <v>2646</v>
      </c>
      <c r="BS112" s="52" t="s">
        <v>2645</v>
      </c>
      <c r="BT112" s="52" t="s">
        <v>2645</v>
      </c>
      <c r="BU112" s="84" t="s">
        <v>2824</v>
      </c>
      <c r="BV112" s="84"/>
      <c r="BW112" s="52"/>
      <c r="BX112" s="52" t="s">
        <v>3799</v>
      </c>
      <c r="BY112" s="52" t="s">
        <v>3799</v>
      </c>
      <c r="BZ112" s="52" t="s">
        <v>6203</v>
      </c>
      <c r="CA112" s="52" t="s">
        <v>3141</v>
      </c>
      <c r="CB112" s="52" t="s">
        <v>3141</v>
      </c>
      <c r="CC112" s="52"/>
      <c r="CD112" s="52"/>
      <c r="CE112" s="52" t="s">
        <v>3210</v>
      </c>
      <c r="CF112" s="52" t="s">
        <v>2175</v>
      </c>
    </row>
    <row r="113" spans="1:84">
      <c r="V113" s="146"/>
    </row>
    <row r="114" spans="1:84" ht="18">
      <c r="A114" s="22" t="s">
        <v>6522</v>
      </c>
      <c r="B114" s="22"/>
      <c r="C114" s="18" t="str">
        <f>C1</f>
        <v>ADCURI Basis-Schutz</v>
      </c>
      <c r="D114" s="18" t="str">
        <f t="shared" ref="D114:CC114" si="6">D1</f>
        <v>ADCURI Top-Schutz</v>
      </c>
      <c r="E114" s="18" t="str">
        <f t="shared" si="6"/>
        <v>Allianz</v>
      </c>
      <c r="F114" s="18" t="str">
        <f t="shared" si="6"/>
        <v>Allianz inkl. SicherheitPlus</v>
      </c>
      <c r="G114" s="18" t="str">
        <f t="shared" si="6"/>
        <v>Alte Leipziger classic</v>
      </c>
      <c r="H114" s="18" t="str">
        <f t="shared" si="6"/>
        <v>Alte Leipziger comfort</v>
      </c>
      <c r="I114" s="255" t="str">
        <f>I1</f>
        <v>Ammerländer Basic
(2019-02)</v>
      </c>
      <c r="J114" s="18" t="str">
        <f t="shared" si="6"/>
        <v>Ammerländer Classic
(2016-01)</v>
      </c>
      <c r="K114" s="255" t="str">
        <f>K1</f>
        <v>Ammerländer Classic
(2019-02)</v>
      </c>
      <c r="L114" s="255" t="str">
        <f>L1</f>
        <v>Ammerländer Comfort
(2019-02)</v>
      </c>
      <c r="M114" s="18" t="str">
        <f t="shared" si="6"/>
        <v>Ammerländer Comfort
(2016-01)</v>
      </c>
      <c r="N114" s="255" t="str">
        <f>N1</f>
        <v>Ammerländer Economic
(2019-02)</v>
      </c>
      <c r="O114" s="18" t="str">
        <f t="shared" si="6"/>
        <v>Ammerländer Excellent
(2016-01)</v>
      </c>
      <c r="P114" s="255" t="str">
        <f>P1</f>
        <v>Ammerländer Excellent
(2019-02)</v>
      </c>
      <c r="Q114" s="255" t="str">
        <f>Q1</f>
        <v>Ammerländer Excellent
(2020-02)</v>
      </c>
      <c r="R114" s="18" t="str">
        <f>R1</f>
        <v>Ammerländer Exclusiv
(2016-01)</v>
      </c>
      <c r="S114" s="255" t="str">
        <f>S1</f>
        <v>Ammerländer Exclusiv
(2019-02)</v>
      </c>
      <c r="T114" s="18" t="str">
        <f t="shared" si="6"/>
        <v>ARAG Komfort (Wohnfläche)</v>
      </c>
      <c r="U114" s="18" t="str">
        <f t="shared" si="6"/>
        <v>ARAG Premium (Wohnfläche)</v>
      </c>
      <c r="V114" s="18" t="str">
        <f t="shared" si="6"/>
        <v>AXA BOXflex</v>
      </c>
      <c r="W114" s="18" t="str">
        <f t="shared" si="6"/>
        <v>Baden Badener TOP</v>
      </c>
      <c r="X114" s="18" t="str">
        <f t="shared" si="6"/>
        <v>Concordia Sorglos</v>
      </c>
      <c r="Y114" s="18" t="str">
        <f t="shared" si="6"/>
        <v>Debeka Basis</v>
      </c>
      <c r="Z114" s="18" t="str">
        <f t="shared" si="6"/>
        <v>Debeka Standard</v>
      </c>
      <c r="AA114" s="18" t="str">
        <f t="shared" si="6"/>
        <v>Debeka Top</v>
      </c>
      <c r="AB114" s="18" t="str">
        <f t="shared" si="6"/>
        <v>die Bayerische (Komfort)</v>
      </c>
      <c r="AC114" s="18" t="str">
        <f t="shared" si="6"/>
        <v>die Bayerische (Prestige)</v>
      </c>
      <c r="AD114" s="18" t="str">
        <f t="shared" si="6"/>
        <v>die Bayerische (Smart)</v>
      </c>
      <c r="AE114" s="18" t="str">
        <f t="shared" si="6"/>
        <v>Domcura Komfort
(Stand 2014-10)</v>
      </c>
      <c r="AF114" s="18" t="str">
        <f t="shared" si="6"/>
        <v>Domcura Top
(Stand 2014-10)</v>
      </c>
      <c r="AG114" s="255" t="str">
        <f>AG1</f>
        <v>Domcura Standard
(2016-10-01)</v>
      </c>
      <c r="AH114" s="255" t="str">
        <f>AH1</f>
        <v>Domcura Komfort
(2016-10-01)</v>
      </c>
      <c r="AI114" s="255" t="str">
        <f>AI1</f>
        <v>Domcura Top
(2016-10-01)</v>
      </c>
      <c r="AJ114" s="18" t="str">
        <f t="shared" si="6"/>
        <v>ERGO Hausrat Spezial</v>
      </c>
      <c r="AK114" s="18" t="str">
        <f t="shared" si="6"/>
        <v>Generali Basis</v>
      </c>
      <c r="AL114" s="18" t="str">
        <f t="shared" si="6"/>
        <v>Generali KomfortPlus</v>
      </c>
      <c r="AM114" s="18" t="str">
        <f t="shared" si="6"/>
        <v>Gothaer Top</v>
      </c>
      <c r="AN114" s="18" t="str">
        <f t="shared" si="6"/>
        <v>Gothaer Top Plus</v>
      </c>
      <c r="AO114" s="18" t="str">
        <f t="shared" si="6"/>
        <v>HDI Privatschutz</v>
      </c>
      <c r="AP114" s="18" t="str">
        <f t="shared" si="6"/>
        <v>Helvetia Basis</v>
      </c>
      <c r="AQ114" s="18" t="str">
        <f t="shared" si="6"/>
        <v>Helvetia Komfort</v>
      </c>
      <c r="AR114" s="18" t="str">
        <f t="shared" si="6"/>
        <v>HFK Rundumschutz</v>
      </c>
      <c r="AS114" s="18" t="str">
        <f t="shared" si="6"/>
        <v>HKD Einfach Gut</v>
      </c>
      <c r="AT114" s="18" t="str">
        <f t="shared" si="6"/>
        <v>HKD Einfach Besser</v>
      </c>
      <c r="AU114" s="18" t="str">
        <f t="shared" si="6"/>
        <v>HKD Einfach Komplett</v>
      </c>
      <c r="AV114" s="18" t="str">
        <f t="shared" si="6"/>
        <v>HUK Classic</v>
      </c>
      <c r="AW114" s="18" t="str">
        <f t="shared" si="6"/>
        <v>HUK Plus</v>
      </c>
      <c r="AX114" s="18" t="str">
        <f t="shared" si="6"/>
        <v>Ideal Exklusiv</v>
      </c>
      <c r="AY114" s="18" t="str">
        <f t="shared" si="6"/>
        <v>Ideal Klassik</v>
      </c>
      <c r="AZ114" s="18" t="str">
        <f t="shared" si="6"/>
        <v>InterRisk L</v>
      </c>
      <c r="BA114" s="18" t="str">
        <f t="shared" si="6"/>
        <v>InterRisk XL</v>
      </c>
      <c r="BB114" s="18" t="str">
        <f t="shared" si="6"/>
        <v>InterRisk XXL</v>
      </c>
      <c r="BC114" s="18" t="str">
        <f t="shared" si="6"/>
        <v>ITL afm Eurosecure Plus</v>
      </c>
      <c r="BD114" s="255" t="str">
        <f>BD1</f>
        <v>ITL Eurosecure Plus afm
Stand 2013-08</v>
      </c>
      <c r="BE114" s="18" t="str">
        <f t="shared" si="6"/>
        <v>ITL afm Infinitus</v>
      </c>
      <c r="BF114" s="255" t="str">
        <f>BF1</f>
        <v>ITL Infinitus
Stand 2013-08</v>
      </c>
      <c r="BG114" s="18" t="str">
        <f t="shared" si="6"/>
        <v>ITL afm Protect Plus</v>
      </c>
      <c r="BH114" s="255" t="str">
        <f>BH1</f>
        <v>ITL Protect Plus afm
Stand 2013-08</v>
      </c>
      <c r="BI114" s="255" t="str">
        <f>BI1</f>
        <v>ITL Classic
Stand 2013-08</v>
      </c>
      <c r="BJ114" s="18" t="str">
        <f t="shared" si="6"/>
        <v>ITL Classic</v>
      </c>
      <c r="BK114" s="18" t="str">
        <f t="shared" si="6"/>
        <v>Janitos Balance</v>
      </c>
      <c r="BL114" s="18" t="str">
        <f t="shared" si="6"/>
        <v>Janitos Best Selection</v>
      </c>
      <c r="BM114" s="18" t="str">
        <f t="shared" si="6"/>
        <v>Keine</v>
      </c>
      <c r="BN114" s="18" t="str">
        <f t="shared" si="6"/>
        <v>Nürnberger KomplettSchutz</v>
      </c>
      <c r="BO114" s="18" t="str">
        <f t="shared" si="6"/>
        <v>NV Premium. 2.0</v>
      </c>
      <c r="BP114" s="18" t="str">
        <f t="shared" si="6"/>
        <v>Prokundo ExklusivPaket</v>
      </c>
      <c r="BQ114" s="18" t="str">
        <f t="shared" si="6"/>
        <v>Prokundo Komfort</v>
      </c>
      <c r="BR114" s="18" t="str">
        <f t="shared" si="6"/>
        <v>Provinzial Kompakt</v>
      </c>
      <c r="BS114" s="18" t="str">
        <f t="shared" si="6"/>
        <v>Provinzial Rundum inkl. Plus</v>
      </c>
      <c r="BT114" s="18" t="str">
        <f t="shared" si="6"/>
        <v>Provinzial Rundumschutz</v>
      </c>
      <c r="BU114" s="18" t="str">
        <f t="shared" si="6"/>
        <v>R+V PrivatPolice</v>
      </c>
      <c r="BV114" s="18" t="str">
        <f t="shared" si="6"/>
        <v>SLP Prima</v>
      </c>
      <c r="BW114" s="18" t="str">
        <f t="shared" si="6"/>
        <v>SLP Prima Plus</v>
      </c>
      <c r="BX114" s="18" t="str">
        <f t="shared" si="6"/>
        <v>VdVA Classic</v>
      </c>
      <c r="BY114" s="18" t="str">
        <f t="shared" si="6"/>
        <v>VdVA Exclusiv</v>
      </c>
      <c r="BZ114" s="18" t="str">
        <f t="shared" si="6"/>
        <v>VGH Standard</v>
      </c>
      <c r="CA114" s="18" t="str">
        <f>CA1</f>
        <v>VHV Klassik Garant
(Stand 2015-04)</v>
      </c>
      <c r="CB114" s="18" t="str">
        <f>CB1</f>
        <v>VHV Klassik Garant Exkl.
(Stand 2015-04)</v>
      </c>
      <c r="CC114" s="18" t="str">
        <f t="shared" si="6"/>
        <v>VWB Komfort</v>
      </c>
      <c r="CD114" s="18" t="str">
        <f t="shared" ref="CD114:CF114" si="7">CD1</f>
        <v>VWB Komfort Plus</v>
      </c>
      <c r="CE114" s="18" t="str">
        <f t="shared" si="7"/>
        <v>WÜBA Plus</v>
      </c>
      <c r="CF114" s="18" t="str">
        <f t="shared" si="7"/>
        <v>Zurich Maklerkonzept</v>
      </c>
    </row>
    <row r="115" spans="1:84">
      <c r="A115" s="26" t="s">
        <v>8928</v>
      </c>
      <c r="B115" s="195"/>
      <c r="C115" s="60"/>
      <c r="D115" s="60"/>
      <c r="E115" s="60"/>
      <c r="F115" s="60"/>
      <c r="G115" s="60"/>
      <c r="H115" s="60"/>
      <c r="I115" s="292"/>
      <c r="J115" s="60"/>
      <c r="K115" s="292"/>
      <c r="L115" s="292"/>
      <c r="M115" s="60"/>
      <c r="N115" s="292"/>
      <c r="O115" s="60"/>
      <c r="P115" s="292"/>
      <c r="Q115" s="292"/>
      <c r="R115" s="60"/>
      <c r="S115" s="292"/>
      <c r="T115" s="60"/>
      <c r="U115" s="60"/>
      <c r="V115" s="156"/>
      <c r="W115" s="60"/>
      <c r="X115" s="60"/>
      <c r="Y115" s="60"/>
      <c r="Z115" s="60"/>
      <c r="AA115" s="60"/>
      <c r="AB115" s="60"/>
      <c r="AC115" s="60"/>
      <c r="AD115" s="60"/>
      <c r="AE115" s="60"/>
      <c r="AF115" s="60"/>
      <c r="AG115" s="292"/>
      <c r="AH115" s="292"/>
      <c r="AI115" s="292"/>
      <c r="AJ115" s="60"/>
      <c r="AK115" s="60"/>
      <c r="AL115" s="60"/>
      <c r="AM115" s="60"/>
      <c r="AN115" s="60"/>
      <c r="AO115" s="60"/>
      <c r="AP115" s="60"/>
      <c r="AQ115" s="60"/>
      <c r="AR115" s="60"/>
      <c r="AS115" s="60"/>
      <c r="AT115" s="60"/>
      <c r="AU115" s="60"/>
      <c r="AV115" s="60"/>
      <c r="AW115" s="60"/>
      <c r="AX115" s="60"/>
      <c r="AY115" s="60"/>
      <c r="AZ115" s="60"/>
      <c r="BA115" s="60"/>
      <c r="BB115" s="60"/>
      <c r="BC115" s="60"/>
      <c r="BD115" s="292"/>
      <c r="BE115" s="60"/>
      <c r="BF115" s="292"/>
      <c r="BG115" s="60"/>
      <c r="BH115" s="292"/>
      <c r="BI115" s="292"/>
      <c r="BJ115" s="60"/>
      <c r="BK115" s="60"/>
      <c r="BL115" s="60"/>
      <c r="BM115" s="60"/>
      <c r="BN115" s="60"/>
      <c r="BO115" s="60"/>
      <c r="BP115" s="60"/>
      <c r="BQ115" s="60"/>
      <c r="BR115" s="60"/>
      <c r="BS115" s="60"/>
      <c r="BT115" s="60"/>
      <c r="BU115" s="117"/>
      <c r="BV115" s="117"/>
      <c r="BW115" s="60"/>
      <c r="BX115" s="60"/>
      <c r="BY115" s="60"/>
      <c r="BZ115" s="60"/>
      <c r="CA115" s="60"/>
      <c r="CB115" s="60"/>
      <c r="CC115" s="60"/>
      <c r="CD115" s="60"/>
      <c r="CE115" s="60"/>
      <c r="CF115" s="174"/>
    </row>
    <row r="116" spans="1:84" ht="27">
      <c r="A116" s="29" t="s">
        <v>128</v>
      </c>
      <c r="B116" s="200"/>
      <c r="C116" s="36" t="s">
        <v>5217</v>
      </c>
      <c r="D116" s="36" t="s">
        <v>5217</v>
      </c>
      <c r="E116" s="36" t="s">
        <v>5218</v>
      </c>
      <c r="F116" s="36" t="s">
        <v>5218</v>
      </c>
      <c r="G116" s="36" t="s">
        <v>5217</v>
      </c>
      <c r="H116" s="36" t="s">
        <v>5217</v>
      </c>
      <c r="I116" s="36" t="s">
        <v>5217</v>
      </c>
      <c r="J116" s="36" t="s">
        <v>5217</v>
      </c>
      <c r="K116" s="36" t="s">
        <v>5217</v>
      </c>
      <c r="L116" s="36" t="s">
        <v>5217</v>
      </c>
      <c r="M116" s="36" t="s">
        <v>5217</v>
      </c>
      <c r="N116" s="36" t="s">
        <v>5217</v>
      </c>
      <c r="O116" s="36" t="s">
        <v>5217</v>
      </c>
      <c r="P116" s="36" t="s">
        <v>5217</v>
      </c>
      <c r="Q116" s="36" t="s">
        <v>5217</v>
      </c>
      <c r="R116" s="36" t="s">
        <v>5217</v>
      </c>
      <c r="S116" s="36" t="s">
        <v>5217</v>
      </c>
      <c r="T116" s="36" t="s">
        <v>5217</v>
      </c>
      <c r="U116" s="36" t="s">
        <v>5217</v>
      </c>
      <c r="V116" s="145" t="s">
        <v>5726</v>
      </c>
      <c r="W116" s="36" t="s">
        <v>5218</v>
      </c>
      <c r="X116" s="36" t="s">
        <v>5217</v>
      </c>
      <c r="Y116" s="36" t="s">
        <v>5217</v>
      </c>
      <c r="Z116" s="36" t="s">
        <v>5217</v>
      </c>
      <c r="AA116" s="36" t="s">
        <v>5217</v>
      </c>
      <c r="AB116" s="36" t="s">
        <v>5217</v>
      </c>
      <c r="AC116" s="36" t="s">
        <v>5217</v>
      </c>
      <c r="AD116" s="36" t="s">
        <v>5217</v>
      </c>
      <c r="AE116" s="36" t="s">
        <v>5218</v>
      </c>
      <c r="AF116" s="36" t="s">
        <v>5218</v>
      </c>
      <c r="AG116" s="36" t="s">
        <v>6776</v>
      </c>
      <c r="AH116" s="36" t="s">
        <v>6776</v>
      </c>
      <c r="AI116" s="36" t="s">
        <v>6776</v>
      </c>
      <c r="AJ116" s="36" t="s">
        <v>5218</v>
      </c>
      <c r="AK116" s="36" t="s">
        <v>5218</v>
      </c>
      <c r="AL116" s="36" t="s">
        <v>5218</v>
      </c>
      <c r="AM116" s="36" t="s">
        <v>5217</v>
      </c>
      <c r="AN116" s="36" t="s">
        <v>5217</v>
      </c>
      <c r="AO116" s="36" t="s">
        <v>5217</v>
      </c>
      <c r="AP116" s="36" t="s">
        <v>5217</v>
      </c>
      <c r="AQ116" s="36" t="s">
        <v>5217</v>
      </c>
      <c r="AR116" s="36" t="s">
        <v>5218</v>
      </c>
      <c r="AS116" s="36" t="s">
        <v>5217</v>
      </c>
      <c r="AT116" s="36" t="s">
        <v>5217</v>
      </c>
      <c r="AU116" s="36" t="s">
        <v>5217</v>
      </c>
      <c r="AV116" s="36" t="s">
        <v>5218</v>
      </c>
      <c r="AW116" s="36" t="s">
        <v>5218</v>
      </c>
      <c r="AX116" s="36" t="s">
        <v>5217</v>
      </c>
      <c r="AY116" s="36" t="s">
        <v>5217</v>
      </c>
      <c r="AZ116" s="36" t="s">
        <v>5217</v>
      </c>
      <c r="BA116" s="36" t="s">
        <v>5218</v>
      </c>
      <c r="BB116" s="36" t="s">
        <v>600</v>
      </c>
      <c r="BC116" s="36" t="s">
        <v>5217</v>
      </c>
      <c r="BD116" s="36" t="s">
        <v>6776</v>
      </c>
      <c r="BE116" s="36" t="s">
        <v>5217</v>
      </c>
      <c r="BF116" s="36" t="s">
        <v>6776</v>
      </c>
      <c r="BG116" s="36" t="s">
        <v>5217</v>
      </c>
      <c r="BH116" s="36" t="s">
        <v>6776</v>
      </c>
      <c r="BI116" s="36" t="s">
        <v>6776</v>
      </c>
      <c r="BJ116" s="36" t="s">
        <v>5217</v>
      </c>
      <c r="BK116" s="36" t="s">
        <v>600</v>
      </c>
      <c r="BL116" s="36" t="s">
        <v>600</v>
      </c>
      <c r="BM116" s="38" t="s">
        <v>0</v>
      </c>
      <c r="BN116" s="36" t="s">
        <v>5217</v>
      </c>
      <c r="BO116" s="36"/>
      <c r="BP116" s="36" t="s">
        <v>5217</v>
      </c>
      <c r="BQ116" s="36" t="s">
        <v>5217</v>
      </c>
      <c r="BR116" s="36" t="s">
        <v>5217</v>
      </c>
      <c r="BS116" s="36" t="s">
        <v>5217</v>
      </c>
      <c r="BT116" s="36" t="s">
        <v>5217</v>
      </c>
      <c r="BU116" s="36" t="s">
        <v>5217</v>
      </c>
      <c r="BV116" s="36" t="s">
        <v>5217</v>
      </c>
      <c r="BW116" s="36" t="s">
        <v>5217</v>
      </c>
      <c r="BX116" s="36" t="s">
        <v>5218</v>
      </c>
      <c r="BY116" s="36" t="s">
        <v>5218</v>
      </c>
      <c r="BZ116" s="36" t="s">
        <v>5218</v>
      </c>
      <c r="CA116" s="36" t="s">
        <v>5217</v>
      </c>
      <c r="CB116" s="36" t="s">
        <v>5217</v>
      </c>
      <c r="CC116" s="36" t="s">
        <v>5217</v>
      </c>
      <c r="CD116" s="36" t="s">
        <v>5217</v>
      </c>
      <c r="CE116" s="36" t="s">
        <v>5217</v>
      </c>
      <c r="CF116" s="36" t="s">
        <v>5218</v>
      </c>
    </row>
    <row r="117" spans="1:84">
      <c r="A117" s="51" t="s">
        <v>935</v>
      </c>
      <c r="B117" s="51"/>
      <c r="C117" s="52" t="s">
        <v>1664</v>
      </c>
      <c r="D117" s="52" t="s">
        <v>1664</v>
      </c>
      <c r="E117" s="52" t="s">
        <v>2778</v>
      </c>
      <c r="F117" s="52" t="s">
        <v>2778</v>
      </c>
      <c r="G117" s="52" t="s">
        <v>1452</v>
      </c>
      <c r="H117" s="52" t="s">
        <v>1452</v>
      </c>
      <c r="I117" s="52" t="s">
        <v>8161</v>
      </c>
      <c r="J117" s="52" t="s">
        <v>1664</v>
      </c>
      <c r="K117" s="52" t="s">
        <v>8161</v>
      </c>
      <c r="L117" s="52" t="s">
        <v>8161</v>
      </c>
      <c r="M117" s="52" t="s">
        <v>1664</v>
      </c>
      <c r="N117" s="52" t="s">
        <v>8161</v>
      </c>
      <c r="O117" s="52" t="s">
        <v>1664</v>
      </c>
      <c r="P117" s="52" t="s">
        <v>8161</v>
      </c>
      <c r="Q117" s="52" t="s">
        <v>8161</v>
      </c>
      <c r="R117" s="52" t="s">
        <v>1664</v>
      </c>
      <c r="S117" s="52" t="s">
        <v>8161</v>
      </c>
      <c r="T117" s="52" t="s">
        <v>5591</v>
      </c>
      <c r="U117" s="52" t="s">
        <v>5591</v>
      </c>
      <c r="V117" s="84"/>
      <c r="W117" s="52" t="s">
        <v>3979</v>
      </c>
      <c r="X117" s="52" t="s">
        <v>6440</v>
      </c>
      <c r="Y117" s="52" t="s">
        <v>2398</v>
      </c>
      <c r="Z117" s="52" t="s">
        <v>2398</v>
      </c>
      <c r="AA117" s="52" t="s">
        <v>2398</v>
      </c>
      <c r="AB117" s="52" t="s">
        <v>4708</v>
      </c>
      <c r="AC117" s="52" t="s">
        <v>4708</v>
      </c>
      <c r="AD117" s="52" t="s">
        <v>4708</v>
      </c>
      <c r="AE117" s="52" t="s">
        <v>6069</v>
      </c>
      <c r="AF117" s="52" t="s">
        <v>6069</v>
      </c>
      <c r="AG117" s="186" t="s">
        <v>7036</v>
      </c>
      <c r="AH117" s="186" t="s">
        <v>7036</v>
      </c>
      <c r="AI117" s="186" t="s">
        <v>7036</v>
      </c>
      <c r="AJ117" s="52" t="s">
        <v>6108</v>
      </c>
      <c r="AK117" s="52" t="s">
        <v>1910</v>
      </c>
      <c r="AL117" s="52" t="s">
        <v>1910</v>
      </c>
      <c r="AM117" s="52" t="s">
        <v>4976</v>
      </c>
      <c r="AN117" s="52" t="s">
        <v>4976</v>
      </c>
      <c r="AO117" s="52" t="s">
        <v>4240</v>
      </c>
      <c r="AP117" s="52" t="s">
        <v>2607</v>
      </c>
      <c r="AQ117" s="52" t="s">
        <v>2607</v>
      </c>
      <c r="AR117" s="52"/>
      <c r="AS117" s="52" t="s">
        <v>2021</v>
      </c>
      <c r="AT117" s="52" t="s">
        <v>2021</v>
      </c>
      <c r="AU117" s="52" t="s">
        <v>2021</v>
      </c>
      <c r="AV117" s="52" t="s">
        <v>4325</v>
      </c>
      <c r="AW117" s="52" t="s">
        <v>4325</v>
      </c>
      <c r="AX117" s="52" t="s">
        <v>1369</v>
      </c>
      <c r="AY117" s="52" t="s">
        <v>1369</v>
      </c>
      <c r="AZ117" s="52" t="s">
        <v>3697</v>
      </c>
      <c r="BA117" s="52" t="s">
        <v>3613</v>
      </c>
      <c r="BB117" s="52" t="s">
        <v>3515</v>
      </c>
      <c r="BC117" s="52" t="s">
        <v>4976</v>
      </c>
      <c r="BD117" s="52" t="s">
        <v>7603</v>
      </c>
      <c r="BE117" s="52" t="s">
        <v>4976</v>
      </c>
      <c r="BF117" s="52" t="s">
        <v>7603</v>
      </c>
      <c r="BG117" s="52" t="s">
        <v>4976</v>
      </c>
      <c r="BH117" s="52" t="s">
        <v>7603</v>
      </c>
      <c r="BI117" s="52" t="s">
        <v>7603</v>
      </c>
      <c r="BJ117" s="52" t="s">
        <v>4976</v>
      </c>
      <c r="BK117" s="52"/>
      <c r="BL117" s="52"/>
      <c r="BM117" s="52" t="s">
        <v>0</v>
      </c>
      <c r="BN117" s="52" t="s">
        <v>2289</v>
      </c>
      <c r="BO117" s="52"/>
      <c r="BP117" s="52" t="s">
        <v>2289</v>
      </c>
      <c r="BQ117" s="52" t="s">
        <v>2289</v>
      </c>
      <c r="BR117" s="52" t="s">
        <v>2717</v>
      </c>
      <c r="BS117" s="52" t="s">
        <v>2717</v>
      </c>
      <c r="BT117" s="52" t="s">
        <v>2717</v>
      </c>
      <c r="BU117" s="84" t="s">
        <v>2850</v>
      </c>
      <c r="BV117" s="84"/>
      <c r="BW117" s="52"/>
      <c r="BX117" s="52" t="s">
        <v>3923</v>
      </c>
      <c r="BY117" s="52" t="s">
        <v>3812</v>
      </c>
      <c r="BZ117" s="52" t="s">
        <v>6211</v>
      </c>
      <c r="CA117" s="52" t="s">
        <v>3163</v>
      </c>
      <c r="CB117" s="52" t="s">
        <v>3163</v>
      </c>
      <c r="CC117" s="52"/>
      <c r="CD117" s="52"/>
      <c r="CE117" s="52" t="s">
        <v>3250</v>
      </c>
      <c r="CF117" s="52" t="s">
        <v>2190</v>
      </c>
    </row>
    <row r="118" spans="1:84">
      <c r="A118" s="6" t="s">
        <v>130</v>
      </c>
      <c r="B118" s="200"/>
      <c r="C118" s="38" t="s">
        <v>57</v>
      </c>
      <c r="D118" s="38" t="s">
        <v>57</v>
      </c>
      <c r="E118" s="38" t="s">
        <v>57</v>
      </c>
      <c r="F118" s="38" t="s">
        <v>57</v>
      </c>
      <c r="G118" s="38" t="s">
        <v>57</v>
      </c>
      <c r="H118" s="38" t="s">
        <v>57</v>
      </c>
      <c r="I118" s="38" t="s">
        <v>57</v>
      </c>
      <c r="J118" s="38" t="s">
        <v>57</v>
      </c>
      <c r="K118" s="38" t="s">
        <v>57</v>
      </c>
      <c r="L118" s="38" t="s">
        <v>57</v>
      </c>
      <c r="M118" s="38" t="s">
        <v>57</v>
      </c>
      <c r="N118" s="38" t="s">
        <v>57</v>
      </c>
      <c r="O118" s="38" t="s">
        <v>57</v>
      </c>
      <c r="P118" s="38" t="s">
        <v>57</v>
      </c>
      <c r="Q118" s="38" t="s">
        <v>57</v>
      </c>
      <c r="R118" s="38" t="s">
        <v>57</v>
      </c>
      <c r="S118" s="38" t="s">
        <v>57</v>
      </c>
      <c r="T118" s="38" t="s">
        <v>57</v>
      </c>
      <c r="U118" s="38" t="s">
        <v>57</v>
      </c>
      <c r="V118" s="145" t="s">
        <v>57</v>
      </c>
      <c r="W118" s="38" t="s">
        <v>57</v>
      </c>
      <c r="X118" s="38" t="s">
        <v>57</v>
      </c>
      <c r="Y118" s="38" t="s">
        <v>57</v>
      </c>
      <c r="Z118" s="38" t="s">
        <v>57</v>
      </c>
      <c r="AA118" s="38" t="s">
        <v>57</v>
      </c>
      <c r="AB118" s="38" t="s">
        <v>57</v>
      </c>
      <c r="AC118" s="38" t="s">
        <v>57</v>
      </c>
      <c r="AD118" s="38" t="s">
        <v>57</v>
      </c>
      <c r="AE118" s="7" t="s">
        <v>57</v>
      </c>
      <c r="AF118" s="7" t="s">
        <v>57</v>
      </c>
      <c r="AG118" s="38" t="s">
        <v>57</v>
      </c>
      <c r="AH118" s="38" t="s">
        <v>57</v>
      </c>
      <c r="AI118" s="38" t="s">
        <v>57</v>
      </c>
      <c r="AJ118" s="34" t="s">
        <v>57</v>
      </c>
      <c r="AK118" s="7" t="s">
        <v>57</v>
      </c>
      <c r="AL118" s="7" t="s">
        <v>57</v>
      </c>
      <c r="AM118" s="38" t="s">
        <v>57</v>
      </c>
      <c r="AN118" s="38" t="s">
        <v>57</v>
      </c>
      <c r="AO118" s="38" t="s">
        <v>57</v>
      </c>
      <c r="AP118" s="38" t="s">
        <v>57</v>
      </c>
      <c r="AQ118" s="38" t="s">
        <v>57</v>
      </c>
      <c r="AR118" s="38" t="s">
        <v>57</v>
      </c>
      <c r="AS118" s="38" t="s">
        <v>57</v>
      </c>
      <c r="AT118" s="38" t="s">
        <v>57</v>
      </c>
      <c r="AU118" s="38" t="s">
        <v>57</v>
      </c>
      <c r="AV118" s="38" t="s">
        <v>57</v>
      </c>
      <c r="AW118" s="38" t="s">
        <v>57</v>
      </c>
      <c r="AX118" s="38" t="s">
        <v>57</v>
      </c>
      <c r="AY118" s="38" t="s">
        <v>57</v>
      </c>
      <c r="AZ118" s="38" t="s">
        <v>57</v>
      </c>
      <c r="BA118" s="38" t="s">
        <v>57</v>
      </c>
      <c r="BB118" s="38" t="s">
        <v>57</v>
      </c>
      <c r="BC118" s="38" t="s">
        <v>57</v>
      </c>
      <c r="BD118" s="38" t="s">
        <v>57</v>
      </c>
      <c r="BE118" s="38" t="s">
        <v>57</v>
      </c>
      <c r="BF118" s="38" t="s">
        <v>57</v>
      </c>
      <c r="BG118" s="38" t="s">
        <v>57</v>
      </c>
      <c r="BH118" s="38" t="s">
        <v>57</v>
      </c>
      <c r="BI118" s="38" t="s">
        <v>57</v>
      </c>
      <c r="BJ118" s="38" t="s">
        <v>57</v>
      </c>
      <c r="BK118" s="38" t="s">
        <v>57</v>
      </c>
      <c r="BL118" s="36" t="s">
        <v>57</v>
      </c>
      <c r="BM118" s="38" t="s">
        <v>0</v>
      </c>
      <c r="BN118" s="38" t="s">
        <v>57</v>
      </c>
      <c r="BO118" s="38"/>
      <c r="BP118" s="38" t="s">
        <v>57</v>
      </c>
      <c r="BQ118" s="38" t="s">
        <v>57</v>
      </c>
      <c r="BR118" s="38" t="s">
        <v>57</v>
      </c>
      <c r="BS118" s="38" t="s">
        <v>57</v>
      </c>
      <c r="BT118" s="38" t="s">
        <v>57</v>
      </c>
      <c r="BU118" s="36" t="s">
        <v>57</v>
      </c>
      <c r="BV118" s="36" t="s">
        <v>57</v>
      </c>
      <c r="BW118" s="38" t="s">
        <v>57</v>
      </c>
      <c r="BX118" s="38" t="s">
        <v>57</v>
      </c>
      <c r="BY118" s="38" t="s">
        <v>57</v>
      </c>
      <c r="BZ118" s="38" t="s">
        <v>57</v>
      </c>
      <c r="CA118" s="38" t="s">
        <v>57</v>
      </c>
      <c r="CB118" s="38" t="s">
        <v>57</v>
      </c>
      <c r="CC118" s="38" t="s">
        <v>57</v>
      </c>
      <c r="CD118" s="38" t="s">
        <v>57</v>
      </c>
      <c r="CE118" s="38" t="s">
        <v>57</v>
      </c>
      <c r="CF118" s="38" t="s">
        <v>57</v>
      </c>
    </row>
    <row r="119" spans="1:84">
      <c r="A119" s="51" t="s">
        <v>935</v>
      </c>
      <c r="B119" s="51"/>
      <c r="C119" s="52" t="s">
        <v>1664</v>
      </c>
      <c r="D119" s="52" t="s">
        <v>1664</v>
      </c>
      <c r="E119" s="52" t="s">
        <v>2778</v>
      </c>
      <c r="F119" s="52" t="s">
        <v>2778</v>
      </c>
      <c r="G119" s="52" t="s">
        <v>1452</v>
      </c>
      <c r="H119" s="52" t="s">
        <v>1452</v>
      </c>
      <c r="I119" s="52" t="s">
        <v>8161</v>
      </c>
      <c r="J119" s="52" t="s">
        <v>1664</v>
      </c>
      <c r="K119" s="52" t="s">
        <v>8161</v>
      </c>
      <c r="L119" s="52" t="s">
        <v>8161</v>
      </c>
      <c r="M119" s="52" t="s">
        <v>1664</v>
      </c>
      <c r="N119" s="52" t="s">
        <v>8161</v>
      </c>
      <c r="O119" s="52" t="s">
        <v>1664</v>
      </c>
      <c r="P119" s="52" t="s">
        <v>8161</v>
      </c>
      <c r="Q119" s="52" t="s">
        <v>8161</v>
      </c>
      <c r="R119" s="52" t="s">
        <v>1664</v>
      </c>
      <c r="S119" s="52" t="s">
        <v>8161</v>
      </c>
      <c r="T119" s="52" t="s">
        <v>5591</v>
      </c>
      <c r="U119" s="52" t="s">
        <v>5591</v>
      </c>
      <c r="V119" s="84"/>
      <c r="W119" s="52" t="s">
        <v>3980</v>
      </c>
      <c r="X119" s="52" t="s">
        <v>6440</v>
      </c>
      <c r="Y119" s="52" t="s">
        <v>2398</v>
      </c>
      <c r="Z119" s="52" t="s">
        <v>2398</v>
      </c>
      <c r="AA119" s="52" t="s">
        <v>2398</v>
      </c>
      <c r="AB119" s="52" t="s">
        <v>4708</v>
      </c>
      <c r="AC119" s="52" t="s">
        <v>4708</v>
      </c>
      <c r="AD119" s="52" t="s">
        <v>4708</v>
      </c>
      <c r="AE119" s="52" t="s">
        <v>6014</v>
      </c>
      <c r="AF119" s="52" t="s">
        <v>6014</v>
      </c>
      <c r="AG119" s="186" t="s">
        <v>7035</v>
      </c>
      <c r="AH119" s="186" t="s">
        <v>7035</v>
      </c>
      <c r="AI119" s="186" t="s">
        <v>7035</v>
      </c>
      <c r="AJ119" s="52" t="s">
        <v>6108</v>
      </c>
      <c r="AK119" s="52" t="s">
        <v>1909</v>
      </c>
      <c r="AL119" s="52" t="s">
        <v>1909</v>
      </c>
      <c r="AM119" s="52" t="s">
        <v>5462</v>
      </c>
      <c r="AN119" s="52" t="s">
        <v>5462</v>
      </c>
      <c r="AO119" s="52" t="s">
        <v>4241</v>
      </c>
      <c r="AP119" s="52" t="s">
        <v>6337</v>
      </c>
      <c r="AQ119" s="52" t="s">
        <v>6337</v>
      </c>
      <c r="AR119" s="52"/>
      <c r="AS119" s="52" t="s">
        <v>2022</v>
      </c>
      <c r="AT119" s="52" t="s">
        <v>2022</v>
      </c>
      <c r="AU119" s="52" t="s">
        <v>2022</v>
      </c>
      <c r="AV119" s="52" t="s">
        <v>4320</v>
      </c>
      <c r="AW119" s="52" t="s">
        <v>4320</v>
      </c>
      <c r="AX119" s="52" t="s">
        <v>1369</v>
      </c>
      <c r="AY119" s="52" t="s">
        <v>1369</v>
      </c>
      <c r="AZ119" s="52" t="s">
        <v>3708</v>
      </c>
      <c r="BA119" s="52" t="s">
        <v>3699</v>
      </c>
      <c r="BB119" s="52" t="s">
        <v>4508</v>
      </c>
      <c r="BC119" s="52" t="s">
        <v>4976</v>
      </c>
      <c r="BD119" s="52" t="s">
        <v>7603</v>
      </c>
      <c r="BE119" s="52" t="s">
        <v>4976</v>
      </c>
      <c r="BF119" s="52" t="s">
        <v>7603</v>
      </c>
      <c r="BG119" s="52" t="s">
        <v>4976</v>
      </c>
      <c r="BH119" s="52" t="s">
        <v>7603</v>
      </c>
      <c r="BI119" s="52" t="s">
        <v>7603</v>
      </c>
      <c r="BJ119" s="52" t="s">
        <v>4976</v>
      </c>
      <c r="BK119" s="52"/>
      <c r="BL119" s="52"/>
      <c r="BM119" s="52" t="s">
        <v>0</v>
      </c>
      <c r="BN119" s="52" t="s">
        <v>2289</v>
      </c>
      <c r="BO119" s="52"/>
      <c r="BP119" s="52" t="s">
        <v>2289</v>
      </c>
      <c r="BQ119" s="52" t="s">
        <v>2289</v>
      </c>
      <c r="BR119" s="52" t="s">
        <v>2718</v>
      </c>
      <c r="BS119" s="52" t="s">
        <v>2718</v>
      </c>
      <c r="BT119" s="52" t="s">
        <v>2718</v>
      </c>
      <c r="BU119" s="84" t="s">
        <v>2851</v>
      </c>
      <c r="BV119" s="84"/>
      <c r="BW119" s="52"/>
      <c r="BX119" s="52" t="s">
        <v>3924</v>
      </c>
      <c r="BY119" s="52" t="s">
        <v>3807</v>
      </c>
      <c r="BZ119" s="52" t="s">
        <v>6204</v>
      </c>
      <c r="CA119" s="52" t="s">
        <v>3163</v>
      </c>
      <c r="CB119" s="52" t="s">
        <v>3163</v>
      </c>
      <c r="CC119" s="52"/>
      <c r="CD119" s="52"/>
      <c r="CE119" s="52" t="s">
        <v>3250</v>
      </c>
      <c r="CF119" s="52" t="s">
        <v>2191</v>
      </c>
    </row>
    <row r="120" spans="1:84" ht="18">
      <c r="A120" s="181" t="s">
        <v>6773</v>
      </c>
      <c r="B120" s="200"/>
      <c r="C120" s="214" t="s">
        <v>57</v>
      </c>
      <c r="D120" s="214" t="s">
        <v>57</v>
      </c>
      <c r="E120" s="214" t="s">
        <v>57</v>
      </c>
      <c r="F120" s="214" t="s">
        <v>57</v>
      </c>
      <c r="G120" s="214" t="s">
        <v>57</v>
      </c>
      <c r="H120" s="214" t="s">
        <v>57</v>
      </c>
      <c r="I120" s="38" t="s">
        <v>57</v>
      </c>
      <c r="J120" s="214" t="s">
        <v>57</v>
      </c>
      <c r="K120" s="38" t="s">
        <v>57</v>
      </c>
      <c r="L120" s="38" t="s">
        <v>57</v>
      </c>
      <c r="M120" s="214" t="s">
        <v>57</v>
      </c>
      <c r="N120" s="38" t="s">
        <v>57</v>
      </c>
      <c r="O120" s="214" t="s">
        <v>57</v>
      </c>
      <c r="P120" s="38" t="s">
        <v>57</v>
      </c>
      <c r="Q120" s="38" t="s">
        <v>57</v>
      </c>
      <c r="R120" s="214" t="s">
        <v>57</v>
      </c>
      <c r="S120" s="38" t="s">
        <v>57</v>
      </c>
      <c r="T120" s="214" t="s">
        <v>57</v>
      </c>
      <c r="U120" s="214" t="s">
        <v>57</v>
      </c>
      <c r="V120" s="217" t="s">
        <v>57</v>
      </c>
      <c r="W120" s="214" t="s">
        <v>57</v>
      </c>
      <c r="X120" s="214" t="s">
        <v>57</v>
      </c>
      <c r="Y120" s="214" t="s">
        <v>57</v>
      </c>
      <c r="Z120" s="214" t="s">
        <v>57</v>
      </c>
      <c r="AA120" s="214" t="s">
        <v>57</v>
      </c>
      <c r="AB120" s="214" t="s">
        <v>57</v>
      </c>
      <c r="AC120" s="214" t="s">
        <v>57</v>
      </c>
      <c r="AD120" s="214" t="s">
        <v>57</v>
      </c>
      <c r="AE120" s="213" t="s">
        <v>57</v>
      </c>
      <c r="AF120" s="213" t="s">
        <v>57</v>
      </c>
      <c r="AG120" s="38" t="s">
        <v>57</v>
      </c>
      <c r="AH120" s="38" t="s">
        <v>57</v>
      </c>
      <c r="AI120" s="38" t="s">
        <v>57</v>
      </c>
      <c r="AJ120" s="218" t="s">
        <v>57</v>
      </c>
      <c r="AK120" s="213" t="s">
        <v>57</v>
      </c>
      <c r="AL120" s="213" t="s">
        <v>57</v>
      </c>
      <c r="AM120" s="214" t="s">
        <v>57</v>
      </c>
      <c r="AN120" s="214" t="s">
        <v>57</v>
      </c>
      <c r="AO120" s="214" t="s">
        <v>57</v>
      </c>
      <c r="AP120" s="214" t="s">
        <v>57</v>
      </c>
      <c r="AQ120" s="214" t="s">
        <v>57</v>
      </c>
      <c r="AR120" s="214" t="s">
        <v>57</v>
      </c>
      <c r="AS120" s="214" t="s">
        <v>57</v>
      </c>
      <c r="AT120" s="214" t="s">
        <v>57</v>
      </c>
      <c r="AU120" s="214" t="s">
        <v>57</v>
      </c>
      <c r="AV120" s="214" t="s">
        <v>57</v>
      </c>
      <c r="AW120" s="214" t="s">
        <v>57</v>
      </c>
      <c r="AX120" s="214" t="s">
        <v>57</v>
      </c>
      <c r="AY120" s="214" t="s">
        <v>57</v>
      </c>
      <c r="AZ120" s="214" t="s">
        <v>57</v>
      </c>
      <c r="BA120" s="214" t="s">
        <v>57</v>
      </c>
      <c r="BB120" s="214" t="s">
        <v>57</v>
      </c>
      <c r="BC120" s="214" t="s">
        <v>57</v>
      </c>
      <c r="BD120" s="38" t="s">
        <v>57</v>
      </c>
      <c r="BE120" s="214" t="s">
        <v>57</v>
      </c>
      <c r="BF120" s="38" t="s">
        <v>57</v>
      </c>
      <c r="BG120" s="214" t="s">
        <v>57</v>
      </c>
      <c r="BH120" s="38" t="s">
        <v>57</v>
      </c>
      <c r="BI120" s="38" t="s">
        <v>57</v>
      </c>
      <c r="BJ120" s="214" t="s">
        <v>57</v>
      </c>
      <c r="BK120" s="214" t="s">
        <v>57</v>
      </c>
      <c r="BL120" s="212" t="s">
        <v>57</v>
      </c>
      <c r="BM120" s="214" t="s">
        <v>0</v>
      </c>
      <c r="BN120" s="214" t="s">
        <v>57</v>
      </c>
      <c r="BO120" s="214"/>
      <c r="BP120" s="214" t="s">
        <v>57</v>
      </c>
      <c r="BQ120" s="214" t="s">
        <v>57</v>
      </c>
      <c r="BR120" s="214" t="s">
        <v>57</v>
      </c>
      <c r="BS120" s="214" t="s">
        <v>57</v>
      </c>
      <c r="BT120" s="214" t="s">
        <v>57</v>
      </c>
      <c r="BU120" s="212" t="s">
        <v>57</v>
      </c>
      <c r="BV120" s="212" t="s">
        <v>57</v>
      </c>
      <c r="BW120" s="214" t="s">
        <v>57</v>
      </c>
      <c r="BX120" s="214" t="s">
        <v>57</v>
      </c>
      <c r="BY120" s="214" t="s">
        <v>57</v>
      </c>
      <c r="BZ120" s="214" t="s">
        <v>57</v>
      </c>
      <c r="CA120" s="214" t="s">
        <v>57</v>
      </c>
      <c r="CB120" s="214" t="s">
        <v>57</v>
      </c>
      <c r="CC120" s="214" t="s">
        <v>57</v>
      </c>
      <c r="CD120" s="214" t="s">
        <v>57</v>
      </c>
      <c r="CE120" s="214" t="s">
        <v>57</v>
      </c>
      <c r="CF120" s="214" t="s">
        <v>57</v>
      </c>
    </row>
    <row r="121" spans="1:84">
      <c r="A121" s="51" t="s">
        <v>935</v>
      </c>
      <c r="B121" s="51"/>
      <c r="C121" s="52" t="s">
        <v>1664</v>
      </c>
      <c r="D121" s="52" t="s">
        <v>1664</v>
      </c>
      <c r="E121" s="52" t="s">
        <v>2778</v>
      </c>
      <c r="F121" s="52" t="s">
        <v>2778</v>
      </c>
      <c r="G121" s="52" t="s">
        <v>1452</v>
      </c>
      <c r="H121" s="52" t="s">
        <v>1452</v>
      </c>
      <c r="I121" s="52" t="s">
        <v>8161</v>
      </c>
      <c r="J121" s="52" t="s">
        <v>1664</v>
      </c>
      <c r="K121" s="52" t="s">
        <v>8161</v>
      </c>
      <c r="L121" s="52" t="s">
        <v>8161</v>
      </c>
      <c r="M121" s="52" t="s">
        <v>1664</v>
      </c>
      <c r="N121" s="52" t="s">
        <v>8161</v>
      </c>
      <c r="O121" s="52" t="s">
        <v>1664</v>
      </c>
      <c r="P121" s="52" t="s">
        <v>8161</v>
      </c>
      <c r="Q121" s="52" t="s">
        <v>8161</v>
      </c>
      <c r="R121" s="52" t="s">
        <v>1664</v>
      </c>
      <c r="S121" s="52" t="s">
        <v>8161</v>
      </c>
      <c r="T121" s="52" t="s">
        <v>5591</v>
      </c>
      <c r="U121" s="52" t="s">
        <v>5591</v>
      </c>
      <c r="V121" s="84"/>
      <c r="W121" s="52" t="s">
        <v>3981</v>
      </c>
      <c r="X121" s="52" t="s">
        <v>6440</v>
      </c>
      <c r="Y121" s="52" t="s">
        <v>2398</v>
      </c>
      <c r="Z121" s="52" t="s">
        <v>2398</v>
      </c>
      <c r="AA121" s="52" t="s">
        <v>2398</v>
      </c>
      <c r="AB121" s="52" t="s">
        <v>4708</v>
      </c>
      <c r="AC121" s="52" t="s">
        <v>4708</v>
      </c>
      <c r="AD121" s="52" t="s">
        <v>4708</v>
      </c>
      <c r="AE121" s="52" t="s">
        <v>6015</v>
      </c>
      <c r="AF121" s="52" t="s">
        <v>6015</v>
      </c>
      <c r="AG121" s="186" t="s">
        <v>7034</v>
      </c>
      <c r="AH121" s="186" t="s">
        <v>7034</v>
      </c>
      <c r="AI121" s="186" t="s">
        <v>7034</v>
      </c>
      <c r="AJ121" s="52" t="s">
        <v>6108</v>
      </c>
      <c r="AK121" s="52" t="s">
        <v>1909</v>
      </c>
      <c r="AL121" s="52" t="s">
        <v>1909</v>
      </c>
      <c r="AM121" s="52" t="s">
        <v>5461</v>
      </c>
      <c r="AN121" s="52" t="s">
        <v>5461</v>
      </c>
      <c r="AO121" s="52" t="s">
        <v>4242</v>
      </c>
      <c r="AP121" s="52" t="s">
        <v>2607</v>
      </c>
      <c r="AQ121" s="52" t="s">
        <v>2607</v>
      </c>
      <c r="AR121" s="52"/>
      <c r="AS121" s="52" t="s">
        <v>2022</v>
      </c>
      <c r="AT121" s="52" t="s">
        <v>2022</v>
      </c>
      <c r="AU121" s="52" t="s">
        <v>2022</v>
      </c>
      <c r="AV121" s="52" t="s">
        <v>4321</v>
      </c>
      <c r="AW121" s="52" t="s">
        <v>4321</v>
      </c>
      <c r="AX121" s="52" t="s">
        <v>1369</v>
      </c>
      <c r="AY121" s="52" t="s">
        <v>1369</v>
      </c>
      <c r="AZ121" s="52" t="s">
        <v>3709</v>
      </c>
      <c r="BA121" s="52" t="s">
        <v>3707</v>
      </c>
      <c r="BB121" s="52" t="s">
        <v>4509</v>
      </c>
      <c r="BC121" s="52" t="s">
        <v>4976</v>
      </c>
      <c r="BD121" s="52" t="s">
        <v>7603</v>
      </c>
      <c r="BE121" s="52" t="s">
        <v>4976</v>
      </c>
      <c r="BF121" s="52" t="s">
        <v>7603</v>
      </c>
      <c r="BG121" s="52" t="s">
        <v>4976</v>
      </c>
      <c r="BH121" s="52" t="s">
        <v>7603</v>
      </c>
      <c r="BI121" s="52" t="s">
        <v>7603</v>
      </c>
      <c r="BJ121" s="52" t="s">
        <v>4976</v>
      </c>
      <c r="BK121" s="52"/>
      <c r="BL121" s="52"/>
      <c r="BM121" s="52" t="s">
        <v>0</v>
      </c>
      <c r="BN121" s="52" t="s">
        <v>2289</v>
      </c>
      <c r="BO121" s="52"/>
      <c r="BP121" s="52" t="s">
        <v>2289</v>
      </c>
      <c r="BQ121" s="52" t="s">
        <v>2289</v>
      </c>
      <c r="BR121" s="52" t="s">
        <v>2718</v>
      </c>
      <c r="BS121" s="52" t="s">
        <v>2718</v>
      </c>
      <c r="BT121" s="52" t="s">
        <v>2718</v>
      </c>
      <c r="BU121" s="84" t="s">
        <v>2851</v>
      </c>
      <c r="BV121" s="84"/>
      <c r="BW121" s="52"/>
      <c r="BX121" s="52" t="s">
        <v>3925</v>
      </c>
      <c r="BY121" s="52" t="s">
        <v>3808</v>
      </c>
      <c r="BZ121" s="52" t="s">
        <v>6205</v>
      </c>
      <c r="CA121" s="52" t="s">
        <v>3163</v>
      </c>
      <c r="CB121" s="52" t="s">
        <v>3163</v>
      </c>
      <c r="CC121" s="52"/>
      <c r="CD121" s="52"/>
      <c r="CE121" s="52" t="s">
        <v>3250</v>
      </c>
      <c r="CF121" s="52" t="s">
        <v>2192</v>
      </c>
    </row>
    <row r="122" spans="1:84" ht="18">
      <c r="A122" s="181" t="s">
        <v>6774</v>
      </c>
      <c r="B122" s="200" t="s">
        <v>7004</v>
      </c>
      <c r="C122" s="214" t="s">
        <v>57</v>
      </c>
      <c r="D122" s="214" t="s">
        <v>57</v>
      </c>
      <c r="E122" s="214" t="s">
        <v>57</v>
      </c>
      <c r="F122" s="214" t="s">
        <v>57</v>
      </c>
      <c r="G122" s="214" t="s">
        <v>57</v>
      </c>
      <c r="H122" s="214" t="s">
        <v>57</v>
      </c>
      <c r="I122" s="38" t="s">
        <v>57</v>
      </c>
      <c r="J122" s="214" t="s">
        <v>57</v>
      </c>
      <c r="K122" s="38" t="s">
        <v>57</v>
      </c>
      <c r="L122" s="38" t="s">
        <v>57</v>
      </c>
      <c r="M122" s="214" t="s">
        <v>57</v>
      </c>
      <c r="N122" s="38" t="s">
        <v>57</v>
      </c>
      <c r="O122" s="214" t="s">
        <v>57</v>
      </c>
      <c r="P122" s="38" t="s">
        <v>57</v>
      </c>
      <c r="Q122" s="38" t="s">
        <v>57</v>
      </c>
      <c r="R122" s="214" t="s">
        <v>57</v>
      </c>
      <c r="S122" s="38" t="s">
        <v>57</v>
      </c>
      <c r="T122" s="214" t="s">
        <v>57</v>
      </c>
      <c r="U122" s="214" t="s">
        <v>57</v>
      </c>
      <c r="V122" s="217" t="s">
        <v>57</v>
      </c>
      <c r="W122" s="214" t="s">
        <v>57</v>
      </c>
      <c r="X122" s="214" t="s">
        <v>57</v>
      </c>
      <c r="Y122" s="214" t="s">
        <v>57</v>
      </c>
      <c r="Z122" s="214" t="s">
        <v>57</v>
      </c>
      <c r="AA122" s="214" t="s">
        <v>57</v>
      </c>
      <c r="AB122" s="214" t="s">
        <v>57</v>
      </c>
      <c r="AC122" s="214" t="s">
        <v>57</v>
      </c>
      <c r="AD122" s="214" t="s">
        <v>57</v>
      </c>
      <c r="AE122" s="213" t="s">
        <v>57</v>
      </c>
      <c r="AF122" s="213" t="s">
        <v>57</v>
      </c>
      <c r="AG122" s="38" t="s">
        <v>57</v>
      </c>
      <c r="AH122" s="38" t="s">
        <v>57</v>
      </c>
      <c r="AI122" s="38" t="s">
        <v>57</v>
      </c>
      <c r="AJ122" s="218" t="s">
        <v>57</v>
      </c>
      <c r="AK122" s="213" t="s">
        <v>57</v>
      </c>
      <c r="AL122" s="213" t="s">
        <v>57</v>
      </c>
      <c r="AM122" s="214" t="s">
        <v>57</v>
      </c>
      <c r="AN122" s="214" t="s">
        <v>57</v>
      </c>
      <c r="AO122" s="214" t="s">
        <v>57</v>
      </c>
      <c r="AP122" s="214" t="s">
        <v>57</v>
      </c>
      <c r="AQ122" s="214" t="s">
        <v>57</v>
      </c>
      <c r="AR122" s="214" t="s">
        <v>57</v>
      </c>
      <c r="AS122" s="214" t="s">
        <v>57</v>
      </c>
      <c r="AT122" s="214" t="s">
        <v>57</v>
      </c>
      <c r="AU122" s="214" t="s">
        <v>57</v>
      </c>
      <c r="AV122" s="214" t="s">
        <v>57</v>
      </c>
      <c r="AW122" s="214" t="s">
        <v>57</v>
      </c>
      <c r="AX122" s="214" t="s">
        <v>57</v>
      </c>
      <c r="AY122" s="214" t="s">
        <v>57</v>
      </c>
      <c r="AZ122" s="214" t="s">
        <v>57</v>
      </c>
      <c r="BA122" s="214" t="s">
        <v>57</v>
      </c>
      <c r="BB122" s="214" t="s">
        <v>57</v>
      </c>
      <c r="BC122" s="214" t="s">
        <v>57</v>
      </c>
      <c r="BD122" s="38" t="s">
        <v>57</v>
      </c>
      <c r="BE122" s="214" t="s">
        <v>57</v>
      </c>
      <c r="BF122" s="38" t="s">
        <v>57</v>
      </c>
      <c r="BG122" s="214" t="s">
        <v>57</v>
      </c>
      <c r="BH122" s="38" t="s">
        <v>57</v>
      </c>
      <c r="BI122" s="38" t="s">
        <v>57</v>
      </c>
      <c r="BJ122" s="214" t="s">
        <v>57</v>
      </c>
      <c r="BK122" s="214" t="s">
        <v>57</v>
      </c>
      <c r="BL122" s="212" t="s">
        <v>57</v>
      </c>
      <c r="BM122" s="214" t="s">
        <v>0</v>
      </c>
      <c r="BN122" s="214" t="s">
        <v>57</v>
      </c>
      <c r="BO122" s="214"/>
      <c r="BP122" s="214" t="s">
        <v>57</v>
      </c>
      <c r="BQ122" s="214" t="s">
        <v>57</v>
      </c>
      <c r="BR122" s="214" t="s">
        <v>57</v>
      </c>
      <c r="BS122" s="214" t="s">
        <v>57</v>
      </c>
      <c r="BT122" s="214" t="s">
        <v>57</v>
      </c>
      <c r="BU122" s="212" t="s">
        <v>57</v>
      </c>
      <c r="BV122" s="212" t="s">
        <v>57</v>
      </c>
      <c r="BW122" s="214" t="s">
        <v>57</v>
      </c>
      <c r="BX122" s="214" t="s">
        <v>57</v>
      </c>
      <c r="BY122" s="214" t="s">
        <v>57</v>
      </c>
      <c r="BZ122" s="214" t="s">
        <v>57</v>
      </c>
      <c r="CA122" s="214" t="s">
        <v>57</v>
      </c>
      <c r="CB122" s="214" t="s">
        <v>57</v>
      </c>
      <c r="CC122" s="214" t="s">
        <v>57</v>
      </c>
      <c r="CD122" s="214" t="s">
        <v>57</v>
      </c>
      <c r="CE122" s="214" t="s">
        <v>57</v>
      </c>
      <c r="CF122" s="214" t="s">
        <v>57</v>
      </c>
    </row>
    <row r="123" spans="1:84">
      <c r="A123" s="51" t="s">
        <v>935</v>
      </c>
      <c r="B123" s="51"/>
      <c r="C123" s="52" t="s">
        <v>1664</v>
      </c>
      <c r="D123" s="52" t="s">
        <v>1664</v>
      </c>
      <c r="E123" s="52" t="s">
        <v>2778</v>
      </c>
      <c r="F123" s="52" t="s">
        <v>2778</v>
      </c>
      <c r="G123" s="52" t="s">
        <v>1452</v>
      </c>
      <c r="H123" s="52" t="s">
        <v>1452</v>
      </c>
      <c r="I123" s="52" t="s">
        <v>8161</v>
      </c>
      <c r="J123" s="52" t="s">
        <v>1664</v>
      </c>
      <c r="K123" s="52" t="s">
        <v>8161</v>
      </c>
      <c r="L123" s="52" t="s">
        <v>8161</v>
      </c>
      <c r="M123" s="52" t="s">
        <v>1664</v>
      </c>
      <c r="N123" s="52" t="s">
        <v>8161</v>
      </c>
      <c r="O123" s="52" t="s">
        <v>1664</v>
      </c>
      <c r="P123" s="52" t="s">
        <v>8161</v>
      </c>
      <c r="Q123" s="52" t="s">
        <v>8161</v>
      </c>
      <c r="R123" s="52" t="s">
        <v>1664</v>
      </c>
      <c r="S123" s="52" t="s">
        <v>8161</v>
      </c>
      <c r="T123" s="52" t="s">
        <v>5591</v>
      </c>
      <c r="U123" s="52" t="s">
        <v>5591</v>
      </c>
      <c r="V123" s="84"/>
      <c r="W123" s="52" t="s">
        <v>4429</v>
      </c>
      <c r="X123" s="52" t="s">
        <v>6440</v>
      </c>
      <c r="Y123" s="52" t="s">
        <v>2398</v>
      </c>
      <c r="Z123" s="52" t="s">
        <v>2398</v>
      </c>
      <c r="AA123" s="52" t="s">
        <v>2398</v>
      </c>
      <c r="AB123" s="52" t="s">
        <v>4708</v>
      </c>
      <c r="AC123" s="52" t="s">
        <v>4708</v>
      </c>
      <c r="AD123" s="52" t="s">
        <v>4708</v>
      </c>
      <c r="AE123" s="52" t="s">
        <v>6016</v>
      </c>
      <c r="AF123" s="52" t="s">
        <v>6016</v>
      </c>
      <c r="AG123" s="186" t="s">
        <v>7033</v>
      </c>
      <c r="AH123" s="186" t="s">
        <v>7033</v>
      </c>
      <c r="AI123" s="186" t="s">
        <v>7033</v>
      </c>
      <c r="AJ123" s="52" t="s">
        <v>6108</v>
      </c>
      <c r="AK123" s="52" t="s">
        <v>1909</v>
      </c>
      <c r="AL123" s="52" t="s">
        <v>1909</v>
      </c>
      <c r="AM123" s="52" t="s">
        <v>5460</v>
      </c>
      <c r="AN123" s="52" t="s">
        <v>5460</v>
      </c>
      <c r="AO123" s="52" t="s">
        <v>4243</v>
      </c>
      <c r="AP123" s="52" t="s">
        <v>2607</v>
      </c>
      <c r="AQ123" s="52" t="s">
        <v>2607</v>
      </c>
      <c r="AR123" s="52"/>
      <c r="AS123" s="52" t="s">
        <v>2022</v>
      </c>
      <c r="AT123" s="52" t="s">
        <v>2022</v>
      </c>
      <c r="AU123" s="52" t="s">
        <v>2022</v>
      </c>
      <c r="AV123" s="52" t="s">
        <v>4322</v>
      </c>
      <c r="AW123" s="52" t="s">
        <v>4322</v>
      </c>
      <c r="AX123" s="52" t="s">
        <v>1369</v>
      </c>
      <c r="AY123" s="52" t="s">
        <v>1369</v>
      </c>
      <c r="AZ123" s="52" t="s">
        <v>3710</v>
      </c>
      <c r="BA123" s="52" t="s">
        <v>3706</v>
      </c>
      <c r="BB123" s="52" t="s">
        <v>4511</v>
      </c>
      <c r="BC123" s="52" t="s">
        <v>4976</v>
      </c>
      <c r="BD123" s="52" t="s">
        <v>7603</v>
      </c>
      <c r="BE123" s="52" t="s">
        <v>4976</v>
      </c>
      <c r="BF123" s="52" t="s">
        <v>7603</v>
      </c>
      <c r="BG123" s="52" t="s">
        <v>4976</v>
      </c>
      <c r="BH123" s="52" t="s">
        <v>7603</v>
      </c>
      <c r="BI123" s="52" t="s">
        <v>7603</v>
      </c>
      <c r="BJ123" s="52" t="s">
        <v>4976</v>
      </c>
      <c r="BK123" s="52"/>
      <c r="BL123" s="52"/>
      <c r="BM123" s="52" t="s">
        <v>0</v>
      </c>
      <c r="BN123" s="52" t="s">
        <v>2289</v>
      </c>
      <c r="BO123" s="52"/>
      <c r="BP123" s="52" t="s">
        <v>2289</v>
      </c>
      <c r="BQ123" s="52" t="s">
        <v>2289</v>
      </c>
      <c r="BR123" s="52" t="s">
        <v>2718</v>
      </c>
      <c r="BS123" s="52" t="s">
        <v>2718</v>
      </c>
      <c r="BT123" s="52" t="s">
        <v>2718</v>
      </c>
      <c r="BU123" s="84" t="s">
        <v>2852</v>
      </c>
      <c r="BV123" s="84"/>
      <c r="BW123" s="52"/>
      <c r="BX123" s="52" t="s">
        <v>3926</v>
      </c>
      <c r="BY123" s="52" t="s">
        <v>3809</v>
      </c>
      <c r="BZ123" s="52" t="s">
        <v>6206</v>
      </c>
      <c r="CA123" s="52" t="s">
        <v>3163</v>
      </c>
      <c r="CB123" s="52" t="s">
        <v>3163</v>
      </c>
      <c r="CC123" s="52"/>
      <c r="CD123" s="52"/>
      <c r="CE123" s="52" t="s">
        <v>3250</v>
      </c>
      <c r="CF123" s="52" t="s">
        <v>2193</v>
      </c>
    </row>
    <row r="124" spans="1:84" ht="18">
      <c r="A124" s="82" t="s">
        <v>6551</v>
      </c>
      <c r="B124" s="200"/>
      <c r="C124" s="82"/>
      <c r="D124" s="113"/>
      <c r="E124" s="114"/>
      <c r="F124" s="113"/>
      <c r="G124" s="113"/>
      <c r="H124" s="221"/>
      <c r="I124" s="36" t="s">
        <v>6924</v>
      </c>
      <c r="J124" s="221"/>
      <c r="K124" s="36" t="s">
        <v>6924</v>
      </c>
      <c r="L124" s="36" t="s">
        <v>6924</v>
      </c>
      <c r="M124" s="113"/>
      <c r="N124" s="36" t="s">
        <v>6924</v>
      </c>
      <c r="O124" s="113"/>
      <c r="P124" s="36" t="s">
        <v>6924</v>
      </c>
      <c r="Q124" s="36" t="s">
        <v>6924</v>
      </c>
      <c r="R124" s="113"/>
      <c r="S124" s="36" t="s">
        <v>6924</v>
      </c>
      <c r="T124" s="113"/>
      <c r="U124" s="113"/>
      <c r="V124" s="114"/>
      <c r="W124" s="114"/>
      <c r="X124" s="114"/>
      <c r="Y124" s="220"/>
      <c r="Z124" s="222"/>
      <c r="AA124" s="225"/>
      <c r="AB124" s="225"/>
      <c r="AC124" s="225"/>
      <c r="AD124" s="220"/>
      <c r="AE124" s="220"/>
      <c r="AF124" s="113"/>
      <c r="AG124" s="36" t="s">
        <v>6924</v>
      </c>
      <c r="AH124" s="36" t="s">
        <v>6924</v>
      </c>
      <c r="AI124" s="36" t="s">
        <v>6924</v>
      </c>
      <c r="AJ124" s="113"/>
      <c r="AK124" s="113"/>
      <c r="AL124" s="113"/>
      <c r="AM124" s="113"/>
      <c r="AN124" s="114"/>
      <c r="AO124" s="114"/>
      <c r="AP124" s="114"/>
      <c r="AQ124" s="114"/>
      <c r="AR124" s="114"/>
      <c r="AS124" s="113"/>
      <c r="AT124" s="113"/>
      <c r="AU124" s="113"/>
      <c r="AV124" s="113"/>
      <c r="AW124" s="113"/>
      <c r="AX124" s="113"/>
      <c r="AY124" s="113"/>
      <c r="AZ124" s="113"/>
      <c r="BA124" s="113"/>
      <c r="BB124" s="113"/>
      <c r="BC124" s="220"/>
      <c r="BD124" s="36" t="s">
        <v>6924</v>
      </c>
      <c r="BE124" s="220"/>
      <c r="BF124" s="36" t="s">
        <v>6924</v>
      </c>
      <c r="BG124" s="220"/>
      <c r="BH124" s="36" t="s">
        <v>6924</v>
      </c>
      <c r="BI124" s="36" t="s">
        <v>6924</v>
      </c>
      <c r="BJ124" s="113"/>
      <c r="BK124" s="113"/>
      <c r="BL124" s="113"/>
      <c r="BM124" s="113"/>
      <c r="BN124" s="114"/>
      <c r="BO124" s="113"/>
      <c r="BP124" s="113"/>
      <c r="BQ124" s="113"/>
      <c r="BR124" s="113"/>
      <c r="BS124" s="114"/>
      <c r="BT124" s="114"/>
      <c r="BU124" s="113"/>
      <c r="BV124" s="231"/>
      <c r="BW124" s="231"/>
      <c r="BX124" s="231"/>
      <c r="BY124" s="231"/>
      <c r="BZ124" s="231"/>
      <c r="CA124" s="231"/>
      <c r="CB124" s="231"/>
      <c r="CC124" s="231"/>
      <c r="CD124" s="231"/>
      <c r="CE124" s="231"/>
      <c r="CF124" s="231"/>
    </row>
    <row r="125" spans="1:84">
      <c r="A125" s="185" t="s">
        <v>935</v>
      </c>
      <c r="B125" s="185"/>
      <c r="C125" s="185"/>
      <c r="D125" s="186"/>
      <c r="E125" s="186"/>
      <c r="F125" s="186"/>
      <c r="G125" s="186"/>
      <c r="H125" s="84"/>
      <c r="I125" s="52" t="s">
        <v>8161</v>
      </c>
      <c r="J125" s="84"/>
      <c r="K125" s="52" t="s">
        <v>8161</v>
      </c>
      <c r="L125" s="52" t="s">
        <v>8161</v>
      </c>
      <c r="M125" s="186"/>
      <c r="N125" s="52" t="s">
        <v>8161</v>
      </c>
      <c r="O125" s="186"/>
      <c r="P125" s="52" t="s">
        <v>8161</v>
      </c>
      <c r="Q125" s="52" t="s">
        <v>8161</v>
      </c>
      <c r="R125" s="186"/>
      <c r="S125" s="52" t="s">
        <v>8161</v>
      </c>
      <c r="T125" s="186"/>
      <c r="U125" s="186"/>
      <c r="V125" s="186"/>
      <c r="W125" s="186"/>
      <c r="X125" s="186"/>
      <c r="Y125" s="186"/>
      <c r="Z125" s="187"/>
      <c r="AA125" s="186"/>
      <c r="AB125" s="186"/>
      <c r="AC125" s="186"/>
      <c r="AD125" s="186"/>
      <c r="AE125" s="186"/>
      <c r="AF125" s="186"/>
      <c r="AG125" s="186" t="s">
        <v>7033</v>
      </c>
      <c r="AH125" s="186" t="s">
        <v>7033</v>
      </c>
      <c r="AI125" s="186" t="s">
        <v>7033</v>
      </c>
      <c r="AJ125" s="186"/>
      <c r="AK125" s="186"/>
      <c r="AL125" s="186"/>
      <c r="AM125" s="186"/>
      <c r="AN125" s="186"/>
      <c r="AO125" s="186"/>
      <c r="AP125" s="186"/>
      <c r="AQ125" s="186"/>
      <c r="AR125" s="186"/>
      <c r="AS125" s="186"/>
      <c r="AT125" s="186"/>
      <c r="AU125" s="186"/>
      <c r="AV125" s="186"/>
      <c r="AW125" s="186"/>
      <c r="AX125" s="186"/>
      <c r="AY125" s="186"/>
      <c r="AZ125" s="186"/>
      <c r="BA125" s="186"/>
      <c r="BB125" s="186"/>
      <c r="BC125" s="186"/>
      <c r="BD125" s="52" t="s">
        <v>7603</v>
      </c>
      <c r="BE125" s="186"/>
      <c r="BF125" s="52" t="s">
        <v>7603</v>
      </c>
      <c r="BG125" s="186"/>
      <c r="BH125" s="52" t="s">
        <v>7603</v>
      </c>
      <c r="BI125" s="52" t="s">
        <v>7603</v>
      </c>
      <c r="BJ125" s="186"/>
      <c r="BK125" s="186"/>
      <c r="BL125" s="186"/>
      <c r="BM125" s="186"/>
      <c r="BN125" s="186"/>
      <c r="BO125" s="186"/>
      <c r="BP125" s="186"/>
      <c r="BQ125" s="186"/>
      <c r="BR125" s="186"/>
      <c r="BS125" s="186"/>
      <c r="BT125" s="186"/>
      <c r="BU125" s="186"/>
      <c r="BV125" s="186"/>
      <c r="BW125" s="186"/>
      <c r="BX125" s="186"/>
      <c r="BY125" s="186"/>
      <c r="BZ125" s="186"/>
      <c r="CA125" s="186"/>
      <c r="CB125" s="186"/>
      <c r="CC125" s="186"/>
      <c r="CD125" s="186"/>
      <c r="CE125" s="186"/>
      <c r="CF125" s="186"/>
    </row>
    <row r="126" spans="1:84" ht="18">
      <c r="A126" s="82" t="s">
        <v>6775</v>
      </c>
      <c r="B126" s="200"/>
      <c r="C126" s="82"/>
      <c r="D126" s="113"/>
      <c r="E126" s="114"/>
      <c r="F126" s="113"/>
      <c r="G126" s="113"/>
      <c r="H126" s="221"/>
      <c r="I126" s="38" t="s">
        <v>57</v>
      </c>
      <c r="J126" s="221"/>
      <c r="K126" s="38" t="s">
        <v>57</v>
      </c>
      <c r="L126" s="38" t="s">
        <v>57</v>
      </c>
      <c r="M126" s="113"/>
      <c r="N126" s="38" t="s">
        <v>57</v>
      </c>
      <c r="O126" s="113"/>
      <c r="P126" s="38" t="s">
        <v>57</v>
      </c>
      <c r="Q126" s="38" t="s">
        <v>57</v>
      </c>
      <c r="R126" s="113"/>
      <c r="S126" s="38" t="s">
        <v>57</v>
      </c>
      <c r="T126" s="113"/>
      <c r="U126" s="113"/>
      <c r="V126" s="114"/>
      <c r="W126" s="114"/>
      <c r="X126" s="114"/>
      <c r="Y126" s="220"/>
      <c r="Z126" s="222"/>
      <c r="AA126" s="225"/>
      <c r="AB126" s="225"/>
      <c r="AC126" s="225"/>
      <c r="AD126" s="220"/>
      <c r="AE126" s="220"/>
      <c r="AF126" s="113"/>
      <c r="AG126" s="38" t="s">
        <v>57</v>
      </c>
      <c r="AH126" s="38" t="s">
        <v>57</v>
      </c>
      <c r="AI126" s="38" t="s">
        <v>57</v>
      </c>
      <c r="AJ126" s="113"/>
      <c r="AK126" s="113"/>
      <c r="AL126" s="113"/>
      <c r="AM126" s="113"/>
      <c r="AN126" s="114"/>
      <c r="AO126" s="114"/>
      <c r="AP126" s="114"/>
      <c r="AQ126" s="114"/>
      <c r="AR126" s="114"/>
      <c r="AS126" s="113"/>
      <c r="AT126" s="113"/>
      <c r="AU126" s="113"/>
      <c r="AV126" s="113"/>
      <c r="AW126" s="113"/>
      <c r="AX126" s="113"/>
      <c r="AY126" s="113"/>
      <c r="AZ126" s="113"/>
      <c r="BA126" s="113"/>
      <c r="BB126" s="113"/>
      <c r="BC126" s="220"/>
      <c r="BD126" s="38" t="s">
        <v>57</v>
      </c>
      <c r="BE126" s="220"/>
      <c r="BF126" s="38" t="s">
        <v>57</v>
      </c>
      <c r="BG126" s="220"/>
      <c r="BH126" s="38" t="s">
        <v>57</v>
      </c>
      <c r="BI126" s="38" t="s">
        <v>57</v>
      </c>
      <c r="BJ126" s="113"/>
      <c r="BK126" s="113"/>
      <c r="BL126" s="113"/>
      <c r="BM126" s="113"/>
      <c r="BN126" s="114"/>
      <c r="BO126" s="113"/>
      <c r="BP126" s="113"/>
      <c r="BQ126" s="113"/>
      <c r="BR126" s="113"/>
      <c r="BS126" s="114"/>
      <c r="BT126" s="114"/>
      <c r="BU126" s="113"/>
      <c r="BV126" s="231"/>
      <c r="BW126" s="231"/>
      <c r="BX126" s="231"/>
      <c r="BY126" s="231"/>
      <c r="BZ126" s="231"/>
      <c r="CA126" s="231"/>
      <c r="CB126" s="231"/>
      <c r="CC126" s="231"/>
      <c r="CD126" s="231"/>
      <c r="CE126" s="231"/>
      <c r="CF126" s="231"/>
    </row>
    <row r="127" spans="1:84">
      <c r="A127" s="185" t="s">
        <v>935</v>
      </c>
      <c r="B127" s="185"/>
      <c r="C127" s="185"/>
      <c r="D127" s="186"/>
      <c r="E127" s="186"/>
      <c r="F127" s="186"/>
      <c r="G127" s="186"/>
      <c r="H127" s="84"/>
      <c r="I127" s="52" t="s">
        <v>8161</v>
      </c>
      <c r="J127" s="84"/>
      <c r="K127" s="52" t="s">
        <v>8161</v>
      </c>
      <c r="L127" s="52" t="s">
        <v>8161</v>
      </c>
      <c r="M127" s="186"/>
      <c r="N127" s="52" t="s">
        <v>8161</v>
      </c>
      <c r="O127" s="186"/>
      <c r="P127" s="52" t="s">
        <v>8161</v>
      </c>
      <c r="Q127" s="52" t="s">
        <v>8161</v>
      </c>
      <c r="R127" s="186"/>
      <c r="S127" s="52" t="s">
        <v>8161</v>
      </c>
      <c r="T127" s="186"/>
      <c r="U127" s="186"/>
      <c r="V127" s="186"/>
      <c r="W127" s="186"/>
      <c r="X127" s="186"/>
      <c r="Y127" s="186"/>
      <c r="Z127" s="187"/>
      <c r="AA127" s="186"/>
      <c r="AB127" s="186"/>
      <c r="AC127" s="186"/>
      <c r="AD127" s="186"/>
      <c r="AE127" s="186"/>
      <c r="AF127" s="186"/>
      <c r="AG127" s="186" t="s">
        <v>7033</v>
      </c>
      <c r="AH127" s="186" t="s">
        <v>7033</v>
      </c>
      <c r="AI127" s="186" t="s">
        <v>7033</v>
      </c>
      <c r="AJ127" s="186"/>
      <c r="AK127" s="186"/>
      <c r="AL127" s="186"/>
      <c r="AM127" s="186"/>
      <c r="AN127" s="186"/>
      <c r="AO127" s="186"/>
      <c r="AP127" s="186"/>
      <c r="AQ127" s="186"/>
      <c r="AR127" s="186"/>
      <c r="AS127" s="186"/>
      <c r="AT127" s="186"/>
      <c r="AU127" s="186"/>
      <c r="AV127" s="186"/>
      <c r="AW127" s="186"/>
      <c r="AX127" s="186"/>
      <c r="AY127" s="186"/>
      <c r="AZ127" s="186"/>
      <c r="BA127" s="186"/>
      <c r="BB127" s="186"/>
      <c r="BC127" s="186"/>
      <c r="BD127" s="52" t="s">
        <v>7603</v>
      </c>
      <c r="BE127" s="186"/>
      <c r="BF127" s="52" t="s">
        <v>7603</v>
      </c>
      <c r="BG127" s="186"/>
      <c r="BH127" s="52" t="s">
        <v>7603</v>
      </c>
      <c r="BI127" s="52" t="s">
        <v>7603</v>
      </c>
      <c r="BJ127" s="186"/>
      <c r="BK127" s="186"/>
      <c r="BL127" s="186"/>
      <c r="BM127" s="186"/>
      <c r="BN127" s="186"/>
      <c r="BO127" s="186"/>
      <c r="BP127" s="186"/>
      <c r="BQ127" s="186"/>
      <c r="BR127" s="186"/>
      <c r="BS127" s="186"/>
      <c r="BT127" s="186"/>
      <c r="BU127" s="186"/>
      <c r="BV127" s="186"/>
      <c r="BW127" s="186"/>
      <c r="BX127" s="186"/>
      <c r="BY127" s="186"/>
      <c r="BZ127" s="186"/>
      <c r="CA127" s="186"/>
      <c r="CB127" s="186"/>
      <c r="CC127" s="186"/>
      <c r="CD127" s="186"/>
      <c r="CE127" s="186"/>
      <c r="CF127" s="186"/>
    </row>
    <row r="128" spans="1:84">
      <c r="A128" s="6" t="s">
        <v>133</v>
      </c>
      <c r="B128" s="200"/>
      <c r="C128" s="38" t="s">
        <v>57</v>
      </c>
      <c r="D128" s="38" t="s">
        <v>57</v>
      </c>
      <c r="E128" s="38" t="s">
        <v>57</v>
      </c>
      <c r="F128" s="38" t="s">
        <v>57</v>
      </c>
      <c r="G128" s="38" t="s">
        <v>57</v>
      </c>
      <c r="H128" s="38" t="s">
        <v>57</v>
      </c>
      <c r="I128" s="38" t="s">
        <v>57</v>
      </c>
      <c r="J128" s="38" t="s">
        <v>57</v>
      </c>
      <c r="K128" s="38" t="s">
        <v>57</v>
      </c>
      <c r="L128" s="38" t="s">
        <v>57</v>
      </c>
      <c r="M128" s="38" t="s">
        <v>57</v>
      </c>
      <c r="N128" s="38" t="s">
        <v>57</v>
      </c>
      <c r="O128" s="38" t="s">
        <v>57</v>
      </c>
      <c r="P128" s="38" t="s">
        <v>57</v>
      </c>
      <c r="Q128" s="38" t="s">
        <v>57</v>
      </c>
      <c r="R128" s="38" t="s">
        <v>57</v>
      </c>
      <c r="S128" s="38" t="s">
        <v>57</v>
      </c>
      <c r="T128" s="38" t="s">
        <v>57</v>
      </c>
      <c r="U128" s="38" t="s">
        <v>57</v>
      </c>
      <c r="V128" s="145" t="s">
        <v>57</v>
      </c>
      <c r="W128" s="38" t="s">
        <v>57</v>
      </c>
      <c r="X128" s="38" t="s">
        <v>57</v>
      </c>
      <c r="Y128" s="38" t="s">
        <v>57</v>
      </c>
      <c r="Z128" s="38" t="s">
        <v>57</v>
      </c>
      <c r="AA128" s="38" t="s">
        <v>57</v>
      </c>
      <c r="AB128" s="38" t="s">
        <v>57</v>
      </c>
      <c r="AC128" s="38" t="s">
        <v>57</v>
      </c>
      <c r="AD128" s="38" t="s">
        <v>57</v>
      </c>
      <c r="AE128" s="7" t="s">
        <v>57</v>
      </c>
      <c r="AF128" s="7" t="s">
        <v>57</v>
      </c>
      <c r="AG128" s="38" t="s">
        <v>57</v>
      </c>
      <c r="AH128" s="38" t="s">
        <v>57</v>
      </c>
      <c r="AI128" s="38" t="s">
        <v>57</v>
      </c>
      <c r="AJ128" s="34" t="s">
        <v>57</v>
      </c>
      <c r="AK128" s="7" t="s">
        <v>57</v>
      </c>
      <c r="AL128" s="7" t="s">
        <v>57</v>
      </c>
      <c r="AM128" s="38" t="s">
        <v>57</v>
      </c>
      <c r="AN128" s="38" t="s">
        <v>57</v>
      </c>
      <c r="AO128" s="38" t="s">
        <v>57</v>
      </c>
      <c r="AP128" s="38" t="s">
        <v>57</v>
      </c>
      <c r="AQ128" s="38" t="s">
        <v>57</v>
      </c>
      <c r="AR128" s="38" t="s">
        <v>57</v>
      </c>
      <c r="AS128" s="38" t="s">
        <v>57</v>
      </c>
      <c r="AT128" s="38" t="s">
        <v>57</v>
      </c>
      <c r="AU128" s="38" t="s">
        <v>57</v>
      </c>
      <c r="AV128" s="38" t="s">
        <v>57</v>
      </c>
      <c r="AW128" s="38" t="s">
        <v>57</v>
      </c>
      <c r="AX128" s="38" t="s">
        <v>57</v>
      </c>
      <c r="AY128" s="38" t="s">
        <v>57</v>
      </c>
      <c r="AZ128" s="38" t="s">
        <v>57</v>
      </c>
      <c r="BA128" s="38" t="s">
        <v>57</v>
      </c>
      <c r="BB128" s="38" t="s">
        <v>57</v>
      </c>
      <c r="BC128" s="38" t="s">
        <v>57</v>
      </c>
      <c r="BD128" s="38" t="s">
        <v>57</v>
      </c>
      <c r="BE128" s="38" t="s">
        <v>57</v>
      </c>
      <c r="BF128" s="38" t="s">
        <v>57</v>
      </c>
      <c r="BG128" s="38" t="s">
        <v>57</v>
      </c>
      <c r="BH128" s="38" t="s">
        <v>57</v>
      </c>
      <c r="BI128" s="38" t="s">
        <v>57</v>
      </c>
      <c r="BJ128" s="38" t="s">
        <v>57</v>
      </c>
      <c r="BK128" s="38" t="s">
        <v>57</v>
      </c>
      <c r="BL128" s="36" t="s">
        <v>57</v>
      </c>
      <c r="BM128" s="38" t="s">
        <v>0</v>
      </c>
      <c r="BN128" s="38" t="s">
        <v>57</v>
      </c>
      <c r="BO128" s="38"/>
      <c r="BP128" s="38" t="s">
        <v>57</v>
      </c>
      <c r="BQ128" s="38" t="s">
        <v>57</v>
      </c>
      <c r="BR128" s="38" t="s">
        <v>57</v>
      </c>
      <c r="BS128" s="38" t="s">
        <v>57</v>
      </c>
      <c r="BT128" s="38" t="s">
        <v>57</v>
      </c>
      <c r="BU128" s="36" t="s">
        <v>57</v>
      </c>
      <c r="BV128" s="36" t="s">
        <v>57</v>
      </c>
      <c r="BW128" s="38" t="s">
        <v>57</v>
      </c>
      <c r="BX128" s="38" t="s">
        <v>57</v>
      </c>
      <c r="BY128" s="38" t="s">
        <v>57</v>
      </c>
      <c r="BZ128" s="38" t="s">
        <v>57</v>
      </c>
      <c r="CA128" s="38" t="s">
        <v>57</v>
      </c>
      <c r="CB128" s="38" t="s">
        <v>57</v>
      </c>
      <c r="CC128" s="38" t="s">
        <v>57</v>
      </c>
      <c r="CD128" s="38" t="s">
        <v>57</v>
      </c>
      <c r="CE128" s="38" t="s">
        <v>57</v>
      </c>
      <c r="CF128" s="38" t="s">
        <v>57</v>
      </c>
    </row>
    <row r="129" spans="1:84">
      <c r="A129" s="51" t="s">
        <v>935</v>
      </c>
      <c r="B129" s="51"/>
      <c r="C129" s="52" t="s">
        <v>1664</v>
      </c>
      <c r="D129" s="52" t="s">
        <v>1664</v>
      </c>
      <c r="E129" s="52" t="s">
        <v>2778</v>
      </c>
      <c r="F129" s="52" t="s">
        <v>2778</v>
      </c>
      <c r="G129" s="52" t="s">
        <v>1452</v>
      </c>
      <c r="H129" s="52" t="s">
        <v>1452</v>
      </c>
      <c r="I129" s="52" t="s">
        <v>8161</v>
      </c>
      <c r="J129" s="52" t="s">
        <v>1664</v>
      </c>
      <c r="K129" s="52" t="s">
        <v>8161</v>
      </c>
      <c r="L129" s="52" t="s">
        <v>8161</v>
      </c>
      <c r="M129" s="52" t="s">
        <v>1664</v>
      </c>
      <c r="N129" s="52" t="s">
        <v>8161</v>
      </c>
      <c r="O129" s="52" t="s">
        <v>1664</v>
      </c>
      <c r="P129" s="52" t="s">
        <v>8161</v>
      </c>
      <c r="Q129" s="52" t="s">
        <v>8161</v>
      </c>
      <c r="R129" s="52" t="s">
        <v>1664</v>
      </c>
      <c r="S129" s="52" t="s">
        <v>8161</v>
      </c>
      <c r="T129" s="52" t="s">
        <v>5591</v>
      </c>
      <c r="U129" s="52" t="s">
        <v>5591</v>
      </c>
      <c r="V129" s="84"/>
      <c r="W129" s="52" t="s">
        <v>3984</v>
      </c>
      <c r="X129" s="52" t="s">
        <v>6440</v>
      </c>
      <c r="Y129" s="52" t="s">
        <v>2398</v>
      </c>
      <c r="Z129" s="52" t="s">
        <v>2398</v>
      </c>
      <c r="AA129" s="52" t="s">
        <v>2398</v>
      </c>
      <c r="AB129" s="52" t="s">
        <v>4708</v>
      </c>
      <c r="AC129" s="52" t="s">
        <v>4708</v>
      </c>
      <c r="AD129" s="52" t="s">
        <v>4708</v>
      </c>
      <c r="AE129" s="52" t="s">
        <v>6017</v>
      </c>
      <c r="AF129" s="52" t="s">
        <v>6017</v>
      </c>
      <c r="AG129" s="186" t="s">
        <v>7032</v>
      </c>
      <c r="AH129" s="186" t="s">
        <v>7032</v>
      </c>
      <c r="AI129" s="186" t="s">
        <v>7032</v>
      </c>
      <c r="AJ129" s="52" t="s">
        <v>6108</v>
      </c>
      <c r="AK129" s="52" t="s">
        <v>1909</v>
      </c>
      <c r="AL129" s="52" t="s">
        <v>1909</v>
      </c>
      <c r="AM129" s="52" t="s">
        <v>5459</v>
      </c>
      <c r="AN129" s="52" t="s">
        <v>5459</v>
      </c>
      <c r="AO129" s="52" t="s">
        <v>4244</v>
      </c>
      <c r="AP129" s="52" t="s">
        <v>2607</v>
      </c>
      <c r="AQ129" s="52" t="s">
        <v>2607</v>
      </c>
      <c r="AR129" s="52"/>
      <c r="AS129" s="52" t="s">
        <v>2022</v>
      </c>
      <c r="AT129" s="52" t="s">
        <v>2022</v>
      </c>
      <c r="AU129" s="52" t="s">
        <v>2022</v>
      </c>
      <c r="AV129" s="52" t="s">
        <v>4323</v>
      </c>
      <c r="AW129" s="52" t="s">
        <v>4323</v>
      </c>
      <c r="AX129" s="52" t="s">
        <v>1369</v>
      </c>
      <c r="AY129" s="52" t="s">
        <v>1369</v>
      </c>
      <c r="AZ129" s="52" t="s">
        <v>3710</v>
      </c>
      <c r="BA129" s="52" t="s">
        <v>3706</v>
      </c>
      <c r="BB129" s="52" t="s">
        <v>4510</v>
      </c>
      <c r="BC129" s="52" t="s">
        <v>4976</v>
      </c>
      <c r="BD129" s="52" t="s">
        <v>7603</v>
      </c>
      <c r="BE129" s="52" t="s">
        <v>4976</v>
      </c>
      <c r="BF129" s="52" t="s">
        <v>7603</v>
      </c>
      <c r="BG129" s="52" t="s">
        <v>4976</v>
      </c>
      <c r="BH129" s="52" t="s">
        <v>7603</v>
      </c>
      <c r="BI129" s="52" t="s">
        <v>7603</v>
      </c>
      <c r="BJ129" s="52" t="s">
        <v>4976</v>
      </c>
      <c r="BK129" s="52"/>
      <c r="BL129" s="52"/>
      <c r="BM129" s="52" t="s">
        <v>0</v>
      </c>
      <c r="BN129" s="52" t="s">
        <v>2289</v>
      </c>
      <c r="BO129" s="52"/>
      <c r="BP129" s="52" t="s">
        <v>2289</v>
      </c>
      <c r="BQ129" s="52" t="s">
        <v>2289</v>
      </c>
      <c r="BR129" s="52" t="s">
        <v>2718</v>
      </c>
      <c r="BS129" s="52" t="s">
        <v>2718</v>
      </c>
      <c r="BT129" s="52" t="s">
        <v>2718</v>
      </c>
      <c r="BU129" s="84" t="s">
        <v>2853</v>
      </c>
      <c r="BV129" s="84"/>
      <c r="BW129" s="52"/>
      <c r="BX129" s="52" t="s">
        <v>3927</v>
      </c>
      <c r="BY129" s="52" t="s">
        <v>3810</v>
      </c>
      <c r="BZ129" s="52" t="s">
        <v>6207</v>
      </c>
      <c r="CA129" s="52" t="s">
        <v>3163</v>
      </c>
      <c r="CB129" s="52" t="s">
        <v>3163</v>
      </c>
      <c r="CC129" s="52"/>
      <c r="CD129" s="52"/>
      <c r="CE129" s="52" t="s">
        <v>3250</v>
      </c>
      <c r="CF129" s="52" t="s">
        <v>2194</v>
      </c>
    </row>
    <row r="130" spans="1:84" ht="18">
      <c r="A130" s="6" t="s">
        <v>134</v>
      </c>
      <c r="B130" s="200"/>
      <c r="C130" s="38" t="s">
        <v>0</v>
      </c>
      <c r="D130" s="38" t="s">
        <v>0</v>
      </c>
      <c r="E130" s="38" t="s">
        <v>0</v>
      </c>
      <c r="F130" s="38" t="s">
        <v>0</v>
      </c>
      <c r="G130" s="38" t="s">
        <v>0</v>
      </c>
      <c r="H130" s="38" t="s">
        <v>0</v>
      </c>
      <c r="I130" s="36" t="s">
        <v>0</v>
      </c>
      <c r="J130" s="38" t="s">
        <v>0</v>
      </c>
      <c r="K130" s="36" t="s">
        <v>0</v>
      </c>
      <c r="L130" s="36" t="s">
        <v>0</v>
      </c>
      <c r="M130" s="38" t="s">
        <v>0</v>
      </c>
      <c r="N130" s="36" t="s">
        <v>0</v>
      </c>
      <c r="O130" s="38" t="s">
        <v>0</v>
      </c>
      <c r="P130" s="36" t="s">
        <v>0</v>
      </c>
      <c r="Q130" s="36" t="s">
        <v>0</v>
      </c>
      <c r="R130" s="38" t="s">
        <v>0</v>
      </c>
      <c r="S130" s="36" t="s">
        <v>0</v>
      </c>
      <c r="T130" s="38" t="s">
        <v>57</v>
      </c>
      <c r="U130" s="38" t="s">
        <v>57</v>
      </c>
      <c r="V130" s="145" t="s">
        <v>5493</v>
      </c>
      <c r="W130" s="38" t="s">
        <v>0</v>
      </c>
      <c r="X130" s="38" t="s">
        <v>6444</v>
      </c>
      <c r="Y130" s="38" t="s">
        <v>0</v>
      </c>
      <c r="Z130" s="38" t="s">
        <v>0</v>
      </c>
      <c r="AA130" s="36" t="s">
        <v>57</v>
      </c>
      <c r="AB130" s="38" t="s">
        <v>0</v>
      </c>
      <c r="AC130" s="38" t="s">
        <v>0</v>
      </c>
      <c r="AD130" s="38" t="s">
        <v>0</v>
      </c>
      <c r="AE130" s="7" t="s">
        <v>57</v>
      </c>
      <c r="AF130" s="7" t="s">
        <v>57</v>
      </c>
      <c r="AG130" s="38" t="s">
        <v>7005</v>
      </c>
      <c r="AH130" s="38" t="s">
        <v>7005</v>
      </c>
      <c r="AI130" s="38" t="s">
        <v>7005</v>
      </c>
      <c r="AJ130" s="34" t="s">
        <v>57</v>
      </c>
      <c r="AK130" s="7" t="s">
        <v>0</v>
      </c>
      <c r="AL130" s="7" t="s">
        <v>0</v>
      </c>
      <c r="AM130" s="38" t="s">
        <v>0</v>
      </c>
      <c r="AN130" s="38" t="s">
        <v>0</v>
      </c>
      <c r="AO130" s="38" t="s">
        <v>0</v>
      </c>
      <c r="AP130" s="38" t="s">
        <v>0</v>
      </c>
      <c r="AQ130" s="38" t="s">
        <v>0</v>
      </c>
      <c r="AR130" s="38" t="s">
        <v>0</v>
      </c>
      <c r="AS130" s="38" t="s">
        <v>57</v>
      </c>
      <c r="AT130" s="38" t="s">
        <v>57</v>
      </c>
      <c r="AU130" s="38" t="s">
        <v>57</v>
      </c>
      <c r="AV130" s="38" t="s">
        <v>875</v>
      </c>
      <c r="AW130" s="38" t="s">
        <v>875</v>
      </c>
      <c r="AX130" s="38" t="s">
        <v>0</v>
      </c>
      <c r="AY130" s="38" t="s">
        <v>0</v>
      </c>
      <c r="AZ130" s="38" t="s">
        <v>0</v>
      </c>
      <c r="BA130" s="38" t="s">
        <v>57</v>
      </c>
      <c r="BB130" s="38" t="s">
        <v>57</v>
      </c>
      <c r="BC130" s="38" t="s">
        <v>57</v>
      </c>
      <c r="BD130" s="38" t="s">
        <v>57</v>
      </c>
      <c r="BE130" s="38" t="s">
        <v>57</v>
      </c>
      <c r="BF130" s="38" t="s">
        <v>57</v>
      </c>
      <c r="BG130" s="38" t="s">
        <v>57</v>
      </c>
      <c r="BH130" s="38" t="s">
        <v>57</v>
      </c>
      <c r="BI130" s="38" t="s">
        <v>57</v>
      </c>
      <c r="BJ130" s="38" t="s">
        <v>57</v>
      </c>
      <c r="BK130" s="38" t="s">
        <v>0</v>
      </c>
      <c r="BL130" s="36" t="s">
        <v>575</v>
      </c>
      <c r="BM130" s="38" t="s">
        <v>0</v>
      </c>
      <c r="BN130" s="38" t="s">
        <v>0</v>
      </c>
      <c r="BO130" s="38"/>
      <c r="BP130" s="38" t="s">
        <v>0</v>
      </c>
      <c r="BQ130" s="38" t="s">
        <v>0</v>
      </c>
      <c r="BR130" s="38" t="s">
        <v>0</v>
      </c>
      <c r="BS130" s="38" t="s">
        <v>0</v>
      </c>
      <c r="BT130" s="38" t="s">
        <v>0</v>
      </c>
      <c r="BU130" s="36" t="s">
        <v>57</v>
      </c>
      <c r="BV130" s="36" t="s">
        <v>0</v>
      </c>
      <c r="BW130" s="36" t="s">
        <v>0</v>
      </c>
      <c r="BX130" s="38" t="s">
        <v>0</v>
      </c>
      <c r="BY130" s="38" t="s">
        <v>0</v>
      </c>
      <c r="BZ130" s="38" t="s">
        <v>0</v>
      </c>
      <c r="CA130" s="38" t="s">
        <v>0</v>
      </c>
      <c r="CB130" s="38" t="s">
        <v>0</v>
      </c>
      <c r="CC130" s="38" t="s">
        <v>0</v>
      </c>
      <c r="CD130" s="38" t="s">
        <v>0</v>
      </c>
      <c r="CE130" s="38" t="s">
        <v>0</v>
      </c>
      <c r="CF130" s="38" t="s">
        <v>0</v>
      </c>
    </row>
    <row r="131" spans="1:84">
      <c r="A131" s="51" t="s">
        <v>935</v>
      </c>
      <c r="B131" s="51"/>
      <c r="C131" s="52" t="s">
        <v>0</v>
      </c>
      <c r="D131" s="52" t="s">
        <v>0</v>
      </c>
      <c r="E131" s="52" t="s">
        <v>0</v>
      </c>
      <c r="F131" s="52" t="s">
        <v>0</v>
      </c>
      <c r="G131" s="52" t="s">
        <v>0</v>
      </c>
      <c r="H131" s="52" t="s">
        <v>0</v>
      </c>
      <c r="I131" s="52" t="s">
        <v>0</v>
      </c>
      <c r="J131" s="52" t="s">
        <v>0</v>
      </c>
      <c r="K131" s="52" t="s">
        <v>0</v>
      </c>
      <c r="L131" s="52" t="s">
        <v>0</v>
      </c>
      <c r="M131" s="52" t="s">
        <v>0</v>
      </c>
      <c r="N131" s="52" t="s">
        <v>0</v>
      </c>
      <c r="O131" s="52" t="s">
        <v>0</v>
      </c>
      <c r="P131" s="52" t="s">
        <v>0</v>
      </c>
      <c r="Q131" s="52" t="s">
        <v>0</v>
      </c>
      <c r="R131" s="52" t="s">
        <v>0</v>
      </c>
      <c r="S131" s="52" t="s">
        <v>0</v>
      </c>
      <c r="T131" s="52" t="s">
        <v>5591</v>
      </c>
      <c r="U131" s="52" t="s">
        <v>5591</v>
      </c>
      <c r="V131" s="84"/>
      <c r="W131" s="52" t="s">
        <v>0</v>
      </c>
      <c r="X131" s="52"/>
      <c r="Y131" s="52" t="s">
        <v>2339</v>
      </c>
      <c r="Z131" s="52" t="s">
        <v>2339</v>
      </c>
      <c r="AA131" s="52" t="s">
        <v>2339</v>
      </c>
      <c r="AB131" s="52" t="s">
        <v>0</v>
      </c>
      <c r="AC131" s="52" t="s">
        <v>0</v>
      </c>
      <c r="AD131" s="52" t="s">
        <v>0</v>
      </c>
      <c r="AE131" s="52" t="s">
        <v>6018</v>
      </c>
      <c r="AF131" s="52" t="s">
        <v>6018</v>
      </c>
      <c r="AG131" s="186" t="s">
        <v>7031</v>
      </c>
      <c r="AH131" s="186" t="s">
        <v>7031</v>
      </c>
      <c r="AI131" s="186" t="s">
        <v>7031</v>
      </c>
      <c r="AJ131" s="52" t="s">
        <v>6108</v>
      </c>
      <c r="AK131" s="52" t="s">
        <v>0</v>
      </c>
      <c r="AL131" s="52" t="s">
        <v>0</v>
      </c>
      <c r="AM131" s="52" t="s">
        <v>0</v>
      </c>
      <c r="AN131" s="52" t="s">
        <v>0</v>
      </c>
      <c r="AO131" s="52" t="s">
        <v>0</v>
      </c>
      <c r="AP131" s="52" t="s">
        <v>0</v>
      </c>
      <c r="AQ131" s="52" t="s">
        <v>0</v>
      </c>
      <c r="AR131" s="52"/>
      <c r="AS131" s="52" t="s">
        <v>1988</v>
      </c>
      <c r="AT131" s="52" t="s">
        <v>1988</v>
      </c>
      <c r="AU131" s="52" t="s">
        <v>1988</v>
      </c>
      <c r="AV131" s="52" t="s">
        <v>4350</v>
      </c>
      <c r="AW131" s="52" t="s">
        <v>4350</v>
      </c>
      <c r="AX131" s="52" t="s">
        <v>0</v>
      </c>
      <c r="AY131" s="52" t="s">
        <v>0</v>
      </c>
      <c r="AZ131" s="52" t="s">
        <v>0</v>
      </c>
      <c r="BA131" s="52" t="s">
        <v>3613</v>
      </c>
      <c r="BB131" s="52" t="s">
        <v>4512</v>
      </c>
      <c r="BC131" s="52" t="s">
        <v>4857</v>
      </c>
      <c r="BD131" s="52" t="s">
        <v>7720</v>
      </c>
      <c r="BE131" s="52" t="s">
        <v>2265</v>
      </c>
      <c r="BF131" s="52" t="s">
        <v>7604</v>
      </c>
      <c r="BG131" s="52" t="s">
        <v>4857</v>
      </c>
      <c r="BH131" s="52" t="s">
        <v>7876</v>
      </c>
      <c r="BI131" s="52" t="s">
        <v>7818</v>
      </c>
      <c r="BJ131" s="52" t="s">
        <v>2264</v>
      </c>
      <c r="BK131" s="52"/>
      <c r="BL131" s="52"/>
      <c r="BM131" s="52" t="s">
        <v>0</v>
      </c>
      <c r="BN131" s="52" t="s">
        <v>0</v>
      </c>
      <c r="BO131" s="52"/>
      <c r="BP131" s="52" t="s">
        <v>0</v>
      </c>
      <c r="BQ131" s="52" t="s">
        <v>0</v>
      </c>
      <c r="BR131" s="52" t="s">
        <v>0</v>
      </c>
      <c r="BS131" s="52" t="s">
        <v>0</v>
      </c>
      <c r="BT131" s="52" t="s">
        <v>0</v>
      </c>
      <c r="BU131" s="84" t="s">
        <v>2855</v>
      </c>
      <c r="BV131" s="84"/>
      <c r="BW131" s="52"/>
      <c r="BX131" s="52" t="s">
        <v>0</v>
      </c>
      <c r="BY131" s="52" t="s">
        <v>0</v>
      </c>
      <c r="BZ131" s="52" t="s">
        <v>0</v>
      </c>
      <c r="CA131" s="52" t="s">
        <v>0</v>
      </c>
      <c r="CB131" s="52" t="s">
        <v>0</v>
      </c>
      <c r="CC131" s="52"/>
      <c r="CD131" s="52"/>
      <c r="CE131" s="52" t="s">
        <v>0</v>
      </c>
      <c r="CF131" s="52" t="s">
        <v>0</v>
      </c>
    </row>
    <row r="132" spans="1:84" ht="18">
      <c r="A132" s="6" t="s">
        <v>135</v>
      </c>
      <c r="B132" s="200"/>
      <c r="C132" s="38" t="s">
        <v>0</v>
      </c>
      <c r="D132" s="38" t="s">
        <v>57</v>
      </c>
      <c r="E132" s="38" t="s">
        <v>0</v>
      </c>
      <c r="F132" s="38" t="s">
        <v>57</v>
      </c>
      <c r="G132" s="38" t="s">
        <v>5506</v>
      </c>
      <c r="H132" s="38" t="s">
        <v>57</v>
      </c>
      <c r="I132" s="36" t="s">
        <v>0</v>
      </c>
      <c r="J132" s="38" t="s">
        <v>57</v>
      </c>
      <c r="K132" s="36" t="s">
        <v>57</v>
      </c>
      <c r="L132" s="36" t="s">
        <v>57</v>
      </c>
      <c r="M132" s="38" t="s">
        <v>57</v>
      </c>
      <c r="N132" s="36" t="s">
        <v>0</v>
      </c>
      <c r="O132" s="38" t="s">
        <v>57</v>
      </c>
      <c r="P132" s="36" t="s">
        <v>57</v>
      </c>
      <c r="Q132" s="36" t="s">
        <v>57</v>
      </c>
      <c r="R132" s="38" t="s">
        <v>57</v>
      </c>
      <c r="S132" s="36" t="s">
        <v>57</v>
      </c>
      <c r="T132" s="38" t="s">
        <v>57</v>
      </c>
      <c r="U132" s="38" t="s">
        <v>57</v>
      </c>
      <c r="V132" s="145" t="s">
        <v>57</v>
      </c>
      <c r="W132" s="38" t="s">
        <v>57</v>
      </c>
      <c r="X132" s="165" t="s">
        <v>6443</v>
      </c>
      <c r="Y132" s="38" t="s">
        <v>0</v>
      </c>
      <c r="Z132" s="38" t="s">
        <v>0</v>
      </c>
      <c r="AA132" s="36" t="s">
        <v>57</v>
      </c>
      <c r="AB132" s="38" t="s">
        <v>57</v>
      </c>
      <c r="AC132" s="38" t="s">
        <v>57</v>
      </c>
      <c r="AD132" s="38" t="s">
        <v>0</v>
      </c>
      <c r="AE132" s="7" t="s">
        <v>57</v>
      </c>
      <c r="AF132" s="7" t="s">
        <v>57</v>
      </c>
      <c r="AG132" s="38" t="s">
        <v>7006</v>
      </c>
      <c r="AH132" s="38" t="s">
        <v>7006</v>
      </c>
      <c r="AI132" s="38" t="s">
        <v>7006</v>
      </c>
      <c r="AJ132" s="34" t="s">
        <v>57</v>
      </c>
      <c r="AK132" s="7" t="s">
        <v>0</v>
      </c>
      <c r="AL132" s="7" t="s">
        <v>57</v>
      </c>
      <c r="AM132" s="38" t="s">
        <v>57</v>
      </c>
      <c r="AN132" s="38" t="s">
        <v>57</v>
      </c>
      <c r="AO132" s="38" t="s">
        <v>57</v>
      </c>
      <c r="AP132" s="38" t="s">
        <v>57</v>
      </c>
      <c r="AQ132" s="38" t="s">
        <v>57</v>
      </c>
      <c r="AR132" s="38" t="s">
        <v>57</v>
      </c>
      <c r="AS132" s="38" t="s">
        <v>57</v>
      </c>
      <c r="AT132" s="38" t="s">
        <v>57</v>
      </c>
      <c r="AU132" s="38" t="s">
        <v>57</v>
      </c>
      <c r="AV132" s="38" t="s">
        <v>57</v>
      </c>
      <c r="AW132" s="38" t="s">
        <v>57</v>
      </c>
      <c r="AX132" s="36" t="s">
        <v>57</v>
      </c>
      <c r="AY132" s="36" t="s">
        <v>57</v>
      </c>
      <c r="AZ132" s="38" t="s">
        <v>0</v>
      </c>
      <c r="BA132" s="38" t="s">
        <v>57</v>
      </c>
      <c r="BB132" s="38" t="s">
        <v>57</v>
      </c>
      <c r="BC132" s="38" t="s">
        <v>57</v>
      </c>
      <c r="BD132" s="38" t="s">
        <v>57</v>
      </c>
      <c r="BE132" s="38" t="s">
        <v>57</v>
      </c>
      <c r="BF132" s="38" t="s">
        <v>57</v>
      </c>
      <c r="BG132" s="38" t="s">
        <v>57</v>
      </c>
      <c r="BH132" s="38" t="s">
        <v>57</v>
      </c>
      <c r="BI132" s="38" t="s">
        <v>57</v>
      </c>
      <c r="BJ132" s="38" t="s">
        <v>57</v>
      </c>
      <c r="BK132" s="38" t="s">
        <v>17</v>
      </c>
      <c r="BL132" s="38" t="s">
        <v>57</v>
      </c>
      <c r="BM132" s="38" t="s">
        <v>0</v>
      </c>
      <c r="BN132" s="38" t="s">
        <v>0</v>
      </c>
      <c r="BO132" s="38"/>
      <c r="BP132" s="38" t="s">
        <v>57</v>
      </c>
      <c r="BQ132" s="38" t="s">
        <v>57</v>
      </c>
      <c r="BR132" s="38" t="s">
        <v>0</v>
      </c>
      <c r="BS132" s="38" t="s">
        <v>57</v>
      </c>
      <c r="BT132" s="38" t="s">
        <v>57</v>
      </c>
      <c r="BU132" s="36" t="s">
        <v>57</v>
      </c>
      <c r="BV132" s="36" t="s">
        <v>57</v>
      </c>
      <c r="BW132" s="38" t="s">
        <v>57</v>
      </c>
      <c r="BX132" s="38" t="s">
        <v>57</v>
      </c>
      <c r="BY132" s="38" t="s">
        <v>57</v>
      </c>
      <c r="BZ132" s="36" t="s">
        <v>6208</v>
      </c>
      <c r="CA132" s="38" t="s">
        <v>6157</v>
      </c>
      <c r="CB132" s="38" t="s">
        <v>57</v>
      </c>
      <c r="CC132" s="38" t="s">
        <v>0</v>
      </c>
      <c r="CD132" s="38" t="s">
        <v>0</v>
      </c>
      <c r="CE132" s="38" t="s">
        <v>0</v>
      </c>
      <c r="CF132" s="38" t="s">
        <v>57</v>
      </c>
    </row>
    <row r="133" spans="1:84" ht="18">
      <c r="A133" s="51" t="s">
        <v>935</v>
      </c>
      <c r="B133" s="51"/>
      <c r="C133" s="52" t="s">
        <v>0</v>
      </c>
      <c r="D133" s="52" t="s">
        <v>2252</v>
      </c>
      <c r="E133" s="52" t="s">
        <v>0</v>
      </c>
      <c r="F133" s="52" t="s">
        <v>2778</v>
      </c>
      <c r="G133" s="52" t="s">
        <v>5507</v>
      </c>
      <c r="H133" s="52" t="s">
        <v>5508</v>
      </c>
      <c r="I133" s="52" t="s">
        <v>0</v>
      </c>
      <c r="J133" s="52" t="s">
        <v>5302</v>
      </c>
      <c r="K133" s="52" t="s">
        <v>8340</v>
      </c>
      <c r="L133" s="52" t="s">
        <v>8455</v>
      </c>
      <c r="M133" s="52" t="s">
        <v>1521</v>
      </c>
      <c r="N133" s="52" t="s">
        <v>0</v>
      </c>
      <c r="O133" s="52" t="s">
        <v>3365</v>
      </c>
      <c r="P133" s="52" t="s">
        <v>8590</v>
      </c>
      <c r="Q133" s="52" t="s">
        <v>8590</v>
      </c>
      <c r="R133" s="52" t="s">
        <v>1555</v>
      </c>
      <c r="S133" s="52" t="s">
        <v>8522</v>
      </c>
      <c r="T133" s="52" t="s">
        <v>5591</v>
      </c>
      <c r="U133" s="52" t="s">
        <v>5591</v>
      </c>
      <c r="V133" s="84"/>
      <c r="W133" s="52" t="s">
        <v>4430</v>
      </c>
      <c r="X133" s="84" t="s">
        <v>6442</v>
      </c>
      <c r="Y133" s="52" t="s">
        <v>2399</v>
      </c>
      <c r="Z133" s="52" t="s">
        <v>2399</v>
      </c>
      <c r="AA133" s="52" t="s">
        <v>2347</v>
      </c>
      <c r="AB133" s="52" t="s">
        <v>5933</v>
      </c>
      <c r="AC133" s="52" t="s">
        <v>4632</v>
      </c>
      <c r="AD133" s="52" t="s">
        <v>0</v>
      </c>
      <c r="AE133" s="52" t="s">
        <v>6019</v>
      </c>
      <c r="AF133" s="52" t="s">
        <v>6019</v>
      </c>
      <c r="AG133" s="186" t="s">
        <v>7030</v>
      </c>
      <c r="AH133" s="186" t="s">
        <v>7030</v>
      </c>
      <c r="AI133" s="186" t="s">
        <v>7030</v>
      </c>
      <c r="AJ133" s="52" t="s">
        <v>6108</v>
      </c>
      <c r="AK133" s="52" t="s">
        <v>0</v>
      </c>
      <c r="AL133" s="52" t="s">
        <v>4194</v>
      </c>
      <c r="AM133" s="52" t="s">
        <v>5413</v>
      </c>
      <c r="AN133" s="52" t="s">
        <v>5413</v>
      </c>
      <c r="AO133" s="52" t="s">
        <v>4245</v>
      </c>
      <c r="AP133" s="52" t="s">
        <v>6334</v>
      </c>
      <c r="AQ133" s="52" t="s">
        <v>2556</v>
      </c>
      <c r="AR133" s="52"/>
      <c r="AS133" s="52" t="s">
        <v>1988</v>
      </c>
      <c r="AT133" s="52" t="s">
        <v>1988</v>
      </c>
      <c r="AU133" s="52" t="s">
        <v>1988</v>
      </c>
      <c r="AV133" s="52" t="s">
        <v>4350</v>
      </c>
      <c r="AW133" s="52" t="s">
        <v>4350</v>
      </c>
      <c r="AX133" s="52" t="s">
        <v>1302</v>
      </c>
      <c r="AY133" s="52" t="s">
        <v>1302</v>
      </c>
      <c r="AZ133" s="52" t="s">
        <v>0</v>
      </c>
      <c r="BA133" s="52" t="s">
        <v>3613</v>
      </c>
      <c r="BB133" s="52" t="s">
        <v>4495</v>
      </c>
      <c r="BC133" s="52" t="s">
        <v>4857</v>
      </c>
      <c r="BD133" s="52" t="s">
        <v>7720</v>
      </c>
      <c r="BE133" s="52" t="s">
        <v>2265</v>
      </c>
      <c r="BF133" s="52" t="s">
        <v>7604</v>
      </c>
      <c r="BG133" s="52" t="s">
        <v>4857</v>
      </c>
      <c r="BH133" s="52" t="s">
        <v>7876</v>
      </c>
      <c r="BI133" s="52" t="s">
        <v>7818</v>
      </c>
      <c r="BJ133" s="52" t="s">
        <v>2264</v>
      </c>
      <c r="BK133" s="52"/>
      <c r="BL133" s="52"/>
      <c r="BM133" s="52" t="s">
        <v>0</v>
      </c>
      <c r="BN133" s="52" t="s">
        <v>0</v>
      </c>
      <c r="BO133" s="52"/>
      <c r="BP133" s="52" t="s">
        <v>2272</v>
      </c>
      <c r="BQ133" s="52" t="s">
        <v>2272</v>
      </c>
      <c r="BR133" s="52" t="s">
        <v>0</v>
      </c>
      <c r="BS133" s="52" t="s">
        <v>2648</v>
      </c>
      <c r="BT133" s="52" t="s">
        <v>2648</v>
      </c>
      <c r="BU133" s="84" t="s">
        <v>2850</v>
      </c>
      <c r="BV133" s="84"/>
      <c r="BW133" s="52"/>
      <c r="BX133" s="52" t="s">
        <v>3928</v>
      </c>
      <c r="BY133" s="52" t="s">
        <v>3811</v>
      </c>
      <c r="BZ133" s="52" t="s">
        <v>6209</v>
      </c>
      <c r="CA133" s="52" t="s">
        <v>3112</v>
      </c>
      <c r="CB133" s="52" t="s">
        <v>3112</v>
      </c>
      <c r="CC133" s="52"/>
      <c r="CD133" s="52"/>
      <c r="CE133" s="52" t="s">
        <v>0</v>
      </c>
      <c r="CF133" s="52" t="s">
        <v>2158</v>
      </c>
    </row>
    <row r="134" spans="1:84" ht="27">
      <c r="A134" s="6" t="s">
        <v>136</v>
      </c>
      <c r="B134" s="200"/>
      <c r="C134" s="38" t="s">
        <v>0</v>
      </c>
      <c r="D134" s="38" t="s">
        <v>0</v>
      </c>
      <c r="E134" s="38" t="s">
        <v>0</v>
      </c>
      <c r="F134" s="38" t="s">
        <v>0</v>
      </c>
      <c r="G134" s="38" t="s">
        <v>0</v>
      </c>
      <c r="H134" s="38" t="s">
        <v>0</v>
      </c>
      <c r="I134" s="36" t="s">
        <v>0</v>
      </c>
      <c r="J134" s="38" t="s">
        <v>0</v>
      </c>
      <c r="K134" s="36" t="s">
        <v>0</v>
      </c>
      <c r="L134" s="36" t="s">
        <v>0</v>
      </c>
      <c r="M134" s="38" t="s">
        <v>0</v>
      </c>
      <c r="N134" s="36" t="s">
        <v>0</v>
      </c>
      <c r="O134" s="38" t="s">
        <v>0</v>
      </c>
      <c r="P134" s="36" t="s">
        <v>0</v>
      </c>
      <c r="Q134" s="36" t="s">
        <v>0</v>
      </c>
      <c r="R134" s="38" t="s">
        <v>0</v>
      </c>
      <c r="S134" s="36" t="s">
        <v>0</v>
      </c>
      <c r="T134" s="38" t="s">
        <v>0</v>
      </c>
      <c r="U134" s="38" t="s">
        <v>0</v>
      </c>
      <c r="V134" s="145" t="s">
        <v>5493</v>
      </c>
      <c r="W134" s="38" t="s">
        <v>0</v>
      </c>
      <c r="X134" s="38" t="s">
        <v>0</v>
      </c>
      <c r="Y134" s="38" t="s">
        <v>0</v>
      </c>
      <c r="Z134" s="38" t="s">
        <v>0</v>
      </c>
      <c r="AA134" s="38" t="s">
        <v>0</v>
      </c>
      <c r="AB134" s="38" t="s">
        <v>0</v>
      </c>
      <c r="AC134" s="38" t="s">
        <v>0</v>
      </c>
      <c r="AD134" s="38" t="s">
        <v>0</v>
      </c>
      <c r="AE134" s="7" t="s">
        <v>427</v>
      </c>
      <c r="AF134" s="7" t="s">
        <v>427</v>
      </c>
      <c r="AG134" s="36" t="s">
        <v>7007</v>
      </c>
      <c r="AH134" s="36" t="s">
        <v>7007</v>
      </c>
      <c r="AI134" s="36" t="s">
        <v>7007</v>
      </c>
      <c r="AJ134" s="7" t="s">
        <v>0</v>
      </c>
      <c r="AK134" s="7" t="s">
        <v>0</v>
      </c>
      <c r="AL134" s="7" t="s">
        <v>0</v>
      </c>
      <c r="AM134" s="38" t="s">
        <v>0</v>
      </c>
      <c r="AN134" s="38" t="s">
        <v>0</v>
      </c>
      <c r="AO134" s="38" t="s">
        <v>0</v>
      </c>
      <c r="AP134" s="38" t="s">
        <v>0</v>
      </c>
      <c r="AQ134" s="38" t="s">
        <v>0</v>
      </c>
      <c r="AR134" s="38" t="s">
        <v>0</v>
      </c>
      <c r="AS134" s="38" t="s">
        <v>0</v>
      </c>
      <c r="AT134" s="38" t="s">
        <v>0</v>
      </c>
      <c r="AU134" s="38" t="s">
        <v>0</v>
      </c>
      <c r="AV134" s="38" t="s">
        <v>0</v>
      </c>
      <c r="AW134" s="38" t="s">
        <v>0</v>
      </c>
      <c r="AX134" s="38" t="s">
        <v>0</v>
      </c>
      <c r="AY134" s="38" t="s">
        <v>0</v>
      </c>
      <c r="AZ134" s="36" t="s">
        <v>0</v>
      </c>
      <c r="BA134" s="36" t="s">
        <v>0</v>
      </c>
      <c r="BB134" s="36" t="s">
        <v>601</v>
      </c>
      <c r="BC134" s="38" t="s">
        <v>57</v>
      </c>
      <c r="BD134" s="38" t="s">
        <v>57</v>
      </c>
      <c r="BE134" s="38" t="s">
        <v>57</v>
      </c>
      <c r="BF134" s="38" t="s">
        <v>57</v>
      </c>
      <c r="BG134" s="38" t="s">
        <v>57</v>
      </c>
      <c r="BH134" s="38" t="s">
        <v>57</v>
      </c>
      <c r="BI134" s="38" t="s">
        <v>57</v>
      </c>
      <c r="BJ134" s="38" t="s">
        <v>57</v>
      </c>
      <c r="BK134" s="38" t="s">
        <v>17</v>
      </c>
      <c r="BL134" s="38" t="s">
        <v>57</v>
      </c>
      <c r="BM134" s="38" t="s">
        <v>0</v>
      </c>
      <c r="BN134" s="38" t="s">
        <v>0</v>
      </c>
      <c r="BO134" s="38"/>
      <c r="BP134" s="38" t="s">
        <v>0</v>
      </c>
      <c r="BQ134" s="38" t="s">
        <v>0</v>
      </c>
      <c r="BR134" s="38" t="s">
        <v>0</v>
      </c>
      <c r="BS134" s="38" t="s">
        <v>0</v>
      </c>
      <c r="BT134" s="38" t="s">
        <v>0</v>
      </c>
      <c r="BU134" s="36" t="s">
        <v>0</v>
      </c>
      <c r="BV134" s="36" t="s">
        <v>6145</v>
      </c>
      <c r="BW134" s="36" t="s">
        <v>707</v>
      </c>
      <c r="BX134" s="36" t="s">
        <v>0</v>
      </c>
      <c r="BY134" s="36" t="s">
        <v>0</v>
      </c>
      <c r="BZ134" s="36" t="s">
        <v>0</v>
      </c>
      <c r="CA134" s="38" t="s">
        <v>0</v>
      </c>
      <c r="CB134" s="38" t="s">
        <v>0</v>
      </c>
      <c r="CC134" s="38" t="s">
        <v>0</v>
      </c>
      <c r="CD134" s="38" t="s">
        <v>0</v>
      </c>
      <c r="CE134" s="38" t="s">
        <v>0</v>
      </c>
      <c r="CF134" s="38" t="s">
        <v>0</v>
      </c>
    </row>
    <row r="135" spans="1:84">
      <c r="A135" s="51" t="s">
        <v>935</v>
      </c>
      <c r="B135" s="51"/>
      <c r="C135" s="52" t="s">
        <v>0</v>
      </c>
      <c r="D135" s="52" t="s">
        <v>0</v>
      </c>
      <c r="E135" s="52" t="s">
        <v>0</v>
      </c>
      <c r="F135" s="52" t="s">
        <v>0</v>
      </c>
      <c r="G135" s="52" t="s">
        <v>0</v>
      </c>
      <c r="H135" s="52" t="s">
        <v>0</v>
      </c>
      <c r="I135" s="52" t="s">
        <v>0</v>
      </c>
      <c r="J135" s="52" t="s">
        <v>0</v>
      </c>
      <c r="K135" s="52" t="s">
        <v>0</v>
      </c>
      <c r="L135" s="52" t="s">
        <v>0</v>
      </c>
      <c r="M135" s="52" t="s">
        <v>0</v>
      </c>
      <c r="N135" s="52" t="s">
        <v>0</v>
      </c>
      <c r="O135" s="52" t="s">
        <v>0</v>
      </c>
      <c r="P135" s="52" t="s">
        <v>0</v>
      </c>
      <c r="Q135" s="52" t="s">
        <v>0</v>
      </c>
      <c r="R135" s="52" t="s">
        <v>0</v>
      </c>
      <c r="S135" s="52" t="s">
        <v>0</v>
      </c>
      <c r="T135" s="52" t="s">
        <v>0</v>
      </c>
      <c r="U135" s="52" t="s">
        <v>0</v>
      </c>
      <c r="V135" s="84"/>
      <c r="W135" s="52" t="s">
        <v>0</v>
      </c>
      <c r="X135" s="52"/>
      <c r="Y135" s="52" t="s">
        <v>0</v>
      </c>
      <c r="Z135" s="52" t="s">
        <v>0</v>
      </c>
      <c r="AA135" s="52" t="s">
        <v>0</v>
      </c>
      <c r="AB135" s="52" t="s">
        <v>0</v>
      </c>
      <c r="AC135" s="52" t="s">
        <v>0</v>
      </c>
      <c r="AD135" s="52" t="s">
        <v>0</v>
      </c>
      <c r="AE135" s="52" t="s">
        <v>6020</v>
      </c>
      <c r="AF135" s="52" t="s">
        <v>6020</v>
      </c>
      <c r="AG135" s="186" t="s">
        <v>7029</v>
      </c>
      <c r="AH135" s="186" t="s">
        <v>7029</v>
      </c>
      <c r="AI135" s="186" t="s">
        <v>7029</v>
      </c>
      <c r="AJ135" s="52" t="s">
        <v>0</v>
      </c>
      <c r="AK135" s="52" t="s">
        <v>0</v>
      </c>
      <c r="AL135" s="52" t="s">
        <v>0</v>
      </c>
      <c r="AM135" s="52" t="s">
        <v>0</v>
      </c>
      <c r="AN135" s="52" t="s">
        <v>0</v>
      </c>
      <c r="AO135" s="52" t="s">
        <v>0</v>
      </c>
      <c r="AP135" s="52" t="s">
        <v>0</v>
      </c>
      <c r="AQ135" s="52" t="s">
        <v>0</v>
      </c>
      <c r="AR135" s="52"/>
      <c r="AS135" s="52" t="s">
        <v>0</v>
      </c>
      <c r="AT135" s="52" t="s">
        <v>0</v>
      </c>
      <c r="AU135" s="52" t="s">
        <v>0</v>
      </c>
      <c r="AV135" s="52" t="s">
        <v>0</v>
      </c>
      <c r="AW135" s="52" t="s">
        <v>0</v>
      </c>
      <c r="AX135" s="52" t="s">
        <v>0</v>
      </c>
      <c r="AY135" s="52" t="s">
        <v>0</v>
      </c>
      <c r="AZ135" s="52" t="s">
        <v>0</v>
      </c>
      <c r="BA135" s="52" t="s">
        <v>0</v>
      </c>
      <c r="BB135" s="52" t="s">
        <v>4495</v>
      </c>
      <c r="BC135" s="52" t="s">
        <v>4857</v>
      </c>
      <c r="BD135" s="52" t="s">
        <v>7720</v>
      </c>
      <c r="BE135" s="52" t="s">
        <v>2265</v>
      </c>
      <c r="BF135" s="52" t="s">
        <v>7604</v>
      </c>
      <c r="BG135" s="52" t="s">
        <v>4857</v>
      </c>
      <c r="BH135" s="52" t="s">
        <v>7876</v>
      </c>
      <c r="BI135" s="52" t="s">
        <v>7818</v>
      </c>
      <c r="BJ135" s="52" t="s">
        <v>2264</v>
      </c>
      <c r="BK135" s="52"/>
      <c r="BL135" s="52"/>
      <c r="BM135" s="52" t="s">
        <v>0</v>
      </c>
      <c r="BN135" s="52" t="s">
        <v>0</v>
      </c>
      <c r="BO135" s="52"/>
      <c r="BP135" s="52" t="s">
        <v>0</v>
      </c>
      <c r="BQ135" s="52" t="s">
        <v>0</v>
      </c>
      <c r="BR135" s="52" t="s">
        <v>0</v>
      </c>
      <c r="BS135" s="52" t="s">
        <v>0</v>
      </c>
      <c r="BT135" s="52" t="s">
        <v>0</v>
      </c>
      <c r="BU135" s="84" t="s">
        <v>0</v>
      </c>
      <c r="BV135" s="84"/>
      <c r="BW135" s="52"/>
      <c r="BX135" s="52" t="s">
        <v>0</v>
      </c>
      <c r="BY135" s="52" t="s">
        <v>0</v>
      </c>
      <c r="BZ135" s="52" t="s">
        <v>0</v>
      </c>
      <c r="CA135" s="52" t="s">
        <v>0</v>
      </c>
      <c r="CB135" s="52" t="s">
        <v>0</v>
      </c>
      <c r="CC135" s="52"/>
      <c r="CD135" s="52"/>
      <c r="CE135" s="52" t="s">
        <v>0</v>
      </c>
      <c r="CF135" s="52" t="s">
        <v>0</v>
      </c>
    </row>
    <row r="136" spans="1:84" ht="18">
      <c r="A136" s="181" t="s">
        <v>6552</v>
      </c>
      <c r="B136" s="200"/>
      <c r="C136" s="214" t="s">
        <v>57</v>
      </c>
      <c r="D136" s="214" t="s">
        <v>57</v>
      </c>
      <c r="E136" s="214" t="s">
        <v>0</v>
      </c>
      <c r="F136" s="214" t="s">
        <v>57</v>
      </c>
      <c r="G136" s="214" t="s">
        <v>57</v>
      </c>
      <c r="H136" s="214" t="s">
        <v>57</v>
      </c>
      <c r="I136" s="38" t="s">
        <v>137</v>
      </c>
      <c r="J136" s="214" t="s">
        <v>57</v>
      </c>
      <c r="K136" s="36" t="s">
        <v>57</v>
      </c>
      <c r="L136" s="36" t="s">
        <v>57</v>
      </c>
      <c r="M136" s="214" t="s">
        <v>57</v>
      </c>
      <c r="N136" s="36" t="s">
        <v>57</v>
      </c>
      <c r="O136" s="214" t="s">
        <v>57</v>
      </c>
      <c r="P136" s="36" t="s">
        <v>57</v>
      </c>
      <c r="Q136" s="36" t="s">
        <v>57</v>
      </c>
      <c r="R136" s="214" t="s">
        <v>57</v>
      </c>
      <c r="S136" s="36" t="s">
        <v>57</v>
      </c>
      <c r="T136" s="214" t="s">
        <v>57</v>
      </c>
      <c r="U136" s="212" t="s">
        <v>3269</v>
      </c>
      <c r="V136" s="217" t="s">
        <v>57</v>
      </c>
      <c r="W136" s="214" t="s">
        <v>57</v>
      </c>
      <c r="X136" s="214" t="s">
        <v>57</v>
      </c>
      <c r="Y136" s="214" t="s">
        <v>0</v>
      </c>
      <c r="Z136" s="214" t="s">
        <v>57</v>
      </c>
      <c r="AA136" s="214" t="s">
        <v>57</v>
      </c>
      <c r="AB136" s="214" t="s">
        <v>57</v>
      </c>
      <c r="AC136" s="214" t="s">
        <v>57</v>
      </c>
      <c r="AD136" s="214" t="s">
        <v>57</v>
      </c>
      <c r="AE136" s="213" t="s">
        <v>57</v>
      </c>
      <c r="AF136" s="213" t="s">
        <v>57</v>
      </c>
      <c r="AG136" s="38" t="s">
        <v>57</v>
      </c>
      <c r="AH136" s="38" t="s">
        <v>57</v>
      </c>
      <c r="AI136" s="38" t="s">
        <v>57</v>
      </c>
      <c r="AJ136" s="218" t="s">
        <v>57</v>
      </c>
      <c r="AK136" s="213" t="s">
        <v>0</v>
      </c>
      <c r="AL136" s="218" t="s">
        <v>57</v>
      </c>
      <c r="AM136" s="214" t="s">
        <v>57</v>
      </c>
      <c r="AN136" s="214" t="s">
        <v>57</v>
      </c>
      <c r="AO136" s="214" t="s">
        <v>57</v>
      </c>
      <c r="AP136" s="214" t="s">
        <v>57</v>
      </c>
      <c r="AQ136" s="214" t="s">
        <v>57</v>
      </c>
      <c r="AR136" s="214" t="s">
        <v>57</v>
      </c>
      <c r="AS136" s="212" t="s">
        <v>1989</v>
      </c>
      <c r="AT136" s="212" t="s">
        <v>1989</v>
      </c>
      <c r="AU136" s="212" t="s">
        <v>1989</v>
      </c>
      <c r="AV136" s="214" t="s">
        <v>57</v>
      </c>
      <c r="AW136" s="214" t="s">
        <v>57</v>
      </c>
      <c r="AX136" s="214" t="s">
        <v>57</v>
      </c>
      <c r="AY136" s="214" t="s">
        <v>57</v>
      </c>
      <c r="AZ136" s="214" t="s">
        <v>57</v>
      </c>
      <c r="BA136" s="214" t="s">
        <v>57</v>
      </c>
      <c r="BB136" s="214" t="s">
        <v>57</v>
      </c>
      <c r="BC136" s="214" t="s">
        <v>57</v>
      </c>
      <c r="BD136" s="38" t="s">
        <v>57</v>
      </c>
      <c r="BE136" s="214" t="s">
        <v>57</v>
      </c>
      <c r="BF136" s="38" t="s">
        <v>57</v>
      </c>
      <c r="BG136" s="214" t="s">
        <v>57</v>
      </c>
      <c r="BH136" s="38" t="s">
        <v>57</v>
      </c>
      <c r="BI136" s="38" t="s">
        <v>57</v>
      </c>
      <c r="BJ136" s="214" t="s">
        <v>57</v>
      </c>
      <c r="BK136" s="214" t="s">
        <v>57</v>
      </c>
      <c r="BL136" s="214" t="s">
        <v>57</v>
      </c>
      <c r="BM136" s="214" t="s">
        <v>0</v>
      </c>
      <c r="BN136" s="214" t="s">
        <v>57</v>
      </c>
      <c r="BO136" s="214"/>
      <c r="BP136" s="214" t="s">
        <v>57</v>
      </c>
      <c r="BQ136" s="214" t="s">
        <v>57</v>
      </c>
      <c r="BR136" s="214" t="s">
        <v>57</v>
      </c>
      <c r="BS136" s="214" t="s">
        <v>57</v>
      </c>
      <c r="BT136" s="214" t="s">
        <v>57</v>
      </c>
      <c r="BU136" s="212" t="s">
        <v>57</v>
      </c>
      <c r="BV136" s="212" t="s">
        <v>57</v>
      </c>
      <c r="BW136" s="212" t="s">
        <v>6149</v>
      </c>
      <c r="BX136" s="214" t="s">
        <v>57</v>
      </c>
      <c r="BY136" s="214" t="s">
        <v>57</v>
      </c>
      <c r="BZ136" s="212" t="s">
        <v>6208</v>
      </c>
      <c r="CA136" s="214" t="s">
        <v>57</v>
      </c>
      <c r="CB136" s="214" t="s">
        <v>57</v>
      </c>
      <c r="CC136" s="214" t="s">
        <v>57</v>
      </c>
      <c r="CD136" s="214" t="s">
        <v>57</v>
      </c>
      <c r="CE136" s="214" t="s">
        <v>57</v>
      </c>
      <c r="CF136" s="214" t="s">
        <v>57</v>
      </c>
    </row>
    <row r="137" spans="1:84">
      <c r="A137" s="51" t="s">
        <v>935</v>
      </c>
      <c r="B137" s="51"/>
      <c r="C137" s="52" t="s">
        <v>1664</v>
      </c>
      <c r="D137" s="52" t="s">
        <v>1664</v>
      </c>
      <c r="E137" s="52" t="s">
        <v>0</v>
      </c>
      <c r="F137" s="52" t="s">
        <v>2778</v>
      </c>
      <c r="G137" s="52" t="s">
        <v>1452</v>
      </c>
      <c r="H137" s="52" t="s">
        <v>1452</v>
      </c>
      <c r="I137" s="52" t="s">
        <v>8161</v>
      </c>
      <c r="J137" s="52" t="s">
        <v>1664</v>
      </c>
      <c r="K137" s="52" t="s">
        <v>8341</v>
      </c>
      <c r="L137" s="52" t="s">
        <v>8456</v>
      </c>
      <c r="M137" s="52" t="s">
        <v>1664</v>
      </c>
      <c r="N137" s="52" t="s">
        <v>8275</v>
      </c>
      <c r="O137" s="52" t="s">
        <v>1664</v>
      </c>
      <c r="P137" s="52" t="s">
        <v>8591</v>
      </c>
      <c r="Q137" s="52" t="s">
        <v>8591</v>
      </c>
      <c r="R137" s="52" t="s">
        <v>1664</v>
      </c>
      <c r="S137" s="52" t="s">
        <v>8523</v>
      </c>
      <c r="T137" s="52" t="s">
        <v>5591</v>
      </c>
      <c r="U137" s="52" t="s">
        <v>5591</v>
      </c>
      <c r="V137" s="84"/>
      <c r="W137" s="52" t="s">
        <v>4430</v>
      </c>
      <c r="X137" s="52" t="s">
        <v>6440</v>
      </c>
      <c r="Y137" s="52" t="s">
        <v>2398</v>
      </c>
      <c r="Z137" s="52" t="s">
        <v>2398</v>
      </c>
      <c r="AA137" s="52" t="s">
        <v>2398</v>
      </c>
      <c r="AB137" s="52" t="s">
        <v>4708</v>
      </c>
      <c r="AC137" s="52" t="s">
        <v>4708</v>
      </c>
      <c r="AD137" s="52" t="s">
        <v>4708</v>
      </c>
      <c r="AE137" s="52" t="s">
        <v>6021</v>
      </c>
      <c r="AF137" s="52" t="s">
        <v>6021</v>
      </c>
      <c r="AG137" s="186" t="s">
        <v>7028</v>
      </c>
      <c r="AH137" s="186" t="s">
        <v>7028</v>
      </c>
      <c r="AI137" s="186" t="s">
        <v>7028</v>
      </c>
      <c r="AJ137" s="52" t="s">
        <v>6108</v>
      </c>
      <c r="AK137" s="52" t="s">
        <v>0</v>
      </c>
      <c r="AL137" s="52" t="s">
        <v>1856</v>
      </c>
      <c r="AM137" s="52" t="s">
        <v>5463</v>
      </c>
      <c r="AN137" s="52" t="s">
        <v>5463</v>
      </c>
      <c r="AO137" s="52" t="s">
        <v>4246</v>
      </c>
      <c r="AP137" s="52" t="s">
        <v>1025</v>
      </c>
      <c r="AQ137" s="52" t="s">
        <v>1025</v>
      </c>
      <c r="AR137" s="52"/>
      <c r="AS137" s="52" t="s">
        <v>2023</v>
      </c>
      <c r="AT137" s="52" t="s">
        <v>2023</v>
      </c>
      <c r="AU137" s="52" t="s">
        <v>2023</v>
      </c>
      <c r="AV137" s="52" t="s">
        <v>4324</v>
      </c>
      <c r="AW137" s="52" t="s">
        <v>4324</v>
      </c>
      <c r="AX137" s="52" t="s">
        <v>1369</v>
      </c>
      <c r="AY137" s="52" t="s">
        <v>1369</v>
      </c>
      <c r="AZ137" s="52" t="s">
        <v>3711</v>
      </c>
      <c r="BA137" s="52" t="s">
        <v>3705</v>
      </c>
      <c r="BB137" s="52" t="s">
        <v>4513</v>
      </c>
      <c r="BC137" s="52" t="s">
        <v>4976</v>
      </c>
      <c r="BD137" s="52" t="s">
        <v>7721</v>
      </c>
      <c r="BE137" s="52" t="s">
        <v>4976</v>
      </c>
      <c r="BF137" s="52" t="s">
        <v>7605</v>
      </c>
      <c r="BG137" s="52" t="s">
        <v>4976</v>
      </c>
      <c r="BH137" s="52" t="s">
        <v>7875</v>
      </c>
      <c r="BI137" s="52" t="s">
        <v>7819</v>
      </c>
      <c r="BJ137" s="52" t="s">
        <v>4976</v>
      </c>
      <c r="BK137" s="52"/>
      <c r="BL137" s="52"/>
      <c r="BM137" s="52" t="s">
        <v>0</v>
      </c>
      <c r="BN137" s="52" t="s">
        <v>2289</v>
      </c>
      <c r="BO137" s="52"/>
      <c r="BP137" s="52" t="s">
        <v>2289</v>
      </c>
      <c r="BQ137" s="52" t="s">
        <v>2289</v>
      </c>
      <c r="BR137" s="52" t="s">
        <v>2718</v>
      </c>
      <c r="BS137" s="52" t="s">
        <v>2718</v>
      </c>
      <c r="BT137" s="52" t="s">
        <v>2718</v>
      </c>
      <c r="BU137" s="84" t="s">
        <v>2854</v>
      </c>
      <c r="BV137" s="84"/>
      <c r="BW137" s="52"/>
      <c r="BX137" s="52" t="s">
        <v>3929</v>
      </c>
      <c r="BY137" s="52" t="s">
        <v>3813</v>
      </c>
      <c r="BZ137" s="52" t="s">
        <v>6210</v>
      </c>
      <c r="CA137" s="52" t="s">
        <v>3163</v>
      </c>
      <c r="CB137" s="52" t="s">
        <v>3163</v>
      </c>
      <c r="CC137" s="52"/>
      <c r="CD137" s="52"/>
      <c r="CE137" s="52" t="s">
        <v>3250</v>
      </c>
      <c r="CF137" s="52" t="s">
        <v>2132</v>
      </c>
    </row>
    <row r="138" spans="1:84" ht="18">
      <c r="A138" s="6" t="s">
        <v>139</v>
      </c>
      <c r="B138" s="200"/>
      <c r="C138" s="38" t="s">
        <v>57</v>
      </c>
      <c r="D138" s="38" t="s">
        <v>57</v>
      </c>
      <c r="E138" s="38" t="s">
        <v>0</v>
      </c>
      <c r="F138" s="38" t="s">
        <v>0</v>
      </c>
      <c r="G138" s="38" t="s">
        <v>0</v>
      </c>
      <c r="H138" s="38" t="s">
        <v>0</v>
      </c>
      <c r="I138" s="38" t="s">
        <v>0</v>
      </c>
      <c r="J138" s="38" t="s">
        <v>0</v>
      </c>
      <c r="K138" s="38" t="s">
        <v>0</v>
      </c>
      <c r="L138" s="38" t="s">
        <v>0</v>
      </c>
      <c r="M138" s="38" t="s">
        <v>0</v>
      </c>
      <c r="N138" s="38" t="s">
        <v>0</v>
      </c>
      <c r="O138" s="38" t="s">
        <v>0</v>
      </c>
      <c r="P138" s="38" t="s">
        <v>0</v>
      </c>
      <c r="Q138" s="38" t="s">
        <v>0</v>
      </c>
      <c r="R138" s="38" t="s">
        <v>0</v>
      </c>
      <c r="S138" s="38" t="s">
        <v>0</v>
      </c>
      <c r="T138" s="38" t="s">
        <v>57</v>
      </c>
      <c r="U138" s="38" t="s">
        <v>57</v>
      </c>
      <c r="V138" s="145" t="s">
        <v>5493</v>
      </c>
      <c r="W138" s="38" t="s">
        <v>57</v>
      </c>
      <c r="X138" s="38" t="s">
        <v>6444</v>
      </c>
      <c r="Y138" s="38" t="s">
        <v>0</v>
      </c>
      <c r="Z138" s="38" t="s">
        <v>0</v>
      </c>
      <c r="AA138" s="38" t="s">
        <v>0</v>
      </c>
      <c r="AB138" s="36" t="s">
        <v>4710</v>
      </c>
      <c r="AC138" s="36" t="s">
        <v>4710</v>
      </c>
      <c r="AD138" s="38" t="s">
        <v>0</v>
      </c>
      <c r="AE138" s="7" t="s">
        <v>57</v>
      </c>
      <c r="AF138" s="7" t="s">
        <v>57</v>
      </c>
      <c r="AG138" s="38" t="s">
        <v>57</v>
      </c>
      <c r="AH138" s="38" t="s">
        <v>57</v>
      </c>
      <c r="AI138" s="38" t="s">
        <v>57</v>
      </c>
      <c r="AJ138" s="7" t="s">
        <v>0</v>
      </c>
      <c r="AK138" s="7" t="s">
        <v>0</v>
      </c>
      <c r="AL138" s="7" t="s">
        <v>0</v>
      </c>
      <c r="AM138" s="38" t="s">
        <v>0</v>
      </c>
      <c r="AN138" s="38" t="s">
        <v>0</v>
      </c>
      <c r="AO138" s="38" t="s">
        <v>0</v>
      </c>
      <c r="AP138" s="38" t="s">
        <v>0</v>
      </c>
      <c r="AQ138" s="38" t="s">
        <v>0</v>
      </c>
      <c r="AR138" s="38" t="s">
        <v>0</v>
      </c>
      <c r="AS138" s="38" t="s">
        <v>0</v>
      </c>
      <c r="AT138" s="38" t="s">
        <v>0</v>
      </c>
      <c r="AU138" s="38" t="s">
        <v>0</v>
      </c>
      <c r="AV138" s="38" t="s">
        <v>0</v>
      </c>
      <c r="AW138" s="38" t="s">
        <v>0</v>
      </c>
      <c r="AX138" s="38" t="s">
        <v>0</v>
      </c>
      <c r="AY138" s="38" t="s">
        <v>0</v>
      </c>
      <c r="AZ138" s="38" t="s">
        <v>57</v>
      </c>
      <c r="BA138" s="38" t="s">
        <v>57</v>
      </c>
      <c r="BB138" s="38" t="s">
        <v>57</v>
      </c>
      <c r="BC138" s="38" t="s">
        <v>57</v>
      </c>
      <c r="BD138" s="38" t="s">
        <v>57</v>
      </c>
      <c r="BE138" s="38" t="s">
        <v>57</v>
      </c>
      <c r="BF138" s="38" t="s">
        <v>57</v>
      </c>
      <c r="BG138" s="38" t="s">
        <v>57</v>
      </c>
      <c r="BH138" s="38" t="s">
        <v>57</v>
      </c>
      <c r="BI138" s="38" t="s">
        <v>57</v>
      </c>
      <c r="BJ138" s="38" t="s">
        <v>57</v>
      </c>
      <c r="BK138" s="38" t="s">
        <v>57</v>
      </c>
      <c r="BL138" s="38" t="s">
        <v>57</v>
      </c>
      <c r="BM138" s="38" t="s">
        <v>0</v>
      </c>
      <c r="BN138" s="38" t="s">
        <v>0</v>
      </c>
      <c r="BO138" s="38"/>
      <c r="BP138" s="38" t="s">
        <v>0</v>
      </c>
      <c r="BQ138" s="38" t="s">
        <v>0</v>
      </c>
      <c r="BR138" s="38" t="s">
        <v>0</v>
      </c>
      <c r="BS138" s="38" t="s">
        <v>0</v>
      </c>
      <c r="BT138" s="38" t="s">
        <v>0</v>
      </c>
      <c r="BU138" s="36" t="s">
        <v>0</v>
      </c>
      <c r="BV138" s="36" t="s">
        <v>0</v>
      </c>
      <c r="BW138" s="38" t="s">
        <v>0</v>
      </c>
      <c r="BX138" s="38" t="s">
        <v>3756</v>
      </c>
      <c r="BY138" s="38" t="s">
        <v>3756</v>
      </c>
      <c r="BZ138" s="38" t="s">
        <v>0</v>
      </c>
      <c r="CA138" s="38" t="s">
        <v>0</v>
      </c>
      <c r="CB138" s="38" t="s">
        <v>0</v>
      </c>
      <c r="CC138" s="38" t="s">
        <v>0</v>
      </c>
      <c r="CD138" s="38" t="s">
        <v>0</v>
      </c>
      <c r="CE138" s="38" t="s">
        <v>0</v>
      </c>
      <c r="CF138" s="38" t="s">
        <v>57</v>
      </c>
    </row>
    <row r="139" spans="1:84">
      <c r="A139" s="51" t="s">
        <v>935</v>
      </c>
      <c r="B139" s="51"/>
      <c r="C139" s="52" t="s">
        <v>1664</v>
      </c>
      <c r="D139" s="52" t="s">
        <v>1664</v>
      </c>
      <c r="E139" s="52" t="s">
        <v>0</v>
      </c>
      <c r="F139" s="52" t="s">
        <v>0</v>
      </c>
      <c r="G139" s="52" t="s">
        <v>0</v>
      </c>
      <c r="H139" s="52" t="s">
        <v>0</v>
      </c>
      <c r="I139" s="52" t="s">
        <v>0</v>
      </c>
      <c r="J139" s="52" t="s">
        <v>0</v>
      </c>
      <c r="K139" s="52" t="s">
        <v>0</v>
      </c>
      <c r="L139" s="52" t="s">
        <v>0</v>
      </c>
      <c r="M139" s="52" t="s">
        <v>0</v>
      </c>
      <c r="N139" s="52" t="s">
        <v>0</v>
      </c>
      <c r="O139" s="52" t="s">
        <v>0</v>
      </c>
      <c r="P139" s="52" t="s">
        <v>0</v>
      </c>
      <c r="Q139" s="52" t="s">
        <v>0</v>
      </c>
      <c r="R139" s="52" t="s">
        <v>0</v>
      </c>
      <c r="S139" s="52" t="s">
        <v>0</v>
      </c>
      <c r="T139" s="52" t="s">
        <v>5591</v>
      </c>
      <c r="U139" s="52" t="s">
        <v>5591</v>
      </c>
      <c r="V139" s="84"/>
      <c r="W139" s="52" t="s">
        <v>4430</v>
      </c>
      <c r="X139" s="52"/>
      <c r="Y139" s="52" t="s">
        <v>0</v>
      </c>
      <c r="Z139" s="52" t="s">
        <v>0</v>
      </c>
      <c r="AA139" s="52" t="s">
        <v>0</v>
      </c>
      <c r="AB139" s="52" t="s">
        <v>4632</v>
      </c>
      <c r="AC139" s="52" t="s">
        <v>5932</v>
      </c>
      <c r="AD139" s="52" t="s">
        <v>0</v>
      </c>
      <c r="AE139" s="52" t="s">
        <v>6022</v>
      </c>
      <c r="AF139" s="52" t="s">
        <v>6022</v>
      </c>
      <c r="AG139" s="186" t="s">
        <v>7027</v>
      </c>
      <c r="AH139" s="186" t="s">
        <v>7027</v>
      </c>
      <c r="AI139" s="186" t="s">
        <v>7027</v>
      </c>
      <c r="AJ139" s="52" t="s">
        <v>0</v>
      </c>
      <c r="AK139" s="52" t="s">
        <v>0</v>
      </c>
      <c r="AL139" s="52" t="s">
        <v>0</v>
      </c>
      <c r="AM139" s="52" t="s">
        <v>0</v>
      </c>
      <c r="AN139" s="52" t="s">
        <v>0</v>
      </c>
      <c r="AO139" s="52" t="s">
        <v>0</v>
      </c>
      <c r="AP139" s="52" t="s">
        <v>0</v>
      </c>
      <c r="AQ139" s="52" t="s">
        <v>0</v>
      </c>
      <c r="AR139" s="52"/>
      <c r="AS139" s="52" t="s">
        <v>0</v>
      </c>
      <c r="AT139" s="52" t="s">
        <v>0</v>
      </c>
      <c r="AU139" s="52" t="s">
        <v>0</v>
      </c>
      <c r="AV139" s="52" t="s">
        <v>0</v>
      </c>
      <c r="AW139" s="52" t="s">
        <v>0</v>
      </c>
      <c r="AX139" s="52" t="s">
        <v>0</v>
      </c>
      <c r="AY139" s="52" t="s">
        <v>0</v>
      </c>
      <c r="AZ139" s="52" t="s">
        <v>3711</v>
      </c>
      <c r="BA139" s="52" t="s">
        <v>3705</v>
      </c>
      <c r="BB139" s="52" t="s">
        <v>4513</v>
      </c>
      <c r="BC139" s="52" t="s">
        <v>4857</v>
      </c>
      <c r="BD139" s="52" t="s">
        <v>7720</v>
      </c>
      <c r="BE139" s="52" t="s">
        <v>2265</v>
      </c>
      <c r="BF139" s="52" t="s">
        <v>7604</v>
      </c>
      <c r="BG139" s="52" t="s">
        <v>4857</v>
      </c>
      <c r="BH139" s="52" t="s">
        <v>7875</v>
      </c>
      <c r="BI139" s="52" t="s">
        <v>7818</v>
      </c>
      <c r="BJ139" s="52" t="s">
        <v>2264</v>
      </c>
      <c r="BK139" s="52"/>
      <c r="BL139" s="52"/>
      <c r="BM139" s="52" t="s">
        <v>0</v>
      </c>
      <c r="BN139" s="52" t="s">
        <v>0</v>
      </c>
      <c r="BO139" s="52"/>
      <c r="BP139" s="52" t="s">
        <v>0</v>
      </c>
      <c r="BQ139" s="52" t="s">
        <v>0</v>
      </c>
      <c r="BR139" s="52" t="s">
        <v>0</v>
      </c>
      <c r="BS139" s="52" t="s">
        <v>0</v>
      </c>
      <c r="BT139" s="52" t="s">
        <v>0</v>
      </c>
      <c r="BU139" s="84" t="s">
        <v>0</v>
      </c>
      <c r="BV139" s="84"/>
      <c r="BW139" s="52"/>
      <c r="BX139" s="52" t="s">
        <v>3929</v>
      </c>
      <c r="BY139" s="52" t="s">
        <v>3813</v>
      </c>
      <c r="BZ139" s="52" t="s">
        <v>0</v>
      </c>
      <c r="CA139" s="52" t="s">
        <v>0</v>
      </c>
      <c r="CB139" s="52" t="s">
        <v>0</v>
      </c>
      <c r="CC139" s="52"/>
      <c r="CD139" s="52"/>
      <c r="CE139" s="52" t="s">
        <v>0</v>
      </c>
      <c r="CF139" s="52" t="s">
        <v>2163</v>
      </c>
    </row>
    <row r="140" spans="1:84" ht="18">
      <c r="A140" s="6" t="s">
        <v>9706</v>
      </c>
      <c r="B140" s="200"/>
      <c r="C140" s="38" t="s">
        <v>57</v>
      </c>
      <c r="D140" s="38" t="s">
        <v>57</v>
      </c>
      <c r="E140" s="38" t="s">
        <v>0</v>
      </c>
      <c r="F140" s="38" t="s">
        <v>0</v>
      </c>
      <c r="G140" s="38" t="s">
        <v>0</v>
      </c>
      <c r="H140" s="38" t="s">
        <v>0</v>
      </c>
      <c r="I140" s="38" t="s">
        <v>0</v>
      </c>
      <c r="J140" s="38" t="s">
        <v>0</v>
      </c>
      <c r="K140" s="38" t="s">
        <v>0</v>
      </c>
      <c r="L140" s="38" t="s">
        <v>0</v>
      </c>
      <c r="M140" s="38" t="s">
        <v>0</v>
      </c>
      <c r="N140" s="38" t="s">
        <v>0</v>
      </c>
      <c r="O140" s="38" t="s">
        <v>0</v>
      </c>
      <c r="P140" s="38" t="s">
        <v>0</v>
      </c>
      <c r="Q140" s="38" t="s">
        <v>0</v>
      </c>
      <c r="R140" s="38" t="s">
        <v>0</v>
      </c>
      <c r="S140" s="38" t="s">
        <v>0</v>
      </c>
      <c r="T140" s="36" t="s">
        <v>5585</v>
      </c>
      <c r="U140" s="36" t="s">
        <v>210</v>
      </c>
      <c r="V140" s="145" t="s">
        <v>5493</v>
      </c>
      <c r="W140" s="38" t="s">
        <v>0</v>
      </c>
      <c r="X140" s="38" t="s">
        <v>0</v>
      </c>
      <c r="Y140" s="38" t="s">
        <v>0</v>
      </c>
      <c r="Z140" s="38" t="s">
        <v>0</v>
      </c>
      <c r="AA140" s="38" t="s">
        <v>0</v>
      </c>
      <c r="AB140" s="38" t="s">
        <v>0</v>
      </c>
      <c r="AC140" s="38" t="s">
        <v>0</v>
      </c>
      <c r="AD140" s="38" t="s">
        <v>0</v>
      </c>
      <c r="AE140" s="7" t="s">
        <v>0</v>
      </c>
      <c r="AF140" s="7" t="s">
        <v>0</v>
      </c>
      <c r="AG140" s="38" t="s">
        <v>0</v>
      </c>
      <c r="AH140" s="38" t="s">
        <v>0</v>
      </c>
      <c r="AI140" s="38" t="s">
        <v>0</v>
      </c>
      <c r="AJ140" s="7" t="s">
        <v>0</v>
      </c>
      <c r="AK140" s="7" t="s">
        <v>0</v>
      </c>
      <c r="AL140" s="7" t="s">
        <v>0</v>
      </c>
      <c r="AM140" s="38" t="s">
        <v>0</v>
      </c>
      <c r="AN140" s="38" t="s">
        <v>0</v>
      </c>
      <c r="AO140" s="38" t="s">
        <v>0</v>
      </c>
      <c r="AP140" s="38" t="s">
        <v>0</v>
      </c>
      <c r="AQ140" s="38" t="s">
        <v>0</v>
      </c>
      <c r="AR140" s="38" t="s">
        <v>0</v>
      </c>
      <c r="AS140" s="38" t="s">
        <v>0</v>
      </c>
      <c r="AT140" s="38" t="s">
        <v>0</v>
      </c>
      <c r="AU140" s="38" t="s">
        <v>0</v>
      </c>
      <c r="AV140" s="36" t="s">
        <v>0</v>
      </c>
      <c r="AW140" s="36" t="s">
        <v>0</v>
      </c>
      <c r="AX140" s="38" t="s">
        <v>57</v>
      </c>
      <c r="AY140" s="38" t="s">
        <v>0</v>
      </c>
      <c r="AZ140" s="38" t="s">
        <v>0</v>
      </c>
      <c r="BA140" s="38" t="s">
        <v>0</v>
      </c>
      <c r="BB140" s="38" t="s">
        <v>0</v>
      </c>
      <c r="BC140" s="38" t="s">
        <v>57</v>
      </c>
      <c r="BD140" s="38" t="s">
        <v>57</v>
      </c>
      <c r="BE140" s="38" t="s">
        <v>57</v>
      </c>
      <c r="BF140" s="38" t="s">
        <v>57</v>
      </c>
      <c r="BG140" s="38" t="s">
        <v>57</v>
      </c>
      <c r="BH140" s="38" t="s">
        <v>57</v>
      </c>
      <c r="BI140" s="38" t="s">
        <v>0</v>
      </c>
      <c r="BJ140" s="38" t="s">
        <v>0</v>
      </c>
      <c r="BK140" s="38" t="s">
        <v>0</v>
      </c>
      <c r="BL140" s="38" t="s">
        <v>0</v>
      </c>
      <c r="BM140" s="38" t="s">
        <v>0</v>
      </c>
      <c r="BN140" s="38" t="s">
        <v>0</v>
      </c>
      <c r="BO140" s="38"/>
      <c r="BP140" s="38" t="s">
        <v>0</v>
      </c>
      <c r="BQ140" s="38" t="s">
        <v>0</v>
      </c>
      <c r="BR140" s="38" t="s">
        <v>0</v>
      </c>
      <c r="BS140" s="38" t="s">
        <v>0</v>
      </c>
      <c r="BT140" s="38" t="s">
        <v>0</v>
      </c>
      <c r="BU140" s="36" t="s">
        <v>0</v>
      </c>
      <c r="BV140" s="36" t="s">
        <v>0</v>
      </c>
      <c r="BW140" s="38" t="s">
        <v>0</v>
      </c>
      <c r="BX140" s="38" t="s">
        <v>0</v>
      </c>
      <c r="BY140" s="38" t="s">
        <v>0</v>
      </c>
      <c r="BZ140" s="38" t="s">
        <v>0</v>
      </c>
      <c r="CA140" s="38" t="s">
        <v>0</v>
      </c>
      <c r="CB140" s="38" t="s">
        <v>0</v>
      </c>
      <c r="CC140" s="38" t="s">
        <v>0</v>
      </c>
      <c r="CD140" s="38" t="s">
        <v>0</v>
      </c>
      <c r="CE140" s="38" t="s">
        <v>0</v>
      </c>
      <c r="CF140" s="38" t="s">
        <v>0</v>
      </c>
    </row>
    <row r="141" spans="1:84">
      <c r="A141" s="51" t="s">
        <v>935</v>
      </c>
      <c r="B141" s="51"/>
      <c r="C141" s="52" t="s">
        <v>5219</v>
      </c>
      <c r="D141" s="52" t="s">
        <v>5219</v>
      </c>
      <c r="E141" s="52" t="s">
        <v>2781</v>
      </c>
      <c r="F141" s="52" t="s">
        <v>2781</v>
      </c>
      <c r="G141" s="52" t="s">
        <v>1453</v>
      </c>
      <c r="H141" s="52" t="s">
        <v>1453</v>
      </c>
      <c r="I141" s="52" t="s">
        <v>8162</v>
      </c>
      <c r="J141" s="52" t="s">
        <v>1675</v>
      </c>
      <c r="K141" s="52" t="s">
        <v>8162</v>
      </c>
      <c r="L141" s="52" t="s">
        <v>8162</v>
      </c>
      <c r="M141" s="52" t="s">
        <v>1675</v>
      </c>
      <c r="N141" s="52" t="s">
        <v>8162</v>
      </c>
      <c r="O141" s="52" t="s">
        <v>1675</v>
      </c>
      <c r="P141" s="52" t="s">
        <v>8162</v>
      </c>
      <c r="Q141" s="52" t="s">
        <v>8162</v>
      </c>
      <c r="R141" s="52" t="s">
        <v>1675</v>
      </c>
      <c r="S141" s="52" t="s">
        <v>8162</v>
      </c>
      <c r="T141" s="52" t="s">
        <v>5592</v>
      </c>
      <c r="U141" s="52" t="s">
        <v>5592</v>
      </c>
      <c r="V141" s="84"/>
      <c r="W141" s="52" t="s">
        <v>4436</v>
      </c>
      <c r="X141" s="52" t="s">
        <v>0</v>
      </c>
      <c r="Y141" s="52" t="s">
        <v>2400</v>
      </c>
      <c r="Z141" s="52" t="s">
        <v>2400</v>
      </c>
      <c r="AA141" s="52" t="s">
        <v>2400</v>
      </c>
      <c r="AB141" s="52" t="s">
        <v>4711</v>
      </c>
      <c r="AC141" s="52" t="s">
        <v>4711</v>
      </c>
      <c r="AD141" s="52" t="s">
        <v>4711</v>
      </c>
      <c r="AE141" s="52" t="s">
        <v>6023</v>
      </c>
      <c r="AF141" s="52" t="s">
        <v>6023</v>
      </c>
      <c r="AG141" s="186" t="s">
        <v>7026</v>
      </c>
      <c r="AH141" s="186" t="s">
        <v>7026</v>
      </c>
      <c r="AI141" s="186" t="s">
        <v>7026</v>
      </c>
      <c r="AJ141" s="52" t="s">
        <v>0</v>
      </c>
      <c r="AK141" s="52" t="s">
        <v>1911</v>
      </c>
      <c r="AL141" s="52" t="s">
        <v>1911</v>
      </c>
      <c r="AM141" s="52" t="s">
        <v>5464</v>
      </c>
      <c r="AN141" s="52" t="s">
        <v>5464</v>
      </c>
      <c r="AO141" s="52" t="s">
        <v>4247</v>
      </c>
      <c r="AP141" s="52" t="s">
        <v>2608</v>
      </c>
      <c r="AQ141" s="52" t="s">
        <v>2608</v>
      </c>
      <c r="AR141" s="52"/>
      <c r="AS141" s="52" t="s">
        <v>2024</v>
      </c>
      <c r="AT141" s="52" t="s">
        <v>2024</v>
      </c>
      <c r="AU141" s="52" t="s">
        <v>2024</v>
      </c>
      <c r="AV141" s="52" t="s">
        <v>4370</v>
      </c>
      <c r="AW141" s="52" t="s">
        <v>4370</v>
      </c>
      <c r="AX141" s="52" t="s">
        <v>1269</v>
      </c>
      <c r="AY141" s="52" t="s">
        <v>1345</v>
      </c>
      <c r="AZ141" s="52" t="s">
        <v>3712</v>
      </c>
      <c r="BA141" s="52" t="s">
        <v>3614</v>
      </c>
      <c r="BB141" s="52" t="s">
        <v>3517</v>
      </c>
      <c r="BC141" s="52" t="s">
        <v>2273</v>
      </c>
      <c r="BD141" s="52" t="s">
        <v>7715</v>
      </c>
      <c r="BE141" s="52" t="s">
        <v>4890</v>
      </c>
      <c r="BF141" s="52" t="s">
        <v>7606</v>
      </c>
      <c r="BG141" s="52" t="s">
        <v>2273</v>
      </c>
      <c r="BH141" s="52" t="s">
        <v>7877</v>
      </c>
      <c r="BI141" s="52" t="s">
        <v>7820</v>
      </c>
      <c r="BJ141" s="52" t="s">
        <v>5026</v>
      </c>
      <c r="BK141" s="52"/>
      <c r="BL141" s="52"/>
      <c r="BM141" s="52" t="s">
        <v>0</v>
      </c>
      <c r="BN141" s="52" t="s">
        <v>2290</v>
      </c>
      <c r="BO141" s="52"/>
      <c r="BP141" s="52" t="s">
        <v>2290</v>
      </c>
      <c r="BQ141" s="52" t="s">
        <v>2290</v>
      </c>
      <c r="BR141" s="52" t="s">
        <v>2719</v>
      </c>
      <c r="BS141" s="52" t="s">
        <v>2719</v>
      </c>
      <c r="BT141" s="52" t="s">
        <v>2719</v>
      </c>
      <c r="BU141" s="84" t="s">
        <v>2856</v>
      </c>
      <c r="BV141" s="84"/>
      <c r="BW141" s="52"/>
      <c r="BX141" s="52" t="s">
        <v>3921</v>
      </c>
      <c r="BY141" s="52" t="s">
        <v>3814</v>
      </c>
      <c r="BZ141" s="52" t="s">
        <v>6212</v>
      </c>
      <c r="CA141" s="52" t="s">
        <v>3164</v>
      </c>
      <c r="CB141" s="52"/>
      <c r="CC141" s="52"/>
      <c r="CD141" s="52"/>
      <c r="CE141" s="52" t="s">
        <v>3251</v>
      </c>
      <c r="CF141" s="52" t="s">
        <v>2201</v>
      </c>
    </row>
    <row r="142" spans="1:84">
      <c r="B142" s="36"/>
      <c r="V142" s="146"/>
      <c r="AJ142" s="40"/>
    </row>
    <row r="143" spans="1:84">
      <c r="A143" s="26" t="s">
        <v>143</v>
      </c>
      <c r="B143" s="236"/>
      <c r="C143" s="60"/>
      <c r="D143" s="60"/>
      <c r="E143" s="60"/>
      <c r="F143" s="60"/>
      <c r="G143" s="60"/>
      <c r="H143" s="60"/>
      <c r="I143" s="60"/>
      <c r="J143" s="60"/>
      <c r="K143" s="60"/>
      <c r="L143" s="60"/>
      <c r="M143" s="60"/>
      <c r="N143" s="60"/>
      <c r="O143" s="60"/>
      <c r="P143" s="60"/>
      <c r="Q143" s="60"/>
      <c r="R143" s="60"/>
      <c r="S143" s="60"/>
      <c r="T143" s="60"/>
      <c r="U143" s="60"/>
      <c r="V143" s="156"/>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117"/>
      <c r="BV143" s="117"/>
      <c r="BW143" s="60"/>
      <c r="BX143" s="60"/>
      <c r="BY143" s="60"/>
      <c r="BZ143" s="60"/>
      <c r="CA143" s="60"/>
      <c r="CB143" s="60"/>
      <c r="CC143" s="60"/>
      <c r="CD143" s="60"/>
      <c r="CE143" s="60"/>
      <c r="CF143" s="174"/>
    </row>
    <row r="144" spans="1:84">
      <c r="A144" s="28"/>
      <c r="B144" s="237" t="s">
        <v>7201</v>
      </c>
      <c r="C144" s="53"/>
      <c r="D144" s="53"/>
      <c r="E144" s="53"/>
      <c r="F144" s="53"/>
      <c r="G144" s="53"/>
      <c r="H144" s="53"/>
      <c r="I144" s="53"/>
      <c r="J144" s="53"/>
      <c r="K144" s="53"/>
      <c r="L144" s="53"/>
      <c r="M144" s="53"/>
      <c r="N144" s="53"/>
      <c r="O144" s="53"/>
      <c r="P144" s="53"/>
      <c r="Q144" s="53"/>
      <c r="R144" s="53"/>
      <c r="S144" s="53"/>
      <c r="T144" s="53"/>
      <c r="U144" s="53"/>
      <c r="V144" s="148"/>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65"/>
      <c r="BD144" s="53"/>
      <c r="BE144" s="65"/>
      <c r="BF144" s="53"/>
      <c r="BG144" s="65"/>
      <c r="BH144" s="53"/>
      <c r="BI144" s="53"/>
      <c r="BJ144" s="65"/>
      <c r="BK144" s="65"/>
      <c r="BL144" s="65"/>
      <c r="BM144" s="53"/>
      <c r="BN144" s="53"/>
      <c r="BO144" s="53"/>
      <c r="BP144" s="53"/>
      <c r="BQ144" s="53"/>
      <c r="BR144" s="53"/>
      <c r="BS144" s="53"/>
      <c r="BT144" s="53"/>
      <c r="BU144" s="65"/>
      <c r="BV144" s="65"/>
      <c r="BW144" s="53"/>
      <c r="BX144" s="53"/>
      <c r="BY144" s="53"/>
      <c r="BZ144" s="53"/>
      <c r="CA144" s="53"/>
      <c r="CB144" s="53"/>
      <c r="CC144" s="53"/>
      <c r="CD144" s="53"/>
      <c r="CE144" s="53"/>
      <c r="CF144" s="173"/>
    </row>
    <row r="145" spans="1:84" ht="45">
      <c r="A145" s="82" t="s">
        <v>6778</v>
      </c>
      <c r="B145" s="200" t="s">
        <v>6777</v>
      </c>
      <c r="C145" s="38" t="s">
        <v>57</v>
      </c>
      <c r="D145" s="38" t="s">
        <v>57</v>
      </c>
      <c r="E145" s="38" t="s">
        <v>57</v>
      </c>
      <c r="F145" s="38" t="s">
        <v>57</v>
      </c>
      <c r="G145" s="38" t="s">
        <v>57</v>
      </c>
      <c r="H145" s="38" t="s">
        <v>57</v>
      </c>
      <c r="I145" s="38" t="s">
        <v>0</v>
      </c>
      <c r="J145" s="38" t="s">
        <v>57</v>
      </c>
      <c r="K145" s="38" t="s">
        <v>0</v>
      </c>
      <c r="L145" s="38" t="s">
        <v>0</v>
      </c>
      <c r="M145" s="38" t="s">
        <v>57</v>
      </c>
      <c r="N145" s="38" t="s">
        <v>0</v>
      </c>
      <c r="O145" s="38" t="s">
        <v>57</v>
      </c>
      <c r="P145" s="38" t="s">
        <v>0</v>
      </c>
      <c r="Q145" s="38" t="s">
        <v>0</v>
      </c>
      <c r="R145" s="38" t="s">
        <v>57</v>
      </c>
      <c r="S145" s="38" t="s">
        <v>0</v>
      </c>
      <c r="T145" s="38" t="s">
        <v>57</v>
      </c>
      <c r="U145" s="38" t="s">
        <v>57</v>
      </c>
      <c r="V145" s="145" t="s">
        <v>57</v>
      </c>
      <c r="W145" s="36" t="s">
        <v>839</v>
      </c>
      <c r="X145" s="36" t="s">
        <v>57</v>
      </c>
      <c r="Y145" s="38" t="s">
        <v>57</v>
      </c>
      <c r="Z145" s="38" t="s">
        <v>57</v>
      </c>
      <c r="AA145" s="38" t="s">
        <v>57</v>
      </c>
      <c r="AB145" s="38" t="s">
        <v>57</v>
      </c>
      <c r="AC145" s="38" t="s">
        <v>57</v>
      </c>
      <c r="AD145" s="38" t="s">
        <v>57</v>
      </c>
      <c r="AE145" s="7" t="s">
        <v>57</v>
      </c>
      <c r="AF145" s="7" t="s">
        <v>57</v>
      </c>
      <c r="AG145" s="7" t="s">
        <v>0</v>
      </c>
      <c r="AH145" s="7" t="s">
        <v>0</v>
      </c>
      <c r="AI145" s="7" t="s">
        <v>0</v>
      </c>
      <c r="AJ145" s="225"/>
      <c r="AK145" s="113"/>
      <c r="AL145" s="113"/>
      <c r="AM145" s="113"/>
      <c r="AN145" s="113"/>
      <c r="AO145" s="114"/>
      <c r="AP145" s="113"/>
      <c r="AQ145" s="113"/>
      <c r="AR145" s="113"/>
      <c r="AS145" s="113"/>
      <c r="AT145" s="113"/>
      <c r="AU145" s="113"/>
      <c r="AV145" s="113"/>
      <c r="AW145" s="113"/>
      <c r="AX145" s="113"/>
      <c r="AY145" s="113"/>
      <c r="AZ145" s="113"/>
      <c r="BA145" s="113"/>
      <c r="BB145" s="113"/>
      <c r="BC145" s="113"/>
      <c r="BD145" s="7" t="s">
        <v>0</v>
      </c>
      <c r="BE145" s="113"/>
      <c r="BF145" s="7" t="s">
        <v>0</v>
      </c>
      <c r="BG145" s="113"/>
      <c r="BH145" s="7" t="s">
        <v>0</v>
      </c>
      <c r="BI145" s="7" t="s">
        <v>0</v>
      </c>
      <c r="BJ145" s="113"/>
      <c r="BK145" s="113"/>
      <c r="BL145" s="113"/>
      <c r="BM145" s="113"/>
      <c r="BN145" s="113"/>
      <c r="BO145" s="113"/>
      <c r="BP145" s="113"/>
      <c r="BQ145" s="113"/>
      <c r="BR145" s="114"/>
      <c r="BS145" s="114"/>
      <c r="BT145" s="114"/>
      <c r="BU145" s="114"/>
      <c r="BV145" s="114"/>
      <c r="BW145" s="113"/>
      <c r="BX145" s="114"/>
      <c r="BY145" s="114"/>
      <c r="BZ145" s="114"/>
      <c r="CA145" s="113"/>
      <c r="CB145" s="113"/>
      <c r="CC145" s="113"/>
      <c r="CD145" s="113"/>
      <c r="CE145" s="113"/>
      <c r="CF145" s="114"/>
    </row>
    <row r="146" spans="1:84">
      <c r="A146" s="51" t="s">
        <v>935</v>
      </c>
      <c r="B146" s="51"/>
      <c r="C146" s="52" t="s">
        <v>1665</v>
      </c>
      <c r="D146" s="52" t="s">
        <v>1665</v>
      </c>
      <c r="E146" s="52" t="s">
        <v>2779</v>
      </c>
      <c r="F146" s="52" t="s">
        <v>2779</v>
      </c>
      <c r="G146" s="52" t="s">
        <v>1447</v>
      </c>
      <c r="H146" s="52" t="s">
        <v>1447</v>
      </c>
      <c r="I146" s="52" t="s">
        <v>0</v>
      </c>
      <c r="J146" s="52" t="s">
        <v>1665</v>
      </c>
      <c r="K146" s="52" t="s">
        <v>0</v>
      </c>
      <c r="L146" s="52" t="s">
        <v>0</v>
      </c>
      <c r="M146" s="52" t="s">
        <v>1665</v>
      </c>
      <c r="N146" s="52" t="s">
        <v>0</v>
      </c>
      <c r="O146" s="52" t="s">
        <v>1665</v>
      </c>
      <c r="P146" s="52" t="s">
        <v>0</v>
      </c>
      <c r="Q146" s="52" t="s">
        <v>0</v>
      </c>
      <c r="R146" s="52" t="s">
        <v>1665</v>
      </c>
      <c r="S146" s="52" t="s">
        <v>0</v>
      </c>
      <c r="T146" s="52" t="s">
        <v>5593</v>
      </c>
      <c r="U146" s="52" t="s">
        <v>5593</v>
      </c>
      <c r="V146" s="84"/>
      <c r="W146" s="52" t="s">
        <v>2039</v>
      </c>
      <c r="X146" s="52" t="s">
        <v>6445</v>
      </c>
      <c r="Y146" s="52" t="s">
        <v>2394</v>
      </c>
      <c r="Z146" s="52" t="s">
        <v>2394</v>
      </c>
      <c r="AA146" s="52" t="s">
        <v>2394</v>
      </c>
      <c r="AB146" s="52" t="s">
        <v>4712</v>
      </c>
      <c r="AC146" s="52" t="s">
        <v>4712</v>
      </c>
      <c r="AD146" s="52" t="s">
        <v>4712</v>
      </c>
      <c r="AE146" s="52" t="s">
        <v>6006</v>
      </c>
      <c r="AF146" s="52" t="s">
        <v>6006</v>
      </c>
      <c r="AG146" s="52" t="s">
        <v>0</v>
      </c>
      <c r="AH146" s="52" t="s">
        <v>0</v>
      </c>
      <c r="AI146" s="52" t="s">
        <v>0</v>
      </c>
      <c r="AJ146" s="52"/>
      <c r="AK146" s="52"/>
      <c r="AL146" s="52"/>
      <c r="AM146" s="52"/>
      <c r="AN146" s="52"/>
      <c r="AO146" s="52"/>
      <c r="AP146" s="52"/>
      <c r="AQ146" s="52"/>
      <c r="AR146" s="52"/>
      <c r="AS146" s="52"/>
      <c r="AT146" s="52"/>
      <c r="AU146" s="52"/>
      <c r="AV146" s="52"/>
      <c r="AW146" s="52"/>
      <c r="AX146" s="52"/>
      <c r="AY146" s="52"/>
      <c r="AZ146" s="52"/>
      <c r="BA146" s="52"/>
      <c r="BB146" s="52"/>
      <c r="BC146" s="52"/>
      <c r="BD146" s="52" t="s">
        <v>0</v>
      </c>
      <c r="BE146" s="52"/>
      <c r="BF146" s="52" t="s">
        <v>0</v>
      </c>
      <c r="BG146" s="52"/>
      <c r="BH146" s="52" t="s">
        <v>0</v>
      </c>
      <c r="BI146" s="52" t="s">
        <v>0</v>
      </c>
      <c r="BJ146" s="52"/>
      <c r="BK146" s="52"/>
      <c r="BL146" s="52"/>
      <c r="BM146" s="52"/>
      <c r="BN146" s="52"/>
      <c r="BO146" s="52"/>
      <c r="BP146" s="52"/>
      <c r="BQ146" s="52"/>
      <c r="BR146" s="52"/>
      <c r="BS146" s="52"/>
      <c r="BT146" s="52"/>
      <c r="BU146" s="84"/>
      <c r="BV146" s="84"/>
      <c r="BW146" s="52"/>
      <c r="BX146" s="52"/>
      <c r="BY146" s="52"/>
      <c r="BZ146" s="52"/>
      <c r="CA146" s="52"/>
      <c r="CB146" s="52"/>
      <c r="CC146" s="52"/>
      <c r="CD146" s="52"/>
      <c r="CE146" s="52"/>
      <c r="CF146" s="52"/>
    </row>
    <row r="147" spans="1:84" ht="18">
      <c r="A147" s="6" t="s">
        <v>6590</v>
      </c>
      <c r="B147" s="109"/>
      <c r="C147" s="38" t="s">
        <v>57</v>
      </c>
      <c r="D147" s="38" t="s">
        <v>57</v>
      </c>
      <c r="E147" s="38" t="s">
        <v>57</v>
      </c>
      <c r="F147" s="38" t="s">
        <v>57</v>
      </c>
      <c r="G147" s="38" t="s">
        <v>57</v>
      </c>
      <c r="H147" s="38" t="s">
        <v>57</v>
      </c>
      <c r="I147" s="38" t="s">
        <v>57</v>
      </c>
      <c r="J147" s="38" t="s">
        <v>57</v>
      </c>
      <c r="K147" s="38" t="s">
        <v>57</v>
      </c>
      <c r="L147" s="38" t="s">
        <v>57</v>
      </c>
      <c r="M147" s="38" t="s">
        <v>57</v>
      </c>
      <c r="N147" s="38" t="s">
        <v>57</v>
      </c>
      <c r="O147" s="38" t="s">
        <v>57</v>
      </c>
      <c r="P147" s="38" t="s">
        <v>57</v>
      </c>
      <c r="Q147" s="38" t="s">
        <v>57</v>
      </c>
      <c r="R147" s="38" t="s">
        <v>57</v>
      </c>
      <c r="S147" s="38" t="s">
        <v>57</v>
      </c>
      <c r="T147" s="38" t="s">
        <v>57</v>
      </c>
      <c r="U147" s="38" t="s">
        <v>57</v>
      </c>
      <c r="V147" s="145" t="s">
        <v>57</v>
      </c>
      <c r="W147" s="36" t="s">
        <v>839</v>
      </c>
      <c r="X147" s="36" t="s">
        <v>57</v>
      </c>
      <c r="Y147" s="38" t="s">
        <v>57</v>
      </c>
      <c r="Z147" s="38" t="s">
        <v>57</v>
      </c>
      <c r="AA147" s="38" t="s">
        <v>57</v>
      </c>
      <c r="AB147" s="38" t="s">
        <v>57</v>
      </c>
      <c r="AC147" s="38" t="s">
        <v>57</v>
      </c>
      <c r="AD147" s="38" t="s">
        <v>57</v>
      </c>
      <c r="AE147" s="7" t="s">
        <v>57</v>
      </c>
      <c r="AF147" s="7" t="s">
        <v>57</v>
      </c>
      <c r="AG147" s="7" t="s">
        <v>57</v>
      </c>
      <c r="AH147" s="7" t="s">
        <v>57</v>
      </c>
      <c r="AI147" s="7" t="s">
        <v>57</v>
      </c>
      <c r="AJ147" s="34" t="s">
        <v>57</v>
      </c>
      <c r="AK147" s="38" t="s">
        <v>391</v>
      </c>
      <c r="AL147" s="38" t="s">
        <v>391</v>
      </c>
      <c r="AM147" s="38" t="s">
        <v>57</v>
      </c>
      <c r="AN147" s="38" t="s">
        <v>57</v>
      </c>
      <c r="AO147" s="36" t="s">
        <v>4249</v>
      </c>
      <c r="AP147" s="38" t="s">
        <v>57</v>
      </c>
      <c r="AQ147" s="38" t="s">
        <v>57</v>
      </c>
      <c r="AR147" s="38" t="s">
        <v>57</v>
      </c>
      <c r="AS147" s="38" t="s">
        <v>57</v>
      </c>
      <c r="AT147" s="38" t="s">
        <v>57</v>
      </c>
      <c r="AU147" s="38" t="s">
        <v>57</v>
      </c>
      <c r="AV147" s="38" t="s">
        <v>57</v>
      </c>
      <c r="AW147" s="38" t="s">
        <v>57</v>
      </c>
      <c r="AX147" s="38" t="s">
        <v>57</v>
      </c>
      <c r="AY147" s="38" t="s">
        <v>57</v>
      </c>
      <c r="AZ147" s="38" t="s">
        <v>57</v>
      </c>
      <c r="BA147" s="38" t="s">
        <v>57</v>
      </c>
      <c r="BB147" s="38" t="s">
        <v>57</v>
      </c>
      <c r="BC147" s="38" t="s">
        <v>57</v>
      </c>
      <c r="BD147" s="38" t="s">
        <v>57</v>
      </c>
      <c r="BE147" s="38" t="s">
        <v>57</v>
      </c>
      <c r="BF147" s="38" t="s">
        <v>57</v>
      </c>
      <c r="BG147" s="38" t="s">
        <v>57</v>
      </c>
      <c r="BH147" s="38" t="s">
        <v>57</v>
      </c>
      <c r="BI147" s="38" t="s">
        <v>57</v>
      </c>
      <c r="BJ147" s="38" t="s">
        <v>57</v>
      </c>
      <c r="BK147" s="38" t="s">
        <v>57</v>
      </c>
      <c r="BL147" s="38" t="s">
        <v>57</v>
      </c>
      <c r="BM147" s="38" t="s">
        <v>0</v>
      </c>
      <c r="BN147" s="38" t="s">
        <v>57</v>
      </c>
      <c r="BO147" s="38"/>
      <c r="BP147" s="38" t="s">
        <v>57</v>
      </c>
      <c r="BQ147" s="38" t="s">
        <v>57</v>
      </c>
      <c r="BR147" s="36" t="s">
        <v>634</v>
      </c>
      <c r="BS147" s="36" t="s">
        <v>634</v>
      </c>
      <c r="BT147" s="36" t="s">
        <v>634</v>
      </c>
      <c r="BU147" s="36" t="s">
        <v>57</v>
      </c>
      <c r="BV147" s="159" t="s">
        <v>57</v>
      </c>
      <c r="BW147" s="38" t="s">
        <v>57</v>
      </c>
      <c r="BX147" s="36" t="s">
        <v>839</v>
      </c>
      <c r="BY147" s="36" t="s">
        <v>839</v>
      </c>
      <c r="BZ147" s="36" t="s">
        <v>57</v>
      </c>
      <c r="CA147" s="38" t="s">
        <v>57</v>
      </c>
      <c r="CB147" s="38" t="s">
        <v>57</v>
      </c>
      <c r="CC147" s="38" t="s">
        <v>57</v>
      </c>
      <c r="CD147" s="38" t="s">
        <v>57</v>
      </c>
      <c r="CE147" s="38" t="s">
        <v>57</v>
      </c>
      <c r="CF147" s="36" t="s">
        <v>839</v>
      </c>
    </row>
    <row r="148" spans="1:84">
      <c r="A148" s="51" t="s">
        <v>935</v>
      </c>
      <c r="B148" s="51"/>
      <c r="C148" s="52" t="s">
        <v>1665</v>
      </c>
      <c r="D148" s="52" t="s">
        <v>1665</v>
      </c>
      <c r="E148" s="52" t="s">
        <v>2779</v>
      </c>
      <c r="F148" s="52" t="s">
        <v>2779</v>
      </c>
      <c r="G148" s="52" t="s">
        <v>1447</v>
      </c>
      <c r="H148" s="52" t="s">
        <v>1447</v>
      </c>
      <c r="I148" s="52" t="s">
        <v>8163</v>
      </c>
      <c r="J148" s="52" t="s">
        <v>1665</v>
      </c>
      <c r="K148" s="52" t="s">
        <v>8163</v>
      </c>
      <c r="L148" s="52" t="s">
        <v>8163</v>
      </c>
      <c r="M148" s="52" t="s">
        <v>1665</v>
      </c>
      <c r="N148" s="52" t="s">
        <v>8163</v>
      </c>
      <c r="O148" s="52" t="s">
        <v>1665</v>
      </c>
      <c r="P148" s="52" t="s">
        <v>8163</v>
      </c>
      <c r="Q148" s="52" t="s">
        <v>8163</v>
      </c>
      <c r="R148" s="52" t="s">
        <v>1665</v>
      </c>
      <c r="S148" s="52" t="s">
        <v>8163</v>
      </c>
      <c r="T148" s="52" t="s">
        <v>5593</v>
      </c>
      <c r="U148" s="52" t="s">
        <v>5593</v>
      </c>
      <c r="V148" s="84"/>
      <c r="W148" s="52" t="s">
        <v>2039</v>
      </c>
      <c r="X148" s="52" t="s">
        <v>6445</v>
      </c>
      <c r="Y148" s="52" t="s">
        <v>2394</v>
      </c>
      <c r="Z148" s="52" t="s">
        <v>2394</v>
      </c>
      <c r="AA148" s="52" t="s">
        <v>2394</v>
      </c>
      <c r="AB148" s="52" t="s">
        <v>4712</v>
      </c>
      <c r="AC148" s="52" t="s">
        <v>4712</v>
      </c>
      <c r="AD148" s="52" t="s">
        <v>4712</v>
      </c>
      <c r="AE148" s="52" t="s">
        <v>6006</v>
      </c>
      <c r="AF148" s="52" t="s">
        <v>6006</v>
      </c>
      <c r="AG148" s="52" t="s">
        <v>6006</v>
      </c>
      <c r="AH148" s="52" t="s">
        <v>6006</v>
      </c>
      <c r="AI148" s="52" t="s">
        <v>6006</v>
      </c>
      <c r="AJ148" s="52" t="s">
        <v>6108</v>
      </c>
      <c r="AK148" s="52" t="s">
        <v>1912</v>
      </c>
      <c r="AL148" s="52" t="s">
        <v>1912</v>
      </c>
      <c r="AM148" s="52" t="s">
        <v>4977</v>
      </c>
      <c r="AN148" s="52" t="s">
        <v>4977</v>
      </c>
      <c r="AO148" s="52" t="s">
        <v>4248</v>
      </c>
      <c r="AP148" s="52" t="s">
        <v>2609</v>
      </c>
      <c r="AQ148" s="52" t="s">
        <v>2609</v>
      </c>
      <c r="AR148" s="52"/>
      <c r="AS148" s="52" t="s">
        <v>2016</v>
      </c>
      <c r="AT148" s="52" t="s">
        <v>2016</v>
      </c>
      <c r="AU148" s="52" t="s">
        <v>2016</v>
      </c>
      <c r="AV148" s="52" t="s">
        <v>4326</v>
      </c>
      <c r="AW148" s="52" t="s">
        <v>4326</v>
      </c>
      <c r="AX148" s="52" t="s">
        <v>1370</v>
      </c>
      <c r="AY148" s="52" t="s">
        <v>1370</v>
      </c>
      <c r="AZ148" s="52" t="s">
        <v>3713</v>
      </c>
      <c r="BA148" s="52" t="s">
        <v>3615</v>
      </c>
      <c r="BB148" s="52" t="s">
        <v>3509</v>
      </c>
      <c r="BC148" s="52" t="s">
        <v>4977</v>
      </c>
      <c r="BD148" s="52" t="s">
        <v>7607</v>
      </c>
      <c r="BE148" s="52" t="s">
        <v>4977</v>
      </c>
      <c r="BF148" s="52" t="s">
        <v>7607</v>
      </c>
      <c r="BG148" s="52" t="s">
        <v>4977</v>
      </c>
      <c r="BH148" s="52" t="s">
        <v>7607</v>
      </c>
      <c r="BI148" s="52" t="s">
        <v>7607</v>
      </c>
      <c r="BJ148" s="52" t="s">
        <v>4977</v>
      </c>
      <c r="BK148" s="52"/>
      <c r="BL148" s="52"/>
      <c r="BM148" s="52" t="s">
        <v>0</v>
      </c>
      <c r="BN148" s="52" t="s">
        <v>2291</v>
      </c>
      <c r="BO148" s="52"/>
      <c r="BP148" s="52" t="s">
        <v>2291</v>
      </c>
      <c r="BQ148" s="52" t="s">
        <v>2291</v>
      </c>
      <c r="BR148" s="52" t="s">
        <v>2650</v>
      </c>
      <c r="BS148" s="52" t="s">
        <v>2650</v>
      </c>
      <c r="BT148" s="52" t="s">
        <v>2650</v>
      </c>
      <c r="BU148" s="84" t="s">
        <v>2844</v>
      </c>
      <c r="BV148" s="84"/>
      <c r="BW148" s="52"/>
      <c r="BX148" s="52" t="s">
        <v>3930</v>
      </c>
      <c r="BY148" s="52" t="s">
        <v>3816</v>
      </c>
      <c r="BZ148" s="52" t="s">
        <v>6213</v>
      </c>
      <c r="CA148" s="52" t="s">
        <v>3165</v>
      </c>
      <c r="CB148" s="52" t="s">
        <v>3165</v>
      </c>
      <c r="CC148" s="52"/>
      <c r="CD148" s="52"/>
      <c r="CE148" s="52" t="s">
        <v>3252</v>
      </c>
      <c r="CF148" s="52" t="s">
        <v>2195</v>
      </c>
    </row>
    <row r="149" spans="1:84" ht="27">
      <c r="A149" s="62" t="s">
        <v>8164</v>
      </c>
      <c r="B149" s="109"/>
      <c r="C149" s="62"/>
      <c r="D149" s="38" t="s">
        <v>0</v>
      </c>
      <c r="E149" s="36" t="s">
        <v>6554</v>
      </c>
      <c r="F149" s="36" t="s">
        <v>6555</v>
      </c>
      <c r="G149" s="36" t="s">
        <v>6555</v>
      </c>
      <c r="H149" s="143" t="s">
        <v>5493</v>
      </c>
      <c r="I149" s="38" t="s">
        <v>57</v>
      </c>
      <c r="J149" s="143" t="s">
        <v>6556</v>
      </c>
      <c r="K149" s="38" t="s">
        <v>57</v>
      </c>
      <c r="L149" s="38" t="s">
        <v>57</v>
      </c>
      <c r="M149" s="36" t="s">
        <v>6555</v>
      </c>
      <c r="N149" s="38" t="s">
        <v>57</v>
      </c>
      <c r="O149" s="38" t="s">
        <v>57</v>
      </c>
      <c r="P149" s="38" t="s">
        <v>57</v>
      </c>
      <c r="Q149" s="38" t="s">
        <v>57</v>
      </c>
      <c r="R149" s="36" t="s">
        <v>6555</v>
      </c>
      <c r="S149" s="38" t="s">
        <v>57</v>
      </c>
      <c r="T149" s="36" t="s">
        <v>6555</v>
      </c>
      <c r="U149" s="36" t="s">
        <v>6555</v>
      </c>
      <c r="V149" s="38" t="s">
        <v>6557</v>
      </c>
      <c r="W149" s="38" t="s">
        <v>6557</v>
      </c>
      <c r="X149" s="36" t="s">
        <v>6555</v>
      </c>
      <c r="Y149" s="116" t="s">
        <v>6558</v>
      </c>
      <c r="Z149" s="184" t="s">
        <v>57</v>
      </c>
      <c r="AA149" s="116" t="s">
        <v>6558</v>
      </c>
      <c r="AB149" s="116" t="s">
        <v>6559</v>
      </c>
      <c r="AC149" s="116" t="s">
        <v>6559</v>
      </c>
      <c r="AD149" s="36" t="s">
        <v>6560</v>
      </c>
      <c r="AE149" s="36" t="s">
        <v>6560</v>
      </c>
      <c r="AF149" s="36" t="s">
        <v>6555</v>
      </c>
      <c r="AG149" s="36" t="s">
        <v>57</v>
      </c>
      <c r="AH149" s="36" t="s">
        <v>57</v>
      </c>
      <c r="AI149" s="36" t="s">
        <v>57</v>
      </c>
      <c r="AJ149" s="36" t="s">
        <v>6555</v>
      </c>
      <c r="AK149" s="36" t="s">
        <v>6555</v>
      </c>
      <c r="AL149" s="36" t="s">
        <v>6561</v>
      </c>
      <c r="AM149" s="36" t="s">
        <v>6560</v>
      </c>
      <c r="AN149" s="38" t="s">
        <v>57</v>
      </c>
      <c r="AO149" s="38" t="s">
        <v>0</v>
      </c>
      <c r="AP149" s="38" t="s">
        <v>57</v>
      </c>
      <c r="AQ149" s="36" t="s">
        <v>6555</v>
      </c>
      <c r="AR149" s="36" t="s">
        <v>6555</v>
      </c>
      <c r="AS149" s="36" t="s">
        <v>6555</v>
      </c>
      <c r="AT149" s="36" t="s">
        <v>6555</v>
      </c>
      <c r="AU149" s="36" t="s">
        <v>6</v>
      </c>
      <c r="AV149" s="36" t="s">
        <v>6555</v>
      </c>
      <c r="AW149" s="36" t="s">
        <v>6555</v>
      </c>
      <c r="AX149" s="36" t="s">
        <v>6555</v>
      </c>
      <c r="AY149" s="36" t="s">
        <v>6562</v>
      </c>
      <c r="AZ149" s="36" t="s">
        <v>6555</v>
      </c>
      <c r="BA149" s="36" t="s">
        <v>6555</v>
      </c>
      <c r="BB149" s="38" t="s">
        <v>0</v>
      </c>
      <c r="BC149" s="36" t="s">
        <v>6555</v>
      </c>
      <c r="BD149" s="36" t="s">
        <v>57</v>
      </c>
      <c r="BE149" s="36" t="s">
        <v>6560</v>
      </c>
      <c r="BF149" s="36" t="s">
        <v>57</v>
      </c>
      <c r="BG149" s="36" t="s">
        <v>6560</v>
      </c>
      <c r="BH149" s="36" t="s">
        <v>57</v>
      </c>
      <c r="BI149" s="36" t="s">
        <v>57</v>
      </c>
      <c r="BJ149" s="38" t="s">
        <v>57</v>
      </c>
      <c r="BK149" s="38" t="s">
        <v>0</v>
      </c>
      <c r="BL149" s="38" t="s">
        <v>0</v>
      </c>
      <c r="BM149" s="38" t="s">
        <v>0</v>
      </c>
      <c r="BN149" s="36" t="s">
        <v>6555</v>
      </c>
      <c r="BO149" s="36" t="s">
        <v>6555</v>
      </c>
      <c r="BP149" s="36" t="s">
        <v>6555</v>
      </c>
      <c r="BQ149" s="38" t="s">
        <v>57</v>
      </c>
      <c r="BR149" s="38" t="s">
        <v>57</v>
      </c>
      <c r="BS149" s="36" t="s">
        <v>6555</v>
      </c>
      <c r="BT149" s="36" t="s">
        <v>6555</v>
      </c>
      <c r="BU149" s="38" t="s">
        <v>57</v>
      </c>
      <c r="BV149" s="38"/>
      <c r="BW149" s="38"/>
      <c r="BX149" s="38"/>
      <c r="BY149" s="38"/>
      <c r="BZ149" s="38"/>
      <c r="CA149" s="38"/>
      <c r="CB149" s="38"/>
      <c r="CC149" s="38"/>
      <c r="CD149" s="38"/>
      <c r="CE149" s="38"/>
      <c r="CF149" s="38"/>
    </row>
    <row r="150" spans="1:84" ht="18">
      <c r="A150" s="185" t="s">
        <v>935</v>
      </c>
      <c r="B150" s="185"/>
      <c r="C150" s="185"/>
      <c r="D150" s="186" t="s">
        <v>0</v>
      </c>
      <c r="E150" s="186" t="s">
        <v>6563</v>
      </c>
      <c r="F150" s="186" t="s">
        <v>6564</v>
      </c>
      <c r="G150" s="186" t="s">
        <v>6564</v>
      </c>
      <c r="H150" s="84"/>
      <c r="I150" s="52" t="s">
        <v>8163</v>
      </c>
      <c r="J150" s="84"/>
      <c r="K150" s="52" t="s">
        <v>8163</v>
      </c>
      <c r="L150" s="52" t="s">
        <v>8163</v>
      </c>
      <c r="M150" s="186" t="s">
        <v>6565</v>
      </c>
      <c r="N150" s="52" t="s">
        <v>8163</v>
      </c>
      <c r="O150" s="186" t="s">
        <v>6566</v>
      </c>
      <c r="P150" s="52" t="s">
        <v>8163</v>
      </c>
      <c r="Q150" s="52" t="s">
        <v>8163</v>
      </c>
      <c r="R150" s="186" t="s">
        <v>6567</v>
      </c>
      <c r="S150" s="52" t="s">
        <v>8163</v>
      </c>
      <c r="T150" s="186" t="s">
        <v>6567</v>
      </c>
      <c r="U150" s="186" t="s">
        <v>6567</v>
      </c>
      <c r="V150" s="186" t="s">
        <v>6568</v>
      </c>
      <c r="W150" s="186" t="s">
        <v>6569</v>
      </c>
      <c r="X150" s="186" t="s">
        <v>6570</v>
      </c>
      <c r="Y150" s="186" t="s">
        <v>6571</v>
      </c>
      <c r="Z150" s="187"/>
      <c r="AA150" s="186" t="s">
        <v>6571</v>
      </c>
      <c r="AB150" s="186"/>
      <c r="AC150" s="186"/>
      <c r="AD150" s="186" t="s">
        <v>6572</v>
      </c>
      <c r="AE150" s="186" t="s">
        <v>6572</v>
      </c>
      <c r="AF150" s="186" t="s">
        <v>6573</v>
      </c>
      <c r="AG150" s="52" t="s">
        <v>6006</v>
      </c>
      <c r="AH150" s="52" t="s">
        <v>6006</v>
      </c>
      <c r="AI150" s="52" t="s">
        <v>6006</v>
      </c>
      <c r="AJ150" s="186" t="s">
        <v>6573</v>
      </c>
      <c r="AK150" s="186" t="s">
        <v>6573</v>
      </c>
      <c r="AL150" s="186" t="s">
        <v>6574</v>
      </c>
      <c r="AM150" s="186" t="s">
        <v>4117</v>
      </c>
      <c r="AN150" s="186" t="s">
        <v>6575</v>
      </c>
      <c r="AO150" s="186" t="s">
        <v>0</v>
      </c>
      <c r="AP150" s="186"/>
      <c r="AQ150" s="186"/>
      <c r="AR150" s="186"/>
      <c r="AS150" s="186" t="s">
        <v>6576</v>
      </c>
      <c r="AT150" s="186" t="s">
        <v>6577</v>
      </c>
      <c r="AU150" s="186" t="s">
        <v>6578</v>
      </c>
      <c r="AV150" s="186" t="s">
        <v>6543</v>
      </c>
      <c r="AW150" s="186" t="s">
        <v>6579</v>
      </c>
      <c r="AX150" s="186" t="s">
        <v>6580</v>
      </c>
      <c r="AY150" s="186" t="s">
        <v>6581</v>
      </c>
      <c r="AZ150" s="186" t="s">
        <v>6582</v>
      </c>
      <c r="BA150" s="186" t="s">
        <v>6582</v>
      </c>
      <c r="BB150" s="186"/>
      <c r="BC150" s="186" t="s">
        <v>6583</v>
      </c>
      <c r="BD150" s="52" t="s">
        <v>7607</v>
      </c>
      <c r="BE150" s="186" t="s">
        <v>6584</v>
      </c>
      <c r="BF150" s="52" t="s">
        <v>7607</v>
      </c>
      <c r="BG150" s="186" t="s">
        <v>6584</v>
      </c>
      <c r="BH150" s="52" t="s">
        <v>7607</v>
      </c>
      <c r="BI150" s="52" t="s">
        <v>7607</v>
      </c>
      <c r="BJ150" s="186" t="s">
        <v>6585</v>
      </c>
      <c r="BK150" s="186" t="s">
        <v>0</v>
      </c>
      <c r="BL150" s="186" t="s">
        <v>0</v>
      </c>
      <c r="BM150" s="186" t="s">
        <v>0</v>
      </c>
      <c r="BN150" s="186" t="s">
        <v>6586</v>
      </c>
      <c r="BO150" s="186" t="s">
        <v>6587</v>
      </c>
      <c r="BP150" s="186" t="s">
        <v>6588</v>
      </c>
      <c r="BQ150" s="186"/>
      <c r="BR150" s="186"/>
      <c r="BS150" s="186" t="s">
        <v>6589</v>
      </c>
      <c r="BT150" s="186" t="s">
        <v>6589</v>
      </c>
      <c r="BU150" s="186" t="s">
        <v>3213</v>
      </c>
      <c r="BV150" s="186"/>
      <c r="BW150" s="186"/>
      <c r="BX150" s="186"/>
      <c r="BY150" s="186"/>
      <c r="BZ150" s="186"/>
      <c r="CA150" s="186"/>
      <c r="CB150" s="186"/>
      <c r="CC150" s="186"/>
      <c r="CD150" s="186"/>
      <c r="CE150" s="186"/>
      <c r="CF150" s="186"/>
    </row>
    <row r="151" spans="1:84" ht="18">
      <c r="A151" s="62" t="s">
        <v>6591</v>
      </c>
      <c r="B151" s="109"/>
      <c r="C151" s="62"/>
      <c r="D151" s="36" t="s">
        <v>6592</v>
      </c>
      <c r="E151" s="36" t="s">
        <v>6592</v>
      </c>
      <c r="F151" s="36" t="s">
        <v>525</v>
      </c>
      <c r="G151" s="36" t="s">
        <v>525</v>
      </c>
      <c r="H151" s="143" t="s">
        <v>57</v>
      </c>
      <c r="I151" s="36" t="s">
        <v>525</v>
      </c>
      <c r="J151" s="143" t="s">
        <v>57</v>
      </c>
      <c r="K151" s="36" t="s">
        <v>525</v>
      </c>
      <c r="L151" s="36" t="s">
        <v>525</v>
      </c>
      <c r="M151" s="36" t="s">
        <v>6592</v>
      </c>
      <c r="N151" s="36" t="s">
        <v>525</v>
      </c>
      <c r="O151" s="36" t="s">
        <v>6592</v>
      </c>
      <c r="P151" s="36" t="s">
        <v>525</v>
      </c>
      <c r="Q151" s="36" t="s">
        <v>525</v>
      </c>
      <c r="R151" s="36" t="s">
        <v>6592</v>
      </c>
      <c r="S151" s="36" t="s">
        <v>525</v>
      </c>
      <c r="T151" s="36" t="s">
        <v>6592</v>
      </c>
      <c r="U151" s="36" t="s">
        <v>6592</v>
      </c>
      <c r="V151" s="36" t="s">
        <v>6592</v>
      </c>
      <c r="W151" s="36" t="s">
        <v>6592</v>
      </c>
      <c r="X151" s="36" t="s">
        <v>6592</v>
      </c>
      <c r="Y151" s="116" t="s">
        <v>57</v>
      </c>
      <c r="Z151" s="184" t="s">
        <v>57</v>
      </c>
      <c r="AA151" s="116" t="s">
        <v>57</v>
      </c>
      <c r="AB151" s="116" t="s">
        <v>57</v>
      </c>
      <c r="AC151" s="116" t="s">
        <v>57</v>
      </c>
      <c r="AD151" s="36" t="s">
        <v>525</v>
      </c>
      <c r="AE151" s="36" t="s">
        <v>525</v>
      </c>
      <c r="AF151" s="38" t="s">
        <v>525</v>
      </c>
      <c r="AG151" s="36" t="s">
        <v>525</v>
      </c>
      <c r="AH151" s="36" t="s">
        <v>525</v>
      </c>
      <c r="AI151" s="36" t="s">
        <v>525</v>
      </c>
      <c r="AJ151" s="38" t="s">
        <v>525</v>
      </c>
      <c r="AK151" s="38" t="s">
        <v>525</v>
      </c>
      <c r="AL151" s="36" t="s">
        <v>525</v>
      </c>
      <c r="AM151" s="36" t="s">
        <v>6593</v>
      </c>
      <c r="AN151" s="36" t="s">
        <v>6592</v>
      </c>
      <c r="AO151" s="36" t="s">
        <v>6592</v>
      </c>
      <c r="AP151" s="36" t="s">
        <v>57</v>
      </c>
      <c r="AQ151" s="36" t="s">
        <v>525</v>
      </c>
      <c r="AR151" s="36" t="s">
        <v>525</v>
      </c>
      <c r="AS151" s="36" t="s">
        <v>6592</v>
      </c>
      <c r="AT151" s="36" t="s">
        <v>6592</v>
      </c>
      <c r="AU151" s="36" t="s">
        <v>6</v>
      </c>
      <c r="AV151" s="36" t="s">
        <v>6592</v>
      </c>
      <c r="AW151" s="36" t="s">
        <v>57</v>
      </c>
      <c r="AX151" s="36" t="s">
        <v>6592</v>
      </c>
      <c r="AY151" s="36" t="s">
        <v>111</v>
      </c>
      <c r="AZ151" s="188" t="s">
        <v>57</v>
      </c>
      <c r="BA151" s="188" t="s">
        <v>57</v>
      </c>
      <c r="BB151" s="38" t="s">
        <v>0</v>
      </c>
      <c r="BC151" s="36" t="s">
        <v>6592</v>
      </c>
      <c r="BD151" s="36" t="s">
        <v>525</v>
      </c>
      <c r="BE151" s="36" t="s">
        <v>6592</v>
      </c>
      <c r="BF151" s="36" t="s">
        <v>525</v>
      </c>
      <c r="BG151" s="36" t="s">
        <v>6592</v>
      </c>
      <c r="BH151" s="36" t="s">
        <v>525</v>
      </c>
      <c r="BI151" s="36" t="s">
        <v>525</v>
      </c>
      <c r="BJ151" s="38" t="s">
        <v>525</v>
      </c>
      <c r="BK151" s="36" t="s">
        <v>525</v>
      </c>
      <c r="BL151" s="36" t="s">
        <v>525</v>
      </c>
      <c r="BM151" s="36" t="s">
        <v>525</v>
      </c>
      <c r="BN151" s="36" t="s">
        <v>525</v>
      </c>
      <c r="BO151" s="36" t="s">
        <v>6592</v>
      </c>
      <c r="BP151" s="36" t="s">
        <v>6592</v>
      </c>
      <c r="BQ151" s="38" t="s">
        <v>57</v>
      </c>
      <c r="BR151" s="38" t="s">
        <v>57</v>
      </c>
      <c r="BS151" s="36" t="s">
        <v>57</v>
      </c>
      <c r="BT151" s="36" t="s">
        <v>57</v>
      </c>
      <c r="BU151" s="38" t="s">
        <v>57</v>
      </c>
      <c r="BV151" s="38"/>
      <c r="BW151" s="38"/>
      <c r="BX151" s="38"/>
      <c r="BY151" s="38"/>
      <c r="BZ151" s="38"/>
      <c r="CA151" s="38"/>
      <c r="CB151" s="38"/>
      <c r="CC151" s="38"/>
      <c r="CD151" s="38"/>
      <c r="CE151" s="38"/>
      <c r="CF151" s="38"/>
    </row>
    <row r="152" spans="1:84" ht="18">
      <c r="A152" s="185" t="s">
        <v>935</v>
      </c>
      <c r="B152" s="185"/>
      <c r="C152" s="185"/>
      <c r="D152" s="186" t="s">
        <v>6594</v>
      </c>
      <c r="E152" s="186" t="s">
        <v>6595</v>
      </c>
      <c r="F152" s="186" t="s">
        <v>6596</v>
      </c>
      <c r="G152" s="186" t="s">
        <v>6596</v>
      </c>
      <c r="H152" s="84"/>
      <c r="I152" s="52" t="s">
        <v>8167</v>
      </c>
      <c r="J152" s="84"/>
      <c r="K152" s="52" t="s">
        <v>8167</v>
      </c>
      <c r="L152" s="52" t="s">
        <v>8167</v>
      </c>
      <c r="M152" s="186" t="s">
        <v>6597</v>
      </c>
      <c r="N152" s="52" t="s">
        <v>8167</v>
      </c>
      <c r="O152" s="186" t="s">
        <v>6598</v>
      </c>
      <c r="P152" s="52" t="s">
        <v>8167</v>
      </c>
      <c r="Q152" s="52" t="s">
        <v>8167</v>
      </c>
      <c r="R152" s="186" t="s">
        <v>6599</v>
      </c>
      <c r="S152" s="52" t="s">
        <v>8167</v>
      </c>
      <c r="T152" s="186" t="s">
        <v>6599</v>
      </c>
      <c r="U152" s="186" t="s">
        <v>6599</v>
      </c>
      <c r="V152" s="186" t="s">
        <v>6600</v>
      </c>
      <c r="W152" s="186" t="s">
        <v>6600</v>
      </c>
      <c r="X152" s="186" t="s">
        <v>6600</v>
      </c>
      <c r="Y152" s="186" t="s">
        <v>6601</v>
      </c>
      <c r="Z152" s="187"/>
      <c r="AA152" s="186" t="s">
        <v>6601</v>
      </c>
      <c r="AB152" s="186"/>
      <c r="AC152" s="186"/>
      <c r="AD152" s="186" t="s">
        <v>6602</v>
      </c>
      <c r="AE152" s="186" t="s">
        <v>6602</v>
      </c>
      <c r="AF152" s="186" t="s">
        <v>6603</v>
      </c>
      <c r="AG152" s="52" t="s">
        <v>6012</v>
      </c>
      <c r="AH152" s="52" t="s">
        <v>6012</v>
      </c>
      <c r="AI152" s="52" t="s">
        <v>6012</v>
      </c>
      <c r="AJ152" s="186" t="s">
        <v>6603</v>
      </c>
      <c r="AK152" s="186" t="s">
        <v>6603</v>
      </c>
      <c r="AL152" s="186" t="s">
        <v>6604</v>
      </c>
      <c r="AM152" s="186" t="s">
        <v>6605</v>
      </c>
      <c r="AN152" s="186" t="s">
        <v>6606</v>
      </c>
      <c r="AO152" s="186" t="s">
        <v>6606</v>
      </c>
      <c r="AP152" s="186"/>
      <c r="AQ152" s="186"/>
      <c r="AR152" s="186"/>
      <c r="AS152" s="186" t="s">
        <v>6607</v>
      </c>
      <c r="AT152" s="186" t="s">
        <v>6608</v>
      </c>
      <c r="AU152" s="186" t="s">
        <v>6578</v>
      </c>
      <c r="AV152" s="186" t="s">
        <v>6543</v>
      </c>
      <c r="AW152" s="186" t="s">
        <v>6609</v>
      </c>
      <c r="AX152" s="186" t="s">
        <v>6610</v>
      </c>
      <c r="AY152" s="186" t="s">
        <v>6543</v>
      </c>
      <c r="AZ152" s="186" t="s">
        <v>6582</v>
      </c>
      <c r="BA152" s="186" t="s">
        <v>6582</v>
      </c>
      <c r="BB152" s="186"/>
      <c r="BC152" s="186" t="s">
        <v>6611</v>
      </c>
      <c r="BD152" s="52" t="s">
        <v>7610</v>
      </c>
      <c r="BE152" s="186" t="s">
        <v>6611</v>
      </c>
      <c r="BF152" s="52" t="s">
        <v>7610</v>
      </c>
      <c r="BG152" s="186" t="s">
        <v>6611</v>
      </c>
      <c r="BH152" s="52" t="s">
        <v>7610</v>
      </c>
      <c r="BI152" s="52" t="s">
        <v>7610</v>
      </c>
      <c r="BJ152" s="186" t="s">
        <v>6612</v>
      </c>
      <c r="BK152" s="186" t="s">
        <v>6613</v>
      </c>
      <c r="BL152" s="186" t="s">
        <v>6613</v>
      </c>
      <c r="BM152" s="186" t="s">
        <v>6613</v>
      </c>
      <c r="BN152" s="186" t="s">
        <v>6614</v>
      </c>
      <c r="BO152" s="186" t="s">
        <v>6615</v>
      </c>
      <c r="BP152" s="186" t="s">
        <v>6616</v>
      </c>
      <c r="BQ152" s="186"/>
      <c r="BR152" s="186"/>
      <c r="BS152" s="186" t="s">
        <v>6617</v>
      </c>
      <c r="BT152" s="186" t="s">
        <v>6617</v>
      </c>
      <c r="BU152" s="186" t="s">
        <v>6618</v>
      </c>
      <c r="BV152" s="186"/>
      <c r="BW152" s="186"/>
      <c r="BX152" s="186"/>
      <c r="BY152" s="186"/>
      <c r="BZ152" s="186"/>
      <c r="CA152" s="186"/>
      <c r="CB152" s="186"/>
      <c r="CC152" s="186"/>
      <c r="CD152" s="186"/>
      <c r="CE152" s="186"/>
      <c r="CF152" s="186"/>
    </row>
    <row r="153" spans="1:84" ht="18">
      <c r="A153" s="62" t="s">
        <v>6619</v>
      </c>
      <c r="B153" s="109"/>
      <c r="C153" s="38" t="s">
        <v>525</v>
      </c>
      <c r="D153" s="38" t="s">
        <v>525</v>
      </c>
      <c r="E153" s="38" t="s">
        <v>0</v>
      </c>
      <c r="F153" s="38" t="s">
        <v>0</v>
      </c>
      <c r="G153" s="38" t="s">
        <v>5511</v>
      </c>
      <c r="H153" s="38" t="s">
        <v>6</v>
      </c>
      <c r="I153" s="36" t="s">
        <v>525</v>
      </c>
      <c r="J153" s="38" t="s">
        <v>0</v>
      </c>
      <c r="K153" s="36" t="s">
        <v>525</v>
      </c>
      <c r="L153" s="36" t="s">
        <v>525</v>
      </c>
      <c r="M153" s="38" t="s">
        <v>0</v>
      </c>
      <c r="N153" s="36" t="s">
        <v>525</v>
      </c>
      <c r="O153" s="38" t="s">
        <v>0</v>
      </c>
      <c r="P153" s="36" t="s">
        <v>525</v>
      </c>
      <c r="Q153" s="36" t="s">
        <v>525</v>
      </c>
      <c r="R153" s="38" t="s">
        <v>0</v>
      </c>
      <c r="S153" s="36" t="s">
        <v>525</v>
      </c>
      <c r="T153" s="38" t="s">
        <v>6</v>
      </c>
      <c r="U153" s="38" t="s">
        <v>111</v>
      </c>
      <c r="V153" s="145" t="s">
        <v>525</v>
      </c>
      <c r="W153" s="38" t="s">
        <v>27</v>
      </c>
      <c r="X153" s="38" t="s">
        <v>6</v>
      </c>
      <c r="Y153" s="38" t="s">
        <v>0</v>
      </c>
      <c r="Z153" s="38" t="s">
        <v>0</v>
      </c>
      <c r="AA153" s="38" t="s">
        <v>0</v>
      </c>
      <c r="AB153" s="38" t="s">
        <v>6</v>
      </c>
      <c r="AC153" s="38" t="s">
        <v>57</v>
      </c>
      <c r="AD153" s="38" t="s">
        <v>525</v>
      </c>
      <c r="AE153" s="38" t="s">
        <v>525</v>
      </c>
      <c r="AF153" s="37" t="s">
        <v>6</v>
      </c>
      <c r="AG153" s="38" t="s">
        <v>525</v>
      </c>
      <c r="AH153" s="38" t="s">
        <v>525</v>
      </c>
      <c r="AI153" s="36" t="s">
        <v>7198</v>
      </c>
      <c r="AJ153" s="76" t="s">
        <v>6</v>
      </c>
      <c r="AK153" s="38" t="s">
        <v>0</v>
      </c>
      <c r="AL153" s="38" t="s">
        <v>0</v>
      </c>
      <c r="AM153" s="38" t="s">
        <v>17</v>
      </c>
      <c r="AN153" s="38" t="s">
        <v>44</v>
      </c>
      <c r="AO153" s="38" t="s">
        <v>6</v>
      </c>
      <c r="AP153" s="38" t="s">
        <v>0</v>
      </c>
      <c r="AQ153" s="38" t="s">
        <v>0</v>
      </c>
      <c r="AR153" s="38" t="s">
        <v>912</v>
      </c>
      <c r="AS153" s="38" t="s">
        <v>0</v>
      </c>
      <c r="AT153" s="38" t="s">
        <v>0</v>
      </c>
      <c r="AU153" s="38" t="s">
        <v>0</v>
      </c>
      <c r="AV153" s="36" t="s">
        <v>4360</v>
      </c>
      <c r="AW153" s="36" t="s">
        <v>4360</v>
      </c>
      <c r="AX153" s="38" t="s">
        <v>525</v>
      </c>
      <c r="AY153" s="38" t="s">
        <v>525</v>
      </c>
      <c r="AZ153" s="38" t="s">
        <v>525</v>
      </c>
      <c r="BA153" s="38" t="s">
        <v>27</v>
      </c>
      <c r="BB153" s="38" t="s">
        <v>57</v>
      </c>
      <c r="BC153" s="36" t="s">
        <v>4856</v>
      </c>
      <c r="BD153" s="36" t="s">
        <v>7615</v>
      </c>
      <c r="BE153" s="38" t="s">
        <v>57</v>
      </c>
      <c r="BF153" s="36" t="s">
        <v>7615</v>
      </c>
      <c r="BG153" s="36" t="s">
        <v>4856</v>
      </c>
      <c r="BH153" s="36" t="s">
        <v>7879</v>
      </c>
      <c r="BI153" s="36" t="s">
        <v>525</v>
      </c>
      <c r="BJ153" s="38" t="s">
        <v>525</v>
      </c>
      <c r="BK153" s="38" t="s">
        <v>0</v>
      </c>
      <c r="BL153" s="38" t="s">
        <v>525</v>
      </c>
      <c r="BM153" s="38" t="s">
        <v>0</v>
      </c>
      <c r="BN153" s="38" t="s">
        <v>525</v>
      </c>
      <c r="BO153" s="38"/>
      <c r="BP153" s="38" t="s">
        <v>57</v>
      </c>
      <c r="BQ153" s="38" t="s">
        <v>57</v>
      </c>
      <c r="BR153" s="38" t="s">
        <v>0</v>
      </c>
      <c r="BS153" s="38" t="s">
        <v>350</v>
      </c>
      <c r="BT153" s="38" t="s">
        <v>0</v>
      </c>
      <c r="BU153" s="36" t="s">
        <v>525</v>
      </c>
      <c r="BV153" s="36" t="s">
        <v>6146</v>
      </c>
      <c r="BW153" s="38" t="s">
        <v>0</v>
      </c>
      <c r="BX153" s="38" t="s">
        <v>0</v>
      </c>
      <c r="BY153" s="38" t="s">
        <v>27</v>
      </c>
      <c r="BZ153" s="38" t="s">
        <v>0</v>
      </c>
      <c r="CA153" s="38" t="s">
        <v>0</v>
      </c>
      <c r="CB153" s="38" t="s">
        <v>0</v>
      </c>
      <c r="CC153" s="38" t="s">
        <v>308</v>
      </c>
      <c r="CD153" s="38" t="s">
        <v>308</v>
      </c>
      <c r="CE153" s="38" t="s">
        <v>525</v>
      </c>
      <c r="CF153" s="38" t="s">
        <v>27</v>
      </c>
    </row>
    <row r="154" spans="1:84" ht="18">
      <c r="A154" s="51" t="s">
        <v>935</v>
      </c>
      <c r="B154" s="51"/>
      <c r="C154" s="52" t="s">
        <v>1668</v>
      </c>
      <c r="D154" s="52" t="s">
        <v>1668</v>
      </c>
      <c r="E154" s="52" t="s">
        <v>0</v>
      </c>
      <c r="F154" s="52" t="s">
        <v>0</v>
      </c>
      <c r="G154" s="52" t="s">
        <v>1408</v>
      </c>
      <c r="H154" s="52" t="s">
        <v>1408</v>
      </c>
      <c r="I154" s="52" t="s">
        <v>8167</v>
      </c>
      <c r="J154" s="52" t="s">
        <v>0</v>
      </c>
      <c r="K154" s="52" t="s">
        <v>8167</v>
      </c>
      <c r="L154" s="52" t="s">
        <v>8167</v>
      </c>
      <c r="M154" s="52" t="s">
        <v>0</v>
      </c>
      <c r="N154" s="52" t="s">
        <v>8167</v>
      </c>
      <c r="O154" s="52" t="s">
        <v>0</v>
      </c>
      <c r="P154" s="52" t="s">
        <v>8167</v>
      </c>
      <c r="Q154" s="52" t="s">
        <v>8167</v>
      </c>
      <c r="R154" s="52" t="s">
        <v>0</v>
      </c>
      <c r="S154" s="52" t="s">
        <v>8167</v>
      </c>
      <c r="T154" s="52" t="s">
        <v>5594</v>
      </c>
      <c r="U154" s="52" t="s">
        <v>5594</v>
      </c>
      <c r="V154" s="84"/>
      <c r="W154" s="52" t="s">
        <v>4430</v>
      </c>
      <c r="X154" s="52" t="s">
        <v>6446</v>
      </c>
      <c r="Y154" s="52" t="s">
        <v>0</v>
      </c>
      <c r="Z154" s="52" t="s">
        <v>0</v>
      </c>
      <c r="AA154" s="52" t="s">
        <v>0</v>
      </c>
      <c r="AB154" s="52" t="s">
        <v>5934</v>
      </c>
      <c r="AC154" s="52" t="s">
        <v>5934</v>
      </c>
      <c r="AD154" s="52" t="s">
        <v>4713</v>
      </c>
      <c r="AE154" s="52" t="s">
        <v>6012</v>
      </c>
      <c r="AF154" s="52" t="s">
        <v>5978</v>
      </c>
      <c r="AG154" s="52" t="s">
        <v>6012</v>
      </c>
      <c r="AH154" s="52" t="s">
        <v>6012</v>
      </c>
      <c r="AI154" s="186" t="s">
        <v>7197</v>
      </c>
      <c r="AJ154" s="52" t="s">
        <v>6108</v>
      </c>
      <c r="AK154" s="52" t="s">
        <v>0</v>
      </c>
      <c r="AL154" s="52" t="s">
        <v>0</v>
      </c>
      <c r="AM154" s="52" t="s">
        <v>5346</v>
      </c>
      <c r="AN154" s="52" t="s">
        <v>5397</v>
      </c>
      <c r="AO154" s="52" t="s">
        <v>4220</v>
      </c>
      <c r="AP154" s="52" t="s">
        <v>6338</v>
      </c>
      <c r="AQ154" s="52" t="s">
        <v>6338</v>
      </c>
      <c r="AR154" s="52"/>
      <c r="AS154" s="52" t="s">
        <v>0</v>
      </c>
      <c r="AT154" s="52" t="s">
        <v>0</v>
      </c>
      <c r="AU154" s="52" t="s">
        <v>0</v>
      </c>
      <c r="AV154" s="52" t="s">
        <v>4359</v>
      </c>
      <c r="AW154" s="52" t="s">
        <v>4359</v>
      </c>
      <c r="AX154" s="52" t="s">
        <v>1373</v>
      </c>
      <c r="AY154" s="52" t="s">
        <v>1373</v>
      </c>
      <c r="AZ154" s="52" t="s">
        <v>3714</v>
      </c>
      <c r="BA154" s="52" t="s">
        <v>4534</v>
      </c>
      <c r="BB154" s="52" t="s">
        <v>3483</v>
      </c>
      <c r="BC154" s="52" t="s">
        <v>4855</v>
      </c>
      <c r="BD154" s="52" t="s">
        <v>7716</v>
      </c>
      <c r="BE154" s="52" t="s">
        <v>4889</v>
      </c>
      <c r="BF154" s="52" t="s">
        <v>7717</v>
      </c>
      <c r="BG154" s="52" t="s">
        <v>4855</v>
      </c>
      <c r="BH154" s="52" t="s">
        <v>7878</v>
      </c>
      <c r="BI154" s="52" t="s">
        <v>7610</v>
      </c>
      <c r="BJ154" s="52" t="s">
        <v>4980</v>
      </c>
      <c r="BK154" s="52"/>
      <c r="BL154" s="52"/>
      <c r="BM154" s="52" t="s">
        <v>0</v>
      </c>
      <c r="BN154" s="52" t="s">
        <v>2294</v>
      </c>
      <c r="BO154" s="52"/>
      <c r="BP154" s="52" t="s">
        <v>3186</v>
      </c>
      <c r="BQ154" s="52" t="s">
        <v>3186</v>
      </c>
      <c r="BR154" s="52" t="s">
        <v>0</v>
      </c>
      <c r="BS154" s="52" t="s">
        <v>2675</v>
      </c>
      <c r="BT154" s="52" t="s">
        <v>0</v>
      </c>
      <c r="BU154" s="84" t="s">
        <v>2848</v>
      </c>
      <c r="BV154" s="84"/>
      <c r="BW154" s="52"/>
      <c r="BX154" s="52" t="s">
        <v>0</v>
      </c>
      <c r="BY154" s="52" t="s">
        <v>3787</v>
      </c>
      <c r="BZ154" s="52" t="s">
        <v>0</v>
      </c>
      <c r="CA154" s="52" t="s">
        <v>0</v>
      </c>
      <c r="CB154" s="52" t="s">
        <v>0</v>
      </c>
      <c r="CC154" s="52"/>
      <c r="CD154" s="52"/>
      <c r="CE154" s="52" t="s">
        <v>3255</v>
      </c>
      <c r="CF154" s="52" t="s">
        <v>2162</v>
      </c>
    </row>
    <row r="155" spans="1:84" ht="18">
      <c r="A155" s="6" t="s">
        <v>145</v>
      </c>
      <c r="B155" s="109"/>
      <c r="C155" s="38" t="s">
        <v>57</v>
      </c>
      <c r="D155" s="38" t="s">
        <v>57</v>
      </c>
      <c r="E155" s="38" t="s">
        <v>0</v>
      </c>
      <c r="F155" s="38" t="s">
        <v>0</v>
      </c>
      <c r="G155" s="38" t="s">
        <v>57</v>
      </c>
      <c r="H155" s="38" t="s">
        <v>57</v>
      </c>
      <c r="I155" s="38" t="s">
        <v>57</v>
      </c>
      <c r="J155" s="38" t="s">
        <v>57</v>
      </c>
      <c r="K155" s="38" t="s">
        <v>57</v>
      </c>
      <c r="L155" s="38" t="s">
        <v>57</v>
      </c>
      <c r="M155" s="38" t="s">
        <v>57</v>
      </c>
      <c r="N155" s="38" t="s">
        <v>57</v>
      </c>
      <c r="O155" s="38" t="s">
        <v>57</v>
      </c>
      <c r="P155" s="38" t="s">
        <v>57</v>
      </c>
      <c r="Q155" s="38" t="s">
        <v>57</v>
      </c>
      <c r="R155" s="38" t="s">
        <v>57</v>
      </c>
      <c r="S155" s="38" t="s">
        <v>57</v>
      </c>
      <c r="T155" s="38" t="s">
        <v>57</v>
      </c>
      <c r="U155" s="38" t="s">
        <v>57</v>
      </c>
      <c r="V155" s="145" t="s">
        <v>57</v>
      </c>
      <c r="W155" s="38" t="s">
        <v>0</v>
      </c>
      <c r="X155" s="38" t="s">
        <v>57</v>
      </c>
      <c r="Y155" s="38" t="s">
        <v>57</v>
      </c>
      <c r="Z155" s="38" t="s">
        <v>57</v>
      </c>
      <c r="AA155" s="38" t="s">
        <v>57</v>
      </c>
      <c r="AB155" s="38" t="s">
        <v>57</v>
      </c>
      <c r="AC155" s="38" t="s">
        <v>57</v>
      </c>
      <c r="AD155" s="38" t="s">
        <v>57</v>
      </c>
      <c r="AE155" s="7" t="s">
        <v>57</v>
      </c>
      <c r="AF155" s="7" t="s">
        <v>57</v>
      </c>
      <c r="AG155" s="36" t="s">
        <v>7194</v>
      </c>
      <c r="AH155" s="36" t="s">
        <v>7194</v>
      </c>
      <c r="AI155" s="36" t="s">
        <v>7194</v>
      </c>
      <c r="AJ155" s="37" t="s">
        <v>1812</v>
      </c>
      <c r="AK155" s="38" t="s">
        <v>57</v>
      </c>
      <c r="AL155" s="38" t="s">
        <v>57</v>
      </c>
      <c r="AM155" s="38" t="s">
        <v>57</v>
      </c>
      <c r="AN155" s="38" t="s">
        <v>57</v>
      </c>
      <c r="AO155" s="38" t="s">
        <v>0</v>
      </c>
      <c r="AP155" s="38" t="s">
        <v>57</v>
      </c>
      <c r="AQ155" s="38" t="s">
        <v>57</v>
      </c>
      <c r="AR155" s="38" t="s">
        <v>0</v>
      </c>
      <c r="AS155" s="38" t="s">
        <v>57</v>
      </c>
      <c r="AT155" s="38" t="s">
        <v>57</v>
      </c>
      <c r="AU155" s="38" t="s">
        <v>57</v>
      </c>
      <c r="AV155" s="38" t="s">
        <v>866</v>
      </c>
      <c r="AW155" s="38" t="s">
        <v>866</v>
      </c>
      <c r="AX155" s="38" t="s">
        <v>57</v>
      </c>
      <c r="AY155" s="38" t="s">
        <v>57</v>
      </c>
      <c r="AZ155" s="38" t="s">
        <v>57</v>
      </c>
      <c r="BA155" s="38" t="s">
        <v>57</v>
      </c>
      <c r="BB155" s="38" t="s">
        <v>57</v>
      </c>
      <c r="BC155" s="38" t="s">
        <v>57</v>
      </c>
      <c r="BD155" s="36" t="s">
        <v>7194</v>
      </c>
      <c r="BE155" s="38" t="s">
        <v>57</v>
      </c>
      <c r="BF155" s="36" t="s">
        <v>7194</v>
      </c>
      <c r="BG155" s="38" t="s">
        <v>57</v>
      </c>
      <c r="BH155" s="36" t="s">
        <v>7194</v>
      </c>
      <c r="BI155" s="36" t="s">
        <v>7194</v>
      </c>
      <c r="BJ155" s="38" t="s">
        <v>57</v>
      </c>
      <c r="BK155" s="38" t="s">
        <v>57</v>
      </c>
      <c r="BL155" s="38" t="s">
        <v>57</v>
      </c>
      <c r="BM155" s="38" t="s">
        <v>0</v>
      </c>
      <c r="BN155" s="38" t="s">
        <v>57</v>
      </c>
      <c r="BO155" s="38"/>
      <c r="BP155" s="38" t="s">
        <v>57</v>
      </c>
      <c r="BQ155" s="38" t="s">
        <v>57</v>
      </c>
      <c r="BR155" s="38" t="s">
        <v>0</v>
      </c>
      <c r="BS155" s="38" t="s">
        <v>0</v>
      </c>
      <c r="BT155" s="38" t="s">
        <v>0</v>
      </c>
      <c r="BU155" s="36" t="s">
        <v>57</v>
      </c>
      <c r="BV155" s="36" t="s">
        <v>57</v>
      </c>
      <c r="BW155" s="38" t="s">
        <v>57</v>
      </c>
      <c r="BX155" s="38" t="s">
        <v>0</v>
      </c>
      <c r="BY155" s="38" t="s">
        <v>0</v>
      </c>
      <c r="BZ155" s="38" t="s">
        <v>57</v>
      </c>
      <c r="CA155" s="38" t="s">
        <v>57</v>
      </c>
      <c r="CB155" s="38" t="s">
        <v>57</v>
      </c>
      <c r="CC155" s="38" t="s">
        <v>57</v>
      </c>
      <c r="CD155" s="38" t="s">
        <v>57</v>
      </c>
      <c r="CE155" s="38" t="s">
        <v>57</v>
      </c>
      <c r="CF155" s="38" t="s">
        <v>0</v>
      </c>
    </row>
    <row r="156" spans="1:84">
      <c r="A156" s="51" t="s">
        <v>935</v>
      </c>
      <c r="B156" s="51"/>
      <c r="C156" s="52" t="s">
        <v>1666</v>
      </c>
      <c r="D156" s="52" t="s">
        <v>1666</v>
      </c>
      <c r="E156" s="52" t="s">
        <v>0</v>
      </c>
      <c r="F156" s="52" t="s">
        <v>0</v>
      </c>
      <c r="G156" s="52" t="s">
        <v>1448</v>
      </c>
      <c r="H156" s="52" t="s">
        <v>1448</v>
      </c>
      <c r="I156" s="52" t="s">
        <v>8165</v>
      </c>
      <c r="J156" s="52" t="s">
        <v>1666</v>
      </c>
      <c r="K156" s="52" t="s">
        <v>8165</v>
      </c>
      <c r="L156" s="52" t="s">
        <v>8165</v>
      </c>
      <c r="M156" s="52" t="s">
        <v>1666</v>
      </c>
      <c r="N156" s="52" t="s">
        <v>8165</v>
      </c>
      <c r="O156" s="52" t="s">
        <v>1666</v>
      </c>
      <c r="P156" s="52" t="s">
        <v>8165</v>
      </c>
      <c r="Q156" s="52" t="s">
        <v>8165</v>
      </c>
      <c r="R156" s="52" t="s">
        <v>1666</v>
      </c>
      <c r="S156" s="52" t="s">
        <v>8165</v>
      </c>
      <c r="T156" s="52" t="s">
        <v>5595</v>
      </c>
      <c r="U156" s="52" t="s">
        <v>5595</v>
      </c>
      <c r="V156" s="84"/>
      <c r="W156" s="52" t="s">
        <v>0</v>
      </c>
      <c r="X156" s="52" t="s">
        <v>6447</v>
      </c>
      <c r="Y156" s="52" t="s">
        <v>2395</v>
      </c>
      <c r="Z156" s="52" t="s">
        <v>2395</v>
      </c>
      <c r="AA156" s="52" t="s">
        <v>2395</v>
      </c>
      <c r="AB156" s="52" t="s">
        <v>4715</v>
      </c>
      <c r="AC156" s="52" t="s">
        <v>4715</v>
      </c>
      <c r="AD156" s="52" t="s">
        <v>4715</v>
      </c>
      <c r="AE156" s="52" t="s">
        <v>6007</v>
      </c>
      <c r="AF156" s="52" t="s">
        <v>6007</v>
      </c>
      <c r="AG156" s="52" t="s">
        <v>7196</v>
      </c>
      <c r="AH156" s="52" t="s">
        <v>7196</v>
      </c>
      <c r="AI156" s="52" t="s">
        <v>7196</v>
      </c>
      <c r="AJ156" s="52" t="s">
        <v>6108</v>
      </c>
      <c r="AK156" s="52" t="s">
        <v>4204</v>
      </c>
      <c r="AL156" s="52" t="s">
        <v>4204</v>
      </c>
      <c r="AM156" s="52" t="s">
        <v>4978</v>
      </c>
      <c r="AN156" s="52" t="s">
        <v>4978</v>
      </c>
      <c r="AO156" s="52" t="s">
        <v>0</v>
      </c>
      <c r="AP156" s="52" t="s">
        <v>2611</v>
      </c>
      <c r="AQ156" s="52" t="s">
        <v>2611</v>
      </c>
      <c r="AR156" s="52"/>
      <c r="AS156" s="52" t="s">
        <v>2017</v>
      </c>
      <c r="AT156" s="52" t="s">
        <v>2017</v>
      </c>
      <c r="AU156" s="52" t="s">
        <v>2017</v>
      </c>
      <c r="AV156" s="52" t="s">
        <v>4326</v>
      </c>
      <c r="AW156" s="52" t="s">
        <v>4326</v>
      </c>
      <c r="AX156" s="52" t="s">
        <v>1371</v>
      </c>
      <c r="AY156" s="52" t="s">
        <v>1371</v>
      </c>
      <c r="AZ156" s="52" t="s">
        <v>3716</v>
      </c>
      <c r="BA156" s="52" t="s">
        <v>3717</v>
      </c>
      <c r="BB156" s="52" t="s">
        <v>3718</v>
      </c>
      <c r="BC156" s="52" t="s">
        <v>4978</v>
      </c>
      <c r="BD156" s="52" t="s">
        <v>7611</v>
      </c>
      <c r="BE156" s="52" t="s">
        <v>4978</v>
      </c>
      <c r="BF156" s="52" t="s">
        <v>7611</v>
      </c>
      <c r="BG156" s="52" t="s">
        <v>4978</v>
      </c>
      <c r="BH156" s="52" t="s">
        <v>7611</v>
      </c>
      <c r="BI156" s="52" t="s">
        <v>7611</v>
      </c>
      <c r="BJ156" s="52" t="s">
        <v>4978</v>
      </c>
      <c r="BK156" s="52"/>
      <c r="BL156" s="52"/>
      <c r="BM156" s="52" t="s">
        <v>0</v>
      </c>
      <c r="BN156" s="52" t="s">
        <v>2292</v>
      </c>
      <c r="BO156" s="52"/>
      <c r="BP156" s="52" t="s">
        <v>2292</v>
      </c>
      <c r="BQ156" s="52" t="s">
        <v>2292</v>
      </c>
      <c r="BR156" s="52" t="s">
        <v>0</v>
      </c>
      <c r="BS156" s="52" t="s">
        <v>0</v>
      </c>
      <c r="BT156" s="52" t="s">
        <v>0</v>
      </c>
      <c r="BU156" s="84" t="s">
        <v>2845</v>
      </c>
      <c r="BV156" s="84"/>
      <c r="BW156" s="52"/>
      <c r="BX156" s="52" t="s">
        <v>0</v>
      </c>
      <c r="BY156" s="52" t="s">
        <v>0</v>
      </c>
      <c r="BZ156" s="52" t="s">
        <v>6214</v>
      </c>
      <c r="CA156" s="52" t="s">
        <v>3166</v>
      </c>
      <c r="CB156" s="52" t="s">
        <v>3166</v>
      </c>
      <c r="CC156" s="52"/>
      <c r="CD156" s="52"/>
      <c r="CE156" s="52" t="s">
        <v>3253</v>
      </c>
      <c r="CF156" s="52" t="s">
        <v>0</v>
      </c>
    </row>
    <row r="157" spans="1:84" ht="18">
      <c r="A157" s="6" t="s">
        <v>146</v>
      </c>
      <c r="B157" s="109"/>
      <c r="C157" s="38" t="s">
        <v>57</v>
      </c>
      <c r="D157" s="38" t="s">
        <v>57</v>
      </c>
      <c r="E157" s="38" t="s">
        <v>0</v>
      </c>
      <c r="F157" s="38" t="s">
        <v>0</v>
      </c>
      <c r="G157" s="38" t="s">
        <v>57</v>
      </c>
      <c r="H157" s="38" t="s">
        <v>57</v>
      </c>
      <c r="I157" s="38" t="s">
        <v>57</v>
      </c>
      <c r="J157" s="38" t="s">
        <v>57</v>
      </c>
      <c r="K157" s="38" t="s">
        <v>57</v>
      </c>
      <c r="L157" s="38" t="s">
        <v>57</v>
      </c>
      <c r="M157" s="38" t="s">
        <v>57</v>
      </c>
      <c r="N157" s="38" t="s">
        <v>57</v>
      </c>
      <c r="O157" s="38" t="s">
        <v>57</v>
      </c>
      <c r="P157" s="38" t="s">
        <v>57</v>
      </c>
      <c r="Q157" s="38" t="s">
        <v>57</v>
      </c>
      <c r="R157" s="38" t="s">
        <v>57</v>
      </c>
      <c r="S157" s="38" t="s">
        <v>57</v>
      </c>
      <c r="T157" s="38" t="s">
        <v>57</v>
      </c>
      <c r="U157" s="38" t="s">
        <v>57</v>
      </c>
      <c r="V157" s="145" t="s">
        <v>57</v>
      </c>
      <c r="W157" s="38" t="s">
        <v>0</v>
      </c>
      <c r="X157" s="38" t="s">
        <v>57</v>
      </c>
      <c r="Y157" s="38" t="s">
        <v>57</v>
      </c>
      <c r="Z157" s="38" t="s">
        <v>57</v>
      </c>
      <c r="AA157" s="38" t="s">
        <v>57</v>
      </c>
      <c r="AB157" s="38" t="s">
        <v>57</v>
      </c>
      <c r="AC157" s="38" t="s">
        <v>57</v>
      </c>
      <c r="AD157" s="38" t="s">
        <v>57</v>
      </c>
      <c r="AE157" s="7" t="s">
        <v>57</v>
      </c>
      <c r="AF157" s="7" t="s">
        <v>57</v>
      </c>
      <c r="AG157" s="36" t="s">
        <v>7194</v>
      </c>
      <c r="AH157" s="36" t="s">
        <v>7194</v>
      </c>
      <c r="AI157" s="36" t="s">
        <v>7194</v>
      </c>
      <c r="AJ157" s="37" t="s">
        <v>1812</v>
      </c>
      <c r="AK157" s="7" t="s">
        <v>0</v>
      </c>
      <c r="AL157" s="7" t="s">
        <v>0</v>
      </c>
      <c r="AM157" s="38" t="s">
        <v>57</v>
      </c>
      <c r="AN157" s="38" t="s">
        <v>57</v>
      </c>
      <c r="AO157" s="38" t="s">
        <v>0</v>
      </c>
      <c r="AP157" s="38" t="s">
        <v>57</v>
      </c>
      <c r="AQ157" s="38" t="s">
        <v>57</v>
      </c>
      <c r="AR157" s="38" t="s">
        <v>0</v>
      </c>
      <c r="AS157" s="38" t="s">
        <v>57</v>
      </c>
      <c r="AT157" s="38" t="s">
        <v>57</v>
      </c>
      <c r="AU157" s="38" t="s">
        <v>57</v>
      </c>
      <c r="AV157" s="38" t="s">
        <v>57</v>
      </c>
      <c r="AW157" s="38" t="s">
        <v>57</v>
      </c>
      <c r="AX157" s="38" t="s">
        <v>57</v>
      </c>
      <c r="AY157" s="38" t="s">
        <v>57</v>
      </c>
      <c r="AZ157" s="38" t="s">
        <v>57</v>
      </c>
      <c r="BA157" s="38" t="s">
        <v>57</v>
      </c>
      <c r="BB157" s="38" t="s">
        <v>57</v>
      </c>
      <c r="BC157" s="38" t="s">
        <v>57</v>
      </c>
      <c r="BD157" s="38" t="s">
        <v>57</v>
      </c>
      <c r="BE157" s="38" t="s">
        <v>57</v>
      </c>
      <c r="BF157" s="38" t="s">
        <v>57</v>
      </c>
      <c r="BG157" s="38" t="s">
        <v>57</v>
      </c>
      <c r="BH157" s="38" t="s">
        <v>57</v>
      </c>
      <c r="BI157" s="38" t="s">
        <v>57</v>
      </c>
      <c r="BJ157" s="38" t="s">
        <v>57</v>
      </c>
      <c r="BK157" s="38" t="s">
        <v>57</v>
      </c>
      <c r="BL157" s="38" t="s">
        <v>57</v>
      </c>
      <c r="BM157" s="38" t="s">
        <v>0</v>
      </c>
      <c r="BN157" s="38" t="s">
        <v>57</v>
      </c>
      <c r="BO157" s="38"/>
      <c r="BP157" s="38" t="s">
        <v>57</v>
      </c>
      <c r="BQ157" s="38" t="s">
        <v>57</v>
      </c>
      <c r="BR157" s="38" t="s">
        <v>0</v>
      </c>
      <c r="BS157" s="38" t="s">
        <v>0</v>
      </c>
      <c r="BT157" s="38" t="s">
        <v>0</v>
      </c>
      <c r="BU157" s="36" t="s">
        <v>57</v>
      </c>
      <c r="BV157" s="36" t="s">
        <v>57</v>
      </c>
      <c r="BW157" s="38" t="s">
        <v>57</v>
      </c>
      <c r="BX157" s="38" t="s">
        <v>0</v>
      </c>
      <c r="BY157" s="38" t="s">
        <v>0</v>
      </c>
      <c r="BZ157" s="38" t="s">
        <v>57</v>
      </c>
      <c r="CA157" s="38" t="s">
        <v>57</v>
      </c>
      <c r="CB157" s="38" t="s">
        <v>57</v>
      </c>
      <c r="CC157" s="38" t="s">
        <v>57</v>
      </c>
      <c r="CD157" s="38" t="s">
        <v>57</v>
      </c>
      <c r="CE157" s="38" t="s">
        <v>57</v>
      </c>
      <c r="CF157" s="38" t="s">
        <v>0</v>
      </c>
    </row>
    <row r="158" spans="1:84">
      <c r="A158" s="51" t="s">
        <v>935</v>
      </c>
      <c r="B158" s="51"/>
      <c r="C158" s="52" t="s">
        <v>1667</v>
      </c>
      <c r="D158" s="52" t="s">
        <v>1667</v>
      </c>
      <c r="E158" s="52" t="s">
        <v>0</v>
      </c>
      <c r="F158" s="52" t="s">
        <v>0</v>
      </c>
      <c r="G158" s="52" t="s">
        <v>1449</v>
      </c>
      <c r="H158" s="52" t="s">
        <v>1449</v>
      </c>
      <c r="I158" s="52" t="s">
        <v>8166</v>
      </c>
      <c r="J158" s="52" t="s">
        <v>1667</v>
      </c>
      <c r="K158" s="52" t="s">
        <v>8166</v>
      </c>
      <c r="L158" s="52" t="s">
        <v>8166</v>
      </c>
      <c r="M158" s="52" t="s">
        <v>1667</v>
      </c>
      <c r="N158" s="52" t="s">
        <v>8166</v>
      </c>
      <c r="O158" s="52" t="s">
        <v>1667</v>
      </c>
      <c r="P158" s="52" t="s">
        <v>8166</v>
      </c>
      <c r="Q158" s="52" t="s">
        <v>8166</v>
      </c>
      <c r="R158" s="52" t="s">
        <v>1667</v>
      </c>
      <c r="S158" s="52" t="s">
        <v>8166</v>
      </c>
      <c r="T158" s="52" t="s">
        <v>5596</v>
      </c>
      <c r="U158" s="52" t="s">
        <v>5596</v>
      </c>
      <c r="V158" s="84"/>
      <c r="W158" s="52" t="s">
        <v>0</v>
      </c>
      <c r="X158" s="52" t="s">
        <v>6448</v>
      </c>
      <c r="Y158" s="52" t="s">
        <v>2396</v>
      </c>
      <c r="Z158" s="52" t="s">
        <v>2396</v>
      </c>
      <c r="AA158" s="52" t="s">
        <v>2396</v>
      </c>
      <c r="AB158" s="52" t="s">
        <v>4716</v>
      </c>
      <c r="AC158" s="52" t="s">
        <v>4716</v>
      </c>
      <c r="AD158" s="52" t="s">
        <v>4716</v>
      </c>
      <c r="AE158" s="52" t="s">
        <v>6008</v>
      </c>
      <c r="AF158" s="52" t="s">
        <v>6008</v>
      </c>
      <c r="AG158" s="52" t="s">
        <v>7195</v>
      </c>
      <c r="AH158" s="52" t="s">
        <v>7195</v>
      </c>
      <c r="AI158" s="52" t="s">
        <v>7195</v>
      </c>
      <c r="AJ158" s="52" t="s">
        <v>6108</v>
      </c>
      <c r="AK158" s="52" t="s">
        <v>0</v>
      </c>
      <c r="AL158" s="52" t="s">
        <v>0</v>
      </c>
      <c r="AM158" s="52" t="s">
        <v>4979</v>
      </c>
      <c r="AN158" s="52" t="s">
        <v>4979</v>
      </c>
      <c r="AO158" s="52" t="s">
        <v>0</v>
      </c>
      <c r="AP158" s="52" t="s">
        <v>2612</v>
      </c>
      <c r="AQ158" s="52" t="s">
        <v>2612</v>
      </c>
      <c r="AR158" s="52"/>
      <c r="AS158" s="52" t="s">
        <v>2018</v>
      </c>
      <c r="AT158" s="52" t="s">
        <v>2018</v>
      </c>
      <c r="AU158" s="52" t="s">
        <v>2018</v>
      </c>
      <c r="AV158" s="52" t="s">
        <v>4326</v>
      </c>
      <c r="AW158" s="52" t="s">
        <v>4326</v>
      </c>
      <c r="AX158" s="52" t="s">
        <v>1372</v>
      </c>
      <c r="AY158" s="52" t="s">
        <v>1372</v>
      </c>
      <c r="AZ158" s="52" t="s">
        <v>3719</v>
      </c>
      <c r="BA158" s="52" t="s">
        <v>3618</v>
      </c>
      <c r="BB158" s="52" t="s">
        <v>3510</v>
      </c>
      <c r="BC158" s="52" t="s">
        <v>4979</v>
      </c>
      <c r="BD158" s="52" t="s">
        <v>7608</v>
      </c>
      <c r="BE158" s="52" t="s">
        <v>4979</v>
      </c>
      <c r="BF158" s="52" t="s">
        <v>7608</v>
      </c>
      <c r="BG158" s="52" t="s">
        <v>4979</v>
      </c>
      <c r="BH158" s="52" t="s">
        <v>7608</v>
      </c>
      <c r="BI158" s="52" t="s">
        <v>7608</v>
      </c>
      <c r="BJ158" s="52" t="s">
        <v>4979</v>
      </c>
      <c r="BK158" s="52"/>
      <c r="BL158" s="52"/>
      <c r="BM158" s="52" t="s">
        <v>0</v>
      </c>
      <c r="BN158" s="52" t="s">
        <v>2293</v>
      </c>
      <c r="BO158" s="52"/>
      <c r="BP158" s="52" t="s">
        <v>2293</v>
      </c>
      <c r="BQ158" s="52" t="s">
        <v>2293</v>
      </c>
      <c r="BR158" s="52" t="s">
        <v>0</v>
      </c>
      <c r="BS158" s="52" t="s">
        <v>0</v>
      </c>
      <c r="BT158" s="52" t="s">
        <v>0</v>
      </c>
      <c r="BU158" s="84" t="s">
        <v>2846</v>
      </c>
      <c r="BV158" s="84"/>
      <c r="BW158" s="52"/>
      <c r="BX158" s="52" t="s">
        <v>0</v>
      </c>
      <c r="BY158" s="52" t="s">
        <v>0</v>
      </c>
      <c r="BZ158" s="52" t="s">
        <v>6215</v>
      </c>
      <c r="CA158" s="52" t="s">
        <v>3167</v>
      </c>
      <c r="CB158" s="52" t="s">
        <v>3167</v>
      </c>
      <c r="CC158" s="52"/>
      <c r="CD158" s="52"/>
      <c r="CE158" s="52" t="s">
        <v>3254</v>
      </c>
      <c r="CF158" s="52" t="s">
        <v>0</v>
      </c>
    </row>
    <row r="159" spans="1:84" ht="18">
      <c r="A159" s="6" t="s">
        <v>134</v>
      </c>
      <c r="B159" s="109"/>
      <c r="C159" s="38" t="s">
        <v>0</v>
      </c>
      <c r="D159" s="38" t="s">
        <v>0</v>
      </c>
      <c r="E159" s="38" t="s">
        <v>0</v>
      </c>
      <c r="F159" s="38" t="s">
        <v>0</v>
      </c>
      <c r="G159" s="38" t="s">
        <v>0</v>
      </c>
      <c r="H159" s="38" t="s">
        <v>0</v>
      </c>
      <c r="I159" s="38" t="s">
        <v>0</v>
      </c>
      <c r="J159" s="38" t="s">
        <v>0</v>
      </c>
      <c r="K159" s="38" t="s">
        <v>0</v>
      </c>
      <c r="L159" s="38" t="s">
        <v>0</v>
      </c>
      <c r="M159" s="38" t="s">
        <v>0</v>
      </c>
      <c r="N159" s="38" t="s">
        <v>0</v>
      </c>
      <c r="O159" s="38" t="s">
        <v>0</v>
      </c>
      <c r="P159" s="38" t="s">
        <v>0</v>
      </c>
      <c r="Q159" s="38" t="s">
        <v>0</v>
      </c>
      <c r="R159" s="38" t="s">
        <v>0</v>
      </c>
      <c r="S159" s="38" t="s">
        <v>0</v>
      </c>
      <c r="T159" s="38" t="s">
        <v>57</v>
      </c>
      <c r="U159" s="38" t="s">
        <v>57</v>
      </c>
      <c r="V159" s="145" t="s">
        <v>5493</v>
      </c>
      <c r="W159" s="38" t="s">
        <v>0</v>
      </c>
      <c r="X159" s="38" t="s">
        <v>6444</v>
      </c>
      <c r="Y159" s="38" t="s">
        <v>0</v>
      </c>
      <c r="Z159" s="38" t="s">
        <v>0</v>
      </c>
      <c r="AA159" s="38" t="s">
        <v>0</v>
      </c>
      <c r="AB159" s="38" t="s">
        <v>0</v>
      </c>
      <c r="AC159" s="38" t="s">
        <v>0</v>
      </c>
      <c r="AD159" s="38" t="s">
        <v>0</v>
      </c>
      <c r="AE159" s="7" t="s">
        <v>57</v>
      </c>
      <c r="AF159" s="7" t="s">
        <v>57</v>
      </c>
      <c r="AG159" s="36" t="s">
        <v>7199</v>
      </c>
      <c r="AH159" s="36" t="s">
        <v>7199</v>
      </c>
      <c r="AI159" s="36" t="s">
        <v>7199</v>
      </c>
      <c r="AJ159" s="34" t="s">
        <v>0</v>
      </c>
      <c r="AK159" s="7" t="s">
        <v>0</v>
      </c>
      <c r="AL159" s="7" t="s">
        <v>0</v>
      </c>
      <c r="AM159" s="38" t="s">
        <v>0</v>
      </c>
      <c r="AN159" s="38" t="s">
        <v>0</v>
      </c>
      <c r="AO159" s="38" t="s">
        <v>0</v>
      </c>
      <c r="AP159" s="38" t="s">
        <v>0</v>
      </c>
      <c r="AQ159" s="38" t="s">
        <v>0</v>
      </c>
      <c r="AR159" s="38" t="s">
        <v>0</v>
      </c>
      <c r="AS159" s="38" t="s">
        <v>0</v>
      </c>
      <c r="AT159" s="38" t="s">
        <v>0</v>
      </c>
      <c r="AU159" s="38" t="s">
        <v>0</v>
      </c>
      <c r="AV159" s="38" t="s">
        <v>0</v>
      </c>
      <c r="AW159" s="38" t="s">
        <v>0</v>
      </c>
      <c r="AX159" s="38" t="s">
        <v>0</v>
      </c>
      <c r="AY159" s="38" t="s">
        <v>0</v>
      </c>
      <c r="AZ159" s="38" t="s">
        <v>57</v>
      </c>
      <c r="BA159" s="38" t="s">
        <v>57</v>
      </c>
      <c r="BB159" s="38" t="s">
        <v>57</v>
      </c>
      <c r="BC159" s="38" t="s">
        <v>57</v>
      </c>
      <c r="BD159" s="38" t="s">
        <v>57</v>
      </c>
      <c r="BE159" s="38" t="s">
        <v>57</v>
      </c>
      <c r="BF159" s="38" t="s">
        <v>57</v>
      </c>
      <c r="BG159" s="38" t="s">
        <v>57</v>
      </c>
      <c r="BH159" s="38" t="s">
        <v>57</v>
      </c>
      <c r="BI159" s="38" t="s">
        <v>0</v>
      </c>
      <c r="BJ159" s="38" t="s">
        <v>0</v>
      </c>
      <c r="BK159" s="38" t="s">
        <v>0</v>
      </c>
      <c r="BL159" s="38" t="s">
        <v>0</v>
      </c>
      <c r="BM159" s="38" t="s">
        <v>0</v>
      </c>
      <c r="BN159" s="38" t="s">
        <v>0</v>
      </c>
      <c r="BO159" s="38"/>
      <c r="BP159" s="38" t="s">
        <v>0</v>
      </c>
      <c r="BQ159" s="38" t="s">
        <v>0</v>
      </c>
      <c r="BR159" s="38" t="s">
        <v>0</v>
      </c>
      <c r="BS159" s="38" t="s">
        <v>0</v>
      </c>
      <c r="BT159" s="38" t="s">
        <v>0</v>
      </c>
      <c r="BU159" s="36" t="s">
        <v>0</v>
      </c>
      <c r="BV159" s="36" t="s">
        <v>0</v>
      </c>
      <c r="BW159" s="36" t="s">
        <v>0</v>
      </c>
      <c r="BX159" s="36" t="s">
        <v>0</v>
      </c>
      <c r="BY159" s="36" t="s">
        <v>0</v>
      </c>
      <c r="BZ159" s="36" t="s">
        <v>0</v>
      </c>
      <c r="CA159" s="38" t="s">
        <v>0</v>
      </c>
      <c r="CB159" s="38" t="s">
        <v>0</v>
      </c>
      <c r="CC159" s="38" t="s">
        <v>0</v>
      </c>
      <c r="CD159" s="38" t="s">
        <v>0</v>
      </c>
      <c r="CE159" s="38" t="s">
        <v>0</v>
      </c>
      <c r="CF159" s="38" t="s">
        <v>0</v>
      </c>
    </row>
    <row r="160" spans="1:84">
      <c r="A160" s="51" t="s">
        <v>935</v>
      </c>
      <c r="B160" s="51"/>
      <c r="C160" s="52" t="s">
        <v>0</v>
      </c>
      <c r="D160" s="52" t="s">
        <v>0</v>
      </c>
      <c r="E160" s="52" t="s">
        <v>0</v>
      </c>
      <c r="F160" s="52" t="s">
        <v>0</v>
      </c>
      <c r="G160" s="52" t="s">
        <v>0</v>
      </c>
      <c r="H160" s="52" t="s">
        <v>0</v>
      </c>
      <c r="I160" s="52" t="s">
        <v>0</v>
      </c>
      <c r="J160" s="52" t="s">
        <v>0</v>
      </c>
      <c r="K160" s="52" t="s">
        <v>0</v>
      </c>
      <c r="L160" s="52" t="s">
        <v>0</v>
      </c>
      <c r="M160" s="52" t="s">
        <v>0</v>
      </c>
      <c r="N160" s="52" t="s">
        <v>0</v>
      </c>
      <c r="O160" s="52" t="s">
        <v>0</v>
      </c>
      <c r="P160" s="52" t="s">
        <v>0</v>
      </c>
      <c r="Q160" s="52" t="s">
        <v>0</v>
      </c>
      <c r="R160" s="52" t="s">
        <v>0</v>
      </c>
      <c r="S160" s="52" t="s">
        <v>0</v>
      </c>
      <c r="T160" s="52" t="s">
        <v>5597</v>
      </c>
      <c r="U160" s="52" t="s">
        <v>5597</v>
      </c>
      <c r="V160" s="84"/>
      <c r="W160" s="52" t="s">
        <v>0</v>
      </c>
      <c r="X160" s="52"/>
      <c r="Y160" s="52" t="s">
        <v>0</v>
      </c>
      <c r="Z160" s="52" t="s">
        <v>0</v>
      </c>
      <c r="AA160" s="52" t="s">
        <v>0</v>
      </c>
      <c r="AB160" s="52" t="s">
        <v>0</v>
      </c>
      <c r="AC160" s="52" t="s">
        <v>0</v>
      </c>
      <c r="AD160" s="52" t="s">
        <v>0</v>
      </c>
      <c r="AE160" s="52" t="s">
        <v>6010</v>
      </c>
      <c r="AF160" s="52" t="s">
        <v>6010</v>
      </c>
      <c r="AG160" s="52" t="s">
        <v>7200</v>
      </c>
      <c r="AH160" s="52" t="s">
        <v>7200</v>
      </c>
      <c r="AI160" s="52" t="s">
        <v>7200</v>
      </c>
      <c r="AJ160" s="52" t="s">
        <v>0</v>
      </c>
      <c r="AK160" s="52" t="s">
        <v>0</v>
      </c>
      <c r="AL160" s="52" t="s">
        <v>0</v>
      </c>
      <c r="AM160" s="52" t="s">
        <v>0</v>
      </c>
      <c r="AN160" s="52" t="s">
        <v>0</v>
      </c>
      <c r="AO160" s="52" t="s">
        <v>0</v>
      </c>
      <c r="AP160" s="52" t="s">
        <v>0</v>
      </c>
      <c r="AQ160" s="52" t="s">
        <v>0</v>
      </c>
      <c r="AR160" s="52"/>
      <c r="AS160" s="52" t="s">
        <v>0</v>
      </c>
      <c r="AT160" s="52" t="s">
        <v>0</v>
      </c>
      <c r="AU160" s="52" t="s">
        <v>0</v>
      </c>
      <c r="AV160" s="52" t="s">
        <v>0</v>
      </c>
      <c r="AW160" s="52" t="s">
        <v>0</v>
      </c>
      <c r="AX160" s="52" t="s">
        <v>0</v>
      </c>
      <c r="AY160" s="52" t="s">
        <v>0</v>
      </c>
      <c r="AZ160" s="52" t="s">
        <v>3720</v>
      </c>
      <c r="BA160" s="52" t="s">
        <v>3619</v>
      </c>
      <c r="BB160" s="52" t="s">
        <v>3511</v>
      </c>
      <c r="BC160" s="52" t="s">
        <v>4853</v>
      </c>
      <c r="BD160" s="52" t="s">
        <v>7719</v>
      </c>
      <c r="BE160" s="52" t="s">
        <v>4887</v>
      </c>
      <c r="BF160" s="52" t="s">
        <v>7612</v>
      </c>
      <c r="BG160" s="52" t="s">
        <v>4853</v>
      </c>
      <c r="BH160" s="52" t="s">
        <v>7880</v>
      </c>
      <c r="BI160" s="52" t="s">
        <v>0</v>
      </c>
      <c r="BJ160" s="52" t="s">
        <v>0</v>
      </c>
      <c r="BK160" s="52"/>
      <c r="BL160" s="52"/>
      <c r="BM160" s="52" t="s">
        <v>0</v>
      </c>
      <c r="BN160" s="52" t="s">
        <v>0</v>
      </c>
      <c r="BO160" s="52"/>
      <c r="BP160" s="52" t="s">
        <v>0</v>
      </c>
      <c r="BQ160" s="52" t="s">
        <v>0</v>
      </c>
      <c r="BR160" s="52" t="s">
        <v>0</v>
      </c>
      <c r="BS160" s="52" t="s">
        <v>0</v>
      </c>
      <c r="BT160" s="52" t="s">
        <v>0</v>
      </c>
      <c r="BU160" s="84" t="s">
        <v>0</v>
      </c>
      <c r="BV160" s="84"/>
      <c r="BW160" s="52"/>
      <c r="BX160" s="52" t="s">
        <v>0</v>
      </c>
      <c r="BY160" s="52" t="s">
        <v>0</v>
      </c>
      <c r="BZ160" s="52" t="s">
        <v>0</v>
      </c>
      <c r="CA160" s="52" t="s">
        <v>0</v>
      </c>
      <c r="CB160" s="52" t="s">
        <v>0</v>
      </c>
      <c r="CC160" s="52"/>
      <c r="CD160" s="52"/>
      <c r="CE160" s="52" t="s">
        <v>0</v>
      </c>
      <c r="CF160" s="52" t="s">
        <v>0</v>
      </c>
    </row>
    <row r="161" spans="1:84" ht="18">
      <c r="A161" s="6" t="s">
        <v>135</v>
      </c>
      <c r="B161" s="109"/>
      <c r="C161" s="38" t="s">
        <v>0</v>
      </c>
      <c r="D161" s="38" t="s">
        <v>0</v>
      </c>
      <c r="E161" s="38" t="s">
        <v>0</v>
      </c>
      <c r="F161" s="38" t="s">
        <v>0</v>
      </c>
      <c r="G161" s="38" t="s">
        <v>0</v>
      </c>
      <c r="H161" s="38" t="s">
        <v>0</v>
      </c>
      <c r="I161" s="38" t="s">
        <v>0</v>
      </c>
      <c r="J161" s="38" t="s">
        <v>0</v>
      </c>
      <c r="K161" s="38" t="s">
        <v>0</v>
      </c>
      <c r="L161" s="38" t="s">
        <v>0</v>
      </c>
      <c r="M161" s="38" t="s">
        <v>0</v>
      </c>
      <c r="N161" s="38" t="s">
        <v>0</v>
      </c>
      <c r="O161" s="38" t="s">
        <v>0</v>
      </c>
      <c r="P161" s="38" t="s">
        <v>0</v>
      </c>
      <c r="Q161" s="38" t="s">
        <v>0</v>
      </c>
      <c r="R161" s="38" t="s">
        <v>0</v>
      </c>
      <c r="S161" s="38" t="s">
        <v>0</v>
      </c>
      <c r="T161" s="38" t="s">
        <v>57</v>
      </c>
      <c r="U161" s="38" t="s">
        <v>57</v>
      </c>
      <c r="V161" s="145" t="s">
        <v>5493</v>
      </c>
      <c r="W161" s="38" t="s">
        <v>0</v>
      </c>
      <c r="X161" s="36" t="s">
        <v>6441</v>
      </c>
      <c r="Y161" s="38" t="s">
        <v>0</v>
      </c>
      <c r="Z161" s="38" t="s">
        <v>0</v>
      </c>
      <c r="AA161" s="38" t="s">
        <v>0</v>
      </c>
      <c r="AB161" s="38" t="s">
        <v>0</v>
      </c>
      <c r="AC161" s="38" t="s">
        <v>0</v>
      </c>
      <c r="AD161" s="38" t="s">
        <v>0</v>
      </c>
      <c r="AE161" s="7" t="s">
        <v>57</v>
      </c>
      <c r="AF161" s="7" t="s">
        <v>57</v>
      </c>
      <c r="AG161" s="7" t="s">
        <v>57</v>
      </c>
      <c r="AH161" s="7" t="s">
        <v>57</v>
      </c>
      <c r="AI161" s="7" t="s">
        <v>57</v>
      </c>
      <c r="AJ161" s="34" t="s">
        <v>0</v>
      </c>
      <c r="AK161" s="7" t="s">
        <v>0</v>
      </c>
      <c r="AL161" s="7" t="s">
        <v>0</v>
      </c>
      <c r="AM161" s="38" t="s">
        <v>0</v>
      </c>
      <c r="AN161" s="38" t="s">
        <v>0</v>
      </c>
      <c r="AO161" s="38" t="s">
        <v>0</v>
      </c>
      <c r="AP161" s="38" t="s">
        <v>0</v>
      </c>
      <c r="AQ161" s="38" t="s">
        <v>0</v>
      </c>
      <c r="AR161" s="38" t="s">
        <v>0</v>
      </c>
      <c r="AS161" s="38" t="s">
        <v>0</v>
      </c>
      <c r="AT161" s="38" t="s">
        <v>0</v>
      </c>
      <c r="AU161" s="38" t="s">
        <v>0</v>
      </c>
      <c r="AV161" s="38" t="s">
        <v>0</v>
      </c>
      <c r="AW161" s="38" t="s">
        <v>0</v>
      </c>
      <c r="AX161" s="38" t="s">
        <v>0</v>
      </c>
      <c r="AY161" s="38" t="s">
        <v>0</v>
      </c>
      <c r="AZ161" s="38" t="s">
        <v>57</v>
      </c>
      <c r="BA161" s="38" t="s">
        <v>57</v>
      </c>
      <c r="BB161" s="38" t="s">
        <v>57</v>
      </c>
      <c r="BC161" s="38" t="s">
        <v>57</v>
      </c>
      <c r="BD161" s="38" t="s">
        <v>57</v>
      </c>
      <c r="BE161" s="38" t="s">
        <v>57</v>
      </c>
      <c r="BF161" s="38" t="s">
        <v>57</v>
      </c>
      <c r="BG161" s="38" t="s">
        <v>57</v>
      </c>
      <c r="BH161" s="38" t="s">
        <v>57</v>
      </c>
      <c r="BI161" s="38" t="s">
        <v>0</v>
      </c>
      <c r="BJ161" s="38" t="s">
        <v>0</v>
      </c>
      <c r="BK161" s="38" t="s">
        <v>0</v>
      </c>
      <c r="BL161" s="38" t="s">
        <v>0</v>
      </c>
      <c r="BM161" s="38" t="s">
        <v>0</v>
      </c>
      <c r="BN161" s="38" t="s">
        <v>0</v>
      </c>
      <c r="BO161" s="38"/>
      <c r="BP161" s="38" t="s">
        <v>0</v>
      </c>
      <c r="BQ161" s="38" t="s">
        <v>0</v>
      </c>
      <c r="BR161" s="38" t="s">
        <v>0</v>
      </c>
      <c r="BS161" s="38" t="s">
        <v>0</v>
      </c>
      <c r="BT161" s="38" t="s">
        <v>0</v>
      </c>
      <c r="BU161" s="36" t="s">
        <v>57</v>
      </c>
      <c r="BV161" s="36" t="s">
        <v>57</v>
      </c>
      <c r="BW161" s="38" t="s">
        <v>57</v>
      </c>
      <c r="BX161" s="38" t="s">
        <v>0</v>
      </c>
      <c r="BY161" s="38" t="s">
        <v>0</v>
      </c>
      <c r="BZ161" s="38" t="s">
        <v>0</v>
      </c>
      <c r="CA161" s="38" t="s">
        <v>0</v>
      </c>
      <c r="CB161" s="38" t="s">
        <v>0</v>
      </c>
      <c r="CC161" s="38" t="s">
        <v>0</v>
      </c>
      <c r="CD161" s="38" t="s">
        <v>0</v>
      </c>
      <c r="CE161" s="38" t="s">
        <v>0</v>
      </c>
      <c r="CF161" s="38" t="s">
        <v>0</v>
      </c>
    </row>
    <row r="162" spans="1:84">
      <c r="A162" s="51" t="s">
        <v>935</v>
      </c>
      <c r="B162" s="51"/>
      <c r="C162" s="52" t="s">
        <v>0</v>
      </c>
      <c r="D162" s="52" t="s">
        <v>0</v>
      </c>
      <c r="E162" s="52" t="s">
        <v>0</v>
      </c>
      <c r="F162" s="52" t="s">
        <v>0</v>
      </c>
      <c r="G162" s="52" t="s">
        <v>0</v>
      </c>
      <c r="H162" s="52" t="s">
        <v>0</v>
      </c>
      <c r="I162" s="52" t="s">
        <v>0</v>
      </c>
      <c r="J162" s="52" t="s">
        <v>0</v>
      </c>
      <c r="K162" s="52" t="s">
        <v>0</v>
      </c>
      <c r="L162" s="52" t="s">
        <v>0</v>
      </c>
      <c r="M162" s="52" t="s">
        <v>0</v>
      </c>
      <c r="N162" s="52" t="s">
        <v>0</v>
      </c>
      <c r="O162" s="52" t="s">
        <v>0</v>
      </c>
      <c r="P162" s="52" t="s">
        <v>0</v>
      </c>
      <c r="Q162" s="52" t="s">
        <v>0</v>
      </c>
      <c r="R162" s="52" t="s">
        <v>0</v>
      </c>
      <c r="S162" s="52" t="s">
        <v>0</v>
      </c>
      <c r="T162" s="52" t="s">
        <v>5597</v>
      </c>
      <c r="U162" s="52" t="s">
        <v>5597</v>
      </c>
      <c r="V162" s="84"/>
      <c r="W162" s="52" t="s">
        <v>0</v>
      </c>
      <c r="X162" s="52" t="s">
        <v>6449</v>
      </c>
      <c r="Y162" s="52" t="s">
        <v>0</v>
      </c>
      <c r="Z162" s="52" t="s">
        <v>0</v>
      </c>
      <c r="AA162" s="52" t="s">
        <v>0</v>
      </c>
      <c r="AB162" s="52" t="s">
        <v>0</v>
      </c>
      <c r="AC162" s="52" t="s">
        <v>0</v>
      </c>
      <c r="AD162" s="52" t="s">
        <v>0</v>
      </c>
      <c r="AE162" s="52" t="s">
        <v>6011</v>
      </c>
      <c r="AF162" s="52" t="s">
        <v>6011</v>
      </c>
      <c r="AG162" s="52" t="s">
        <v>6011</v>
      </c>
      <c r="AH162" s="52" t="s">
        <v>6011</v>
      </c>
      <c r="AI162" s="52" t="s">
        <v>6011</v>
      </c>
      <c r="AJ162" s="52" t="s">
        <v>0</v>
      </c>
      <c r="AK162" s="52" t="s">
        <v>0</v>
      </c>
      <c r="AL162" s="52" t="s">
        <v>0</v>
      </c>
      <c r="AM162" s="52" t="s">
        <v>0</v>
      </c>
      <c r="AN162" s="52" t="s">
        <v>0</v>
      </c>
      <c r="AO162" s="52" t="s">
        <v>0</v>
      </c>
      <c r="AP162" s="52" t="s">
        <v>0</v>
      </c>
      <c r="AQ162" s="52" t="s">
        <v>0</v>
      </c>
      <c r="AR162" s="52"/>
      <c r="AS162" s="52" t="s">
        <v>0</v>
      </c>
      <c r="AT162" s="52" t="s">
        <v>0</v>
      </c>
      <c r="AU162" s="52" t="s">
        <v>0</v>
      </c>
      <c r="AV162" s="52" t="s">
        <v>0</v>
      </c>
      <c r="AW162" s="52" t="s">
        <v>0</v>
      </c>
      <c r="AX162" s="52" t="s">
        <v>0</v>
      </c>
      <c r="AY162" s="52" t="s">
        <v>0</v>
      </c>
      <c r="AZ162" s="52" t="s">
        <v>3721</v>
      </c>
      <c r="BA162" s="52" t="s">
        <v>3620</v>
      </c>
      <c r="BB162" s="52" t="s">
        <v>3512</v>
      </c>
      <c r="BC162" s="52" t="s">
        <v>4854</v>
      </c>
      <c r="BD162" s="52" t="s">
        <v>7718</v>
      </c>
      <c r="BE162" s="52" t="s">
        <v>4888</v>
      </c>
      <c r="BF162" s="52" t="s">
        <v>7613</v>
      </c>
      <c r="BG162" s="52" t="s">
        <v>4854</v>
      </c>
      <c r="BH162" s="52" t="s">
        <v>7881</v>
      </c>
      <c r="BI162" s="52" t="s">
        <v>0</v>
      </c>
      <c r="BJ162" s="52" t="s">
        <v>0</v>
      </c>
      <c r="BK162" s="52"/>
      <c r="BL162" s="52"/>
      <c r="BM162" s="52" t="s">
        <v>0</v>
      </c>
      <c r="BN162" s="52" t="s">
        <v>0</v>
      </c>
      <c r="BO162" s="52"/>
      <c r="BP162" s="52" t="s">
        <v>0</v>
      </c>
      <c r="BQ162" s="52" t="s">
        <v>0</v>
      </c>
      <c r="BR162" s="52" t="s">
        <v>0</v>
      </c>
      <c r="BS162" s="52" t="s">
        <v>0</v>
      </c>
      <c r="BT162" s="52" t="s">
        <v>0</v>
      </c>
      <c r="BU162" s="84" t="s">
        <v>2847</v>
      </c>
      <c r="BV162" s="84"/>
      <c r="BW162" s="52"/>
      <c r="BX162" s="52" t="s">
        <v>0</v>
      </c>
      <c r="BY162" s="52" t="s">
        <v>0</v>
      </c>
      <c r="BZ162" s="52" t="s">
        <v>0</v>
      </c>
      <c r="CA162" s="52" t="s">
        <v>0</v>
      </c>
      <c r="CB162" s="52" t="s">
        <v>0</v>
      </c>
      <c r="CC162" s="52"/>
      <c r="CD162" s="52"/>
      <c r="CE162" s="52" t="s">
        <v>0</v>
      </c>
      <c r="CF162" s="52" t="s">
        <v>0</v>
      </c>
    </row>
    <row r="163" spans="1:84" ht="18">
      <c r="A163" s="6" t="s">
        <v>136</v>
      </c>
      <c r="B163" s="109"/>
      <c r="C163" s="38" t="s">
        <v>1158</v>
      </c>
      <c r="D163" s="38" t="s">
        <v>1158</v>
      </c>
      <c r="E163" s="38" t="s">
        <v>0</v>
      </c>
      <c r="F163" s="38" t="s">
        <v>0</v>
      </c>
      <c r="G163" s="38" t="s">
        <v>0</v>
      </c>
      <c r="H163" s="38" t="s">
        <v>0</v>
      </c>
      <c r="I163" s="38" t="s">
        <v>0</v>
      </c>
      <c r="J163" s="38" t="s">
        <v>0</v>
      </c>
      <c r="K163" s="38" t="s">
        <v>0</v>
      </c>
      <c r="L163" s="38" t="s">
        <v>0</v>
      </c>
      <c r="M163" s="38" t="s">
        <v>0</v>
      </c>
      <c r="N163" s="38" t="s">
        <v>0</v>
      </c>
      <c r="O163" s="38" t="s">
        <v>0</v>
      </c>
      <c r="P163" s="38" t="s">
        <v>0</v>
      </c>
      <c r="Q163" s="38" t="s">
        <v>0</v>
      </c>
      <c r="R163" s="38" t="s">
        <v>0</v>
      </c>
      <c r="S163" s="38" t="s">
        <v>0</v>
      </c>
      <c r="T163" s="38" t="s">
        <v>0</v>
      </c>
      <c r="U163" s="38" t="s">
        <v>0</v>
      </c>
      <c r="V163" s="145" t="s">
        <v>5493</v>
      </c>
      <c r="W163" s="38" t="s">
        <v>0</v>
      </c>
      <c r="X163" s="36" t="s">
        <v>6450</v>
      </c>
      <c r="Y163" s="38" t="s">
        <v>0</v>
      </c>
      <c r="Z163" s="38" t="s">
        <v>0</v>
      </c>
      <c r="AA163" s="38" t="s">
        <v>0</v>
      </c>
      <c r="AB163" s="38" t="s">
        <v>0</v>
      </c>
      <c r="AC163" s="38" t="s">
        <v>0</v>
      </c>
      <c r="AD163" s="38" t="s">
        <v>0</v>
      </c>
      <c r="AE163" s="7" t="s">
        <v>57</v>
      </c>
      <c r="AF163" s="7" t="s">
        <v>57</v>
      </c>
      <c r="AG163" s="7" t="s">
        <v>57</v>
      </c>
      <c r="AH163" s="7" t="s">
        <v>57</v>
      </c>
      <c r="AI163" s="7" t="s">
        <v>57</v>
      </c>
      <c r="AJ163" s="34" t="s">
        <v>0</v>
      </c>
      <c r="AK163" s="7" t="s">
        <v>0</v>
      </c>
      <c r="AL163" s="7" t="s">
        <v>0</v>
      </c>
      <c r="AM163" s="38" t="s">
        <v>0</v>
      </c>
      <c r="AN163" s="38" t="s">
        <v>0</v>
      </c>
      <c r="AO163" s="38" t="s">
        <v>0</v>
      </c>
      <c r="AP163" s="38" t="s">
        <v>0</v>
      </c>
      <c r="AQ163" s="38" t="s">
        <v>0</v>
      </c>
      <c r="AR163" s="38" t="s">
        <v>0</v>
      </c>
      <c r="AS163" s="38" t="s">
        <v>0</v>
      </c>
      <c r="AT163" s="38" t="s">
        <v>0</v>
      </c>
      <c r="AU163" s="38" t="s">
        <v>0</v>
      </c>
      <c r="AV163" s="38" t="s">
        <v>0</v>
      </c>
      <c r="AW163" s="38" t="s">
        <v>0</v>
      </c>
      <c r="AX163" s="38" t="s">
        <v>0</v>
      </c>
      <c r="AY163" s="38" t="s">
        <v>0</v>
      </c>
      <c r="AZ163" s="36" t="s">
        <v>3722</v>
      </c>
      <c r="BA163" s="36" t="s">
        <v>3516</v>
      </c>
      <c r="BB163" s="36" t="s">
        <v>3516</v>
      </c>
      <c r="BC163" s="38" t="s">
        <v>57</v>
      </c>
      <c r="BD163" s="38" t="s">
        <v>57</v>
      </c>
      <c r="BE163" s="38" t="s">
        <v>57</v>
      </c>
      <c r="BF163" s="38" t="s">
        <v>57</v>
      </c>
      <c r="BG163" s="38" t="s">
        <v>57</v>
      </c>
      <c r="BH163" s="38" t="s">
        <v>57</v>
      </c>
      <c r="BI163" s="38" t="s">
        <v>0</v>
      </c>
      <c r="BJ163" s="38" t="s">
        <v>0</v>
      </c>
      <c r="BK163" s="38" t="s">
        <v>0</v>
      </c>
      <c r="BL163" s="38" t="s">
        <v>0</v>
      </c>
      <c r="BM163" s="38" t="s">
        <v>0</v>
      </c>
      <c r="BN163" s="38" t="s">
        <v>0</v>
      </c>
      <c r="BO163" s="38"/>
      <c r="BP163" s="38" t="s">
        <v>0</v>
      </c>
      <c r="BQ163" s="38" t="s">
        <v>0</v>
      </c>
      <c r="BR163" s="38" t="s">
        <v>0</v>
      </c>
      <c r="BS163" s="38" t="s">
        <v>0</v>
      </c>
      <c r="BT163" s="38" t="s">
        <v>0</v>
      </c>
      <c r="BU163" s="36" t="s">
        <v>0</v>
      </c>
      <c r="BV163" s="36" t="s">
        <v>0</v>
      </c>
      <c r="BW163" s="36" t="s">
        <v>719</v>
      </c>
      <c r="BX163" s="36" t="s">
        <v>0</v>
      </c>
      <c r="BY163" s="36" t="s">
        <v>0</v>
      </c>
      <c r="BZ163" s="36" t="s">
        <v>6216</v>
      </c>
      <c r="CA163" s="38" t="s">
        <v>0</v>
      </c>
      <c r="CB163" s="38" t="s">
        <v>0</v>
      </c>
      <c r="CC163" s="38" t="s">
        <v>0</v>
      </c>
      <c r="CD163" s="38" t="s">
        <v>0</v>
      </c>
      <c r="CE163" s="38" t="s">
        <v>0</v>
      </c>
      <c r="CF163" s="38" t="s">
        <v>0</v>
      </c>
    </row>
    <row r="164" spans="1:84">
      <c r="A164" s="51" t="s">
        <v>935</v>
      </c>
      <c r="B164" s="51"/>
      <c r="C164" s="52" t="s">
        <v>5220</v>
      </c>
      <c r="D164" s="52" t="s">
        <v>5220</v>
      </c>
      <c r="E164" s="52" t="s">
        <v>0</v>
      </c>
      <c r="F164" s="52" t="s">
        <v>0</v>
      </c>
      <c r="G164" s="52" t="s">
        <v>0</v>
      </c>
      <c r="H164" s="52" t="s">
        <v>0</v>
      </c>
      <c r="I164" s="52" t="s">
        <v>0</v>
      </c>
      <c r="J164" s="52" t="s">
        <v>0</v>
      </c>
      <c r="K164" s="52" t="s">
        <v>0</v>
      </c>
      <c r="L164" s="52" t="s">
        <v>0</v>
      </c>
      <c r="M164" s="52" t="s">
        <v>0</v>
      </c>
      <c r="N164" s="52" t="s">
        <v>0</v>
      </c>
      <c r="O164" s="52" t="s">
        <v>0</v>
      </c>
      <c r="P164" s="52" t="s">
        <v>0</v>
      </c>
      <c r="Q164" s="52" t="s">
        <v>0</v>
      </c>
      <c r="R164" s="52" t="s">
        <v>0</v>
      </c>
      <c r="S164" s="52" t="s">
        <v>0</v>
      </c>
      <c r="T164" s="52" t="s">
        <v>0</v>
      </c>
      <c r="U164" s="52" t="s">
        <v>0</v>
      </c>
      <c r="V164" s="84"/>
      <c r="W164" s="52" t="s">
        <v>0</v>
      </c>
      <c r="X164" s="52" t="s">
        <v>6451</v>
      </c>
      <c r="Y164" s="52" t="s">
        <v>0</v>
      </c>
      <c r="Z164" s="52" t="s">
        <v>0</v>
      </c>
      <c r="AA164" s="52" t="s">
        <v>0</v>
      </c>
      <c r="AB164" s="52" t="s">
        <v>0</v>
      </c>
      <c r="AC164" s="52" t="s">
        <v>0</v>
      </c>
      <c r="AD164" s="52" t="s">
        <v>0</v>
      </c>
      <c r="AE164" s="52" t="s">
        <v>6009</v>
      </c>
      <c r="AF164" s="52" t="s">
        <v>6009</v>
      </c>
      <c r="AG164" s="52" t="s">
        <v>7193</v>
      </c>
      <c r="AH164" s="52" t="s">
        <v>7193</v>
      </c>
      <c r="AI164" s="52" t="s">
        <v>7193</v>
      </c>
      <c r="AJ164" s="52" t="s">
        <v>0</v>
      </c>
      <c r="AK164" s="52" t="s">
        <v>0</v>
      </c>
      <c r="AL164" s="52" t="s">
        <v>0</v>
      </c>
      <c r="AM164" s="52" t="s">
        <v>0</v>
      </c>
      <c r="AN164" s="52" t="s">
        <v>0</v>
      </c>
      <c r="AO164" s="52" t="s">
        <v>0</v>
      </c>
      <c r="AP164" s="52" t="s">
        <v>0</v>
      </c>
      <c r="AQ164" s="52" t="s">
        <v>0</v>
      </c>
      <c r="AR164" s="52"/>
      <c r="AS164" s="52" t="s">
        <v>0</v>
      </c>
      <c r="AT164" s="52" t="s">
        <v>0</v>
      </c>
      <c r="AU164" s="52" t="s">
        <v>0</v>
      </c>
      <c r="AV164" s="52" t="s">
        <v>0</v>
      </c>
      <c r="AW164" s="52" t="s">
        <v>0</v>
      </c>
      <c r="AX164" s="52" t="s">
        <v>0</v>
      </c>
      <c r="AY164" s="52" t="s">
        <v>0</v>
      </c>
      <c r="AZ164" s="52" t="s">
        <v>3721</v>
      </c>
      <c r="BA164" s="52" t="s">
        <v>3620</v>
      </c>
      <c r="BB164" s="52" t="s">
        <v>3512</v>
      </c>
      <c r="BC164" s="52" t="s">
        <v>4854</v>
      </c>
      <c r="BD164" s="52" t="s">
        <v>7718</v>
      </c>
      <c r="BE164" s="52" t="s">
        <v>4888</v>
      </c>
      <c r="BF164" s="52" t="s">
        <v>7614</v>
      </c>
      <c r="BG164" s="52" t="s">
        <v>4854</v>
      </c>
      <c r="BH164" s="52" t="s">
        <v>7881</v>
      </c>
      <c r="BI164" s="52" t="s">
        <v>0</v>
      </c>
      <c r="BJ164" s="52" t="s">
        <v>0</v>
      </c>
      <c r="BK164" s="52"/>
      <c r="BL164" s="52"/>
      <c r="BM164" s="52" t="s">
        <v>0</v>
      </c>
      <c r="BN164" s="52" t="s">
        <v>0</v>
      </c>
      <c r="BO164" s="52"/>
      <c r="BP164" s="52" t="s">
        <v>0</v>
      </c>
      <c r="BQ164" s="52" t="s">
        <v>0</v>
      </c>
      <c r="BR164" s="52" t="s">
        <v>0</v>
      </c>
      <c r="BS164" s="52" t="s">
        <v>0</v>
      </c>
      <c r="BT164" s="52" t="s">
        <v>0</v>
      </c>
      <c r="BU164" s="84" t="s">
        <v>0</v>
      </c>
      <c r="BV164" s="84"/>
      <c r="BW164" s="52"/>
      <c r="BX164" s="52" t="s">
        <v>0</v>
      </c>
      <c r="BY164" s="52" t="s">
        <v>0</v>
      </c>
      <c r="BZ164" s="52" t="s">
        <v>6217</v>
      </c>
      <c r="CA164" s="52" t="s">
        <v>0</v>
      </c>
      <c r="CB164" s="52" t="s">
        <v>0</v>
      </c>
      <c r="CC164" s="52"/>
      <c r="CD164" s="52"/>
      <c r="CE164" s="52" t="s">
        <v>0</v>
      </c>
      <c r="CF164" s="52" t="s">
        <v>0</v>
      </c>
    </row>
    <row r="165" spans="1:84" ht="18">
      <c r="A165" s="181" t="s">
        <v>6620</v>
      </c>
      <c r="B165" s="109"/>
      <c r="C165" s="214" t="s">
        <v>57</v>
      </c>
      <c r="D165" s="214" t="s">
        <v>57</v>
      </c>
      <c r="E165" s="214" t="s">
        <v>57</v>
      </c>
      <c r="F165" s="214" t="s">
        <v>57</v>
      </c>
      <c r="G165" s="214" t="s">
        <v>57</v>
      </c>
      <c r="H165" s="214" t="s">
        <v>57</v>
      </c>
      <c r="I165" s="36" t="s">
        <v>525</v>
      </c>
      <c r="J165" s="214" t="s">
        <v>57</v>
      </c>
      <c r="K165" s="36" t="s">
        <v>525</v>
      </c>
      <c r="L165" s="36" t="s">
        <v>525</v>
      </c>
      <c r="M165" s="214" t="s">
        <v>57</v>
      </c>
      <c r="N165" s="36" t="s">
        <v>525</v>
      </c>
      <c r="O165" s="214" t="s">
        <v>57</v>
      </c>
      <c r="P165" s="36" t="s">
        <v>525</v>
      </c>
      <c r="Q165" s="36" t="s">
        <v>525</v>
      </c>
      <c r="R165" s="214" t="s">
        <v>57</v>
      </c>
      <c r="S165" s="36" t="s">
        <v>525</v>
      </c>
      <c r="T165" s="214" t="s">
        <v>57</v>
      </c>
      <c r="U165" s="214" t="s">
        <v>57</v>
      </c>
      <c r="V165" s="217" t="s">
        <v>57</v>
      </c>
      <c r="W165" s="212" t="s">
        <v>57</v>
      </c>
      <c r="X165" s="212" t="s">
        <v>57</v>
      </c>
      <c r="Y165" s="214" t="s">
        <v>57</v>
      </c>
      <c r="Z165" s="214" t="s">
        <v>57</v>
      </c>
      <c r="AA165" s="214" t="s">
        <v>57</v>
      </c>
      <c r="AB165" s="214" t="s">
        <v>57</v>
      </c>
      <c r="AC165" s="214" t="s">
        <v>57</v>
      </c>
      <c r="AD165" s="214" t="s">
        <v>57</v>
      </c>
      <c r="AE165" s="214" t="s">
        <v>57</v>
      </c>
      <c r="AF165" s="214" t="s">
        <v>57</v>
      </c>
      <c r="AG165" s="38" t="s">
        <v>525</v>
      </c>
      <c r="AH165" s="38" t="s">
        <v>525</v>
      </c>
      <c r="AI165" s="38" t="s">
        <v>525</v>
      </c>
      <c r="AJ165" s="218" t="s">
        <v>57</v>
      </c>
      <c r="AK165" s="213" t="s">
        <v>57</v>
      </c>
      <c r="AL165" s="213" t="s">
        <v>57</v>
      </c>
      <c r="AM165" s="214" t="s">
        <v>57</v>
      </c>
      <c r="AN165" s="214" t="s">
        <v>57</v>
      </c>
      <c r="AO165" s="214" t="s">
        <v>57</v>
      </c>
      <c r="AP165" s="214" t="s">
        <v>57</v>
      </c>
      <c r="AQ165" s="214" t="s">
        <v>57</v>
      </c>
      <c r="AR165" s="214" t="s">
        <v>57</v>
      </c>
      <c r="AS165" s="214" t="s">
        <v>57</v>
      </c>
      <c r="AT165" s="214" t="s">
        <v>57</v>
      </c>
      <c r="AU165" s="214" t="s">
        <v>57</v>
      </c>
      <c r="AV165" s="214" t="s">
        <v>866</v>
      </c>
      <c r="AW165" s="214" t="s">
        <v>866</v>
      </c>
      <c r="AX165" s="214" t="s">
        <v>57</v>
      </c>
      <c r="AY165" s="214" t="s">
        <v>57</v>
      </c>
      <c r="AZ165" s="214" t="s">
        <v>57</v>
      </c>
      <c r="BA165" s="214" t="s">
        <v>57</v>
      </c>
      <c r="BB165" s="214" t="s">
        <v>57</v>
      </c>
      <c r="BC165" s="214" t="s">
        <v>57</v>
      </c>
      <c r="BD165" s="36" t="s">
        <v>525</v>
      </c>
      <c r="BE165" s="214" t="s">
        <v>57</v>
      </c>
      <c r="BF165" s="36" t="s">
        <v>525</v>
      </c>
      <c r="BG165" s="214" t="s">
        <v>57</v>
      </c>
      <c r="BH165" s="36" t="s">
        <v>525</v>
      </c>
      <c r="BI165" s="36" t="s">
        <v>525</v>
      </c>
      <c r="BJ165" s="214" t="s">
        <v>57</v>
      </c>
      <c r="BK165" s="214" t="s">
        <v>57</v>
      </c>
      <c r="BL165" s="214" t="s">
        <v>57</v>
      </c>
      <c r="BM165" s="214" t="s">
        <v>0</v>
      </c>
      <c r="BN165" s="214" t="s">
        <v>57</v>
      </c>
      <c r="BO165" s="214"/>
      <c r="BP165" s="214" t="s">
        <v>57</v>
      </c>
      <c r="BQ165" s="214" t="s">
        <v>57</v>
      </c>
      <c r="BR165" s="214" t="s">
        <v>57</v>
      </c>
      <c r="BS165" s="214" t="s">
        <v>57</v>
      </c>
      <c r="BT165" s="214" t="s">
        <v>57</v>
      </c>
      <c r="BU165" s="212" t="s">
        <v>57</v>
      </c>
      <c r="BV165" s="212" t="s">
        <v>57</v>
      </c>
      <c r="BW165" s="214" t="s">
        <v>57</v>
      </c>
      <c r="BX165" s="212" t="s">
        <v>840</v>
      </c>
      <c r="BY165" s="212" t="s">
        <v>840</v>
      </c>
      <c r="BZ165" s="212" t="s">
        <v>57</v>
      </c>
      <c r="CA165" s="214" t="s">
        <v>57</v>
      </c>
      <c r="CB165" s="214" t="s">
        <v>57</v>
      </c>
      <c r="CC165" s="214" t="s">
        <v>57</v>
      </c>
      <c r="CD165" s="214" t="s">
        <v>57</v>
      </c>
      <c r="CE165" s="214" t="s">
        <v>57</v>
      </c>
      <c r="CF165" s="212" t="s">
        <v>840</v>
      </c>
    </row>
    <row r="166" spans="1:84">
      <c r="A166" s="51" t="s">
        <v>935</v>
      </c>
      <c r="B166" s="51"/>
      <c r="C166" s="52" t="s">
        <v>1669</v>
      </c>
      <c r="D166" s="52" t="s">
        <v>1669</v>
      </c>
      <c r="E166" s="52" t="s">
        <v>2779</v>
      </c>
      <c r="F166" s="52" t="s">
        <v>2779</v>
      </c>
      <c r="G166" s="52" t="s">
        <v>1451</v>
      </c>
      <c r="H166" s="52" t="s">
        <v>1451</v>
      </c>
      <c r="I166" s="52" t="s">
        <v>8168</v>
      </c>
      <c r="J166" s="52" t="s">
        <v>1669</v>
      </c>
      <c r="K166" s="52" t="s">
        <v>8168</v>
      </c>
      <c r="L166" s="52" t="s">
        <v>8168</v>
      </c>
      <c r="M166" s="52" t="s">
        <v>1669</v>
      </c>
      <c r="N166" s="52" t="s">
        <v>8168</v>
      </c>
      <c r="O166" s="52" t="s">
        <v>1669</v>
      </c>
      <c r="P166" s="52" t="s">
        <v>8168</v>
      </c>
      <c r="Q166" s="52" t="s">
        <v>8168</v>
      </c>
      <c r="R166" s="52" t="s">
        <v>1669</v>
      </c>
      <c r="S166" s="52" t="s">
        <v>8168</v>
      </c>
      <c r="T166" s="52" t="s">
        <v>5598</v>
      </c>
      <c r="U166" s="52" t="s">
        <v>5598</v>
      </c>
      <c r="V166" s="84"/>
      <c r="W166" s="52" t="s">
        <v>2039</v>
      </c>
      <c r="X166" s="52" t="s">
        <v>6452</v>
      </c>
      <c r="Y166" s="52" t="s">
        <v>2397</v>
      </c>
      <c r="Z166" s="52" t="s">
        <v>2397</v>
      </c>
      <c r="AA166" s="52" t="s">
        <v>2397</v>
      </c>
      <c r="AB166" s="52" t="s">
        <v>4717</v>
      </c>
      <c r="AC166" s="52" t="s">
        <v>4717</v>
      </c>
      <c r="AD166" s="52" t="s">
        <v>4717</v>
      </c>
      <c r="AE166" s="52" t="s">
        <v>6013</v>
      </c>
      <c r="AF166" s="52" t="s">
        <v>6013</v>
      </c>
      <c r="AG166" s="52" t="s">
        <v>6012</v>
      </c>
      <c r="AH166" s="52" t="s">
        <v>6012</v>
      </c>
      <c r="AI166" s="52" t="s">
        <v>6012</v>
      </c>
      <c r="AJ166" s="52" t="s">
        <v>6108</v>
      </c>
      <c r="AK166" s="52" t="s">
        <v>1912</v>
      </c>
      <c r="AL166" s="52" t="s">
        <v>1912</v>
      </c>
      <c r="AM166" s="52" t="s">
        <v>4981</v>
      </c>
      <c r="AN166" s="52" t="s">
        <v>4981</v>
      </c>
      <c r="AO166" s="52" t="s">
        <v>4250</v>
      </c>
      <c r="AP166" s="52" t="s">
        <v>2613</v>
      </c>
      <c r="AQ166" s="52" t="s">
        <v>2613</v>
      </c>
      <c r="AR166" s="52"/>
      <c r="AS166" s="52" t="s">
        <v>2020</v>
      </c>
      <c r="AT166" s="52" t="s">
        <v>2020</v>
      </c>
      <c r="AU166" s="52" t="s">
        <v>2020</v>
      </c>
      <c r="AV166" s="52" t="s">
        <v>4327</v>
      </c>
      <c r="AW166" s="52" t="s">
        <v>4327</v>
      </c>
      <c r="AX166" s="52" t="s">
        <v>1374</v>
      </c>
      <c r="AY166" s="52" t="s">
        <v>1374</v>
      </c>
      <c r="AZ166" s="52" t="s">
        <v>3715</v>
      </c>
      <c r="BA166" s="52" t="s">
        <v>3617</v>
      </c>
      <c r="BB166" s="52" t="s">
        <v>3514</v>
      </c>
      <c r="BC166" s="52" t="s">
        <v>4981</v>
      </c>
      <c r="BD166" s="52" t="s">
        <v>7609</v>
      </c>
      <c r="BE166" s="52" t="s">
        <v>4981</v>
      </c>
      <c r="BF166" s="52" t="s">
        <v>7609</v>
      </c>
      <c r="BG166" s="52" t="s">
        <v>4981</v>
      </c>
      <c r="BH166" s="52" t="s">
        <v>7609</v>
      </c>
      <c r="BI166" s="52" t="s">
        <v>7609</v>
      </c>
      <c r="BJ166" s="52" t="s">
        <v>4981</v>
      </c>
      <c r="BK166" s="52"/>
      <c r="BL166" s="52"/>
      <c r="BM166" s="52" t="s">
        <v>0</v>
      </c>
      <c r="BN166" s="52" t="s">
        <v>2295</v>
      </c>
      <c r="BO166" s="52"/>
      <c r="BP166" s="52" t="s">
        <v>2295</v>
      </c>
      <c r="BQ166" s="52" t="s">
        <v>2295</v>
      </c>
      <c r="BR166" s="52" t="s">
        <v>2650</v>
      </c>
      <c r="BS166" s="52" t="s">
        <v>2650</v>
      </c>
      <c r="BT166" s="52" t="s">
        <v>2650</v>
      </c>
      <c r="BU166" s="84" t="s">
        <v>2849</v>
      </c>
      <c r="BV166" s="84"/>
      <c r="BW166" s="52"/>
      <c r="BX166" s="52" t="s">
        <v>3930</v>
      </c>
      <c r="BY166" s="52" t="s">
        <v>3816</v>
      </c>
      <c r="BZ166" s="52" t="s">
        <v>6268</v>
      </c>
      <c r="CA166" s="52" t="s">
        <v>3168</v>
      </c>
      <c r="CB166" s="52" t="s">
        <v>3168</v>
      </c>
      <c r="CC166" s="52"/>
      <c r="CD166" s="52"/>
      <c r="CE166" s="52" t="s">
        <v>3256</v>
      </c>
      <c r="CF166" s="52" t="s">
        <v>2195</v>
      </c>
    </row>
    <row r="167" spans="1:84">
      <c r="V167" s="146"/>
    </row>
    <row r="168" spans="1:84" ht="18">
      <c r="A168" s="10" t="s">
        <v>6621</v>
      </c>
      <c r="B168" s="10"/>
      <c r="C168" s="18" t="str">
        <f t="shared" ref="C168:BZ168" si="8">C1</f>
        <v>ADCURI Basis-Schutz</v>
      </c>
      <c r="D168" s="18" t="str">
        <f t="shared" si="8"/>
        <v>ADCURI Top-Schutz</v>
      </c>
      <c r="E168" s="18" t="str">
        <f t="shared" si="8"/>
        <v>Allianz</v>
      </c>
      <c r="F168" s="18" t="str">
        <f t="shared" si="8"/>
        <v>Allianz inkl. SicherheitPlus</v>
      </c>
      <c r="G168" s="18" t="str">
        <f t="shared" si="8"/>
        <v>Alte Leipziger classic</v>
      </c>
      <c r="H168" s="18" t="str">
        <f t="shared" si="8"/>
        <v>Alte Leipziger comfort</v>
      </c>
      <c r="I168" s="18" t="str">
        <f>I1</f>
        <v>Ammerländer Basic
(2019-02)</v>
      </c>
      <c r="J168" s="18" t="str">
        <f t="shared" si="8"/>
        <v>Ammerländer Classic
(2016-01)</v>
      </c>
      <c r="K168" s="18" t="str">
        <f>K1</f>
        <v>Ammerländer Classic
(2019-02)</v>
      </c>
      <c r="L168" s="18" t="str">
        <f>L1</f>
        <v>Ammerländer Comfort
(2019-02)</v>
      </c>
      <c r="M168" s="18" t="str">
        <f t="shared" si="8"/>
        <v>Ammerländer Comfort
(2016-01)</v>
      </c>
      <c r="N168" s="18" t="str">
        <f>N1</f>
        <v>Ammerländer Economic
(2019-02)</v>
      </c>
      <c r="O168" s="18" t="str">
        <f t="shared" si="8"/>
        <v>Ammerländer Excellent
(2016-01)</v>
      </c>
      <c r="P168" s="18" t="str">
        <f>P1</f>
        <v>Ammerländer Excellent
(2019-02)</v>
      </c>
      <c r="Q168" s="18" t="str">
        <f>Q1</f>
        <v>Ammerländer Excellent
(2020-02)</v>
      </c>
      <c r="R168" s="18" t="str">
        <f>R1</f>
        <v>Ammerländer Exclusiv
(2016-01)</v>
      </c>
      <c r="S168" s="18" t="str">
        <f>S1</f>
        <v>Ammerländer Exclusiv
(2019-02)</v>
      </c>
      <c r="T168" s="18" t="str">
        <f t="shared" si="8"/>
        <v>ARAG Komfort (Wohnfläche)</v>
      </c>
      <c r="U168" s="18" t="str">
        <f t="shared" si="8"/>
        <v>ARAG Premium (Wohnfläche)</v>
      </c>
      <c r="V168" s="18" t="str">
        <f t="shared" si="8"/>
        <v>AXA BOXflex</v>
      </c>
      <c r="W168" s="18" t="str">
        <f t="shared" si="8"/>
        <v>Baden Badener TOP</v>
      </c>
      <c r="X168" s="18" t="str">
        <f t="shared" si="8"/>
        <v>Concordia Sorglos</v>
      </c>
      <c r="Y168" s="18" t="str">
        <f t="shared" si="8"/>
        <v>Debeka Basis</v>
      </c>
      <c r="Z168" s="18" t="str">
        <f t="shared" si="8"/>
        <v>Debeka Standard</v>
      </c>
      <c r="AA168" s="18" t="str">
        <f t="shared" si="8"/>
        <v>Debeka Top</v>
      </c>
      <c r="AB168" s="18" t="str">
        <f t="shared" si="8"/>
        <v>die Bayerische (Komfort)</v>
      </c>
      <c r="AC168" s="18" t="str">
        <f t="shared" si="8"/>
        <v>die Bayerische (Prestige)</v>
      </c>
      <c r="AD168" s="18" t="str">
        <f t="shared" si="8"/>
        <v>die Bayerische (Smart)</v>
      </c>
      <c r="AE168" s="18" t="str">
        <f t="shared" si="8"/>
        <v>Domcura Komfort
(Stand 2014-10)</v>
      </c>
      <c r="AF168" s="18" t="str">
        <f t="shared" si="8"/>
        <v>Domcura Top
(Stand 2014-10)</v>
      </c>
      <c r="AG168" s="18" t="str">
        <f>AG1</f>
        <v>Domcura Standard
(2016-10-01)</v>
      </c>
      <c r="AH168" s="18" t="str">
        <f>AH1</f>
        <v>Domcura Komfort
(2016-10-01)</v>
      </c>
      <c r="AI168" s="18" t="str">
        <f>AI1</f>
        <v>Domcura Top
(2016-10-01)</v>
      </c>
      <c r="AJ168" s="18" t="str">
        <f t="shared" si="8"/>
        <v>ERGO Hausrat Spezial</v>
      </c>
      <c r="AK168" s="18" t="str">
        <f t="shared" si="8"/>
        <v>Generali Basis</v>
      </c>
      <c r="AL168" s="18" t="str">
        <f t="shared" si="8"/>
        <v>Generali KomfortPlus</v>
      </c>
      <c r="AM168" s="18" t="str">
        <f t="shared" si="8"/>
        <v>Gothaer Top</v>
      </c>
      <c r="AN168" s="18" t="str">
        <f t="shared" si="8"/>
        <v>Gothaer Top Plus</v>
      </c>
      <c r="AO168" s="18" t="str">
        <f t="shared" si="8"/>
        <v>HDI Privatschutz</v>
      </c>
      <c r="AP168" s="18" t="str">
        <f t="shared" si="8"/>
        <v>Helvetia Basis</v>
      </c>
      <c r="AQ168" s="18" t="str">
        <f t="shared" si="8"/>
        <v>Helvetia Komfort</v>
      </c>
      <c r="AR168" s="18" t="str">
        <f t="shared" si="8"/>
        <v>HFK Rundumschutz</v>
      </c>
      <c r="AS168" s="18" t="str">
        <f t="shared" si="8"/>
        <v>HKD Einfach Gut</v>
      </c>
      <c r="AT168" s="18" t="str">
        <f t="shared" si="8"/>
        <v>HKD Einfach Besser</v>
      </c>
      <c r="AU168" s="18" t="str">
        <f t="shared" si="8"/>
        <v>HKD Einfach Komplett</v>
      </c>
      <c r="AV168" s="18" t="str">
        <f t="shared" si="8"/>
        <v>HUK Classic</v>
      </c>
      <c r="AW168" s="18" t="str">
        <f t="shared" si="8"/>
        <v>HUK Plus</v>
      </c>
      <c r="AX168" s="18" t="str">
        <f t="shared" si="8"/>
        <v>Ideal Exklusiv</v>
      </c>
      <c r="AY168" s="18" t="str">
        <f t="shared" si="8"/>
        <v>Ideal Klassik</v>
      </c>
      <c r="AZ168" s="18" t="str">
        <f t="shared" si="8"/>
        <v>InterRisk L</v>
      </c>
      <c r="BA168" s="18" t="str">
        <f t="shared" si="8"/>
        <v>InterRisk XL</v>
      </c>
      <c r="BB168" s="18" t="str">
        <f t="shared" si="8"/>
        <v>InterRisk XXL</v>
      </c>
      <c r="BC168" s="18" t="str">
        <f t="shared" si="8"/>
        <v>ITL afm Eurosecure Plus</v>
      </c>
      <c r="BD168" s="18" t="str">
        <f>BD1</f>
        <v>ITL Eurosecure Plus afm
Stand 2013-08</v>
      </c>
      <c r="BE168" s="18" t="str">
        <f t="shared" si="8"/>
        <v>ITL afm Infinitus</v>
      </c>
      <c r="BF168" s="18" t="str">
        <f>BF1</f>
        <v>ITL Infinitus
Stand 2013-08</v>
      </c>
      <c r="BG168" s="18" t="str">
        <f t="shared" si="8"/>
        <v>ITL afm Protect Plus</v>
      </c>
      <c r="BH168" s="18" t="str">
        <f>BH1</f>
        <v>ITL Protect Plus afm
Stand 2013-08</v>
      </c>
      <c r="BI168" s="18" t="str">
        <f>BI1</f>
        <v>ITL Classic
Stand 2013-08</v>
      </c>
      <c r="BJ168" s="18" t="str">
        <f t="shared" si="8"/>
        <v>ITL Classic</v>
      </c>
      <c r="BK168" s="18" t="str">
        <f t="shared" si="8"/>
        <v>Janitos Balance</v>
      </c>
      <c r="BL168" s="18" t="str">
        <f t="shared" si="8"/>
        <v>Janitos Best Selection</v>
      </c>
      <c r="BM168" s="18" t="str">
        <f t="shared" si="8"/>
        <v>Keine</v>
      </c>
      <c r="BN168" s="18" t="str">
        <f t="shared" si="8"/>
        <v>Nürnberger KomplettSchutz</v>
      </c>
      <c r="BO168" s="18" t="str">
        <f t="shared" si="8"/>
        <v>NV Premium. 2.0</v>
      </c>
      <c r="BP168" s="18" t="str">
        <f t="shared" si="8"/>
        <v>Prokundo ExklusivPaket</v>
      </c>
      <c r="BQ168" s="18" t="str">
        <f t="shared" si="8"/>
        <v>Prokundo Komfort</v>
      </c>
      <c r="BR168" s="18" t="str">
        <f t="shared" si="8"/>
        <v>Provinzial Kompakt</v>
      </c>
      <c r="BS168" s="18" t="str">
        <f t="shared" si="8"/>
        <v>Provinzial Rundum inkl. Plus</v>
      </c>
      <c r="BT168" s="18" t="str">
        <f t="shared" si="8"/>
        <v>Provinzial Rundumschutz</v>
      </c>
      <c r="BU168" s="18" t="str">
        <f t="shared" si="8"/>
        <v>R+V PrivatPolice</v>
      </c>
      <c r="BV168" s="18" t="str">
        <f t="shared" si="8"/>
        <v>SLP Prima</v>
      </c>
      <c r="BW168" s="18" t="str">
        <f t="shared" si="8"/>
        <v>SLP Prima Plus</v>
      </c>
      <c r="BX168" s="18" t="str">
        <f t="shared" si="8"/>
        <v>VdVA Classic</v>
      </c>
      <c r="BY168" s="18" t="str">
        <f t="shared" si="8"/>
        <v>VdVA Exclusiv</v>
      </c>
      <c r="BZ168" s="18" t="str">
        <f t="shared" si="8"/>
        <v>VGH Standard</v>
      </c>
      <c r="CA168" s="18" t="str">
        <f>CA1</f>
        <v>VHV Klassik Garant
(Stand 2015-04)</v>
      </c>
      <c r="CB168" s="18" t="str">
        <f>CB1</f>
        <v>VHV Klassik Garant Exkl.
(Stand 2015-04)</v>
      </c>
      <c r="CC168" s="18" t="str">
        <f t="shared" ref="CC168:CF168" si="9">CC1</f>
        <v>VWB Komfort</v>
      </c>
      <c r="CD168" s="18" t="str">
        <f t="shared" si="9"/>
        <v>VWB Komfort Plus</v>
      </c>
      <c r="CE168" s="18" t="str">
        <f t="shared" si="9"/>
        <v>WÜBA Plus</v>
      </c>
      <c r="CF168" s="18" t="str">
        <f t="shared" si="9"/>
        <v>Zurich Maklerkonzept</v>
      </c>
    </row>
    <row r="169" spans="1:84" ht="36">
      <c r="A169" s="6" t="s">
        <v>151</v>
      </c>
      <c r="B169" s="200"/>
      <c r="C169" s="38" t="s">
        <v>152</v>
      </c>
      <c r="D169" s="38" t="s">
        <v>152</v>
      </c>
      <c r="E169" s="38" t="s">
        <v>152</v>
      </c>
      <c r="F169" s="38" t="s">
        <v>152</v>
      </c>
      <c r="G169" s="38" t="s">
        <v>152</v>
      </c>
      <c r="H169" s="38" t="s">
        <v>152</v>
      </c>
      <c r="I169" s="36" t="s">
        <v>8170</v>
      </c>
      <c r="J169" s="38" t="s">
        <v>152</v>
      </c>
      <c r="K169" s="36" t="s">
        <v>8170</v>
      </c>
      <c r="L169" s="36" t="s">
        <v>8170</v>
      </c>
      <c r="M169" s="38" t="s">
        <v>152</v>
      </c>
      <c r="N169" s="36" t="s">
        <v>8170</v>
      </c>
      <c r="O169" s="38" t="s">
        <v>152</v>
      </c>
      <c r="P169" s="36" t="s">
        <v>8170</v>
      </c>
      <c r="Q169" s="36" t="s">
        <v>8170</v>
      </c>
      <c r="R169" s="38" t="s">
        <v>152</v>
      </c>
      <c r="S169" s="36" t="s">
        <v>8170</v>
      </c>
      <c r="T169" s="38" t="s">
        <v>152</v>
      </c>
      <c r="U169" s="38" t="s">
        <v>152</v>
      </c>
      <c r="V169" s="38" t="s">
        <v>152</v>
      </c>
      <c r="W169" s="38" t="s">
        <v>152</v>
      </c>
      <c r="X169" s="38" t="s">
        <v>152</v>
      </c>
      <c r="Y169" s="38" t="s">
        <v>152</v>
      </c>
      <c r="Z169" s="38" t="s">
        <v>152</v>
      </c>
      <c r="AA169" s="38" t="s">
        <v>152</v>
      </c>
      <c r="AB169" s="38" t="s">
        <v>152</v>
      </c>
      <c r="AC169" s="38" t="s">
        <v>152</v>
      </c>
      <c r="AD169" s="38" t="s">
        <v>152</v>
      </c>
      <c r="AE169" s="38" t="s">
        <v>152</v>
      </c>
      <c r="AF169" s="38" t="s">
        <v>152</v>
      </c>
      <c r="AG169" s="36" t="s">
        <v>6781</v>
      </c>
      <c r="AH169" s="36" t="s">
        <v>6781</v>
      </c>
      <c r="AI169" s="36" t="s">
        <v>6781</v>
      </c>
      <c r="AJ169" s="38" t="s">
        <v>152</v>
      </c>
      <c r="AK169" s="38">
        <v>8</v>
      </c>
      <c r="AL169" s="38">
        <v>8</v>
      </c>
      <c r="AM169" s="38" t="s">
        <v>152</v>
      </c>
      <c r="AN169" s="38" t="s">
        <v>152</v>
      </c>
      <c r="AO169" s="38" t="s">
        <v>152</v>
      </c>
      <c r="AP169" s="38" t="s">
        <v>152</v>
      </c>
      <c r="AQ169" s="38" t="s">
        <v>152</v>
      </c>
      <c r="AR169" s="38" t="s">
        <v>152</v>
      </c>
      <c r="AS169" s="38" t="s">
        <v>152</v>
      </c>
      <c r="AT169" s="38" t="s">
        <v>152</v>
      </c>
      <c r="AU169" s="38" t="s">
        <v>152</v>
      </c>
      <c r="AV169" s="38" t="s">
        <v>152</v>
      </c>
      <c r="AW169" s="38" t="s">
        <v>152</v>
      </c>
      <c r="AX169" s="38" t="s">
        <v>152</v>
      </c>
      <c r="AY169" s="38" t="s">
        <v>152</v>
      </c>
      <c r="AZ169" s="38" t="s">
        <v>152</v>
      </c>
      <c r="BA169" s="38" t="s">
        <v>152</v>
      </c>
      <c r="BB169" s="38" t="s">
        <v>153</v>
      </c>
      <c r="BC169" s="38" t="s">
        <v>153</v>
      </c>
      <c r="BD169" s="36" t="s">
        <v>153</v>
      </c>
      <c r="BE169" s="38" t="s">
        <v>153</v>
      </c>
      <c r="BF169" s="36" t="s">
        <v>153</v>
      </c>
      <c r="BG169" s="38" t="s">
        <v>153</v>
      </c>
      <c r="BH169" s="36" t="s">
        <v>153</v>
      </c>
      <c r="BI169" s="36" t="s">
        <v>153</v>
      </c>
      <c r="BJ169" s="38" t="s">
        <v>153</v>
      </c>
      <c r="BK169" s="38" t="s">
        <v>152</v>
      </c>
      <c r="BL169" s="38" t="s">
        <v>152</v>
      </c>
      <c r="BM169" s="38" t="s">
        <v>0</v>
      </c>
      <c r="BN169" s="38" t="s">
        <v>152</v>
      </c>
      <c r="BO169" s="38"/>
      <c r="BP169" s="38" t="s">
        <v>152</v>
      </c>
      <c r="BQ169" s="38" t="s">
        <v>152</v>
      </c>
      <c r="BR169" s="38" t="s">
        <v>152</v>
      </c>
      <c r="BS169" s="38" t="s">
        <v>152</v>
      </c>
      <c r="BT169" s="38" t="s">
        <v>152</v>
      </c>
      <c r="BU169" s="36" t="s">
        <v>152</v>
      </c>
      <c r="BV169" s="36" t="s">
        <v>669</v>
      </c>
      <c r="BW169" s="38" t="s">
        <v>669</v>
      </c>
      <c r="BX169" s="38" t="s">
        <v>152</v>
      </c>
      <c r="BY169" s="38" t="s">
        <v>152</v>
      </c>
      <c r="BZ169" s="38" t="s">
        <v>152</v>
      </c>
      <c r="CA169" s="38" t="s">
        <v>152</v>
      </c>
      <c r="CB169" s="272" t="s">
        <v>152</v>
      </c>
      <c r="CC169" s="38" t="s">
        <v>152</v>
      </c>
      <c r="CD169" s="38" t="s">
        <v>152</v>
      </c>
      <c r="CE169" s="38" t="s">
        <v>152</v>
      </c>
      <c r="CF169" s="38" t="s">
        <v>152</v>
      </c>
    </row>
    <row r="170" spans="1:84" ht="18">
      <c r="A170" s="51" t="s">
        <v>935</v>
      </c>
      <c r="B170" s="51"/>
      <c r="C170" s="52" t="s">
        <v>1660</v>
      </c>
      <c r="D170" s="52" t="s">
        <v>1660</v>
      </c>
      <c r="E170" s="52" t="s">
        <v>2780</v>
      </c>
      <c r="F170" s="52" t="s">
        <v>2780</v>
      </c>
      <c r="G170" s="52" t="s">
        <v>1454</v>
      </c>
      <c r="H170" s="52" t="s">
        <v>1454</v>
      </c>
      <c r="I170" s="52" t="s">
        <v>8169</v>
      </c>
      <c r="J170" s="52" t="s">
        <v>1660</v>
      </c>
      <c r="K170" s="84" t="s">
        <v>8462</v>
      </c>
      <c r="L170" s="84" t="s">
        <v>8463</v>
      </c>
      <c r="M170" s="52" t="s">
        <v>1660</v>
      </c>
      <c r="N170" s="84" t="s">
        <v>8276</v>
      </c>
      <c r="O170" s="52" t="s">
        <v>1660</v>
      </c>
      <c r="P170" s="84" t="s">
        <v>8595</v>
      </c>
      <c r="Q170" s="84" t="s">
        <v>8595</v>
      </c>
      <c r="R170" s="52" t="s">
        <v>1660</v>
      </c>
      <c r="S170" s="84" t="s">
        <v>8527</v>
      </c>
      <c r="T170" s="52" t="s">
        <v>5599</v>
      </c>
      <c r="U170" s="52" t="s">
        <v>5599</v>
      </c>
      <c r="V170" s="84"/>
      <c r="W170" s="52" t="s">
        <v>3986</v>
      </c>
      <c r="X170" s="52" t="s">
        <v>6453</v>
      </c>
      <c r="Y170" s="52" t="s">
        <v>2381</v>
      </c>
      <c r="Z170" s="52" t="s">
        <v>2381</v>
      </c>
      <c r="AA170" s="52" t="s">
        <v>2381</v>
      </c>
      <c r="AB170" s="52" t="s">
        <v>4719</v>
      </c>
      <c r="AC170" s="52" t="s">
        <v>4719</v>
      </c>
      <c r="AD170" s="52" t="s">
        <v>4719</v>
      </c>
      <c r="AE170" s="52" t="s">
        <v>6024</v>
      </c>
      <c r="AF170" s="52" t="s">
        <v>6024</v>
      </c>
      <c r="AG170" s="186" t="s">
        <v>7025</v>
      </c>
      <c r="AH170" s="186" t="s">
        <v>7025</v>
      </c>
      <c r="AI170" s="186" t="s">
        <v>7025</v>
      </c>
      <c r="AJ170" s="52" t="s">
        <v>6109</v>
      </c>
      <c r="AK170" s="52" t="s">
        <v>1908</v>
      </c>
      <c r="AL170" s="52" t="s">
        <v>1908</v>
      </c>
      <c r="AM170" s="52" t="s">
        <v>5426</v>
      </c>
      <c r="AN170" s="52" t="s">
        <v>5426</v>
      </c>
      <c r="AO170" s="52" t="s">
        <v>4251</v>
      </c>
      <c r="AP170" s="52" t="s">
        <v>2575</v>
      </c>
      <c r="AQ170" s="52" t="s">
        <v>2575</v>
      </c>
      <c r="AR170" s="52"/>
      <c r="AS170" s="52" t="s">
        <v>2025</v>
      </c>
      <c r="AT170" s="52" t="s">
        <v>2025</v>
      </c>
      <c r="AU170" s="52" t="s">
        <v>2025</v>
      </c>
      <c r="AV170" s="52" t="s">
        <v>4328</v>
      </c>
      <c r="AW170" s="52" t="s">
        <v>4328</v>
      </c>
      <c r="AX170" s="52" t="s">
        <v>1368</v>
      </c>
      <c r="AY170" s="52" t="s">
        <v>1368</v>
      </c>
      <c r="AZ170" s="52" t="s">
        <v>3666</v>
      </c>
      <c r="BA170" s="52" t="s">
        <v>3580</v>
      </c>
      <c r="BB170" s="52" t="s">
        <v>3485</v>
      </c>
      <c r="BC170" s="52" t="s">
        <v>4858</v>
      </c>
      <c r="BD170" s="52" t="s">
        <v>7714</v>
      </c>
      <c r="BE170" s="52" t="s">
        <v>4891</v>
      </c>
      <c r="BF170" s="52" t="s">
        <v>7616</v>
      </c>
      <c r="BG170" s="52" t="s">
        <v>4858</v>
      </c>
      <c r="BH170" s="52" t="s">
        <v>7882</v>
      </c>
      <c r="BI170" s="52" t="s">
        <v>7791</v>
      </c>
      <c r="BJ170" s="52" t="s">
        <v>2265</v>
      </c>
      <c r="BK170" s="52"/>
      <c r="BL170" s="52"/>
      <c r="BM170" s="52" t="s">
        <v>0</v>
      </c>
      <c r="BN170" s="52" t="s">
        <v>1660</v>
      </c>
      <c r="BO170" s="52"/>
      <c r="BP170" s="52" t="s">
        <v>1660</v>
      </c>
      <c r="BQ170" s="52" t="s">
        <v>1660</v>
      </c>
      <c r="BR170" s="52" t="s">
        <v>1909</v>
      </c>
      <c r="BS170" s="52" t="s">
        <v>1909</v>
      </c>
      <c r="BT170" s="52" t="s">
        <v>1909</v>
      </c>
      <c r="BU170" s="84" t="s">
        <v>2065</v>
      </c>
      <c r="BV170" s="84"/>
      <c r="BW170" s="52"/>
      <c r="BX170" s="52" t="s">
        <v>3931</v>
      </c>
      <c r="BY170" s="52" t="s">
        <v>3815</v>
      </c>
      <c r="BZ170" s="52" t="s">
        <v>6218</v>
      </c>
      <c r="CA170" s="52" t="s">
        <v>3169</v>
      </c>
      <c r="CB170" s="273" t="s">
        <v>3169</v>
      </c>
      <c r="CC170" s="52"/>
      <c r="CD170" s="52"/>
      <c r="CE170" s="52" t="s">
        <v>3257</v>
      </c>
      <c r="CF170" s="52" t="s">
        <v>2196</v>
      </c>
    </row>
    <row r="171" spans="1:84" ht="27">
      <c r="A171" s="62" t="s">
        <v>8344</v>
      </c>
      <c r="B171" s="200"/>
      <c r="C171" s="38"/>
      <c r="D171" s="38"/>
      <c r="E171" s="38"/>
      <c r="F171" s="38"/>
      <c r="G171" s="38"/>
      <c r="H171" s="38"/>
      <c r="I171" s="38" t="s">
        <v>0</v>
      </c>
      <c r="J171" s="38"/>
      <c r="K171" s="38" t="s">
        <v>859</v>
      </c>
      <c r="L171" s="38" t="s">
        <v>6894</v>
      </c>
      <c r="M171" s="143"/>
      <c r="N171" s="38" t="s">
        <v>0</v>
      </c>
      <c r="O171" s="38"/>
      <c r="P171" s="38" t="s">
        <v>57</v>
      </c>
      <c r="Q171" s="38" t="s">
        <v>57</v>
      </c>
      <c r="R171" s="38"/>
      <c r="S171" s="38" t="s">
        <v>5556</v>
      </c>
      <c r="T171" s="38"/>
      <c r="U171" s="220"/>
      <c r="V171" s="220"/>
      <c r="W171" s="220"/>
      <c r="X171" s="220"/>
      <c r="Y171" s="220"/>
      <c r="Z171" s="268"/>
      <c r="AA171" s="246"/>
      <c r="AB171" s="246"/>
      <c r="AC171" s="246"/>
      <c r="AD171" s="246"/>
      <c r="AE171" s="246"/>
      <c r="AF171" s="246"/>
      <c r="AG171" s="116" t="s">
        <v>0</v>
      </c>
      <c r="AH171" s="116" t="s">
        <v>0</v>
      </c>
      <c r="AI171" s="116" t="s">
        <v>0</v>
      </c>
      <c r="AJ171" s="246"/>
      <c r="AK171" s="38"/>
      <c r="AL171" s="36"/>
      <c r="AM171" s="36"/>
      <c r="AN171" s="36"/>
      <c r="AO171" s="38"/>
      <c r="AP171" s="40"/>
      <c r="AQ171" s="38"/>
      <c r="AR171" s="38"/>
      <c r="AS171" s="38"/>
      <c r="AT171" s="38"/>
      <c r="AU171" s="38"/>
      <c r="AV171" s="38"/>
      <c r="AW171" s="38"/>
      <c r="AX171" s="38"/>
      <c r="AY171" s="38"/>
      <c r="AZ171" s="38"/>
      <c r="BA171" s="38"/>
      <c r="BB171" s="38"/>
      <c r="BC171" s="38"/>
      <c r="BD171" s="246" t="s">
        <v>8649</v>
      </c>
      <c r="BE171" s="38"/>
      <c r="BF171" s="246" t="s">
        <v>8649</v>
      </c>
      <c r="BG171" s="38"/>
      <c r="BH171" s="246" t="s">
        <v>8649</v>
      </c>
      <c r="BI171" s="246" t="s">
        <v>0</v>
      </c>
      <c r="BJ171" s="38"/>
      <c r="BK171" s="38"/>
      <c r="BL171" s="38"/>
      <c r="BM171" s="38"/>
      <c r="BN171" s="38"/>
      <c r="BO171" s="38"/>
      <c r="BP171" s="38"/>
      <c r="BQ171" s="38"/>
      <c r="BR171" s="38"/>
      <c r="BS171" s="38"/>
      <c r="BT171" s="38"/>
      <c r="BU171" s="38"/>
      <c r="BV171" s="38"/>
      <c r="BW171" s="38"/>
      <c r="BX171" s="38"/>
      <c r="BY171" s="38"/>
      <c r="BZ171" s="38"/>
      <c r="CA171" s="203"/>
      <c r="CB171" s="40"/>
      <c r="CC171" s="38"/>
      <c r="CD171" s="38"/>
      <c r="CE171" s="38"/>
      <c r="CF171" s="38"/>
    </row>
    <row r="172" spans="1:84">
      <c r="A172" s="185" t="s">
        <v>935</v>
      </c>
      <c r="B172" s="185"/>
      <c r="C172" s="52"/>
      <c r="D172" s="52"/>
      <c r="E172" s="52"/>
      <c r="F172" s="52"/>
      <c r="G172" s="52"/>
      <c r="H172" s="84"/>
      <c r="I172" s="52" t="s">
        <v>8171</v>
      </c>
      <c r="J172" s="52"/>
      <c r="K172" s="84" t="s">
        <v>8345</v>
      </c>
      <c r="L172" s="52" t="s">
        <v>8461</v>
      </c>
      <c r="M172" s="84"/>
      <c r="N172" s="52" t="s">
        <v>8171</v>
      </c>
      <c r="O172" s="186"/>
      <c r="P172" s="52" t="s">
        <v>8596</v>
      </c>
      <c r="Q172" s="52" t="s">
        <v>8596</v>
      </c>
      <c r="R172" s="186"/>
      <c r="S172" s="52" t="s">
        <v>8526</v>
      </c>
      <c r="T172" s="186"/>
      <c r="U172" s="186"/>
      <c r="V172" s="186"/>
      <c r="W172" s="186"/>
      <c r="X172" s="52"/>
      <c r="Y172" s="52"/>
      <c r="Z172" s="52"/>
      <c r="AA172" s="52"/>
      <c r="AB172" s="52"/>
      <c r="AC172" s="52"/>
      <c r="AD172" s="52"/>
      <c r="AE172" s="52"/>
      <c r="AF172" s="52"/>
      <c r="AG172" s="186" t="s">
        <v>8351</v>
      </c>
      <c r="AH172" s="186" t="s">
        <v>8351</v>
      </c>
      <c r="AI172" s="186" t="s">
        <v>8351</v>
      </c>
      <c r="AJ172" s="52"/>
      <c r="AK172" s="186"/>
      <c r="AL172" s="186"/>
      <c r="AM172" s="186"/>
      <c r="AN172" s="186"/>
      <c r="AO172" s="186"/>
      <c r="AP172" s="186"/>
      <c r="AQ172" s="186"/>
      <c r="AR172" s="186"/>
      <c r="AS172" s="186"/>
      <c r="AT172" s="186"/>
      <c r="AU172" s="186"/>
      <c r="AV172" s="186"/>
      <c r="AW172" s="186"/>
      <c r="AX172" s="186"/>
      <c r="AY172" s="186"/>
      <c r="AZ172" s="186"/>
      <c r="BA172" s="186"/>
      <c r="BB172" s="186"/>
      <c r="BC172" s="186"/>
      <c r="BD172" s="52" t="s">
        <v>8346</v>
      </c>
      <c r="BE172" s="186"/>
      <c r="BF172" s="52" t="s">
        <v>8347</v>
      </c>
      <c r="BG172" s="186"/>
      <c r="BH172" s="52" t="s">
        <v>7883</v>
      </c>
      <c r="BI172" s="52" t="s">
        <v>0</v>
      </c>
      <c r="BJ172" s="186"/>
      <c r="BK172" s="186"/>
      <c r="BL172" s="186"/>
      <c r="BM172" s="186"/>
      <c r="BN172" s="186"/>
      <c r="BO172" s="186"/>
      <c r="BP172" s="186"/>
      <c r="BQ172" s="186"/>
      <c r="BR172" s="186"/>
      <c r="BS172" s="186"/>
      <c r="BT172" s="186"/>
      <c r="BU172" s="186"/>
      <c r="BV172" s="186"/>
      <c r="BW172" s="186"/>
      <c r="BX172" s="186"/>
      <c r="BY172" s="186"/>
      <c r="BZ172" s="186"/>
      <c r="CA172" s="186"/>
      <c r="CB172" s="190"/>
      <c r="CC172" s="186"/>
      <c r="CD172" s="186"/>
      <c r="CE172" s="186"/>
      <c r="CF172" s="186"/>
    </row>
    <row r="173" spans="1:84" ht="36">
      <c r="A173" s="62" t="s">
        <v>6622</v>
      </c>
      <c r="B173" s="200"/>
      <c r="C173" s="62"/>
      <c r="D173" s="36"/>
      <c r="E173" s="36"/>
      <c r="F173" s="38"/>
      <c r="G173" s="36"/>
      <c r="H173" s="143"/>
      <c r="I173" s="38" t="s">
        <v>0</v>
      </c>
      <c r="J173" s="143"/>
      <c r="K173" s="38" t="s">
        <v>0</v>
      </c>
      <c r="L173" s="36" t="s">
        <v>8459</v>
      </c>
      <c r="M173" s="38"/>
      <c r="N173" s="38" t="s">
        <v>0</v>
      </c>
      <c r="O173" s="38"/>
      <c r="P173" s="36" t="s">
        <v>8594</v>
      </c>
      <c r="Q173" s="36" t="s">
        <v>8594</v>
      </c>
      <c r="R173" s="38"/>
      <c r="S173" s="36" t="s">
        <v>8525</v>
      </c>
      <c r="T173" s="38"/>
      <c r="U173" s="36"/>
      <c r="V173" s="36"/>
      <c r="W173" s="36"/>
      <c r="X173" s="34"/>
      <c r="Y173" s="34"/>
      <c r="Z173" s="34"/>
      <c r="AA173" s="34"/>
      <c r="AB173" s="37"/>
      <c r="AC173" s="37"/>
      <c r="AD173" s="116"/>
      <c r="AE173" s="116"/>
      <c r="AF173" s="38"/>
      <c r="AG173" s="116" t="s">
        <v>0</v>
      </c>
      <c r="AH173" s="116" t="s">
        <v>0</v>
      </c>
      <c r="AI173" s="116" t="s">
        <v>0</v>
      </c>
      <c r="AJ173" s="38"/>
      <c r="AK173" s="38"/>
      <c r="AL173" s="38"/>
      <c r="AM173" s="38"/>
      <c r="AN173" s="36"/>
      <c r="AO173" s="36"/>
      <c r="AP173" s="36"/>
      <c r="AQ173" s="36"/>
      <c r="AR173" s="36"/>
      <c r="AS173" s="36"/>
      <c r="AT173" s="36"/>
      <c r="AU173" s="36"/>
      <c r="AV173" s="36"/>
      <c r="AW173" s="36"/>
      <c r="AX173" s="36"/>
      <c r="AY173" s="36"/>
      <c r="AZ173" s="36"/>
      <c r="BA173" s="36"/>
      <c r="BB173" s="36"/>
      <c r="BC173" s="36"/>
      <c r="BD173" s="246">
        <v>2500</v>
      </c>
      <c r="BE173" s="36"/>
      <c r="BF173" s="246">
        <v>2500</v>
      </c>
      <c r="BG173" s="36"/>
      <c r="BH173" s="246" t="s">
        <v>0</v>
      </c>
      <c r="BI173" s="246" t="s">
        <v>0</v>
      </c>
      <c r="BJ173" s="36"/>
      <c r="BK173" s="36"/>
      <c r="BL173" s="36"/>
      <c r="BM173" s="36"/>
      <c r="BN173" s="36"/>
      <c r="BO173" s="36"/>
      <c r="BP173" s="36"/>
      <c r="BQ173" s="36"/>
      <c r="BR173" s="36"/>
      <c r="BS173" s="36"/>
      <c r="BT173" s="36"/>
      <c r="BU173" s="36"/>
      <c r="BV173" s="36"/>
      <c r="BW173" s="36"/>
      <c r="BX173" s="36"/>
      <c r="BY173" s="36"/>
      <c r="BZ173" s="36"/>
      <c r="CA173" s="203"/>
      <c r="CB173" s="40"/>
      <c r="CC173" s="36"/>
      <c r="CD173" s="36"/>
      <c r="CE173" s="36"/>
      <c r="CF173" s="36"/>
    </row>
    <row r="174" spans="1:84">
      <c r="A174" s="185" t="s">
        <v>935</v>
      </c>
      <c r="B174" s="185"/>
      <c r="C174" s="185"/>
      <c r="D174" s="186"/>
      <c r="E174" s="186"/>
      <c r="F174" s="186"/>
      <c r="G174" s="186"/>
      <c r="H174" s="84"/>
      <c r="I174" s="52" t="s">
        <v>8171</v>
      </c>
      <c r="J174" s="84"/>
      <c r="K174" s="52" t="s">
        <v>8171</v>
      </c>
      <c r="L174" s="52" t="s">
        <v>8460</v>
      </c>
      <c r="M174" s="186"/>
      <c r="N174" s="52" t="s">
        <v>8171</v>
      </c>
      <c r="O174" s="186"/>
      <c r="P174" s="52" t="s">
        <v>8593</v>
      </c>
      <c r="Q174" s="52" t="s">
        <v>8593</v>
      </c>
      <c r="R174" s="186"/>
      <c r="S174" s="52" t="s">
        <v>8524</v>
      </c>
      <c r="T174" s="186"/>
      <c r="U174" s="186"/>
      <c r="V174" s="186"/>
      <c r="W174" s="186"/>
      <c r="X174" s="186"/>
      <c r="Y174" s="186"/>
      <c r="Z174" s="186"/>
      <c r="AA174" s="186"/>
      <c r="AB174" s="186"/>
      <c r="AC174" s="186"/>
      <c r="AD174" s="186"/>
      <c r="AE174" s="186"/>
      <c r="AF174" s="186"/>
      <c r="AG174" s="186" t="s">
        <v>7024</v>
      </c>
      <c r="AH174" s="186" t="s">
        <v>7024</v>
      </c>
      <c r="AI174" s="186" t="s">
        <v>7024</v>
      </c>
      <c r="AJ174" s="186"/>
      <c r="AK174" s="186"/>
      <c r="AL174" s="186"/>
      <c r="AM174" s="186"/>
      <c r="AN174" s="186"/>
      <c r="AO174" s="186"/>
      <c r="AP174" s="186"/>
      <c r="AQ174" s="186"/>
      <c r="AR174" s="186"/>
      <c r="AS174" s="186"/>
      <c r="AT174" s="186"/>
      <c r="AU174" s="186"/>
      <c r="AV174" s="186"/>
      <c r="AW174" s="186"/>
      <c r="AX174" s="186"/>
      <c r="AY174" s="186"/>
      <c r="AZ174" s="186"/>
      <c r="BA174" s="186"/>
      <c r="BB174" s="186"/>
      <c r="BC174" s="186"/>
      <c r="BD174" s="52" t="s">
        <v>7766</v>
      </c>
      <c r="BE174" s="186"/>
      <c r="BF174" s="52" t="s">
        <v>8348</v>
      </c>
      <c r="BG174" s="186"/>
      <c r="BH174" s="52" t="s">
        <v>0</v>
      </c>
      <c r="BI174" s="52" t="s">
        <v>0</v>
      </c>
      <c r="BJ174" s="186"/>
      <c r="BK174" s="186"/>
      <c r="BL174" s="186"/>
      <c r="BM174" s="186"/>
      <c r="BN174" s="186"/>
      <c r="BO174" s="186"/>
      <c r="BP174" s="186"/>
      <c r="BQ174" s="186"/>
      <c r="BR174" s="186"/>
      <c r="BS174" s="186"/>
      <c r="BT174" s="186"/>
      <c r="BU174" s="186"/>
      <c r="BV174" s="186"/>
      <c r="BW174" s="186"/>
      <c r="BX174" s="186"/>
      <c r="BY174" s="186"/>
      <c r="BZ174" s="186"/>
      <c r="CA174" s="186"/>
      <c r="CB174" s="190"/>
      <c r="CC174" s="186"/>
      <c r="CD174" s="186"/>
      <c r="CE174" s="186"/>
      <c r="CF174" s="186"/>
    </row>
    <row r="175" spans="1:84">
      <c r="V175" s="146"/>
    </row>
    <row r="176" spans="1:84" ht="18">
      <c r="A176" s="10" t="s">
        <v>6624</v>
      </c>
      <c r="B176" s="10"/>
      <c r="C176" s="72" t="str">
        <f t="shared" ref="C176:BZ176" si="10">C1</f>
        <v>ADCURI Basis-Schutz</v>
      </c>
      <c r="D176" s="72" t="str">
        <f t="shared" si="10"/>
        <v>ADCURI Top-Schutz</v>
      </c>
      <c r="E176" s="72" t="str">
        <f t="shared" si="10"/>
        <v>Allianz</v>
      </c>
      <c r="F176" s="72" t="str">
        <f t="shared" si="10"/>
        <v>Allianz inkl. SicherheitPlus</v>
      </c>
      <c r="G176" s="72" t="str">
        <f t="shared" si="10"/>
        <v>Alte Leipziger classic</v>
      </c>
      <c r="H176" s="72" t="str">
        <f t="shared" si="10"/>
        <v>Alte Leipziger comfort</v>
      </c>
      <c r="I176" s="72" t="str">
        <f>I1</f>
        <v>Ammerländer Basic
(2019-02)</v>
      </c>
      <c r="J176" s="72" t="str">
        <f t="shared" si="10"/>
        <v>Ammerländer Classic
(2016-01)</v>
      </c>
      <c r="K176" s="72" t="str">
        <f>K1</f>
        <v>Ammerländer Classic
(2019-02)</v>
      </c>
      <c r="L176" s="72" t="str">
        <f>L1</f>
        <v>Ammerländer Comfort
(2019-02)</v>
      </c>
      <c r="M176" s="72" t="str">
        <f t="shared" si="10"/>
        <v>Ammerländer Comfort
(2016-01)</v>
      </c>
      <c r="N176" s="72" t="str">
        <f>N1</f>
        <v>Ammerländer Economic
(2019-02)</v>
      </c>
      <c r="O176" s="72" t="str">
        <f t="shared" si="10"/>
        <v>Ammerländer Excellent
(2016-01)</v>
      </c>
      <c r="P176" s="72" t="str">
        <f>P1</f>
        <v>Ammerländer Excellent
(2019-02)</v>
      </c>
      <c r="Q176" s="72" t="str">
        <f>Q1</f>
        <v>Ammerländer Excellent
(2020-02)</v>
      </c>
      <c r="R176" s="72" t="str">
        <f>R1</f>
        <v>Ammerländer Exclusiv
(2016-01)</v>
      </c>
      <c r="S176" s="72" t="str">
        <f>S1</f>
        <v>Ammerländer Exclusiv
(2019-02)</v>
      </c>
      <c r="T176" s="72" t="str">
        <f t="shared" si="10"/>
        <v>ARAG Komfort (Wohnfläche)</v>
      </c>
      <c r="U176" s="72" t="str">
        <f t="shared" si="10"/>
        <v>ARAG Premium (Wohnfläche)</v>
      </c>
      <c r="V176" s="72" t="str">
        <f t="shared" si="10"/>
        <v>AXA BOXflex</v>
      </c>
      <c r="W176" s="72" t="str">
        <f t="shared" si="10"/>
        <v>Baden Badener TOP</v>
      </c>
      <c r="X176" s="72" t="str">
        <f t="shared" si="10"/>
        <v>Concordia Sorglos</v>
      </c>
      <c r="Y176" s="72" t="str">
        <f t="shared" si="10"/>
        <v>Debeka Basis</v>
      </c>
      <c r="Z176" s="72" t="str">
        <f t="shared" si="10"/>
        <v>Debeka Standard</v>
      </c>
      <c r="AA176" s="72" t="str">
        <f t="shared" si="10"/>
        <v>Debeka Top</v>
      </c>
      <c r="AB176" s="72" t="str">
        <f t="shared" si="10"/>
        <v>die Bayerische (Komfort)</v>
      </c>
      <c r="AC176" s="72" t="str">
        <f t="shared" si="10"/>
        <v>die Bayerische (Prestige)</v>
      </c>
      <c r="AD176" s="72" t="str">
        <f t="shared" si="10"/>
        <v>die Bayerische (Smart)</v>
      </c>
      <c r="AE176" s="72" t="str">
        <f t="shared" si="10"/>
        <v>Domcura Komfort
(Stand 2014-10)</v>
      </c>
      <c r="AF176" s="72" t="str">
        <f t="shared" si="10"/>
        <v>Domcura Top
(Stand 2014-10)</v>
      </c>
      <c r="AG176" s="72" t="str">
        <f>AG1</f>
        <v>Domcura Standard
(2016-10-01)</v>
      </c>
      <c r="AH176" s="72" t="str">
        <f>AH1</f>
        <v>Domcura Komfort
(2016-10-01)</v>
      </c>
      <c r="AI176" s="72" t="str">
        <f>AI1</f>
        <v>Domcura Top
(2016-10-01)</v>
      </c>
      <c r="AJ176" s="72" t="str">
        <f t="shared" si="10"/>
        <v>ERGO Hausrat Spezial</v>
      </c>
      <c r="AK176" s="72" t="str">
        <f t="shared" si="10"/>
        <v>Generali Basis</v>
      </c>
      <c r="AL176" s="72" t="str">
        <f t="shared" si="10"/>
        <v>Generali KomfortPlus</v>
      </c>
      <c r="AM176" s="72" t="str">
        <f t="shared" si="10"/>
        <v>Gothaer Top</v>
      </c>
      <c r="AN176" s="72" t="str">
        <f t="shared" si="10"/>
        <v>Gothaer Top Plus</v>
      </c>
      <c r="AO176" s="72" t="str">
        <f t="shared" si="10"/>
        <v>HDI Privatschutz</v>
      </c>
      <c r="AP176" s="72" t="str">
        <f t="shared" si="10"/>
        <v>Helvetia Basis</v>
      </c>
      <c r="AQ176" s="72" t="str">
        <f t="shared" si="10"/>
        <v>Helvetia Komfort</v>
      </c>
      <c r="AR176" s="72" t="str">
        <f t="shared" si="10"/>
        <v>HFK Rundumschutz</v>
      </c>
      <c r="AS176" s="72" t="str">
        <f t="shared" si="10"/>
        <v>HKD Einfach Gut</v>
      </c>
      <c r="AT176" s="72" t="str">
        <f t="shared" si="10"/>
        <v>HKD Einfach Besser</v>
      </c>
      <c r="AU176" s="72" t="str">
        <f t="shared" si="10"/>
        <v>HKD Einfach Komplett</v>
      </c>
      <c r="AV176" s="72" t="str">
        <f t="shared" si="10"/>
        <v>HUK Classic</v>
      </c>
      <c r="AW176" s="72" t="str">
        <f t="shared" si="10"/>
        <v>HUK Plus</v>
      </c>
      <c r="AX176" s="72" t="str">
        <f t="shared" si="10"/>
        <v>Ideal Exklusiv</v>
      </c>
      <c r="AY176" s="72" t="str">
        <f t="shared" si="10"/>
        <v>Ideal Klassik</v>
      </c>
      <c r="AZ176" s="72" t="str">
        <f t="shared" si="10"/>
        <v>InterRisk L</v>
      </c>
      <c r="BA176" s="72" t="str">
        <f t="shared" si="10"/>
        <v>InterRisk XL</v>
      </c>
      <c r="BB176" s="72" t="str">
        <f t="shared" si="10"/>
        <v>InterRisk XXL</v>
      </c>
      <c r="BC176" s="72" t="str">
        <f t="shared" si="10"/>
        <v>ITL afm Eurosecure Plus</v>
      </c>
      <c r="BD176" s="72" t="str">
        <f>BD1</f>
        <v>ITL Eurosecure Plus afm
Stand 2013-08</v>
      </c>
      <c r="BE176" s="72" t="str">
        <f t="shared" si="10"/>
        <v>ITL afm Infinitus</v>
      </c>
      <c r="BF176" s="72" t="str">
        <f>BF1</f>
        <v>ITL Infinitus
Stand 2013-08</v>
      </c>
      <c r="BG176" s="72" t="str">
        <f t="shared" si="10"/>
        <v>ITL afm Protect Plus</v>
      </c>
      <c r="BH176" s="72" t="str">
        <f>BH1</f>
        <v>ITL Protect Plus afm
Stand 2013-08</v>
      </c>
      <c r="BI176" s="72" t="str">
        <f>BI1</f>
        <v>ITL Classic
Stand 2013-08</v>
      </c>
      <c r="BJ176" s="72" t="str">
        <f t="shared" si="10"/>
        <v>ITL Classic</v>
      </c>
      <c r="BK176" s="72" t="str">
        <f t="shared" si="10"/>
        <v>Janitos Balance</v>
      </c>
      <c r="BL176" s="72" t="str">
        <f t="shared" si="10"/>
        <v>Janitos Best Selection</v>
      </c>
      <c r="BM176" s="72" t="str">
        <f t="shared" si="10"/>
        <v>Keine</v>
      </c>
      <c r="BN176" s="72" t="str">
        <f t="shared" si="10"/>
        <v>Nürnberger KomplettSchutz</v>
      </c>
      <c r="BO176" s="72" t="str">
        <f t="shared" si="10"/>
        <v>NV Premium. 2.0</v>
      </c>
      <c r="BP176" s="72" t="str">
        <f t="shared" si="10"/>
        <v>Prokundo ExklusivPaket</v>
      </c>
      <c r="BQ176" s="72" t="str">
        <f t="shared" si="10"/>
        <v>Prokundo Komfort</v>
      </c>
      <c r="BR176" s="72" t="str">
        <f t="shared" si="10"/>
        <v>Provinzial Kompakt</v>
      </c>
      <c r="BS176" s="72" t="str">
        <f t="shared" si="10"/>
        <v>Provinzial Rundum inkl. Plus</v>
      </c>
      <c r="BT176" s="72" t="str">
        <f t="shared" si="10"/>
        <v>Provinzial Rundumschutz</v>
      </c>
      <c r="BU176" s="72" t="str">
        <f t="shared" si="10"/>
        <v>R+V PrivatPolice</v>
      </c>
      <c r="BV176" s="72" t="str">
        <f t="shared" si="10"/>
        <v>SLP Prima</v>
      </c>
      <c r="BW176" s="72" t="str">
        <f t="shared" si="10"/>
        <v>SLP Prima Plus</v>
      </c>
      <c r="BX176" s="72" t="str">
        <f t="shared" si="10"/>
        <v>VdVA Classic</v>
      </c>
      <c r="BY176" s="72" t="str">
        <f t="shared" si="10"/>
        <v>VdVA Exclusiv</v>
      </c>
      <c r="BZ176" s="72" t="str">
        <f t="shared" si="10"/>
        <v>VGH Standard</v>
      </c>
      <c r="CA176" s="72" t="str">
        <f>CA1</f>
        <v>VHV Klassik Garant
(Stand 2015-04)</v>
      </c>
      <c r="CB176" s="72" t="str">
        <f>CB1</f>
        <v>VHV Klassik Garant Exkl.
(Stand 2015-04)</v>
      </c>
      <c r="CC176" s="72" t="str">
        <f t="shared" ref="CC176:CE176" si="11">CC1</f>
        <v>VWB Komfort</v>
      </c>
      <c r="CD176" s="72" t="str">
        <f t="shared" si="11"/>
        <v>VWB Komfort Plus</v>
      </c>
      <c r="CE176" s="72" t="str">
        <f t="shared" si="11"/>
        <v>WÜBA Plus</v>
      </c>
      <c r="CF176" s="72" t="str">
        <f>CF1</f>
        <v>Zurich Maklerkonzept</v>
      </c>
    </row>
    <row r="177" spans="1:84">
      <c r="A177" s="239" t="s">
        <v>6787</v>
      </c>
      <c r="B177" s="239"/>
      <c r="C177" s="238"/>
      <c r="D177" s="238"/>
      <c r="E177" s="238"/>
      <c r="F177" s="238"/>
      <c r="G177" s="238"/>
      <c r="H177" s="238"/>
      <c r="I177" s="239"/>
      <c r="J177" s="238"/>
      <c r="K177" s="239"/>
      <c r="L177" s="239"/>
      <c r="M177" s="238"/>
      <c r="N177" s="239"/>
      <c r="O177" s="238"/>
      <c r="P177" s="239"/>
      <c r="Q177" s="239"/>
      <c r="R177" s="238"/>
      <c r="S177" s="239"/>
      <c r="T177" s="238"/>
      <c r="U177" s="238"/>
      <c r="V177" s="238"/>
      <c r="W177" s="238"/>
      <c r="X177" s="238"/>
      <c r="Y177" s="238"/>
      <c r="Z177" s="238"/>
      <c r="AA177" s="238"/>
      <c r="AB177" s="238"/>
      <c r="AC177" s="238"/>
      <c r="AD177" s="238"/>
      <c r="AE177" s="238"/>
      <c r="AF177" s="238"/>
      <c r="AG177" s="239"/>
      <c r="AH177" s="239"/>
      <c r="AI177" s="239"/>
      <c r="AJ177" s="238"/>
      <c r="AK177" s="238"/>
      <c r="AL177" s="238"/>
      <c r="AM177" s="238"/>
      <c r="AN177" s="238"/>
      <c r="AO177" s="238"/>
      <c r="AP177" s="238"/>
      <c r="AQ177" s="238"/>
      <c r="AR177" s="238"/>
      <c r="AS177" s="238"/>
      <c r="AT177" s="238"/>
      <c r="AU177" s="238"/>
      <c r="AV177" s="238"/>
      <c r="AW177" s="238"/>
      <c r="AX177" s="238"/>
      <c r="AY177" s="238"/>
      <c r="AZ177" s="238"/>
      <c r="BA177" s="238"/>
      <c r="BB177" s="238"/>
      <c r="BC177" s="238"/>
      <c r="BD177" s="239"/>
      <c r="BE177" s="238"/>
      <c r="BF177" s="239"/>
      <c r="BG177" s="238"/>
      <c r="BH177" s="239"/>
      <c r="BI177" s="239"/>
      <c r="BJ177" s="238"/>
      <c r="BK177" s="238"/>
      <c r="BL177" s="238"/>
      <c r="BM177" s="238"/>
      <c r="BN177" s="238"/>
      <c r="BO177" s="238"/>
      <c r="BP177" s="238"/>
      <c r="BQ177" s="238"/>
      <c r="BR177" s="238"/>
      <c r="BS177" s="238"/>
      <c r="BT177" s="238"/>
      <c r="BU177" s="238"/>
      <c r="BV177" s="238"/>
      <c r="BW177" s="238"/>
      <c r="BX177" s="238"/>
      <c r="BY177" s="238"/>
      <c r="BZ177" s="238"/>
      <c r="CA177" s="239"/>
      <c r="CB177" s="239"/>
      <c r="CC177" s="238"/>
      <c r="CD177" s="238"/>
      <c r="CE177" s="238"/>
      <c r="CF177" s="238"/>
    </row>
    <row r="178" spans="1:84" ht="63">
      <c r="A178" s="82" t="s">
        <v>8918</v>
      </c>
      <c r="B178" s="200" t="s">
        <v>6791</v>
      </c>
      <c r="C178" s="113"/>
      <c r="D178" s="113"/>
      <c r="E178" s="113"/>
      <c r="F178" s="113"/>
      <c r="G178" s="113"/>
      <c r="H178" s="113"/>
      <c r="I178" s="36" t="s">
        <v>57</v>
      </c>
      <c r="J178" s="113"/>
      <c r="K178" s="36" t="s">
        <v>57</v>
      </c>
      <c r="L178" s="36" t="s">
        <v>57</v>
      </c>
      <c r="M178" s="113"/>
      <c r="N178" s="36" t="s">
        <v>57</v>
      </c>
      <c r="O178" s="114"/>
      <c r="P178" s="36" t="s">
        <v>57</v>
      </c>
      <c r="Q178" s="36" t="s">
        <v>57</v>
      </c>
      <c r="R178" s="113"/>
      <c r="S178" s="36" t="s">
        <v>57</v>
      </c>
      <c r="T178" s="113"/>
      <c r="U178" s="113"/>
      <c r="V178" s="221"/>
      <c r="W178" s="113"/>
      <c r="X178" s="113"/>
      <c r="Y178" s="113"/>
      <c r="Z178" s="113"/>
      <c r="AA178" s="113"/>
      <c r="AB178" s="114"/>
      <c r="AC178" s="114"/>
      <c r="AD178" s="113"/>
      <c r="AE178" s="215"/>
      <c r="AF178" s="215"/>
      <c r="AG178" s="36" t="s">
        <v>57</v>
      </c>
      <c r="AH178" s="36" t="s">
        <v>57</v>
      </c>
      <c r="AI178" s="36" t="s">
        <v>57</v>
      </c>
      <c r="AJ178" s="215"/>
      <c r="AK178" s="215"/>
      <c r="AL178" s="215"/>
      <c r="AM178" s="113"/>
      <c r="AN178" s="113"/>
      <c r="AO178" s="114"/>
      <c r="AP178" s="114"/>
      <c r="AQ178" s="114"/>
      <c r="AR178" s="113"/>
      <c r="AS178" s="113"/>
      <c r="AT178" s="113"/>
      <c r="AU178" s="113"/>
      <c r="AV178" s="113"/>
      <c r="AW178" s="113"/>
      <c r="AX178" s="114"/>
      <c r="AY178" s="114"/>
      <c r="AZ178" s="114"/>
      <c r="BA178" s="114"/>
      <c r="BB178" s="114"/>
      <c r="BC178" s="114"/>
      <c r="BD178" s="36" t="s">
        <v>57</v>
      </c>
      <c r="BE178" s="114"/>
      <c r="BF178" s="36" t="s">
        <v>57</v>
      </c>
      <c r="BG178" s="114"/>
      <c r="BH178" s="36" t="s">
        <v>57</v>
      </c>
      <c r="BI178" s="36" t="s">
        <v>57</v>
      </c>
      <c r="BJ178" s="114"/>
      <c r="BK178" s="113"/>
      <c r="BL178" s="114"/>
      <c r="BM178" s="113"/>
      <c r="BN178" s="114"/>
      <c r="BO178" s="114"/>
      <c r="BP178" s="113"/>
      <c r="BQ178" s="113"/>
      <c r="BR178" s="114"/>
      <c r="BS178" s="114"/>
      <c r="BT178" s="114"/>
      <c r="BU178" s="114"/>
      <c r="BV178" s="114"/>
      <c r="BW178" s="114"/>
      <c r="BX178" s="113"/>
      <c r="BY178" s="113"/>
      <c r="BZ178" s="113"/>
      <c r="CA178" s="114"/>
      <c r="CB178" s="114"/>
      <c r="CC178" s="113"/>
      <c r="CD178" s="113"/>
      <c r="CE178" s="114"/>
      <c r="CF178" s="113"/>
    </row>
    <row r="179" spans="1:84">
      <c r="A179" s="51" t="s">
        <v>935</v>
      </c>
      <c r="B179" s="51"/>
      <c r="C179" s="52"/>
      <c r="D179" s="52"/>
      <c r="E179" s="52"/>
      <c r="F179" s="52"/>
      <c r="G179" s="52"/>
      <c r="H179" s="52"/>
      <c r="I179" s="52" t="s">
        <v>8172</v>
      </c>
      <c r="J179" s="52"/>
      <c r="K179" s="52" t="s">
        <v>8172</v>
      </c>
      <c r="L179" s="52" t="s">
        <v>8172</v>
      </c>
      <c r="M179" s="52"/>
      <c r="N179" s="52" t="s">
        <v>8172</v>
      </c>
      <c r="O179" s="52"/>
      <c r="P179" s="52" t="s">
        <v>8172</v>
      </c>
      <c r="Q179" s="52" t="s">
        <v>8172</v>
      </c>
      <c r="R179" s="52"/>
      <c r="S179" s="52" t="s">
        <v>8172</v>
      </c>
      <c r="T179" s="52"/>
      <c r="U179" s="52"/>
      <c r="V179" s="84"/>
      <c r="W179" s="52"/>
      <c r="X179" s="52"/>
      <c r="Y179" s="52"/>
      <c r="Z179" s="52"/>
      <c r="AA179" s="52"/>
      <c r="AB179" s="52"/>
      <c r="AC179" s="52"/>
      <c r="AD179" s="52"/>
      <c r="AE179" s="52"/>
      <c r="AF179" s="52"/>
      <c r="AG179" s="186" t="s">
        <v>7018</v>
      </c>
      <c r="AH179" s="186" t="s">
        <v>7018</v>
      </c>
      <c r="AI179" s="186" t="s">
        <v>7018</v>
      </c>
      <c r="AJ179" s="52"/>
      <c r="AK179" s="52"/>
      <c r="AL179" s="52"/>
      <c r="AM179" s="52"/>
      <c r="AN179" s="52"/>
      <c r="AO179" s="52"/>
      <c r="AP179" s="52"/>
      <c r="AQ179" s="52"/>
      <c r="AR179" s="52"/>
      <c r="AS179" s="52"/>
      <c r="AT179" s="52"/>
      <c r="AU179" s="52"/>
      <c r="AV179" s="52"/>
      <c r="AW179" s="52"/>
      <c r="AX179" s="52"/>
      <c r="AY179" s="52"/>
      <c r="AZ179" s="52"/>
      <c r="BA179" s="52"/>
      <c r="BB179" s="52"/>
      <c r="BC179" s="52"/>
      <c r="BD179" s="52" t="s">
        <v>7618</v>
      </c>
      <c r="BE179" s="84"/>
      <c r="BF179" s="52" t="s">
        <v>7618</v>
      </c>
      <c r="BG179" s="52"/>
      <c r="BH179" s="52" t="s">
        <v>7618</v>
      </c>
      <c r="BI179" s="52" t="s">
        <v>7618</v>
      </c>
      <c r="BJ179" s="52"/>
      <c r="BK179" s="52"/>
      <c r="BL179" s="52"/>
      <c r="BM179" s="52"/>
      <c r="BN179" s="52"/>
      <c r="BO179" s="52"/>
      <c r="BP179" s="52"/>
      <c r="BQ179" s="52"/>
      <c r="BR179" s="52"/>
      <c r="BS179" s="52"/>
      <c r="BT179" s="52"/>
      <c r="BU179" s="84"/>
      <c r="BV179" s="84"/>
      <c r="BW179" s="52"/>
      <c r="BX179" s="52"/>
      <c r="BY179" s="52"/>
      <c r="BZ179" s="52"/>
      <c r="CA179" s="52"/>
      <c r="CB179" s="52"/>
      <c r="CC179" s="52"/>
      <c r="CD179" s="52"/>
      <c r="CE179" s="52"/>
      <c r="CF179" s="52"/>
    </row>
    <row r="180" spans="1:84" ht="36">
      <c r="A180" s="82" t="s">
        <v>8919</v>
      </c>
      <c r="B180" s="200" t="s">
        <v>6790</v>
      </c>
      <c r="C180" s="113"/>
      <c r="D180" s="113"/>
      <c r="E180" s="113"/>
      <c r="F180" s="113"/>
      <c r="G180" s="113"/>
      <c r="H180" s="113"/>
      <c r="I180" s="36" t="s">
        <v>57</v>
      </c>
      <c r="J180" s="113"/>
      <c r="K180" s="36" t="s">
        <v>57</v>
      </c>
      <c r="L180" s="36" t="s">
        <v>57</v>
      </c>
      <c r="M180" s="113"/>
      <c r="N180" s="36" t="s">
        <v>57</v>
      </c>
      <c r="O180" s="114"/>
      <c r="P180" s="36" t="s">
        <v>57</v>
      </c>
      <c r="Q180" s="36" t="s">
        <v>57</v>
      </c>
      <c r="R180" s="113"/>
      <c r="S180" s="36" t="s">
        <v>57</v>
      </c>
      <c r="T180" s="113"/>
      <c r="U180" s="113"/>
      <c r="V180" s="221"/>
      <c r="W180" s="113"/>
      <c r="X180" s="113"/>
      <c r="Y180" s="113"/>
      <c r="Z180" s="113"/>
      <c r="AA180" s="113"/>
      <c r="AB180" s="114"/>
      <c r="AC180" s="114"/>
      <c r="AD180" s="113"/>
      <c r="AE180" s="215"/>
      <c r="AF180" s="215"/>
      <c r="AG180" s="36" t="s">
        <v>57</v>
      </c>
      <c r="AH180" s="36" t="s">
        <v>57</v>
      </c>
      <c r="AI180" s="36" t="s">
        <v>57</v>
      </c>
      <c r="AJ180" s="215"/>
      <c r="AK180" s="215"/>
      <c r="AL180" s="215"/>
      <c r="AM180" s="113"/>
      <c r="AN180" s="113"/>
      <c r="AO180" s="114"/>
      <c r="AP180" s="114"/>
      <c r="AQ180" s="114"/>
      <c r="AR180" s="113"/>
      <c r="AS180" s="113"/>
      <c r="AT180" s="113"/>
      <c r="AU180" s="113"/>
      <c r="AV180" s="113"/>
      <c r="AW180" s="113"/>
      <c r="AX180" s="114"/>
      <c r="AY180" s="114"/>
      <c r="AZ180" s="114"/>
      <c r="BA180" s="114"/>
      <c r="BB180" s="114"/>
      <c r="BC180" s="114"/>
      <c r="BD180" s="36" t="s">
        <v>57</v>
      </c>
      <c r="BE180" s="114"/>
      <c r="BF180" s="36" t="s">
        <v>57</v>
      </c>
      <c r="BG180" s="114"/>
      <c r="BH180" s="36" t="s">
        <v>57</v>
      </c>
      <c r="BI180" s="36" t="s">
        <v>57</v>
      </c>
      <c r="BJ180" s="114"/>
      <c r="BK180" s="113"/>
      <c r="BL180" s="114"/>
      <c r="BM180" s="113"/>
      <c r="BN180" s="114"/>
      <c r="BO180" s="114"/>
      <c r="BP180" s="113"/>
      <c r="BQ180" s="113"/>
      <c r="BR180" s="114"/>
      <c r="BS180" s="114"/>
      <c r="BT180" s="114"/>
      <c r="BU180" s="114"/>
      <c r="BV180" s="114"/>
      <c r="BW180" s="114"/>
      <c r="BX180" s="113"/>
      <c r="BY180" s="113"/>
      <c r="BZ180" s="113"/>
      <c r="CA180" s="114"/>
      <c r="CB180" s="114"/>
      <c r="CC180" s="113"/>
      <c r="CD180" s="113"/>
      <c r="CE180" s="114"/>
      <c r="CF180" s="113"/>
    </row>
    <row r="181" spans="1:84">
      <c r="A181" s="51" t="s">
        <v>935</v>
      </c>
      <c r="B181" s="51"/>
      <c r="C181" s="52"/>
      <c r="D181" s="52"/>
      <c r="E181" s="52"/>
      <c r="F181" s="52"/>
      <c r="G181" s="52"/>
      <c r="H181" s="52"/>
      <c r="I181" s="52" t="s">
        <v>8176</v>
      </c>
      <c r="J181" s="52"/>
      <c r="K181" s="52" t="s">
        <v>8176</v>
      </c>
      <c r="L181" s="52" t="s">
        <v>8176</v>
      </c>
      <c r="M181" s="52"/>
      <c r="N181" s="52" t="s">
        <v>8176</v>
      </c>
      <c r="O181" s="52"/>
      <c r="P181" s="52" t="s">
        <v>8176</v>
      </c>
      <c r="Q181" s="52" t="s">
        <v>8176</v>
      </c>
      <c r="R181" s="52"/>
      <c r="S181" s="52" t="s">
        <v>8176</v>
      </c>
      <c r="T181" s="52"/>
      <c r="U181" s="52"/>
      <c r="V181" s="84"/>
      <c r="W181" s="52"/>
      <c r="X181" s="52"/>
      <c r="Y181" s="52"/>
      <c r="Z181" s="52"/>
      <c r="AA181" s="52"/>
      <c r="AB181" s="52"/>
      <c r="AC181" s="52"/>
      <c r="AD181" s="52"/>
      <c r="AE181" s="52"/>
      <c r="AF181" s="52"/>
      <c r="AG181" s="186" t="s">
        <v>7019</v>
      </c>
      <c r="AH181" s="186" t="s">
        <v>7019</v>
      </c>
      <c r="AI181" s="186" t="s">
        <v>7019</v>
      </c>
      <c r="AJ181" s="52"/>
      <c r="AK181" s="52"/>
      <c r="AL181" s="52"/>
      <c r="AM181" s="52"/>
      <c r="AN181" s="52"/>
      <c r="AO181" s="52"/>
      <c r="AP181" s="52"/>
      <c r="AQ181" s="52"/>
      <c r="AR181" s="52"/>
      <c r="AS181" s="52"/>
      <c r="AT181" s="52"/>
      <c r="AU181" s="52"/>
      <c r="AV181" s="52"/>
      <c r="AW181" s="52"/>
      <c r="AX181" s="52"/>
      <c r="AY181" s="52"/>
      <c r="AZ181" s="52"/>
      <c r="BA181" s="52"/>
      <c r="BB181" s="52"/>
      <c r="BC181" s="52"/>
      <c r="BD181" s="52" t="s">
        <v>7619</v>
      </c>
      <c r="BE181" s="84"/>
      <c r="BF181" s="52" t="s">
        <v>7619</v>
      </c>
      <c r="BG181" s="52"/>
      <c r="BH181" s="52" t="s">
        <v>7619</v>
      </c>
      <c r="BI181" s="52" t="s">
        <v>7619</v>
      </c>
      <c r="BJ181" s="52"/>
      <c r="BK181" s="52"/>
      <c r="BL181" s="52"/>
      <c r="BM181" s="52"/>
      <c r="BN181" s="52"/>
      <c r="BO181" s="52"/>
      <c r="BP181" s="52"/>
      <c r="BQ181" s="52"/>
      <c r="BR181" s="52"/>
      <c r="BS181" s="52"/>
      <c r="BT181" s="52"/>
      <c r="BU181" s="84"/>
      <c r="BV181" s="84"/>
      <c r="BW181" s="52"/>
      <c r="BX181" s="52"/>
      <c r="BY181" s="52"/>
      <c r="BZ181" s="52"/>
      <c r="CA181" s="52"/>
      <c r="CB181" s="52"/>
      <c r="CC181" s="52"/>
      <c r="CD181" s="52"/>
      <c r="CE181" s="52"/>
      <c r="CF181" s="52"/>
    </row>
    <row r="182" spans="1:84" ht="18">
      <c r="A182" s="81" t="s">
        <v>6788</v>
      </c>
      <c r="B182" s="200" t="s">
        <v>6789</v>
      </c>
      <c r="C182" s="113"/>
      <c r="D182" s="114"/>
      <c r="E182" s="114"/>
      <c r="F182" s="114"/>
      <c r="G182" s="113"/>
      <c r="H182" s="113"/>
      <c r="I182" s="36" t="s">
        <v>57</v>
      </c>
      <c r="J182" s="113"/>
      <c r="K182" s="36" t="s">
        <v>57</v>
      </c>
      <c r="L182" s="36" t="s">
        <v>57</v>
      </c>
      <c r="M182" s="114"/>
      <c r="N182" s="36" t="s">
        <v>57</v>
      </c>
      <c r="O182" s="114"/>
      <c r="P182" s="36" t="s">
        <v>57</v>
      </c>
      <c r="Q182" s="36" t="s">
        <v>57</v>
      </c>
      <c r="R182" s="114"/>
      <c r="S182" s="36" t="s">
        <v>57</v>
      </c>
      <c r="T182" s="114"/>
      <c r="U182" s="114"/>
      <c r="V182" s="221"/>
      <c r="W182" s="113"/>
      <c r="X182" s="114"/>
      <c r="Y182" s="113"/>
      <c r="Z182" s="113"/>
      <c r="AA182" s="113"/>
      <c r="AB182" s="114"/>
      <c r="AC182" s="114"/>
      <c r="AD182" s="114"/>
      <c r="AE182" s="215"/>
      <c r="AF182" s="114"/>
      <c r="AG182" s="36" t="s">
        <v>57</v>
      </c>
      <c r="AH182" s="36" t="s">
        <v>57</v>
      </c>
      <c r="AI182" s="36" t="s">
        <v>57</v>
      </c>
      <c r="AJ182" s="215"/>
      <c r="AK182" s="215"/>
      <c r="AL182" s="226"/>
      <c r="AM182" s="113"/>
      <c r="AN182" s="114"/>
      <c r="AO182" s="113"/>
      <c r="AP182" s="113"/>
      <c r="AQ182" s="113"/>
      <c r="AR182" s="114"/>
      <c r="AS182" s="114"/>
      <c r="AT182" s="114"/>
      <c r="AU182" s="114"/>
      <c r="AV182" s="114"/>
      <c r="AW182" s="114"/>
      <c r="AX182" s="114"/>
      <c r="AY182" s="113"/>
      <c r="AZ182" s="114"/>
      <c r="BA182" s="215"/>
      <c r="BB182" s="215"/>
      <c r="BC182" s="114"/>
      <c r="BD182" s="36" t="s">
        <v>57</v>
      </c>
      <c r="BE182" s="114"/>
      <c r="BF182" s="36" t="s">
        <v>57</v>
      </c>
      <c r="BG182" s="114"/>
      <c r="BH182" s="36" t="s">
        <v>57</v>
      </c>
      <c r="BI182" s="36" t="s">
        <v>57</v>
      </c>
      <c r="BJ182" s="114"/>
      <c r="BK182" s="114"/>
      <c r="BL182" s="114"/>
      <c r="BM182" s="113"/>
      <c r="BN182" s="114"/>
      <c r="BO182" s="114"/>
      <c r="BP182" s="114"/>
      <c r="BQ182" s="114"/>
      <c r="BR182" s="113"/>
      <c r="BS182" s="113"/>
      <c r="BT182" s="113"/>
      <c r="BU182" s="114"/>
      <c r="BV182" s="114"/>
      <c r="BW182" s="113"/>
      <c r="BX182" s="114"/>
      <c r="BY182" s="113"/>
      <c r="BZ182" s="114"/>
      <c r="CA182" s="113"/>
      <c r="CB182" s="113"/>
      <c r="CC182" s="114"/>
      <c r="CD182" s="114"/>
      <c r="CE182" s="113"/>
      <c r="CF182" s="114"/>
    </row>
    <row r="183" spans="1:84">
      <c r="A183" s="51" t="s">
        <v>935</v>
      </c>
      <c r="B183" s="51"/>
      <c r="C183" s="52" t="s">
        <v>0</v>
      </c>
      <c r="D183" s="52" t="s">
        <v>5186</v>
      </c>
      <c r="E183" s="52" t="s">
        <v>0</v>
      </c>
      <c r="F183" s="52" t="s">
        <v>2770</v>
      </c>
      <c r="G183" s="52" t="s">
        <v>3308</v>
      </c>
      <c r="H183" s="52" t="s">
        <v>3308</v>
      </c>
      <c r="I183" s="52" t="s">
        <v>8173</v>
      </c>
      <c r="J183" s="52" t="s">
        <v>0</v>
      </c>
      <c r="K183" s="52" t="s">
        <v>8173</v>
      </c>
      <c r="L183" s="52" t="s">
        <v>8173</v>
      </c>
      <c r="M183" s="52" t="s">
        <v>1518</v>
      </c>
      <c r="N183" s="52" t="s">
        <v>8173</v>
      </c>
      <c r="O183" s="52" t="s">
        <v>3363</v>
      </c>
      <c r="P183" s="52" t="s">
        <v>8173</v>
      </c>
      <c r="Q183" s="52" t="s">
        <v>8173</v>
      </c>
      <c r="R183" s="52" t="s">
        <v>3413</v>
      </c>
      <c r="S183" s="52" t="s">
        <v>8173</v>
      </c>
      <c r="T183" s="52" t="s">
        <v>5611</v>
      </c>
      <c r="U183" s="52" t="s">
        <v>5611</v>
      </c>
      <c r="V183" s="84"/>
      <c r="W183" s="52" t="s">
        <v>4156</v>
      </c>
      <c r="X183" s="52" t="s">
        <v>6469</v>
      </c>
      <c r="Y183" s="52" t="s">
        <v>2390</v>
      </c>
      <c r="Z183" s="52" t="s">
        <v>2390</v>
      </c>
      <c r="AA183" s="52" t="s">
        <v>2390</v>
      </c>
      <c r="AB183" s="52" t="s">
        <v>4810</v>
      </c>
      <c r="AC183" s="52" t="s">
        <v>4811</v>
      </c>
      <c r="AD183" s="52" t="s">
        <v>4807</v>
      </c>
      <c r="AE183" s="52" t="s">
        <v>0</v>
      </c>
      <c r="AF183" s="52" t="s">
        <v>5977</v>
      </c>
      <c r="AG183" s="186" t="s">
        <v>7020</v>
      </c>
      <c r="AH183" s="186" t="s">
        <v>7020</v>
      </c>
      <c r="AI183" s="186" t="s">
        <v>7020</v>
      </c>
      <c r="AJ183" s="52" t="s">
        <v>6114</v>
      </c>
      <c r="AK183" s="52" t="s">
        <v>0</v>
      </c>
      <c r="AL183" s="52" t="s">
        <v>1876</v>
      </c>
      <c r="AM183" s="52" t="s">
        <v>0</v>
      </c>
      <c r="AN183" s="52" t="s">
        <v>5372</v>
      </c>
      <c r="AO183" s="52" t="s">
        <v>4255</v>
      </c>
      <c r="AP183" s="52" t="s">
        <v>0</v>
      </c>
      <c r="AQ183" s="52" t="s">
        <v>1025</v>
      </c>
      <c r="AR183" s="52"/>
      <c r="AS183" s="52" t="s">
        <v>1025</v>
      </c>
      <c r="AT183" s="52" t="s">
        <v>1025</v>
      </c>
      <c r="AU183" s="52" t="s">
        <v>1025</v>
      </c>
      <c r="AV183" s="52" t="s">
        <v>4364</v>
      </c>
      <c r="AW183" s="52" t="s">
        <v>4364</v>
      </c>
      <c r="AX183" s="52" t="s">
        <v>1025</v>
      </c>
      <c r="AY183" s="52" t="s">
        <v>1343</v>
      </c>
      <c r="AZ183" s="52" t="s">
        <v>3723</v>
      </c>
      <c r="BA183" s="52" t="s">
        <v>4530</v>
      </c>
      <c r="BB183" s="52" t="s">
        <v>3536</v>
      </c>
      <c r="BC183" s="52" t="s">
        <v>4852</v>
      </c>
      <c r="BD183" s="52" t="s">
        <v>7620</v>
      </c>
      <c r="BE183" s="52" t="s">
        <v>4886</v>
      </c>
      <c r="BF183" s="52" t="s">
        <v>7620</v>
      </c>
      <c r="BG183" s="52" t="s">
        <v>4852</v>
      </c>
      <c r="BH183" s="52" t="s">
        <v>7620</v>
      </c>
      <c r="BI183" s="52" t="s">
        <v>7620</v>
      </c>
      <c r="BJ183" s="52" t="s">
        <v>4886</v>
      </c>
      <c r="BK183" s="52"/>
      <c r="BL183" s="52"/>
      <c r="BM183" s="52" t="s">
        <v>0</v>
      </c>
      <c r="BN183" s="52" t="s">
        <v>3880</v>
      </c>
      <c r="BO183" s="52"/>
      <c r="BP183" s="52" t="s">
        <v>2247</v>
      </c>
      <c r="BQ183" s="52" t="s">
        <v>2280</v>
      </c>
      <c r="BR183" s="52" t="s">
        <v>2707</v>
      </c>
      <c r="BS183" s="52" t="s">
        <v>2707</v>
      </c>
      <c r="BT183" s="52" t="s">
        <v>2707</v>
      </c>
      <c r="BU183" s="84" t="s">
        <v>2833</v>
      </c>
      <c r="BV183" s="84"/>
      <c r="BW183" s="52"/>
      <c r="BX183" s="52" t="s">
        <v>0</v>
      </c>
      <c r="BY183" s="52" t="s">
        <v>3786</v>
      </c>
      <c r="BZ183" s="52" t="s">
        <v>6238</v>
      </c>
      <c r="CA183" s="52" t="s">
        <v>3109</v>
      </c>
      <c r="CB183" s="52" t="s">
        <v>3109</v>
      </c>
      <c r="CC183" s="52"/>
      <c r="CD183" s="52"/>
      <c r="CE183" s="52" t="s">
        <v>3248</v>
      </c>
      <c r="CF183" s="52" t="s">
        <v>2211</v>
      </c>
    </row>
    <row r="184" spans="1:84" ht="36">
      <c r="A184" s="82" t="s">
        <v>6799</v>
      </c>
      <c r="B184" s="200" t="s">
        <v>6792</v>
      </c>
      <c r="C184" s="113"/>
      <c r="D184" s="113"/>
      <c r="E184" s="113"/>
      <c r="F184" s="113"/>
      <c r="G184" s="113"/>
      <c r="H184" s="113"/>
      <c r="I184" s="36" t="s">
        <v>57</v>
      </c>
      <c r="J184" s="113"/>
      <c r="K184" s="36" t="s">
        <v>57</v>
      </c>
      <c r="L184" s="36" t="s">
        <v>57</v>
      </c>
      <c r="M184" s="113"/>
      <c r="N184" s="36" t="s">
        <v>57</v>
      </c>
      <c r="O184" s="114"/>
      <c r="P184" s="36" t="s">
        <v>57</v>
      </c>
      <c r="Q184" s="36" t="s">
        <v>57</v>
      </c>
      <c r="R184" s="113"/>
      <c r="S184" s="36" t="s">
        <v>57</v>
      </c>
      <c r="T184" s="113"/>
      <c r="U184" s="113"/>
      <c r="V184" s="221"/>
      <c r="W184" s="113"/>
      <c r="X184" s="113"/>
      <c r="Y184" s="113"/>
      <c r="Z184" s="113"/>
      <c r="AA184" s="113"/>
      <c r="AB184" s="114"/>
      <c r="AC184" s="114"/>
      <c r="AD184" s="113"/>
      <c r="AE184" s="215"/>
      <c r="AF184" s="215"/>
      <c r="AG184" s="36" t="s">
        <v>57</v>
      </c>
      <c r="AH184" s="36" t="s">
        <v>57</v>
      </c>
      <c r="AI184" s="36" t="s">
        <v>57</v>
      </c>
      <c r="AJ184" s="215"/>
      <c r="AK184" s="215"/>
      <c r="AL184" s="215"/>
      <c r="AM184" s="113"/>
      <c r="AN184" s="113"/>
      <c r="AO184" s="114"/>
      <c r="AP184" s="114"/>
      <c r="AQ184" s="114"/>
      <c r="AR184" s="113"/>
      <c r="AS184" s="113"/>
      <c r="AT184" s="113"/>
      <c r="AU184" s="113"/>
      <c r="AV184" s="113"/>
      <c r="AW184" s="113"/>
      <c r="AX184" s="114"/>
      <c r="AY184" s="114"/>
      <c r="AZ184" s="114"/>
      <c r="BA184" s="114"/>
      <c r="BB184" s="114"/>
      <c r="BC184" s="114"/>
      <c r="BD184" s="36" t="s">
        <v>57</v>
      </c>
      <c r="BE184" s="114"/>
      <c r="BF184" s="36" t="s">
        <v>57</v>
      </c>
      <c r="BG184" s="114"/>
      <c r="BH184" s="36" t="s">
        <v>57</v>
      </c>
      <c r="BI184" s="36" t="s">
        <v>57</v>
      </c>
      <c r="BJ184" s="114"/>
      <c r="BK184" s="113"/>
      <c r="BL184" s="114"/>
      <c r="BM184" s="113"/>
      <c r="BN184" s="114"/>
      <c r="BO184" s="114"/>
      <c r="BP184" s="113"/>
      <c r="BQ184" s="113"/>
      <c r="BR184" s="114"/>
      <c r="BS184" s="114"/>
      <c r="BT184" s="114"/>
      <c r="BU184" s="114"/>
      <c r="BV184" s="114"/>
      <c r="BW184" s="114"/>
      <c r="BX184" s="113"/>
      <c r="BY184" s="113"/>
      <c r="BZ184" s="113"/>
      <c r="CA184" s="114"/>
      <c r="CB184" s="114"/>
      <c r="CC184" s="113"/>
      <c r="CD184" s="113"/>
      <c r="CE184" s="114"/>
      <c r="CF184" s="113"/>
    </row>
    <row r="185" spans="1:84">
      <c r="A185" s="51" t="s">
        <v>935</v>
      </c>
      <c r="B185" s="51"/>
      <c r="C185" s="52"/>
      <c r="D185" s="52"/>
      <c r="E185" s="52"/>
      <c r="F185" s="52"/>
      <c r="G185" s="52"/>
      <c r="H185" s="52"/>
      <c r="I185" s="52" t="s">
        <v>8175</v>
      </c>
      <c r="J185" s="52"/>
      <c r="K185" s="52" t="s">
        <v>8175</v>
      </c>
      <c r="L185" s="52" t="s">
        <v>8175</v>
      </c>
      <c r="M185" s="52"/>
      <c r="N185" s="52" t="s">
        <v>8175</v>
      </c>
      <c r="O185" s="52"/>
      <c r="P185" s="52" t="s">
        <v>8175</v>
      </c>
      <c r="Q185" s="52" t="s">
        <v>8175</v>
      </c>
      <c r="R185" s="52"/>
      <c r="S185" s="52" t="s">
        <v>8175</v>
      </c>
      <c r="T185" s="52"/>
      <c r="U185" s="52"/>
      <c r="V185" s="84"/>
      <c r="W185" s="52"/>
      <c r="X185" s="52"/>
      <c r="Y185" s="52"/>
      <c r="Z185" s="52"/>
      <c r="AA185" s="52"/>
      <c r="AB185" s="52"/>
      <c r="AC185" s="52"/>
      <c r="AD185" s="52"/>
      <c r="AE185" s="52"/>
      <c r="AF185" s="52"/>
      <c r="AG185" s="186" t="s">
        <v>7021</v>
      </c>
      <c r="AH185" s="186" t="s">
        <v>7021</v>
      </c>
      <c r="AI185" s="186" t="s">
        <v>7021</v>
      </c>
      <c r="AJ185" s="52"/>
      <c r="AK185" s="52"/>
      <c r="AL185" s="52"/>
      <c r="AM185" s="52"/>
      <c r="AN185" s="52"/>
      <c r="AO185" s="52"/>
      <c r="AP185" s="52"/>
      <c r="AQ185" s="52"/>
      <c r="AR185" s="52"/>
      <c r="AS185" s="52"/>
      <c r="AT185" s="52"/>
      <c r="AU185" s="52"/>
      <c r="AV185" s="52"/>
      <c r="AW185" s="52"/>
      <c r="AX185" s="52"/>
      <c r="AY185" s="52"/>
      <c r="AZ185" s="52"/>
      <c r="BA185" s="52"/>
      <c r="BB185" s="52"/>
      <c r="BC185" s="52"/>
      <c r="BD185" s="52" t="s">
        <v>7623</v>
      </c>
      <c r="BE185" s="84"/>
      <c r="BF185" s="52" t="s">
        <v>7623</v>
      </c>
      <c r="BG185" s="52"/>
      <c r="BH185" s="52" t="s">
        <v>7623</v>
      </c>
      <c r="BI185" s="52" t="s">
        <v>7623</v>
      </c>
      <c r="BJ185" s="52"/>
      <c r="BK185" s="52"/>
      <c r="BL185" s="52"/>
      <c r="BM185" s="52"/>
      <c r="BN185" s="52"/>
      <c r="BO185" s="52"/>
      <c r="BP185" s="52"/>
      <c r="BQ185" s="52"/>
      <c r="BR185" s="52"/>
      <c r="BS185" s="52"/>
      <c r="BT185" s="52"/>
      <c r="BU185" s="84"/>
      <c r="BV185" s="84"/>
      <c r="BW185" s="52"/>
      <c r="BX185" s="52"/>
      <c r="BY185" s="52"/>
      <c r="BZ185" s="52"/>
      <c r="CA185" s="52"/>
      <c r="CB185" s="52"/>
      <c r="CC185" s="52"/>
      <c r="CD185" s="52"/>
      <c r="CE185" s="52"/>
      <c r="CF185" s="52"/>
    </row>
    <row r="186" spans="1:84" ht="45">
      <c r="A186" s="82" t="s">
        <v>6800</v>
      </c>
      <c r="B186" s="200" t="s">
        <v>6793</v>
      </c>
      <c r="C186" s="113"/>
      <c r="D186" s="113"/>
      <c r="E186" s="113"/>
      <c r="F186" s="113"/>
      <c r="G186" s="113"/>
      <c r="H186" s="113"/>
      <c r="I186" s="36" t="s">
        <v>57</v>
      </c>
      <c r="J186" s="113"/>
      <c r="K186" s="36" t="s">
        <v>57</v>
      </c>
      <c r="L186" s="36" t="s">
        <v>57</v>
      </c>
      <c r="M186" s="113"/>
      <c r="N186" s="36" t="s">
        <v>57</v>
      </c>
      <c r="O186" s="114"/>
      <c r="P186" s="36" t="s">
        <v>57</v>
      </c>
      <c r="Q186" s="36" t="s">
        <v>57</v>
      </c>
      <c r="R186" s="113"/>
      <c r="S186" s="36" t="s">
        <v>57</v>
      </c>
      <c r="T186" s="113"/>
      <c r="U186" s="113"/>
      <c r="V186" s="221"/>
      <c r="W186" s="113"/>
      <c r="X186" s="113"/>
      <c r="Y186" s="113"/>
      <c r="Z186" s="113"/>
      <c r="AA186" s="113"/>
      <c r="AB186" s="114"/>
      <c r="AC186" s="114"/>
      <c r="AD186" s="113"/>
      <c r="AE186" s="215"/>
      <c r="AF186" s="215"/>
      <c r="AG186" s="36" t="s">
        <v>57</v>
      </c>
      <c r="AH186" s="36" t="s">
        <v>57</v>
      </c>
      <c r="AI186" s="36" t="s">
        <v>57</v>
      </c>
      <c r="AJ186" s="215"/>
      <c r="AK186" s="215"/>
      <c r="AL186" s="215"/>
      <c r="AM186" s="113"/>
      <c r="AN186" s="113"/>
      <c r="AO186" s="114"/>
      <c r="AP186" s="114"/>
      <c r="AQ186" s="114"/>
      <c r="AR186" s="113"/>
      <c r="AS186" s="113"/>
      <c r="AT186" s="113"/>
      <c r="AU186" s="113"/>
      <c r="AV186" s="113"/>
      <c r="AW186" s="113"/>
      <c r="AX186" s="114"/>
      <c r="AY186" s="114"/>
      <c r="AZ186" s="114"/>
      <c r="BA186" s="114"/>
      <c r="BB186" s="114"/>
      <c r="BC186" s="114"/>
      <c r="BD186" s="36" t="s">
        <v>57</v>
      </c>
      <c r="BE186" s="114"/>
      <c r="BF186" s="36" t="s">
        <v>57</v>
      </c>
      <c r="BG186" s="114"/>
      <c r="BH186" s="36" t="s">
        <v>57</v>
      </c>
      <c r="BI186" s="36" t="s">
        <v>57</v>
      </c>
      <c r="BJ186" s="114"/>
      <c r="BK186" s="113"/>
      <c r="BL186" s="114"/>
      <c r="BM186" s="113"/>
      <c r="BN186" s="114"/>
      <c r="BO186" s="114"/>
      <c r="BP186" s="113"/>
      <c r="BQ186" s="113"/>
      <c r="BR186" s="114"/>
      <c r="BS186" s="114"/>
      <c r="BT186" s="114"/>
      <c r="BU186" s="114"/>
      <c r="BV186" s="114"/>
      <c r="BW186" s="114"/>
      <c r="BX186" s="113"/>
      <c r="BY186" s="113"/>
      <c r="BZ186" s="113"/>
      <c r="CA186" s="114"/>
      <c r="CB186" s="114"/>
      <c r="CC186" s="113"/>
      <c r="CD186" s="113"/>
      <c r="CE186" s="114"/>
      <c r="CF186" s="113"/>
    </row>
    <row r="187" spans="1:84">
      <c r="A187" s="51" t="s">
        <v>935</v>
      </c>
      <c r="B187" s="51"/>
      <c r="C187" s="52"/>
      <c r="D187" s="52"/>
      <c r="E187" s="52"/>
      <c r="F187" s="52"/>
      <c r="G187" s="52"/>
      <c r="H187" s="52"/>
      <c r="I187" s="52" t="s">
        <v>8177</v>
      </c>
      <c r="J187" s="52"/>
      <c r="K187" s="52" t="s">
        <v>8177</v>
      </c>
      <c r="L187" s="52" t="s">
        <v>8177</v>
      </c>
      <c r="M187" s="52"/>
      <c r="N187" s="52" t="s">
        <v>8177</v>
      </c>
      <c r="O187" s="52"/>
      <c r="P187" s="52" t="s">
        <v>8177</v>
      </c>
      <c r="Q187" s="52" t="s">
        <v>8177</v>
      </c>
      <c r="R187" s="52"/>
      <c r="S187" s="52" t="s">
        <v>8177</v>
      </c>
      <c r="T187" s="52"/>
      <c r="U187" s="52"/>
      <c r="V187" s="84"/>
      <c r="W187" s="52"/>
      <c r="X187" s="52"/>
      <c r="Y187" s="52"/>
      <c r="Z187" s="52"/>
      <c r="AA187" s="52"/>
      <c r="AB187" s="52"/>
      <c r="AC187" s="52"/>
      <c r="AD187" s="52"/>
      <c r="AE187" s="52"/>
      <c r="AF187" s="52"/>
      <c r="AG187" s="186" t="s">
        <v>7022</v>
      </c>
      <c r="AH187" s="186" t="s">
        <v>7022</v>
      </c>
      <c r="AI187" s="186" t="s">
        <v>7022</v>
      </c>
      <c r="AJ187" s="52"/>
      <c r="AK187" s="52"/>
      <c r="AL187" s="52"/>
      <c r="AM187" s="52"/>
      <c r="AN187" s="52"/>
      <c r="AO187" s="52"/>
      <c r="AP187" s="52"/>
      <c r="AQ187" s="52"/>
      <c r="AR187" s="52"/>
      <c r="AS187" s="52"/>
      <c r="AT187" s="52"/>
      <c r="AU187" s="52"/>
      <c r="AV187" s="52"/>
      <c r="AW187" s="52"/>
      <c r="AX187" s="52"/>
      <c r="AY187" s="52"/>
      <c r="AZ187" s="52"/>
      <c r="BA187" s="52"/>
      <c r="BB187" s="52"/>
      <c r="BC187" s="52"/>
      <c r="BD187" s="52" t="s">
        <v>7627</v>
      </c>
      <c r="BE187" s="84"/>
      <c r="BF187" s="52" t="s">
        <v>7627</v>
      </c>
      <c r="BG187" s="52"/>
      <c r="BH187" s="52" t="s">
        <v>7627</v>
      </c>
      <c r="BI187" s="52" t="s">
        <v>7627</v>
      </c>
      <c r="BJ187" s="52"/>
      <c r="BK187" s="52"/>
      <c r="BL187" s="52"/>
      <c r="BM187" s="52"/>
      <c r="BN187" s="52"/>
      <c r="BO187" s="52"/>
      <c r="BP187" s="52"/>
      <c r="BQ187" s="52"/>
      <c r="BR187" s="52"/>
      <c r="BS187" s="52"/>
      <c r="BT187" s="52"/>
      <c r="BU187" s="84"/>
      <c r="BV187" s="84"/>
      <c r="BW187" s="52"/>
      <c r="BX187" s="52"/>
      <c r="BY187" s="52"/>
      <c r="BZ187" s="52"/>
      <c r="CA187" s="52"/>
      <c r="CB187" s="52"/>
      <c r="CC187" s="52"/>
      <c r="CD187" s="52"/>
      <c r="CE187" s="52"/>
      <c r="CF187" s="52"/>
    </row>
    <row r="188" spans="1:84" ht="36">
      <c r="A188" s="82" t="s">
        <v>7622</v>
      </c>
      <c r="B188" s="200" t="s">
        <v>6794</v>
      </c>
      <c r="C188" s="113"/>
      <c r="D188" s="113"/>
      <c r="E188" s="113"/>
      <c r="F188" s="113"/>
      <c r="G188" s="113"/>
      <c r="H188" s="113"/>
      <c r="I188" s="36" t="s">
        <v>57</v>
      </c>
      <c r="J188" s="113"/>
      <c r="K188" s="36" t="s">
        <v>57</v>
      </c>
      <c r="L188" s="36" t="s">
        <v>57</v>
      </c>
      <c r="M188" s="113"/>
      <c r="N188" s="36" t="s">
        <v>57</v>
      </c>
      <c r="O188" s="114"/>
      <c r="P188" s="36" t="s">
        <v>57</v>
      </c>
      <c r="Q188" s="36" t="s">
        <v>57</v>
      </c>
      <c r="R188" s="113"/>
      <c r="S188" s="36" t="s">
        <v>57</v>
      </c>
      <c r="T188" s="113"/>
      <c r="U188" s="113"/>
      <c r="V188" s="221"/>
      <c r="W188" s="113"/>
      <c r="X188" s="113"/>
      <c r="Y188" s="113"/>
      <c r="Z188" s="113"/>
      <c r="AA188" s="113"/>
      <c r="AB188" s="114"/>
      <c r="AC188" s="114"/>
      <c r="AD188" s="113"/>
      <c r="AE188" s="215"/>
      <c r="AF188" s="215"/>
      <c r="AG188" s="36" t="s">
        <v>57</v>
      </c>
      <c r="AH188" s="36" t="s">
        <v>57</v>
      </c>
      <c r="AI188" s="36" t="s">
        <v>57</v>
      </c>
      <c r="AJ188" s="215"/>
      <c r="AK188" s="215"/>
      <c r="AL188" s="215"/>
      <c r="AM188" s="113"/>
      <c r="AN188" s="113"/>
      <c r="AO188" s="114"/>
      <c r="AP188" s="114"/>
      <c r="AQ188" s="114"/>
      <c r="AR188" s="113"/>
      <c r="AS188" s="113"/>
      <c r="AT188" s="113"/>
      <c r="AU188" s="113"/>
      <c r="AV188" s="113"/>
      <c r="AW188" s="113"/>
      <c r="AX188" s="114"/>
      <c r="AY188" s="114"/>
      <c r="AZ188" s="114"/>
      <c r="BA188" s="114"/>
      <c r="BB188" s="114"/>
      <c r="BC188" s="114"/>
      <c r="BD188" s="36" t="s">
        <v>57</v>
      </c>
      <c r="BE188" s="114"/>
      <c r="BF188" s="36" t="s">
        <v>57</v>
      </c>
      <c r="BG188" s="114"/>
      <c r="BH188" s="36" t="s">
        <v>57</v>
      </c>
      <c r="BI188" s="36" t="s">
        <v>57</v>
      </c>
      <c r="BJ188" s="114"/>
      <c r="BK188" s="113"/>
      <c r="BL188" s="114"/>
      <c r="BM188" s="113"/>
      <c r="BN188" s="114"/>
      <c r="BO188" s="114"/>
      <c r="BP188" s="113"/>
      <c r="BQ188" s="113"/>
      <c r="BR188" s="114"/>
      <c r="BS188" s="114"/>
      <c r="BT188" s="114"/>
      <c r="BU188" s="114"/>
      <c r="BV188" s="114"/>
      <c r="BW188" s="114"/>
      <c r="BX188" s="113"/>
      <c r="BY188" s="113"/>
      <c r="BZ188" s="113"/>
      <c r="CA188" s="114"/>
      <c r="CB188" s="114"/>
      <c r="CC188" s="113"/>
      <c r="CD188" s="113"/>
      <c r="CE188" s="114"/>
      <c r="CF188" s="113"/>
    </row>
    <row r="189" spans="1:84">
      <c r="A189" s="51" t="s">
        <v>935</v>
      </c>
      <c r="B189" s="51"/>
      <c r="C189" s="52"/>
      <c r="D189" s="52"/>
      <c r="E189" s="52"/>
      <c r="F189" s="52"/>
      <c r="G189" s="52"/>
      <c r="H189" s="52"/>
      <c r="I189" s="52" t="s">
        <v>8174</v>
      </c>
      <c r="J189" s="52"/>
      <c r="K189" s="52" t="s">
        <v>8174</v>
      </c>
      <c r="L189" s="52" t="s">
        <v>8174</v>
      </c>
      <c r="M189" s="52"/>
      <c r="N189" s="52" t="s">
        <v>8174</v>
      </c>
      <c r="O189" s="52"/>
      <c r="P189" s="52" t="s">
        <v>8174</v>
      </c>
      <c r="Q189" s="52" t="s">
        <v>8174</v>
      </c>
      <c r="R189" s="52"/>
      <c r="S189" s="52" t="s">
        <v>8174</v>
      </c>
      <c r="T189" s="52"/>
      <c r="U189" s="52"/>
      <c r="V189" s="84"/>
      <c r="W189" s="52"/>
      <c r="X189" s="52"/>
      <c r="Y189" s="52"/>
      <c r="Z189" s="52"/>
      <c r="AA189" s="52"/>
      <c r="AB189" s="52"/>
      <c r="AC189" s="52"/>
      <c r="AD189" s="52"/>
      <c r="AE189" s="52"/>
      <c r="AF189" s="52"/>
      <c r="AG189" s="186" t="s">
        <v>8959</v>
      </c>
      <c r="AH189" s="186" t="s">
        <v>8959</v>
      </c>
      <c r="AI189" s="186" t="s">
        <v>8959</v>
      </c>
      <c r="AJ189" s="52"/>
      <c r="AK189" s="52"/>
      <c r="AL189" s="52"/>
      <c r="AM189" s="52"/>
      <c r="AN189" s="52"/>
      <c r="AO189" s="52"/>
      <c r="AP189" s="52"/>
      <c r="AQ189" s="52"/>
      <c r="AR189" s="52"/>
      <c r="AS189" s="52"/>
      <c r="AT189" s="52"/>
      <c r="AU189" s="52"/>
      <c r="AV189" s="52"/>
      <c r="AW189" s="52"/>
      <c r="AX189" s="52"/>
      <c r="AY189" s="52"/>
      <c r="AZ189" s="52"/>
      <c r="BA189" s="52"/>
      <c r="BB189" s="52"/>
      <c r="BC189" s="52"/>
      <c r="BD189" s="52" t="s">
        <v>7621</v>
      </c>
      <c r="BE189" s="84"/>
      <c r="BF189" s="52" t="s">
        <v>7621</v>
      </c>
      <c r="BG189" s="52"/>
      <c r="BH189" s="52" t="s">
        <v>7621</v>
      </c>
      <c r="BI189" s="52" t="s">
        <v>7621</v>
      </c>
      <c r="BJ189" s="52"/>
      <c r="BK189" s="52"/>
      <c r="BL189" s="52"/>
      <c r="BM189" s="52"/>
      <c r="BN189" s="52"/>
      <c r="BO189" s="52"/>
      <c r="BP189" s="52"/>
      <c r="BQ189" s="52"/>
      <c r="BR189" s="52"/>
      <c r="BS189" s="52"/>
      <c r="BT189" s="52"/>
      <c r="BU189" s="84"/>
      <c r="BV189" s="84"/>
      <c r="BW189" s="52"/>
      <c r="BX189" s="52"/>
      <c r="BY189" s="52"/>
      <c r="BZ189" s="52"/>
      <c r="CA189" s="52"/>
      <c r="CB189" s="52"/>
      <c r="CC189" s="52"/>
      <c r="CD189" s="52"/>
      <c r="CE189" s="52"/>
      <c r="CF189" s="52"/>
    </row>
    <row r="190" spans="1:84" ht="27">
      <c r="A190" s="62" t="s">
        <v>7237</v>
      </c>
      <c r="B190" s="200" t="s">
        <v>7014</v>
      </c>
      <c r="C190" s="38" t="s">
        <v>57</v>
      </c>
      <c r="D190" s="38" t="s">
        <v>57</v>
      </c>
      <c r="E190" s="36" t="s">
        <v>57</v>
      </c>
      <c r="F190" s="36" t="s">
        <v>57</v>
      </c>
      <c r="G190" s="36" t="s">
        <v>57</v>
      </c>
      <c r="H190" s="36" t="s">
        <v>57</v>
      </c>
      <c r="I190" s="36" t="s">
        <v>57</v>
      </c>
      <c r="J190" s="36" t="s">
        <v>57</v>
      </c>
      <c r="K190" s="36" t="s">
        <v>57</v>
      </c>
      <c r="L190" s="36" t="s">
        <v>57</v>
      </c>
      <c r="M190" s="36" t="s">
        <v>57</v>
      </c>
      <c r="N190" s="36" t="s">
        <v>57</v>
      </c>
      <c r="O190" s="36" t="s">
        <v>57</v>
      </c>
      <c r="P190" s="36" t="s">
        <v>57</v>
      </c>
      <c r="Q190" s="36" t="s">
        <v>57</v>
      </c>
      <c r="R190" s="36" t="s">
        <v>57</v>
      </c>
      <c r="S190" s="36" t="s">
        <v>57</v>
      </c>
      <c r="T190" s="38" t="s">
        <v>57</v>
      </c>
      <c r="U190" s="38" t="s">
        <v>57</v>
      </c>
      <c r="V190" s="145" t="s">
        <v>57</v>
      </c>
      <c r="W190" s="38" t="s">
        <v>57</v>
      </c>
      <c r="X190" s="38" t="s">
        <v>57</v>
      </c>
      <c r="Y190" s="38" t="s">
        <v>57</v>
      </c>
      <c r="Z190" s="38" t="s">
        <v>57</v>
      </c>
      <c r="AA190" s="38" t="s">
        <v>57</v>
      </c>
      <c r="AB190" s="38" t="s">
        <v>57</v>
      </c>
      <c r="AC190" s="38" t="s">
        <v>57</v>
      </c>
      <c r="AD190" s="38" t="s">
        <v>57</v>
      </c>
      <c r="AE190" s="7" t="s">
        <v>57</v>
      </c>
      <c r="AF190" s="7" t="s">
        <v>57</v>
      </c>
      <c r="AG190" s="38" t="s">
        <v>57</v>
      </c>
      <c r="AH190" s="38" t="s">
        <v>57</v>
      </c>
      <c r="AI190" s="38" t="s">
        <v>57</v>
      </c>
      <c r="AJ190" s="7" t="s">
        <v>57</v>
      </c>
      <c r="AK190" s="7" t="s">
        <v>57</v>
      </c>
      <c r="AL190" s="7" t="s">
        <v>57</v>
      </c>
      <c r="AM190" s="38" t="s">
        <v>57</v>
      </c>
      <c r="AN190" s="38" t="s">
        <v>57</v>
      </c>
      <c r="AO190" s="36" t="s">
        <v>57</v>
      </c>
      <c r="AP190" s="36" t="s">
        <v>57</v>
      </c>
      <c r="AQ190" s="36" t="s">
        <v>57</v>
      </c>
      <c r="AR190" s="38" t="s">
        <v>57</v>
      </c>
      <c r="AS190" s="38" t="s">
        <v>57</v>
      </c>
      <c r="AT190" s="38" t="s">
        <v>57</v>
      </c>
      <c r="AU190" s="38" t="s">
        <v>57</v>
      </c>
      <c r="AV190" s="38" t="s">
        <v>57</v>
      </c>
      <c r="AW190" s="38" t="s">
        <v>57</v>
      </c>
      <c r="AX190" s="38" t="s">
        <v>57</v>
      </c>
      <c r="AY190" s="38" t="s">
        <v>57</v>
      </c>
      <c r="AZ190" s="36" t="s">
        <v>57</v>
      </c>
      <c r="BA190" s="36" t="s">
        <v>57</v>
      </c>
      <c r="BB190" s="36" t="s">
        <v>3064</v>
      </c>
      <c r="BC190" s="38" t="s">
        <v>57</v>
      </c>
      <c r="BD190" s="36" t="s">
        <v>57</v>
      </c>
      <c r="BE190" s="38" t="s">
        <v>57</v>
      </c>
      <c r="BF190" s="36" t="s">
        <v>57</v>
      </c>
      <c r="BG190" s="38" t="s">
        <v>57</v>
      </c>
      <c r="BH190" s="36" t="s">
        <v>57</v>
      </c>
      <c r="BI190" s="36" t="s">
        <v>57</v>
      </c>
      <c r="BJ190" s="38" t="s">
        <v>57</v>
      </c>
      <c r="BK190" s="38" t="s">
        <v>57</v>
      </c>
      <c r="BL190" s="36" t="s">
        <v>557</v>
      </c>
      <c r="BM190" s="38" t="s">
        <v>0</v>
      </c>
      <c r="BN190" s="36" t="s">
        <v>57</v>
      </c>
      <c r="BO190" s="36"/>
      <c r="BP190" s="38" t="s">
        <v>57</v>
      </c>
      <c r="BQ190" s="38" t="s">
        <v>57</v>
      </c>
      <c r="BR190" s="36" t="s">
        <v>57</v>
      </c>
      <c r="BS190" s="36" t="s">
        <v>57</v>
      </c>
      <c r="BT190" s="36" t="s">
        <v>57</v>
      </c>
      <c r="BU190" s="36" t="s">
        <v>57</v>
      </c>
      <c r="BV190" s="36" t="s">
        <v>57</v>
      </c>
      <c r="BW190" s="38" t="s">
        <v>57</v>
      </c>
      <c r="BX190" s="38" t="s">
        <v>57</v>
      </c>
      <c r="BY190" s="38" t="s">
        <v>57</v>
      </c>
      <c r="BZ190" s="38" t="s">
        <v>57</v>
      </c>
      <c r="CA190" s="38" t="s">
        <v>57</v>
      </c>
      <c r="CB190" s="38" t="s">
        <v>57</v>
      </c>
      <c r="CC190" s="38" t="s">
        <v>57</v>
      </c>
      <c r="CD190" s="38" t="s">
        <v>57</v>
      </c>
      <c r="CE190" s="36" t="s">
        <v>57</v>
      </c>
      <c r="CF190" s="38" t="s">
        <v>57</v>
      </c>
    </row>
    <row r="191" spans="1:84">
      <c r="A191" s="51" t="s">
        <v>935</v>
      </c>
      <c r="B191" s="51"/>
      <c r="C191" s="52" t="s">
        <v>1663</v>
      </c>
      <c r="D191" s="52" t="s">
        <v>1663</v>
      </c>
      <c r="E191" s="52" t="s">
        <v>2775</v>
      </c>
      <c r="F191" s="52" t="s">
        <v>2775</v>
      </c>
      <c r="G191" s="52" t="s">
        <v>1445</v>
      </c>
      <c r="H191" s="52" t="s">
        <v>1445</v>
      </c>
      <c r="I191" s="52" t="s">
        <v>8204</v>
      </c>
      <c r="J191" s="52" t="s">
        <v>1663</v>
      </c>
      <c r="K191" s="52" t="s">
        <v>8204</v>
      </c>
      <c r="L191" s="52" t="s">
        <v>8204</v>
      </c>
      <c r="M191" s="52" t="s">
        <v>1663</v>
      </c>
      <c r="N191" s="52" t="s">
        <v>8204</v>
      </c>
      <c r="O191" s="52" t="s">
        <v>1663</v>
      </c>
      <c r="P191" s="52" t="s">
        <v>8204</v>
      </c>
      <c r="Q191" s="52" t="s">
        <v>8204</v>
      </c>
      <c r="R191" s="52" t="s">
        <v>1663</v>
      </c>
      <c r="S191" s="52" t="s">
        <v>8204</v>
      </c>
      <c r="T191" s="52" t="s">
        <v>5601</v>
      </c>
      <c r="U191" s="52" t="s">
        <v>5601</v>
      </c>
      <c r="V191" s="84"/>
      <c r="W191" s="52" t="s">
        <v>2025</v>
      </c>
      <c r="X191" s="52" t="s">
        <v>6455</v>
      </c>
      <c r="Y191" s="52" t="s">
        <v>2388</v>
      </c>
      <c r="Z191" s="52" t="s">
        <v>2388</v>
      </c>
      <c r="AA191" s="52" t="s">
        <v>2388</v>
      </c>
      <c r="AB191" s="52" t="s">
        <v>4722</v>
      </c>
      <c r="AC191" s="52" t="s">
        <v>4722</v>
      </c>
      <c r="AD191" s="52" t="s">
        <v>4722</v>
      </c>
      <c r="AE191" s="52" t="s">
        <v>6004</v>
      </c>
      <c r="AF191" s="52" t="s">
        <v>6004</v>
      </c>
      <c r="AG191" s="186" t="s">
        <v>8960</v>
      </c>
      <c r="AH191" s="186" t="s">
        <v>8960</v>
      </c>
      <c r="AI191" s="186" t="s">
        <v>8960</v>
      </c>
      <c r="AJ191" s="52" t="s">
        <v>6110</v>
      </c>
      <c r="AK191" s="52" t="s">
        <v>1906</v>
      </c>
      <c r="AL191" s="52" t="s">
        <v>1906</v>
      </c>
      <c r="AM191" s="52" t="s">
        <v>5027</v>
      </c>
      <c r="AN191" s="52" t="s">
        <v>5027</v>
      </c>
      <c r="AO191" s="52" t="s">
        <v>4253</v>
      </c>
      <c r="AP191" s="52" t="s">
        <v>2579</v>
      </c>
      <c r="AQ191" s="52" t="s">
        <v>2579</v>
      </c>
      <c r="AR191" s="52"/>
      <c r="AS191" s="52" t="s">
        <v>2051</v>
      </c>
      <c r="AT191" s="52" t="s">
        <v>2051</v>
      </c>
      <c r="AU191" s="52" t="s">
        <v>2051</v>
      </c>
      <c r="AV191" s="52" t="s">
        <v>4318</v>
      </c>
      <c r="AW191" s="52" t="s">
        <v>4318</v>
      </c>
      <c r="AX191" s="52" t="s">
        <v>1367</v>
      </c>
      <c r="AY191" s="52" t="s">
        <v>1367</v>
      </c>
      <c r="AZ191" s="52" t="s">
        <v>4548</v>
      </c>
      <c r="BA191" s="52" t="s">
        <v>4529</v>
      </c>
      <c r="BB191" s="52" t="s">
        <v>3497</v>
      </c>
      <c r="BC191" s="52" t="s">
        <v>4982</v>
      </c>
      <c r="BD191" s="52" t="s">
        <v>7624</v>
      </c>
      <c r="BE191" s="52" t="s">
        <v>4982</v>
      </c>
      <c r="BF191" s="52" t="s">
        <v>7624</v>
      </c>
      <c r="BG191" s="52" t="s">
        <v>4982</v>
      </c>
      <c r="BH191" s="52" t="s">
        <v>7624</v>
      </c>
      <c r="BI191" s="52" t="s">
        <v>7624</v>
      </c>
      <c r="BJ191" s="52" t="s">
        <v>4982</v>
      </c>
      <c r="BK191" s="52"/>
      <c r="BL191" s="52"/>
      <c r="BM191" s="52" t="s">
        <v>0</v>
      </c>
      <c r="BN191" s="52" t="s">
        <v>1663</v>
      </c>
      <c r="BO191" s="52"/>
      <c r="BP191" s="52" t="s">
        <v>1663</v>
      </c>
      <c r="BQ191" s="52" t="s">
        <v>1663</v>
      </c>
      <c r="BR191" s="52" t="s">
        <v>2709</v>
      </c>
      <c r="BS191" s="52" t="s">
        <v>2709</v>
      </c>
      <c r="BT191" s="52" t="s">
        <v>2709</v>
      </c>
      <c r="BU191" s="84" t="s">
        <v>2832</v>
      </c>
      <c r="BV191" s="84"/>
      <c r="BW191" s="52"/>
      <c r="BX191" s="52" t="s">
        <v>3801</v>
      </c>
      <c r="BY191" s="52" t="s">
        <v>3801</v>
      </c>
      <c r="BZ191" s="52" t="s">
        <v>6220</v>
      </c>
      <c r="CA191" s="52" t="s">
        <v>3170</v>
      </c>
      <c r="CB191" s="52" t="s">
        <v>3170</v>
      </c>
      <c r="CC191" s="52"/>
      <c r="CD191" s="52"/>
      <c r="CE191" s="52" t="s">
        <v>3245</v>
      </c>
      <c r="CF191" s="52" t="s">
        <v>2188</v>
      </c>
    </row>
    <row r="192" spans="1:84" s="305" customFormat="1" ht="18">
      <c r="A192" s="298" t="s">
        <v>8962</v>
      </c>
      <c r="B192" s="109" t="s">
        <v>7061</v>
      </c>
      <c r="C192" s="299" t="s">
        <v>0</v>
      </c>
      <c r="D192" s="299" t="s">
        <v>0</v>
      </c>
      <c r="E192" s="299" t="s">
        <v>0</v>
      </c>
      <c r="F192" s="299" t="s">
        <v>0</v>
      </c>
      <c r="G192" s="299" t="s">
        <v>0</v>
      </c>
      <c r="H192" s="299" t="s">
        <v>0</v>
      </c>
      <c r="I192" s="109" t="s">
        <v>57</v>
      </c>
      <c r="J192" s="299" t="s">
        <v>197</v>
      </c>
      <c r="K192" s="109" t="s">
        <v>8342</v>
      </c>
      <c r="L192" s="109" t="s">
        <v>8342</v>
      </c>
      <c r="M192" s="299" t="s">
        <v>57</v>
      </c>
      <c r="N192" s="109" t="s">
        <v>8272</v>
      </c>
      <c r="O192" s="299" t="s">
        <v>57</v>
      </c>
      <c r="P192" s="109" t="s">
        <v>8678</v>
      </c>
      <c r="Q192" s="109" t="s">
        <v>8678</v>
      </c>
      <c r="R192" s="299" t="s">
        <v>57</v>
      </c>
      <c r="S192" s="109" t="s">
        <v>8342</v>
      </c>
      <c r="T192" s="299" t="s">
        <v>0</v>
      </c>
      <c r="U192" s="299" t="s">
        <v>113</v>
      </c>
      <c r="V192" s="302" t="s">
        <v>57</v>
      </c>
      <c r="W192" s="299" t="s">
        <v>0</v>
      </c>
      <c r="X192" s="299" t="s">
        <v>57</v>
      </c>
      <c r="Y192" s="299" t="s">
        <v>0</v>
      </c>
      <c r="Z192" s="299" t="s">
        <v>0</v>
      </c>
      <c r="AA192" s="299" t="s">
        <v>0</v>
      </c>
      <c r="AB192" s="299" t="s">
        <v>197</v>
      </c>
      <c r="AC192" s="299" t="s">
        <v>57</v>
      </c>
      <c r="AD192" s="109" t="s">
        <v>4723</v>
      </c>
      <c r="AE192" s="109" t="s">
        <v>4723</v>
      </c>
      <c r="AF192" s="303">
        <v>2000</v>
      </c>
      <c r="AG192" s="109" t="s">
        <v>57</v>
      </c>
      <c r="AH192" s="109"/>
      <c r="AI192" s="300">
        <v>2000</v>
      </c>
      <c r="AJ192" s="304" t="s">
        <v>0</v>
      </c>
      <c r="AK192" s="304" t="s">
        <v>0</v>
      </c>
      <c r="AL192" s="304" t="s">
        <v>0</v>
      </c>
      <c r="AM192" s="299" t="s">
        <v>57</v>
      </c>
      <c r="AN192" s="299" t="s">
        <v>57</v>
      </c>
      <c r="AO192" s="299" t="s">
        <v>0</v>
      </c>
      <c r="AP192" s="299" t="s">
        <v>0</v>
      </c>
      <c r="AQ192" s="299" t="s">
        <v>57</v>
      </c>
      <c r="AR192" s="299" t="s">
        <v>0</v>
      </c>
      <c r="AS192" s="299" t="s">
        <v>57</v>
      </c>
      <c r="AT192" s="299" t="s">
        <v>57</v>
      </c>
      <c r="AU192" s="299" t="s">
        <v>57</v>
      </c>
      <c r="AV192" s="299" t="s">
        <v>0</v>
      </c>
      <c r="AW192" s="299" t="s">
        <v>0</v>
      </c>
      <c r="AX192" s="299" t="s">
        <v>57</v>
      </c>
      <c r="AY192" s="299" t="s">
        <v>0</v>
      </c>
      <c r="AZ192" s="109" t="s">
        <v>0</v>
      </c>
      <c r="BA192" s="109" t="s">
        <v>4536</v>
      </c>
      <c r="BB192" s="109" t="s">
        <v>4516</v>
      </c>
      <c r="BC192" s="299" t="s">
        <v>57</v>
      </c>
      <c r="BD192" s="109" t="s">
        <v>7723</v>
      </c>
      <c r="BE192" s="299" t="s">
        <v>57</v>
      </c>
      <c r="BF192" s="109" t="s">
        <v>7723</v>
      </c>
      <c r="BG192" s="299" t="s">
        <v>57</v>
      </c>
      <c r="BH192" s="109" t="s">
        <v>7723</v>
      </c>
      <c r="BI192" s="109" t="s">
        <v>7723</v>
      </c>
      <c r="BJ192" s="299" t="s">
        <v>57</v>
      </c>
      <c r="BK192" s="299" t="s">
        <v>0</v>
      </c>
      <c r="BL192" s="299" t="s">
        <v>57</v>
      </c>
      <c r="BM192" s="299" t="s">
        <v>0</v>
      </c>
      <c r="BN192" s="299" t="s">
        <v>0</v>
      </c>
      <c r="BO192" s="299"/>
      <c r="BP192" s="299" t="s">
        <v>57</v>
      </c>
      <c r="BQ192" s="299" t="s">
        <v>0</v>
      </c>
      <c r="BR192" s="299" t="s">
        <v>0</v>
      </c>
      <c r="BS192" s="299" t="s">
        <v>0</v>
      </c>
      <c r="BT192" s="299" t="s">
        <v>0</v>
      </c>
      <c r="BU192" s="109" t="s">
        <v>0</v>
      </c>
      <c r="BV192" s="109" t="s">
        <v>57</v>
      </c>
      <c r="BW192" s="299" t="s">
        <v>57</v>
      </c>
      <c r="BX192" s="299" t="s">
        <v>57</v>
      </c>
      <c r="BY192" s="299" t="s">
        <v>57</v>
      </c>
      <c r="BZ192" s="299" t="s">
        <v>0</v>
      </c>
      <c r="CA192" s="299" t="s">
        <v>57</v>
      </c>
      <c r="CB192" s="299" t="s">
        <v>57</v>
      </c>
      <c r="CC192" s="299" t="s">
        <v>0</v>
      </c>
      <c r="CD192" s="299" t="s">
        <v>111</v>
      </c>
      <c r="CE192" s="299" t="s">
        <v>0</v>
      </c>
      <c r="CF192" s="299" t="s">
        <v>0</v>
      </c>
    </row>
    <row r="193" spans="1:84" ht="18">
      <c r="A193" s="51" t="s">
        <v>935</v>
      </c>
      <c r="B193" s="51"/>
      <c r="C193" s="52" t="s">
        <v>2279</v>
      </c>
      <c r="D193" s="52" t="s">
        <v>2279</v>
      </c>
      <c r="E193" s="52" t="s">
        <v>3750</v>
      </c>
      <c r="F193" s="52" t="s">
        <v>3750</v>
      </c>
      <c r="G193" s="52" t="s">
        <v>1446</v>
      </c>
      <c r="H193" s="52" t="s">
        <v>1446</v>
      </c>
      <c r="I193" s="52" t="s">
        <v>8203</v>
      </c>
      <c r="J193" s="52" t="s">
        <v>5301</v>
      </c>
      <c r="K193" s="84" t="s">
        <v>8343</v>
      </c>
      <c r="L193" s="84" t="s">
        <v>8454</v>
      </c>
      <c r="M193" s="52" t="s">
        <v>1516</v>
      </c>
      <c r="N193" s="84" t="s">
        <v>8273</v>
      </c>
      <c r="O193" s="52" t="s">
        <v>3362</v>
      </c>
      <c r="P193" s="84" t="s">
        <v>8679</v>
      </c>
      <c r="Q193" s="84" t="s">
        <v>8679</v>
      </c>
      <c r="R193" s="52" t="s">
        <v>1551</v>
      </c>
      <c r="S193" s="84" t="s">
        <v>8517</v>
      </c>
      <c r="T193" s="52" t="s">
        <v>3280</v>
      </c>
      <c r="U193" s="52" t="s">
        <v>5602</v>
      </c>
      <c r="V193" s="84"/>
      <c r="W193" s="52" t="s">
        <v>4435</v>
      </c>
      <c r="X193" s="52" t="s">
        <v>6456</v>
      </c>
      <c r="Y193" s="52" t="s">
        <v>2389</v>
      </c>
      <c r="Z193" s="52" t="s">
        <v>2389</v>
      </c>
      <c r="AA193" s="52" t="s">
        <v>2389</v>
      </c>
      <c r="AB193" s="52" t="s">
        <v>5935</v>
      </c>
      <c r="AC193" s="52" t="s">
        <v>5935</v>
      </c>
      <c r="AD193" s="52" t="s">
        <v>4724</v>
      </c>
      <c r="AE193" s="52" t="s">
        <v>6005</v>
      </c>
      <c r="AF193" s="52" t="s">
        <v>6078</v>
      </c>
      <c r="AG193" s="186" t="s">
        <v>7062</v>
      </c>
      <c r="AH193" s="52"/>
      <c r="AI193" s="186" t="s">
        <v>7142</v>
      </c>
      <c r="AJ193" s="52" t="s">
        <v>6110</v>
      </c>
      <c r="AK193" s="52" t="s">
        <v>1905</v>
      </c>
      <c r="AL193" s="52" t="s">
        <v>1905</v>
      </c>
      <c r="AM193" s="52" t="s">
        <v>5345</v>
      </c>
      <c r="AN193" s="52" t="s">
        <v>5345</v>
      </c>
      <c r="AO193" s="52" t="s">
        <v>4254</v>
      </c>
      <c r="AP193" s="52" t="s">
        <v>0</v>
      </c>
      <c r="AQ193" s="52" t="s">
        <v>6333</v>
      </c>
      <c r="AR193" s="52"/>
      <c r="AS193" s="52" t="s">
        <v>1981</v>
      </c>
      <c r="AT193" s="52" t="s">
        <v>1981</v>
      </c>
      <c r="AU193" s="52" t="s">
        <v>1981</v>
      </c>
      <c r="AV193" s="52" t="s">
        <v>4319</v>
      </c>
      <c r="AW193" s="52" t="s">
        <v>4319</v>
      </c>
      <c r="AX193" s="52" t="s">
        <v>1268</v>
      </c>
      <c r="AY193" s="52" t="s">
        <v>1344</v>
      </c>
      <c r="AZ193" s="52" t="s">
        <v>3725</v>
      </c>
      <c r="BA193" s="52" t="s">
        <v>4535</v>
      </c>
      <c r="BB193" s="52" t="s">
        <v>4515</v>
      </c>
      <c r="BC193" s="52" t="s">
        <v>4851</v>
      </c>
      <c r="BD193" s="52" t="s">
        <v>7724</v>
      </c>
      <c r="BE193" s="52" t="s">
        <v>4885</v>
      </c>
      <c r="BF193" s="52" t="s">
        <v>7725</v>
      </c>
      <c r="BG193" s="52" t="s">
        <v>4851</v>
      </c>
      <c r="BH193" s="52" t="s">
        <v>7936</v>
      </c>
      <c r="BI193" s="52" t="s">
        <v>7821</v>
      </c>
      <c r="BJ193" s="52" t="s">
        <v>4885</v>
      </c>
      <c r="BK193" s="52"/>
      <c r="BL193" s="52"/>
      <c r="BM193" s="52" t="s">
        <v>0</v>
      </c>
      <c r="BN193" s="52" t="s">
        <v>2279</v>
      </c>
      <c r="BO193" s="52"/>
      <c r="BP193" s="52" t="s">
        <v>2238</v>
      </c>
      <c r="BQ193" s="52" t="s">
        <v>2279</v>
      </c>
      <c r="BR193" s="52" t="s">
        <v>2704</v>
      </c>
      <c r="BS193" s="52" t="s">
        <v>2704</v>
      </c>
      <c r="BT193" s="52" t="s">
        <v>2704</v>
      </c>
      <c r="BU193" s="84" t="s">
        <v>2834</v>
      </c>
      <c r="BV193" s="84"/>
      <c r="BW193" s="52"/>
      <c r="BX193" s="52" t="s">
        <v>3800</v>
      </c>
      <c r="BY193" s="52" t="s">
        <v>3800</v>
      </c>
      <c r="BZ193" s="52" t="s">
        <v>0</v>
      </c>
      <c r="CA193" s="52" t="s">
        <v>3111</v>
      </c>
      <c r="CB193" s="52" t="s">
        <v>3111</v>
      </c>
      <c r="CC193" s="52"/>
      <c r="CD193" s="52"/>
      <c r="CE193" s="52" t="s">
        <v>3246</v>
      </c>
      <c r="CF193" s="52" t="s">
        <v>2200</v>
      </c>
    </row>
    <row r="194" spans="1:84" ht="18">
      <c r="A194" s="6" t="s">
        <v>154</v>
      </c>
      <c r="B194" s="200"/>
      <c r="C194" s="38" t="s">
        <v>57</v>
      </c>
      <c r="D194" s="38" t="s">
        <v>57</v>
      </c>
      <c r="E194" s="38" t="s">
        <v>57</v>
      </c>
      <c r="F194" s="38" t="s">
        <v>57</v>
      </c>
      <c r="G194" s="38" t="s">
        <v>57</v>
      </c>
      <c r="H194" s="38" t="s">
        <v>57</v>
      </c>
      <c r="I194" s="36" t="s">
        <v>57</v>
      </c>
      <c r="J194" s="38" t="s">
        <v>57</v>
      </c>
      <c r="K194" s="36" t="s">
        <v>57</v>
      </c>
      <c r="L194" s="36" t="s">
        <v>57</v>
      </c>
      <c r="M194" s="38" t="s">
        <v>57</v>
      </c>
      <c r="N194" s="36" t="s">
        <v>57</v>
      </c>
      <c r="O194" s="36" t="s">
        <v>773</v>
      </c>
      <c r="P194" s="36" t="s">
        <v>8676</v>
      </c>
      <c r="Q194" s="36" t="s">
        <v>8676</v>
      </c>
      <c r="R194" s="38" t="s">
        <v>57</v>
      </c>
      <c r="S194" s="36" t="s">
        <v>57</v>
      </c>
      <c r="T194" s="38" t="s">
        <v>57</v>
      </c>
      <c r="U194" s="38" t="s">
        <v>57</v>
      </c>
      <c r="V194" s="145" t="s">
        <v>57</v>
      </c>
      <c r="W194" s="38" t="s">
        <v>57</v>
      </c>
      <c r="X194" s="38" t="s">
        <v>57</v>
      </c>
      <c r="Y194" s="38" t="s">
        <v>57</v>
      </c>
      <c r="Z194" s="38" t="s">
        <v>57</v>
      </c>
      <c r="AA194" s="38" t="s">
        <v>57</v>
      </c>
      <c r="AB194" s="36" t="s">
        <v>3071</v>
      </c>
      <c r="AC194" s="36" t="s">
        <v>3071</v>
      </c>
      <c r="AD194" s="38" t="s">
        <v>57</v>
      </c>
      <c r="AE194" s="7" t="s">
        <v>57</v>
      </c>
      <c r="AF194" s="7" t="s">
        <v>57</v>
      </c>
      <c r="AG194" s="38" t="s">
        <v>57</v>
      </c>
      <c r="AH194" s="38" t="s">
        <v>57</v>
      </c>
      <c r="AI194" s="38" t="s">
        <v>57</v>
      </c>
      <c r="AJ194" s="7" t="s">
        <v>57</v>
      </c>
      <c r="AK194" s="7" t="s">
        <v>57</v>
      </c>
      <c r="AL194" s="7" t="s">
        <v>57</v>
      </c>
      <c r="AM194" s="38" t="s">
        <v>57</v>
      </c>
      <c r="AN194" s="38" t="s">
        <v>57</v>
      </c>
      <c r="AO194" s="36" t="s">
        <v>57</v>
      </c>
      <c r="AP194" s="36" t="s">
        <v>665</v>
      </c>
      <c r="AQ194" s="36" t="s">
        <v>665</v>
      </c>
      <c r="AR194" s="38" t="s">
        <v>57</v>
      </c>
      <c r="AS194" s="158" t="s">
        <v>57</v>
      </c>
      <c r="AT194" s="158" t="s">
        <v>57</v>
      </c>
      <c r="AU194" s="158" t="s">
        <v>57</v>
      </c>
      <c r="AV194" s="158" t="s">
        <v>57</v>
      </c>
      <c r="AW194" s="38" t="s">
        <v>57</v>
      </c>
      <c r="AX194" s="36" t="s">
        <v>57</v>
      </c>
      <c r="AY194" s="36" t="s">
        <v>57</v>
      </c>
      <c r="AZ194" s="36" t="s">
        <v>3071</v>
      </c>
      <c r="BA194" s="36" t="s">
        <v>3071</v>
      </c>
      <c r="BB194" s="36" t="s">
        <v>3071</v>
      </c>
      <c r="BC194" s="36" t="s">
        <v>3071</v>
      </c>
      <c r="BD194" s="36" t="s">
        <v>57</v>
      </c>
      <c r="BE194" s="36" t="s">
        <v>3071</v>
      </c>
      <c r="BF194" s="36" t="s">
        <v>57</v>
      </c>
      <c r="BG194" s="36" t="s">
        <v>3071</v>
      </c>
      <c r="BH194" s="36" t="s">
        <v>3071</v>
      </c>
      <c r="BI194" s="36" t="s">
        <v>3071</v>
      </c>
      <c r="BJ194" s="36" t="s">
        <v>3071</v>
      </c>
      <c r="BK194" s="38" t="s">
        <v>57</v>
      </c>
      <c r="BL194" s="36" t="s">
        <v>773</v>
      </c>
      <c r="BM194" s="38" t="s">
        <v>0</v>
      </c>
      <c r="BN194" s="36" t="s">
        <v>57</v>
      </c>
      <c r="BO194" s="36"/>
      <c r="BP194" s="38" t="s">
        <v>57</v>
      </c>
      <c r="BQ194" s="38" t="s">
        <v>57</v>
      </c>
      <c r="BR194" s="36" t="s">
        <v>57</v>
      </c>
      <c r="BS194" s="36" t="s">
        <v>57</v>
      </c>
      <c r="BT194" s="36" t="s">
        <v>57</v>
      </c>
      <c r="BU194" s="36" t="s">
        <v>665</v>
      </c>
      <c r="BV194" s="36" t="s">
        <v>665</v>
      </c>
      <c r="BW194" s="36" t="s">
        <v>665</v>
      </c>
      <c r="BX194" s="158" t="s">
        <v>57</v>
      </c>
      <c r="BY194" s="38" t="s">
        <v>57</v>
      </c>
      <c r="BZ194" s="38" t="s">
        <v>6219</v>
      </c>
      <c r="CA194" s="36" t="s">
        <v>773</v>
      </c>
      <c r="CB194" s="36" t="s">
        <v>773</v>
      </c>
      <c r="CC194" s="38" t="s">
        <v>57</v>
      </c>
      <c r="CD194" s="38" t="s">
        <v>57</v>
      </c>
      <c r="CE194" s="36" t="s">
        <v>57</v>
      </c>
      <c r="CF194" s="38" t="s">
        <v>57</v>
      </c>
    </row>
    <row r="195" spans="1:84" ht="18">
      <c r="A195" s="51" t="s">
        <v>935</v>
      </c>
      <c r="B195" s="51"/>
      <c r="C195" s="52" t="s">
        <v>1661</v>
      </c>
      <c r="D195" s="52" t="s">
        <v>1661</v>
      </c>
      <c r="E195" s="52" t="s">
        <v>2776</v>
      </c>
      <c r="F195" s="52" t="s">
        <v>2776</v>
      </c>
      <c r="G195" s="52" t="s">
        <v>1444</v>
      </c>
      <c r="H195" s="52" t="s">
        <v>1444</v>
      </c>
      <c r="I195" s="52" t="s">
        <v>8178</v>
      </c>
      <c r="J195" s="52" t="s">
        <v>1661</v>
      </c>
      <c r="K195" s="52" t="s">
        <v>8178</v>
      </c>
      <c r="L195" s="52" t="s">
        <v>8178</v>
      </c>
      <c r="M195" s="52" t="s">
        <v>1661</v>
      </c>
      <c r="N195" s="52" t="s">
        <v>8178</v>
      </c>
      <c r="O195" s="52" t="s">
        <v>5781</v>
      </c>
      <c r="P195" s="52" t="s">
        <v>8677</v>
      </c>
      <c r="Q195" s="52" t="s">
        <v>8677</v>
      </c>
      <c r="R195" s="52" t="s">
        <v>1661</v>
      </c>
      <c r="S195" s="52" t="s">
        <v>8178</v>
      </c>
      <c r="T195" s="52" t="s">
        <v>5600</v>
      </c>
      <c r="U195" s="52" t="s">
        <v>5600</v>
      </c>
      <c r="V195" s="84"/>
      <c r="W195" s="52" t="s">
        <v>4036</v>
      </c>
      <c r="X195" s="52" t="s">
        <v>6454</v>
      </c>
      <c r="Y195" s="52" t="s">
        <v>2387</v>
      </c>
      <c r="Z195" s="52" t="s">
        <v>2387</v>
      </c>
      <c r="AA195" s="52" t="s">
        <v>2387</v>
      </c>
      <c r="AB195" s="52" t="s">
        <v>5949</v>
      </c>
      <c r="AC195" s="52" t="s">
        <v>5936</v>
      </c>
      <c r="AD195" s="52" t="s">
        <v>4720</v>
      </c>
      <c r="AE195" s="52" t="s">
        <v>6003</v>
      </c>
      <c r="AF195" s="52" t="s">
        <v>6003</v>
      </c>
      <c r="AG195" s="186" t="s">
        <v>7023</v>
      </c>
      <c r="AH195" s="186" t="s">
        <v>7023</v>
      </c>
      <c r="AI195" s="186" t="s">
        <v>7023</v>
      </c>
      <c r="AJ195" s="52" t="s">
        <v>6111</v>
      </c>
      <c r="AK195" s="52" t="s">
        <v>1907</v>
      </c>
      <c r="AL195" s="52" t="s">
        <v>1907</v>
      </c>
      <c r="AM195" s="52" t="s">
        <v>5456</v>
      </c>
      <c r="AN195" s="52" t="s">
        <v>5456</v>
      </c>
      <c r="AO195" s="52" t="s">
        <v>4252</v>
      </c>
      <c r="AP195" s="52" t="s">
        <v>6334</v>
      </c>
      <c r="AQ195" s="52" t="s">
        <v>2578</v>
      </c>
      <c r="AR195" s="52"/>
      <c r="AS195" s="52" t="s">
        <v>1025</v>
      </c>
      <c r="AT195" s="52" t="s">
        <v>1025</v>
      </c>
      <c r="AU195" s="52" t="s">
        <v>1025</v>
      </c>
      <c r="AV195" s="52" t="s">
        <v>4317</v>
      </c>
      <c r="AW195" s="52" t="s">
        <v>4317</v>
      </c>
      <c r="AX195" s="52" t="s">
        <v>1366</v>
      </c>
      <c r="AY195" s="52" t="s">
        <v>1366</v>
      </c>
      <c r="AZ195" s="52" t="s">
        <v>4547</v>
      </c>
      <c r="BA195" s="52" t="s">
        <v>4528</v>
      </c>
      <c r="BB195" s="52" t="s">
        <v>3480</v>
      </c>
      <c r="BC195" s="52" t="s">
        <v>4983</v>
      </c>
      <c r="BD195" s="52" t="s">
        <v>7726</v>
      </c>
      <c r="BE195" s="84" t="s">
        <v>4984</v>
      </c>
      <c r="BF195" s="52" t="s">
        <v>7628</v>
      </c>
      <c r="BG195" s="52" t="s">
        <v>4983</v>
      </c>
      <c r="BH195" s="52" t="s">
        <v>7937</v>
      </c>
      <c r="BI195" s="52" t="s">
        <v>7822</v>
      </c>
      <c r="BJ195" s="52" t="s">
        <v>5468</v>
      </c>
      <c r="BK195" s="52"/>
      <c r="BL195" s="52"/>
      <c r="BM195" s="52" t="s">
        <v>0</v>
      </c>
      <c r="BN195" s="52" t="s">
        <v>1661</v>
      </c>
      <c r="BO195" s="52"/>
      <c r="BP195" s="52" t="s">
        <v>1661</v>
      </c>
      <c r="BQ195" s="52" t="s">
        <v>1661</v>
      </c>
      <c r="BR195" s="52" t="s">
        <v>1894</v>
      </c>
      <c r="BS195" s="52" t="s">
        <v>1894</v>
      </c>
      <c r="BT195" s="52" t="s">
        <v>1894</v>
      </c>
      <c r="BU195" s="84" t="s">
        <v>2835</v>
      </c>
      <c r="BV195" s="84"/>
      <c r="BW195" s="52"/>
      <c r="BX195" s="52" t="s">
        <v>3932</v>
      </c>
      <c r="BY195" s="52" t="s">
        <v>3802</v>
      </c>
      <c r="BZ195" s="52" t="s">
        <v>6220</v>
      </c>
      <c r="CA195" s="52" t="s">
        <v>3142</v>
      </c>
      <c r="CB195" s="52" t="s">
        <v>3142</v>
      </c>
      <c r="CC195" s="52"/>
      <c r="CD195" s="52"/>
      <c r="CE195" s="52" t="s">
        <v>3244</v>
      </c>
      <c r="CF195" s="52" t="s">
        <v>2189</v>
      </c>
    </row>
    <row r="196" spans="1:84" ht="27">
      <c r="A196" s="6" t="s">
        <v>157</v>
      </c>
      <c r="B196" s="200"/>
      <c r="C196" s="38" t="s">
        <v>0</v>
      </c>
      <c r="D196" s="38" t="s">
        <v>0</v>
      </c>
      <c r="E196" s="38" t="s">
        <v>0</v>
      </c>
      <c r="F196" s="38" t="s">
        <v>0</v>
      </c>
      <c r="G196" s="38" t="s">
        <v>0</v>
      </c>
      <c r="H196" s="38" t="s">
        <v>0</v>
      </c>
      <c r="I196" s="36" t="s">
        <v>57</v>
      </c>
      <c r="J196" s="38" t="s">
        <v>0</v>
      </c>
      <c r="K196" s="36" t="s">
        <v>57</v>
      </c>
      <c r="L196" s="36" t="s">
        <v>57</v>
      </c>
      <c r="M196" s="38" t="s">
        <v>0</v>
      </c>
      <c r="N196" s="36" t="s">
        <v>57</v>
      </c>
      <c r="O196" s="38" t="s">
        <v>0</v>
      </c>
      <c r="P196" s="36" t="s">
        <v>8682</v>
      </c>
      <c r="Q196" s="36" t="s">
        <v>8682</v>
      </c>
      <c r="R196" s="38" t="s">
        <v>0</v>
      </c>
      <c r="S196" s="36" t="s">
        <v>57</v>
      </c>
      <c r="T196" s="38" t="s">
        <v>0</v>
      </c>
      <c r="U196" s="38" t="s">
        <v>0</v>
      </c>
      <c r="V196" s="145" t="s">
        <v>5493</v>
      </c>
      <c r="W196" s="38" t="s">
        <v>0</v>
      </c>
      <c r="X196" s="38" t="s">
        <v>57</v>
      </c>
      <c r="Y196" s="38" t="s">
        <v>0</v>
      </c>
      <c r="Z196" s="38" t="s">
        <v>0</v>
      </c>
      <c r="AA196" s="38" t="s">
        <v>0</v>
      </c>
      <c r="AB196" s="36" t="s">
        <v>4726</v>
      </c>
      <c r="AC196" s="36" t="s">
        <v>4726</v>
      </c>
      <c r="AD196" s="38" t="s">
        <v>0</v>
      </c>
      <c r="AE196" s="7" t="s">
        <v>0</v>
      </c>
      <c r="AF196" s="34" t="s">
        <v>0</v>
      </c>
      <c r="AG196" s="38" t="s">
        <v>57</v>
      </c>
      <c r="AH196" s="38" t="s">
        <v>57</v>
      </c>
      <c r="AI196" s="38" t="s">
        <v>57</v>
      </c>
      <c r="AJ196" s="36" t="s">
        <v>2708</v>
      </c>
      <c r="AK196" s="7" t="s">
        <v>0</v>
      </c>
      <c r="AL196" s="7" t="s">
        <v>0</v>
      </c>
      <c r="AM196" s="38" t="s">
        <v>0</v>
      </c>
      <c r="AN196" s="38" t="s">
        <v>0</v>
      </c>
      <c r="AO196" s="38" t="s">
        <v>0</v>
      </c>
      <c r="AP196" s="38" t="s">
        <v>0</v>
      </c>
      <c r="AQ196" s="36" t="s">
        <v>2708</v>
      </c>
      <c r="AR196" s="38" t="s">
        <v>57</v>
      </c>
      <c r="AS196" s="38" t="s">
        <v>0</v>
      </c>
      <c r="AT196" s="38" t="s">
        <v>0</v>
      </c>
      <c r="AU196" s="38" t="s">
        <v>0</v>
      </c>
      <c r="AV196" s="38" t="s">
        <v>57</v>
      </c>
      <c r="AW196" s="38" t="s">
        <v>57</v>
      </c>
      <c r="AX196" s="38" t="s">
        <v>0</v>
      </c>
      <c r="AY196" s="38" t="s">
        <v>0</v>
      </c>
      <c r="AZ196" s="36" t="s">
        <v>2708</v>
      </c>
      <c r="BA196" s="36" t="s">
        <v>2708</v>
      </c>
      <c r="BB196" s="38" t="s">
        <v>57</v>
      </c>
      <c r="BC196" s="36" t="s">
        <v>5332</v>
      </c>
      <c r="BD196" s="36" t="s">
        <v>7626</v>
      </c>
      <c r="BE196" s="36" t="s">
        <v>5332</v>
      </c>
      <c r="BF196" s="36" t="s">
        <v>7626</v>
      </c>
      <c r="BG196" s="36" t="s">
        <v>5332</v>
      </c>
      <c r="BH196" s="36" t="s">
        <v>7626</v>
      </c>
      <c r="BI196" s="36" t="s">
        <v>7626</v>
      </c>
      <c r="BJ196" s="38" t="s">
        <v>0</v>
      </c>
      <c r="BK196" s="36" t="s">
        <v>539</v>
      </c>
      <c r="BL196" s="36" t="s">
        <v>539</v>
      </c>
      <c r="BM196" s="38" t="s">
        <v>0</v>
      </c>
      <c r="BN196" s="38" t="s">
        <v>0</v>
      </c>
      <c r="BO196" s="38"/>
      <c r="BP196" s="38" t="s">
        <v>0</v>
      </c>
      <c r="BQ196" s="38" t="s">
        <v>0</v>
      </c>
      <c r="BR196" s="36" t="s">
        <v>2708</v>
      </c>
      <c r="BS196" s="36" t="s">
        <v>2708</v>
      </c>
      <c r="BT196" s="36" t="s">
        <v>2708</v>
      </c>
      <c r="BU196" s="36" t="s">
        <v>57</v>
      </c>
      <c r="BV196" s="36" t="s">
        <v>718</v>
      </c>
      <c r="BW196" s="36" t="s">
        <v>718</v>
      </c>
      <c r="BX196" s="38" t="s">
        <v>57</v>
      </c>
      <c r="BY196" s="38" t="s">
        <v>57</v>
      </c>
      <c r="BZ196" s="38" t="s">
        <v>6221</v>
      </c>
      <c r="CA196" s="38" t="s">
        <v>0</v>
      </c>
      <c r="CB196" s="38" t="s">
        <v>0</v>
      </c>
      <c r="CC196" s="38" t="s">
        <v>0</v>
      </c>
      <c r="CD196" s="38" t="s">
        <v>0</v>
      </c>
      <c r="CE196" s="38" t="s">
        <v>0</v>
      </c>
      <c r="CF196" s="38" t="s">
        <v>0</v>
      </c>
    </row>
    <row r="197" spans="1:84">
      <c r="A197" s="51" t="s">
        <v>935</v>
      </c>
      <c r="B197" s="51"/>
      <c r="C197" s="52" t="s">
        <v>1661</v>
      </c>
      <c r="D197" s="52" t="s">
        <v>1661</v>
      </c>
      <c r="E197" s="52" t="s">
        <v>0</v>
      </c>
      <c r="F197" s="52" t="s">
        <v>0</v>
      </c>
      <c r="G197" s="52" t="s">
        <v>0</v>
      </c>
      <c r="H197" s="52" t="s">
        <v>0</v>
      </c>
      <c r="I197" s="52" t="s">
        <v>8178</v>
      </c>
      <c r="J197" s="52" t="s">
        <v>0</v>
      </c>
      <c r="K197" s="52" t="s">
        <v>8178</v>
      </c>
      <c r="L197" s="52" t="s">
        <v>8178</v>
      </c>
      <c r="M197" s="52" t="s">
        <v>0</v>
      </c>
      <c r="N197" s="52" t="s">
        <v>8178</v>
      </c>
      <c r="O197" s="52" t="s">
        <v>0</v>
      </c>
      <c r="P197" s="52" t="s">
        <v>8683</v>
      </c>
      <c r="Q197" s="52" t="s">
        <v>8683</v>
      </c>
      <c r="R197" s="52" t="s">
        <v>0</v>
      </c>
      <c r="S197" s="52" t="s">
        <v>8178</v>
      </c>
      <c r="T197" s="52" t="s">
        <v>0</v>
      </c>
      <c r="U197" s="52" t="s">
        <v>0</v>
      </c>
      <c r="V197" s="84"/>
      <c r="W197" s="52" t="s">
        <v>0</v>
      </c>
      <c r="X197" s="52" t="s">
        <v>6457</v>
      </c>
      <c r="Y197" s="52" t="s">
        <v>0</v>
      </c>
      <c r="Z197" s="52" t="s">
        <v>0</v>
      </c>
      <c r="AA197" s="52" t="s">
        <v>0</v>
      </c>
      <c r="AB197" s="52" t="s">
        <v>5936</v>
      </c>
      <c r="AC197" s="52" t="s">
        <v>5936</v>
      </c>
      <c r="AD197" s="52" t="s">
        <v>0</v>
      </c>
      <c r="AE197" s="52" t="s">
        <v>0</v>
      </c>
      <c r="AF197" s="52" t="s">
        <v>0</v>
      </c>
      <c r="AG197" s="186" t="s">
        <v>7023</v>
      </c>
      <c r="AH197" s="186" t="s">
        <v>7023</v>
      </c>
      <c r="AI197" s="186" t="s">
        <v>7023</v>
      </c>
      <c r="AJ197" s="52" t="s">
        <v>6111</v>
      </c>
      <c r="AK197" s="52" t="s">
        <v>0</v>
      </c>
      <c r="AL197" s="52" t="s">
        <v>0</v>
      </c>
      <c r="AM197" s="52" t="s">
        <v>0</v>
      </c>
      <c r="AN197" s="52" t="s">
        <v>0</v>
      </c>
      <c r="AO197" s="52" t="s">
        <v>0</v>
      </c>
      <c r="AP197" s="52" t="s">
        <v>0</v>
      </c>
      <c r="AQ197" s="52" t="s">
        <v>6339</v>
      </c>
      <c r="AR197" s="52"/>
      <c r="AS197" s="52" t="s">
        <v>0</v>
      </c>
      <c r="AT197" s="52" t="s">
        <v>0</v>
      </c>
      <c r="AU197" s="52" t="s">
        <v>0</v>
      </c>
      <c r="AV197" s="52" t="s">
        <v>4311</v>
      </c>
      <c r="AW197" s="52" t="s">
        <v>4311</v>
      </c>
      <c r="AX197" s="52" t="s">
        <v>0</v>
      </c>
      <c r="AY197" s="52" t="s">
        <v>0</v>
      </c>
      <c r="AZ197" s="52" t="s">
        <v>4549</v>
      </c>
      <c r="BA197" s="52" t="s">
        <v>4537</v>
      </c>
      <c r="BB197" s="52" t="s">
        <v>4514</v>
      </c>
      <c r="BC197" s="52" t="s">
        <v>4983</v>
      </c>
      <c r="BD197" s="52" t="s">
        <v>7625</v>
      </c>
      <c r="BE197" s="52" t="s">
        <v>4984</v>
      </c>
      <c r="BF197" s="52" t="s">
        <v>7625</v>
      </c>
      <c r="BG197" s="52" t="s">
        <v>4983</v>
      </c>
      <c r="BH197" s="52" t="s">
        <v>7625</v>
      </c>
      <c r="BI197" s="52" t="s">
        <v>7625</v>
      </c>
      <c r="BJ197" s="52" t="s">
        <v>5027</v>
      </c>
      <c r="BK197" s="52"/>
      <c r="BL197" s="52"/>
      <c r="BM197" s="52" t="s">
        <v>0</v>
      </c>
      <c r="BN197" s="52" t="s">
        <v>0</v>
      </c>
      <c r="BO197" s="52"/>
      <c r="BP197" s="52" t="s">
        <v>0</v>
      </c>
      <c r="BQ197" s="52" t="s">
        <v>0</v>
      </c>
      <c r="BR197" s="52" t="s">
        <v>1894</v>
      </c>
      <c r="BS197" s="52" t="s">
        <v>1894</v>
      </c>
      <c r="BT197" s="52" t="s">
        <v>1894</v>
      </c>
      <c r="BU197" s="84" t="s">
        <v>2835</v>
      </c>
      <c r="BV197" s="84"/>
      <c r="BW197" s="52"/>
      <c r="BX197" s="52" t="s">
        <v>3932</v>
      </c>
      <c r="BY197" s="52" t="s">
        <v>3802</v>
      </c>
      <c r="BZ197" s="52" t="s">
        <v>6220</v>
      </c>
      <c r="CA197" s="52" t="s">
        <v>0</v>
      </c>
      <c r="CB197" s="52" t="s">
        <v>0</v>
      </c>
      <c r="CC197" s="52"/>
      <c r="CD197" s="52"/>
      <c r="CE197" s="52" t="s">
        <v>0</v>
      </c>
      <c r="CF197" s="52" t="s">
        <v>0</v>
      </c>
    </row>
    <row r="198" spans="1:84" ht="36">
      <c r="A198" s="6" t="s">
        <v>5489</v>
      </c>
      <c r="B198" s="200" t="s">
        <v>6802</v>
      </c>
      <c r="C198" s="38" t="s">
        <v>0</v>
      </c>
      <c r="D198" s="36" t="s">
        <v>327</v>
      </c>
      <c r="E198" s="36" t="s">
        <v>3741</v>
      </c>
      <c r="F198" s="36" t="s">
        <v>2760</v>
      </c>
      <c r="G198" s="36" t="s">
        <v>243</v>
      </c>
      <c r="H198" s="36" t="s">
        <v>243</v>
      </c>
      <c r="I198" s="36" t="s">
        <v>0</v>
      </c>
      <c r="J198" s="36" t="s">
        <v>233</v>
      </c>
      <c r="K198" s="36" t="s">
        <v>233</v>
      </c>
      <c r="L198" s="36" t="s">
        <v>233</v>
      </c>
      <c r="M198" s="36" t="s">
        <v>233</v>
      </c>
      <c r="N198" s="36" t="s">
        <v>233</v>
      </c>
      <c r="O198" s="36" t="s">
        <v>327</v>
      </c>
      <c r="P198" s="36" t="s">
        <v>57</v>
      </c>
      <c r="Q198" s="36" t="s">
        <v>9154</v>
      </c>
      <c r="R198" s="36" t="s">
        <v>233</v>
      </c>
      <c r="S198" s="36" t="s">
        <v>233</v>
      </c>
      <c r="T198" s="36" t="s">
        <v>5603</v>
      </c>
      <c r="U198" s="36" t="s">
        <v>5603</v>
      </c>
      <c r="V198" s="149" t="s">
        <v>5731</v>
      </c>
      <c r="W198" s="37" t="s">
        <v>4424</v>
      </c>
      <c r="X198" s="37" t="s">
        <v>6459</v>
      </c>
      <c r="Y198" s="36" t="s">
        <v>0</v>
      </c>
      <c r="Z198" s="36" t="s">
        <v>0</v>
      </c>
      <c r="AA198" s="36" t="s">
        <v>1820</v>
      </c>
      <c r="AB198" s="36" t="s">
        <v>4735</v>
      </c>
      <c r="AC198" s="36" t="s">
        <v>4735</v>
      </c>
      <c r="AD198" s="38" t="s">
        <v>0</v>
      </c>
      <c r="AE198" s="7" t="s">
        <v>327</v>
      </c>
      <c r="AF198" s="7" t="s">
        <v>327</v>
      </c>
      <c r="AG198" s="38" t="s">
        <v>0</v>
      </c>
      <c r="AH198" s="38" t="s">
        <v>57</v>
      </c>
      <c r="AI198" s="38" t="s">
        <v>57</v>
      </c>
      <c r="AJ198" s="36" t="s">
        <v>1820</v>
      </c>
      <c r="AK198" s="7" t="s">
        <v>0</v>
      </c>
      <c r="AL198" s="37" t="s">
        <v>161</v>
      </c>
      <c r="AM198" s="38" t="s">
        <v>327</v>
      </c>
      <c r="AN198" s="38" t="s">
        <v>327</v>
      </c>
      <c r="AO198" s="36" t="s">
        <v>895</v>
      </c>
      <c r="AP198" s="36" t="s">
        <v>0</v>
      </c>
      <c r="AQ198" s="36" t="s">
        <v>3856</v>
      </c>
      <c r="AR198" s="36" t="s">
        <v>913</v>
      </c>
      <c r="AS198" s="36" t="s">
        <v>6367</v>
      </c>
      <c r="AT198" s="36" t="s">
        <v>6367</v>
      </c>
      <c r="AU198" s="36" t="s">
        <v>6367</v>
      </c>
      <c r="AV198" s="36" t="s">
        <v>161</v>
      </c>
      <c r="AW198" s="36" t="s">
        <v>161</v>
      </c>
      <c r="AX198" s="36" t="s">
        <v>1285</v>
      </c>
      <c r="AY198" s="36" t="s">
        <v>1285</v>
      </c>
      <c r="AZ198" s="36" t="s">
        <v>0</v>
      </c>
      <c r="BA198" s="36" t="s">
        <v>293</v>
      </c>
      <c r="BB198" s="36" t="s">
        <v>606</v>
      </c>
      <c r="BC198" s="36" t="s">
        <v>161</v>
      </c>
      <c r="BD198" s="36" t="s">
        <v>7733</v>
      </c>
      <c r="BE198" s="36" t="s">
        <v>606</v>
      </c>
      <c r="BF198" s="36" t="s">
        <v>7629</v>
      </c>
      <c r="BG198" s="36" t="s">
        <v>161</v>
      </c>
      <c r="BH198" s="36" t="s">
        <v>7733</v>
      </c>
      <c r="BI198" s="36" t="s">
        <v>7733</v>
      </c>
      <c r="BJ198" s="36" t="s">
        <v>161</v>
      </c>
      <c r="BK198" s="36" t="s">
        <v>327</v>
      </c>
      <c r="BL198" s="36" t="s">
        <v>327</v>
      </c>
      <c r="BM198" s="38" t="s">
        <v>0</v>
      </c>
      <c r="BN198" s="36" t="s">
        <v>3856</v>
      </c>
      <c r="BO198" s="36"/>
      <c r="BP198" s="36" t="s">
        <v>2319</v>
      </c>
      <c r="BQ198" s="36" t="s">
        <v>0</v>
      </c>
      <c r="BR198" s="38" t="s">
        <v>0</v>
      </c>
      <c r="BS198" s="36" t="s">
        <v>606</v>
      </c>
      <c r="BT198" s="36" t="s">
        <v>353</v>
      </c>
      <c r="BU198" s="36" t="s">
        <v>327</v>
      </c>
      <c r="BV198" s="36" t="s">
        <v>293</v>
      </c>
      <c r="BW198" s="36" t="s">
        <v>708</v>
      </c>
      <c r="BX198" s="36" t="s">
        <v>0</v>
      </c>
      <c r="BY198" s="36" t="s">
        <v>3778</v>
      </c>
      <c r="BZ198" s="36" t="s">
        <v>6227</v>
      </c>
      <c r="CA198" s="36" t="s">
        <v>233</v>
      </c>
      <c r="CB198" s="36" t="s">
        <v>233</v>
      </c>
      <c r="CC198" s="36" t="s">
        <v>0</v>
      </c>
      <c r="CD198" s="36" t="s">
        <v>310</v>
      </c>
      <c r="CE198" s="36" t="s">
        <v>233</v>
      </c>
      <c r="CF198" s="36" t="s">
        <v>2144</v>
      </c>
    </row>
    <row r="199" spans="1:84" ht="18">
      <c r="A199" s="51" t="s">
        <v>935</v>
      </c>
      <c r="B199" s="51"/>
      <c r="C199" s="52" t="s">
        <v>0</v>
      </c>
      <c r="D199" s="52" t="s">
        <v>5176</v>
      </c>
      <c r="E199" s="52" t="s">
        <v>2759</v>
      </c>
      <c r="F199" s="52" t="s">
        <v>2759</v>
      </c>
      <c r="G199" s="52" t="s">
        <v>1413</v>
      </c>
      <c r="H199" s="52" t="s">
        <v>1413</v>
      </c>
      <c r="I199" s="52" t="s">
        <v>0</v>
      </c>
      <c r="J199" s="52" t="s">
        <v>5292</v>
      </c>
      <c r="K199" s="52" t="s">
        <v>8324</v>
      </c>
      <c r="L199" s="52" t="s">
        <v>8406</v>
      </c>
      <c r="M199" s="52" t="s">
        <v>5831</v>
      </c>
      <c r="N199" s="52" t="s">
        <v>8265</v>
      </c>
      <c r="O199" s="52" t="s">
        <v>1586</v>
      </c>
      <c r="P199" s="52" t="s">
        <v>8627</v>
      </c>
      <c r="Q199" s="52" t="s">
        <v>9156</v>
      </c>
      <c r="R199" s="52" t="s">
        <v>3406</v>
      </c>
      <c r="S199" s="52" t="s">
        <v>8503</v>
      </c>
      <c r="T199" s="52" t="s">
        <v>5604</v>
      </c>
      <c r="U199" s="52" t="s">
        <v>5604</v>
      </c>
      <c r="V199" s="84"/>
      <c r="W199" s="52" t="s">
        <v>4423</v>
      </c>
      <c r="X199" s="84" t="s">
        <v>6460</v>
      </c>
      <c r="Y199" s="52" t="s">
        <v>0</v>
      </c>
      <c r="Z199" s="52" t="s">
        <v>0</v>
      </c>
      <c r="AA199" s="52" t="s">
        <v>2329</v>
      </c>
      <c r="AB199" s="52" t="s">
        <v>4736</v>
      </c>
      <c r="AC199" s="52" t="s">
        <v>4736</v>
      </c>
      <c r="AD199" s="52" t="s">
        <v>0</v>
      </c>
      <c r="AE199" s="52" t="s">
        <v>1711</v>
      </c>
      <c r="AF199" s="52" t="s">
        <v>1711</v>
      </c>
      <c r="AG199" s="52" t="s">
        <v>0</v>
      </c>
      <c r="AH199" s="186" t="s">
        <v>7110</v>
      </c>
      <c r="AI199" s="186" t="s">
        <v>7147</v>
      </c>
      <c r="AJ199" s="52" t="s">
        <v>6114</v>
      </c>
      <c r="AK199" s="52" t="s">
        <v>0</v>
      </c>
      <c r="AL199" s="52" t="s">
        <v>1869</v>
      </c>
      <c r="AM199" s="52" t="s">
        <v>5340</v>
      </c>
      <c r="AN199" s="52" t="s">
        <v>5340</v>
      </c>
      <c r="AO199" s="52" t="s">
        <v>4226</v>
      </c>
      <c r="AP199" s="52" t="s">
        <v>0</v>
      </c>
      <c r="AQ199" s="52" t="s">
        <v>6333</v>
      </c>
      <c r="AR199" s="52"/>
      <c r="AS199" s="52" t="s">
        <v>1025</v>
      </c>
      <c r="AT199" s="52" t="s">
        <v>1025</v>
      </c>
      <c r="AU199" s="52" t="s">
        <v>1025</v>
      </c>
      <c r="AV199" s="52" t="s">
        <v>4353</v>
      </c>
      <c r="AW199" s="52" t="s">
        <v>4353</v>
      </c>
      <c r="AX199" s="52" t="s">
        <v>1286</v>
      </c>
      <c r="AY199" s="52" t="s">
        <v>1286</v>
      </c>
      <c r="AZ199" s="52" t="s">
        <v>0</v>
      </c>
      <c r="BA199" s="52" t="s">
        <v>3626</v>
      </c>
      <c r="BB199" s="52" t="s">
        <v>3504</v>
      </c>
      <c r="BC199" s="52" t="s">
        <v>4841</v>
      </c>
      <c r="BD199" s="52" t="s">
        <v>7727</v>
      </c>
      <c r="BE199" s="52" t="s">
        <v>4923</v>
      </c>
      <c r="BF199" s="52" t="s">
        <v>7631</v>
      </c>
      <c r="BG199" s="52" t="s">
        <v>4841</v>
      </c>
      <c r="BH199" s="52" t="s">
        <v>7896</v>
      </c>
      <c r="BI199" s="52" t="s">
        <v>7823</v>
      </c>
      <c r="BJ199" s="52" t="s">
        <v>4988</v>
      </c>
      <c r="BK199" s="52"/>
      <c r="BL199" s="52"/>
      <c r="BM199" s="52" t="s">
        <v>0</v>
      </c>
      <c r="BN199" s="52" t="s">
        <v>3855</v>
      </c>
      <c r="BO199" s="52"/>
      <c r="BP199" s="52" t="s">
        <v>2225</v>
      </c>
      <c r="BQ199" s="52" t="s">
        <v>0</v>
      </c>
      <c r="BR199" s="52" t="s">
        <v>0</v>
      </c>
      <c r="BS199" s="52" t="s">
        <v>2678</v>
      </c>
      <c r="BT199" s="52" t="s">
        <v>2654</v>
      </c>
      <c r="BU199" s="84" t="s">
        <v>2840</v>
      </c>
      <c r="BV199" s="84"/>
      <c r="BW199" s="52"/>
      <c r="BX199" s="52" t="s">
        <v>0</v>
      </c>
      <c r="BY199" s="52" t="s">
        <v>3777</v>
      </c>
      <c r="BZ199" s="52" t="s">
        <v>6228</v>
      </c>
      <c r="CA199" s="52" t="s">
        <v>3101</v>
      </c>
      <c r="CB199" s="52" t="s">
        <v>3101</v>
      </c>
      <c r="CC199" s="52"/>
      <c r="CD199" s="52"/>
      <c r="CE199" s="52" t="s">
        <v>3213</v>
      </c>
      <c r="CF199" s="52" t="s">
        <v>2143</v>
      </c>
    </row>
    <row r="200" spans="1:84" ht="63">
      <c r="A200" s="82" t="s">
        <v>8895</v>
      </c>
      <c r="B200" s="200"/>
      <c r="C200" s="113"/>
      <c r="D200" s="113"/>
      <c r="E200" s="113"/>
      <c r="F200" s="113"/>
      <c r="G200" s="113"/>
      <c r="H200" s="113"/>
      <c r="I200" s="36" t="s">
        <v>0</v>
      </c>
      <c r="J200" s="113"/>
      <c r="K200" s="36" t="s">
        <v>8407</v>
      </c>
      <c r="L200" s="36" t="s">
        <v>8408</v>
      </c>
      <c r="M200" s="113"/>
      <c r="N200" s="36" t="s">
        <v>8407</v>
      </c>
      <c r="O200" s="114"/>
      <c r="P200" s="36" t="s">
        <v>8408</v>
      </c>
      <c r="Q200" s="36" t="s">
        <v>8408</v>
      </c>
      <c r="R200" s="113"/>
      <c r="S200" s="36" t="s">
        <v>8408</v>
      </c>
      <c r="T200" s="113"/>
      <c r="U200" s="113"/>
      <c r="V200" s="221"/>
      <c r="W200" s="113"/>
      <c r="X200" s="113"/>
      <c r="Y200" s="113"/>
      <c r="Z200" s="113"/>
      <c r="AA200" s="113"/>
      <c r="AB200" s="114"/>
      <c r="AC200" s="114"/>
      <c r="AD200" s="113"/>
      <c r="AE200" s="215"/>
      <c r="AF200" s="215"/>
      <c r="AG200" s="38" t="s">
        <v>0</v>
      </c>
      <c r="AH200" s="38" t="s">
        <v>6836</v>
      </c>
      <c r="AI200" s="38" t="s">
        <v>6836</v>
      </c>
      <c r="AJ200" s="215"/>
      <c r="AK200" s="215"/>
      <c r="AL200" s="215"/>
      <c r="AM200" s="113"/>
      <c r="AN200" s="113"/>
      <c r="AO200" s="114"/>
      <c r="AP200" s="114"/>
      <c r="AQ200" s="114"/>
      <c r="AR200" s="113"/>
      <c r="AS200" s="113"/>
      <c r="AT200" s="113"/>
      <c r="AU200" s="113"/>
      <c r="AV200" s="113"/>
      <c r="AW200" s="113"/>
      <c r="AX200" s="114"/>
      <c r="AY200" s="114"/>
      <c r="AZ200" s="114"/>
      <c r="BA200" s="114"/>
      <c r="BB200" s="114"/>
      <c r="BC200" s="114"/>
      <c r="BD200" s="36" t="s">
        <v>7728</v>
      </c>
      <c r="BE200" s="114"/>
      <c r="BF200" s="36" t="s">
        <v>0</v>
      </c>
      <c r="BG200" s="114"/>
      <c r="BH200" s="36" t="s">
        <v>7728</v>
      </c>
      <c r="BI200" s="36" t="s">
        <v>7728</v>
      </c>
      <c r="BJ200" s="114"/>
      <c r="BK200" s="113"/>
      <c r="BL200" s="114"/>
      <c r="BM200" s="113"/>
      <c r="BN200" s="114"/>
      <c r="BO200" s="114"/>
      <c r="BP200" s="113"/>
      <c r="BQ200" s="113"/>
      <c r="BR200" s="114"/>
      <c r="BS200" s="114"/>
      <c r="BT200" s="114"/>
      <c r="BU200" s="114"/>
      <c r="BV200" s="114"/>
      <c r="BW200" s="114"/>
      <c r="BX200" s="113"/>
      <c r="BY200" s="113"/>
      <c r="BZ200" s="113"/>
      <c r="CA200" s="114"/>
      <c r="CB200" s="114"/>
      <c r="CC200" s="113"/>
      <c r="CD200" s="113"/>
      <c r="CE200" s="114"/>
      <c r="CF200" s="113"/>
    </row>
    <row r="201" spans="1:84">
      <c r="A201" s="51" t="s">
        <v>935</v>
      </c>
      <c r="B201" s="51"/>
      <c r="C201" s="52"/>
      <c r="D201" s="52"/>
      <c r="E201" s="52"/>
      <c r="F201" s="52"/>
      <c r="G201" s="52"/>
      <c r="H201" s="52"/>
      <c r="I201" s="52" t="s">
        <v>0</v>
      </c>
      <c r="J201" s="52"/>
      <c r="K201" s="52" t="s">
        <v>8325</v>
      </c>
      <c r="L201" s="52" t="s">
        <v>8409</v>
      </c>
      <c r="M201" s="52"/>
      <c r="N201" s="52" t="s">
        <v>8266</v>
      </c>
      <c r="O201" s="52"/>
      <c r="P201" s="52" t="s">
        <v>8628</v>
      </c>
      <c r="Q201" s="52" t="s">
        <v>8628</v>
      </c>
      <c r="R201" s="52"/>
      <c r="S201" s="52" t="s">
        <v>8504</v>
      </c>
      <c r="T201" s="52"/>
      <c r="U201" s="52"/>
      <c r="V201" s="84"/>
      <c r="W201" s="52"/>
      <c r="X201" s="52"/>
      <c r="Y201" s="52"/>
      <c r="Z201" s="52"/>
      <c r="AA201" s="52"/>
      <c r="AB201" s="52"/>
      <c r="AC201" s="52"/>
      <c r="AD201" s="52"/>
      <c r="AE201" s="52"/>
      <c r="AF201" s="52"/>
      <c r="AG201" s="52" t="s">
        <v>0</v>
      </c>
      <c r="AH201" s="186" t="s">
        <v>7110</v>
      </c>
      <c r="AI201" s="186" t="s">
        <v>7147</v>
      </c>
      <c r="AJ201" s="52"/>
      <c r="AK201" s="52"/>
      <c r="AL201" s="52"/>
      <c r="AM201" s="52"/>
      <c r="AN201" s="52"/>
      <c r="AO201" s="52"/>
      <c r="AP201" s="52"/>
      <c r="AQ201" s="52"/>
      <c r="AR201" s="52"/>
      <c r="AS201" s="52"/>
      <c r="AT201" s="52"/>
      <c r="AU201" s="52"/>
      <c r="AV201" s="52"/>
      <c r="AW201" s="52"/>
      <c r="AX201" s="52"/>
      <c r="AY201" s="52"/>
      <c r="AZ201" s="52"/>
      <c r="BA201" s="52"/>
      <c r="BB201" s="52"/>
      <c r="BC201" s="52"/>
      <c r="BD201" s="52" t="s">
        <v>7729</v>
      </c>
      <c r="BE201" s="84"/>
      <c r="BF201" s="52" t="s">
        <v>0</v>
      </c>
      <c r="BG201" s="52"/>
      <c r="BH201" s="52" t="s">
        <v>7895</v>
      </c>
      <c r="BI201" s="52" t="s">
        <v>7824</v>
      </c>
      <c r="BJ201" s="52"/>
      <c r="BK201" s="52"/>
      <c r="BL201" s="52"/>
      <c r="BM201" s="52"/>
      <c r="BN201" s="52"/>
      <c r="BO201" s="52"/>
      <c r="BP201" s="52"/>
      <c r="BQ201" s="52"/>
      <c r="BR201" s="52"/>
      <c r="BS201" s="52"/>
      <c r="BT201" s="52"/>
      <c r="BU201" s="84"/>
      <c r="BV201" s="84"/>
      <c r="BW201" s="52"/>
      <c r="BX201" s="52"/>
      <c r="BY201" s="52"/>
      <c r="BZ201" s="52"/>
      <c r="CA201" s="52"/>
      <c r="CB201" s="52"/>
      <c r="CC201" s="52"/>
      <c r="CD201" s="52"/>
      <c r="CE201" s="52"/>
      <c r="CF201" s="52"/>
    </row>
    <row r="202" spans="1:84" ht="45">
      <c r="A202" s="89" t="s">
        <v>162</v>
      </c>
      <c r="B202" s="200"/>
      <c r="C202" s="38" t="s">
        <v>0</v>
      </c>
      <c r="D202" s="36" t="s">
        <v>5177</v>
      </c>
      <c r="E202" s="36" t="s">
        <v>3742</v>
      </c>
      <c r="F202" s="36" t="s">
        <v>2761</v>
      </c>
      <c r="G202" s="36" t="s">
        <v>5515</v>
      </c>
      <c r="H202" s="36" t="s">
        <v>5515</v>
      </c>
      <c r="I202" s="36" t="s">
        <v>0</v>
      </c>
      <c r="J202" s="36" t="s">
        <v>5294</v>
      </c>
      <c r="K202" s="36" t="s">
        <v>8326</v>
      </c>
      <c r="L202" s="36" t="s">
        <v>8410</v>
      </c>
      <c r="M202" s="36" t="s">
        <v>5804</v>
      </c>
      <c r="N202" s="36" t="s">
        <v>8264</v>
      </c>
      <c r="O202" s="36" t="s">
        <v>5777</v>
      </c>
      <c r="P202" s="36" t="s">
        <v>8629</v>
      </c>
      <c r="Q202" s="36" t="s">
        <v>8629</v>
      </c>
      <c r="R202" s="36" t="s">
        <v>5804</v>
      </c>
      <c r="S202" s="36" t="s">
        <v>8630</v>
      </c>
      <c r="T202" s="36" t="s">
        <v>5603</v>
      </c>
      <c r="U202" s="36" t="s">
        <v>5603</v>
      </c>
      <c r="V202" s="145" t="s">
        <v>5730</v>
      </c>
      <c r="W202" s="36" t="s">
        <v>4394</v>
      </c>
      <c r="X202" s="36" t="s">
        <v>6462</v>
      </c>
      <c r="Y202" s="36" t="s">
        <v>0</v>
      </c>
      <c r="Z202" s="36" t="s">
        <v>0</v>
      </c>
      <c r="AA202" s="36" t="s">
        <v>2367</v>
      </c>
      <c r="AB202" s="36" t="s">
        <v>4737</v>
      </c>
      <c r="AC202" s="36" t="s">
        <v>4738</v>
      </c>
      <c r="AD202" s="38" t="s">
        <v>0</v>
      </c>
      <c r="AE202" s="7" t="s">
        <v>836</v>
      </c>
      <c r="AF202" s="7" t="s">
        <v>3875</v>
      </c>
      <c r="AG202" s="38" t="s">
        <v>0</v>
      </c>
      <c r="AH202" s="36" t="s">
        <v>7112</v>
      </c>
      <c r="AI202" s="36" t="s">
        <v>7148</v>
      </c>
      <c r="AJ202" s="7" t="s">
        <v>3449</v>
      </c>
      <c r="AK202" s="7" t="s">
        <v>0</v>
      </c>
      <c r="AL202" s="37" t="s">
        <v>4172</v>
      </c>
      <c r="AM202" s="36" t="s">
        <v>5387</v>
      </c>
      <c r="AN202" s="36" t="s">
        <v>5388</v>
      </c>
      <c r="AO202" s="36" t="s">
        <v>4227</v>
      </c>
      <c r="AP202" s="36" t="s">
        <v>0</v>
      </c>
      <c r="AQ202" s="36" t="s">
        <v>6342</v>
      </c>
      <c r="AR202" s="36" t="s">
        <v>908</v>
      </c>
      <c r="AS202" s="36" t="s">
        <v>1941</v>
      </c>
      <c r="AT202" s="36" t="s">
        <v>1941</v>
      </c>
      <c r="AU202" s="36" t="s">
        <v>1941</v>
      </c>
      <c r="AV202" s="36" t="s">
        <v>4354</v>
      </c>
      <c r="AW202" s="36" t="s">
        <v>4354</v>
      </c>
      <c r="AX202" s="159" t="s">
        <v>1287</v>
      </c>
      <c r="AY202" s="36" t="s">
        <v>1292</v>
      </c>
      <c r="AZ202" s="36" t="s">
        <v>0</v>
      </c>
      <c r="BA202" s="36" t="s">
        <v>4484</v>
      </c>
      <c r="BB202" s="36" t="s">
        <v>4468</v>
      </c>
      <c r="BC202" s="36" t="s">
        <v>3072</v>
      </c>
      <c r="BD202" s="36" t="s">
        <v>7730</v>
      </c>
      <c r="BE202" s="36" t="s">
        <v>4925</v>
      </c>
      <c r="BF202" s="36" t="s">
        <v>7637</v>
      </c>
      <c r="BG202" s="36" t="s">
        <v>3072</v>
      </c>
      <c r="BH202" s="36" t="s">
        <v>859</v>
      </c>
      <c r="BI202" s="36" t="s">
        <v>7795</v>
      </c>
      <c r="BJ202" s="36" t="s">
        <v>4989</v>
      </c>
      <c r="BK202" s="36" t="s">
        <v>554</v>
      </c>
      <c r="BL202" s="36" t="s">
        <v>4470</v>
      </c>
      <c r="BM202" s="38" t="s">
        <v>0</v>
      </c>
      <c r="BN202" s="36" t="s">
        <v>3857</v>
      </c>
      <c r="BO202" s="36"/>
      <c r="BP202" s="36" t="s">
        <v>2226</v>
      </c>
      <c r="BQ202" s="36" t="s">
        <v>0</v>
      </c>
      <c r="BR202" s="38" t="s">
        <v>0</v>
      </c>
      <c r="BS202" s="36" t="s">
        <v>4823</v>
      </c>
      <c r="BT202" s="36" t="s">
        <v>2658</v>
      </c>
      <c r="BU202" s="36" t="s">
        <v>5094</v>
      </c>
      <c r="BV202" s="36" t="s">
        <v>4472</v>
      </c>
      <c r="BW202" s="36" t="s">
        <v>4473</v>
      </c>
      <c r="BX202" s="36" t="s">
        <v>0</v>
      </c>
      <c r="BY202" s="36" t="s">
        <v>3776</v>
      </c>
      <c r="BZ202" s="36" t="s">
        <v>0</v>
      </c>
      <c r="CA202" s="36" t="s">
        <v>3102</v>
      </c>
      <c r="CB202" s="36" t="s">
        <v>3102</v>
      </c>
      <c r="CC202" s="36" t="s">
        <v>0</v>
      </c>
      <c r="CD202" s="36" t="s">
        <v>1414</v>
      </c>
      <c r="CE202" s="36" t="s">
        <v>3214</v>
      </c>
      <c r="CF202" s="36" t="s">
        <v>832</v>
      </c>
    </row>
    <row r="203" spans="1:84" ht="18">
      <c r="A203" s="51" t="s">
        <v>935</v>
      </c>
      <c r="B203" s="51"/>
      <c r="C203" s="52" t="s">
        <v>0</v>
      </c>
      <c r="D203" s="52" t="s">
        <v>5176</v>
      </c>
      <c r="E203" s="52" t="s">
        <v>2759</v>
      </c>
      <c r="F203" s="52" t="s">
        <v>2759</v>
      </c>
      <c r="G203" s="52" t="s">
        <v>1413</v>
      </c>
      <c r="H203" s="52" t="s">
        <v>1413</v>
      </c>
      <c r="I203" s="52" t="s">
        <v>0</v>
      </c>
      <c r="J203" s="52" t="s">
        <v>5293</v>
      </c>
      <c r="K203" s="52" t="s">
        <v>8327</v>
      </c>
      <c r="L203" s="52" t="s">
        <v>8411</v>
      </c>
      <c r="M203" s="52" t="s">
        <v>5830</v>
      </c>
      <c r="N203" s="52" t="s">
        <v>8267</v>
      </c>
      <c r="O203" s="52" t="s">
        <v>1586</v>
      </c>
      <c r="P203" s="52" t="s">
        <v>8631</v>
      </c>
      <c r="Q203" s="52" t="s">
        <v>8631</v>
      </c>
      <c r="R203" s="52" t="s">
        <v>3407</v>
      </c>
      <c r="S203" s="52" t="s">
        <v>8502</v>
      </c>
      <c r="T203" s="52" t="s">
        <v>5604</v>
      </c>
      <c r="U203" s="52" t="s">
        <v>5604</v>
      </c>
      <c r="V203" s="84"/>
      <c r="W203" s="52" t="s">
        <v>4423</v>
      </c>
      <c r="X203" s="84" t="s">
        <v>6460</v>
      </c>
      <c r="Y203" s="52" t="s">
        <v>2329</v>
      </c>
      <c r="Z203" s="52" t="s">
        <v>2329</v>
      </c>
      <c r="AA203" s="52" t="s">
        <v>2329</v>
      </c>
      <c r="AB203" s="52" t="s">
        <v>4739</v>
      </c>
      <c r="AC203" s="52" t="s">
        <v>4739</v>
      </c>
      <c r="AD203" s="52" t="s">
        <v>0</v>
      </c>
      <c r="AE203" s="52" t="s">
        <v>5994</v>
      </c>
      <c r="AF203" s="52" t="s">
        <v>5972</v>
      </c>
      <c r="AG203" s="52" t="s">
        <v>0</v>
      </c>
      <c r="AH203" s="186" t="s">
        <v>7111</v>
      </c>
      <c r="AI203" s="186" t="s">
        <v>7149</v>
      </c>
      <c r="AJ203" s="52" t="s">
        <v>6114</v>
      </c>
      <c r="AK203" s="52" t="s">
        <v>0</v>
      </c>
      <c r="AL203" s="52" t="s">
        <v>1869</v>
      </c>
      <c r="AM203" s="52" t="s">
        <v>5340</v>
      </c>
      <c r="AN203" s="52" t="s">
        <v>5389</v>
      </c>
      <c r="AO203" s="52" t="s">
        <v>4226</v>
      </c>
      <c r="AP203" s="52" t="s">
        <v>0</v>
      </c>
      <c r="AQ203" s="52" t="s">
        <v>6333</v>
      </c>
      <c r="AR203" s="52"/>
      <c r="AS203" s="52" t="s">
        <v>6368</v>
      </c>
      <c r="AT203" s="52" t="s">
        <v>6368</v>
      </c>
      <c r="AU203" s="52" t="s">
        <v>6368</v>
      </c>
      <c r="AV203" s="52" t="s">
        <v>4353</v>
      </c>
      <c r="AW203" s="52" t="s">
        <v>4353</v>
      </c>
      <c r="AX203" s="52" t="s">
        <v>1288</v>
      </c>
      <c r="AY203" s="52" t="s">
        <v>1286</v>
      </c>
      <c r="AZ203" s="52" t="s">
        <v>0</v>
      </c>
      <c r="BA203" s="52" t="s">
        <v>4538</v>
      </c>
      <c r="BB203" s="52" t="s">
        <v>3505</v>
      </c>
      <c r="BC203" s="52" t="s">
        <v>4840</v>
      </c>
      <c r="BD203" s="52" t="s">
        <v>7732</v>
      </c>
      <c r="BE203" s="52" t="s">
        <v>4924</v>
      </c>
      <c r="BF203" s="52" t="s">
        <v>7632</v>
      </c>
      <c r="BG203" s="52" t="s">
        <v>4840</v>
      </c>
      <c r="BH203" s="52" t="s">
        <v>7897</v>
      </c>
      <c r="BI203" s="52" t="s">
        <v>7825</v>
      </c>
      <c r="BJ203" s="52" t="s">
        <v>2257</v>
      </c>
      <c r="BK203" s="52"/>
      <c r="BL203" s="52"/>
      <c r="BM203" s="52" t="s">
        <v>0</v>
      </c>
      <c r="BN203" s="52" t="s">
        <v>3855</v>
      </c>
      <c r="BO203" s="52"/>
      <c r="BP203" s="52" t="s">
        <v>2227</v>
      </c>
      <c r="BQ203" s="52" t="s">
        <v>0</v>
      </c>
      <c r="BR203" s="52" t="s">
        <v>0</v>
      </c>
      <c r="BS203" s="52" t="s">
        <v>2678</v>
      </c>
      <c r="BT203" s="52" t="s">
        <v>2654</v>
      </c>
      <c r="BU203" s="84" t="s">
        <v>2840</v>
      </c>
      <c r="BV203" s="84"/>
      <c r="BW203" s="52"/>
      <c r="BX203" s="52" t="s">
        <v>0</v>
      </c>
      <c r="BY203" s="52" t="s">
        <v>3775</v>
      </c>
      <c r="BZ203" s="52" t="s">
        <v>6228</v>
      </c>
      <c r="CA203" s="52" t="s">
        <v>3103</v>
      </c>
      <c r="CB203" s="52" t="s">
        <v>3103</v>
      </c>
      <c r="CC203" s="52"/>
      <c r="CD203" s="52"/>
      <c r="CE203" s="52" t="s">
        <v>3213</v>
      </c>
      <c r="CF203" s="52" t="s">
        <v>2142</v>
      </c>
    </row>
    <row r="204" spans="1:84" ht="45">
      <c r="A204" s="89" t="s">
        <v>163</v>
      </c>
      <c r="B204" s="200"/>
      <c r="C204" s="38" t="s">
        <v>0</v>
      </c>
      <c r="D204" s="36" t="s">
        <v>5178</v>
      </c>
      <c r="E204" s="38" t="s">
        <v>0</v>
      </c>
      <c r="F204" s="38" t="s">
        <v>0</v>
      </c>
      <c r="G204" s="38" t="s">
        <v>0</v>
      </c>
      <c r="H204" s="38" t="s">
        <v>0</v>
      </c>
      <c r="I204" s="36" t="s">
        <v>0</v>
      </c>
      <c r="J204" s="38" t="s">
        <v>0</v>
      </c>
      <c r="K204" s="36" t="s">
        <v>0</v>
      </c>
      <c r="L204" s="36" t="s">
        <v>0</v>
      </c>
      <c r="M204" s="38" t="s">
        <v>0</v>
      </c>
      <c r="N204" s="36" t="s">
        <v>0</v>
      </c>
      <c r="O204" s="38" t="s">
        <v>0</v>
      </c>
      <c r="P204" s="36" t="s">
        <v>0</v>
      </c>
      <c r="Q204" s="36" t="s">
        <v>0</v>
      </c>
      <c r="R204" s="38" t="s">
        <v>0</v>
      </c>
      <c r="S204" s="36" t="s">
        <v>0</v>
      </c>
      <c r="T204" s="38" t="s">
        <v>223</v>
      </c>
      <c r="U204" s="38" t="s">
        <v>5605</v>
      </c>
      <c r="V204" s="145" t="s">
        <v>5730</v>
      </c>
      <c r="W204" s="38" t="s">
        <v>0</v>
      </c>
      <c r="X204" s="36" t="s">
        <v>6461</v>
      </c>
      <c r="Y204" s="38" t="s">
        <v>0</v>
      </c>
      <c r="Z204" s="38" t="s">
        <v>0</v>
      </c>
      <c r="AA204" s="38" t="s">
        <v>0</v>
      </c>
      <c r="AB204" s="38" t="s">
        <v>0</v>
      </c>
      <c r="AC204" s="38" t="s">
        <v>0</v>
      </c>
      <c r="AD204" s="38" t="s">
        <v>0</v>
      </c>
      <c r="AE204" s="7" t="s">
        <v>836</v>
      </c>
      <c r="AF204" s="7" t="s">
        <v>3875</v>
      </c>
      <c r="AG204" s="38" t="s">
        <v>0</v>
      </c>
      <c r="AH204" s="38" t="s">
        <v>859</v>
      </c>
      <c r="AI204" s="36" t="s">
        <v>5529</v>
      </c>
      <c r="AJ204" s="7" t="s">
        <v>0</v>
      </c>
      <c r="AK204" s="7" t="s">
        <v>0</v>
      </c>
      <c r="AL204" s="7" t="s">
        <v>0</v>
      </c>
      <c r="AM204" s="36" t="s">
        <v>5341</v>
      </c>
      <c r="AN204" s="36" t="s">
        <v>5368</v>
      </c>
      <c r="AO204" s="38" t="s">
        <v>0</v>
      </c>
      <c r="AP204" s="38" t="s">
        <v>0</v>
      </c>
      <c r="AQ204" s="38" t="s">
        <v>0</v>
      </c>
      <c r="AR204" s="38" t="s">
        <v>0</v>
      </c>
      <c r="AS204" s="36" t="s">
        <v>1941</v>
      </c>
      <c r="AT204" s="36" t="s">
        <v>1941</v>
      </c>
      <c r="AU204" s="36" t="s">
        <v>1941</v>
      </c>
      <c r="AV204" s="36" t="s">
        <v>4355</v>
      </c>
      <c r="AW204" s="36" t="s">
        <v>4355</v>
      </c>
      <c r="AX204" s="38" t="s">
        <v>0</v>
      </c>
      <c r="AY204" s="38" t="s">
        <v>0</v>
      </c>
      <c r="AZ204" s="36" t="s">
        <v>0</v>
      </c>
      <c r="BA204" s="36" t="s">
        <v>4485</v>
      </c>
      <c r="BB204" s="36" t="s">
        <v>4469</v>
      </c>
      <c r="BC204" s="36" t="s">
        <v>3072</v>
      </c>
      <c r="BD204" s="36" t="s">
        <v>7827</v>
      </c>
      <c r="BE204" s="36" t="s">
        <v>4926</v>
      </c>
      <c r="BF204" s="36" t="s">
        <v>7637</v>
      </c>
      <c r="BG204" s="36" t="s">
        <v>3072</v>
      </c>
      <c r="BH204" s="36" t="s">
        <v>7898</v>
      </c>
      <c r="BI204" s="36" t="s">
        <v>7826</v>
      </c>
      <c r="BJ204" s="36" t="s">
        <v>4989</v>
      </c>
      <c r="BK204" s="159" t="s">
        <v>555</v>
      </c>
      <c r="BL204" s="36" t="s">
        <v>556</v>
      </c>
      <c r="BM204" s="38" t="s">
        <v>0</v>
      </c>
      <c r="BN204" s="38" t="s">
        <v>0</v>
      </c>
      <c r="BO204" s="38"/>
      <c r="BP204" s="38" t="s">
        <v>0</v>
      </c>
      <c r="BQ204" s="38" t="s">
        <v>0</v>
      </c>
      <c r="BR204" s="38" t="s">
        <v>0</v>
      </c>
      <c r="BS204" s="38" t="s">
        <v>0</v>
      </c>
      <c r="BT204" s="38" t="s">
        <v>0</v>
      </c>
      <c r="BU204" s="36" t="s">
        <v>5093</v>
      </c>
      <c r="BV204" s="36" t="s">
        <v>4476</v>
      </c>
      <c r="BW204" s="36" t="s">
        <v>4477</v>
      </c>
      <c r="BX204" s="36" t="s">
        <v>0</v>
      </c>
      <c r="BY204" s="36" t="s">
        <v>0</v>
      </c>
      <c r="BZ204" s="36" t="s">
        <v>0</v>
      </c>
      <c r="CA204" s="38" t="s">
        <v>0</v>
      </c>
      <c r="CB204" s="38" t="s">
        <v>0</v>
      </c>
      <c r="CC204" s="38" t="s">
        <v>0</v>
      </c>
      <c r="CD204" s="38" t="s">
        <v>0</v>
      </c>
      <c r="CE204" s="38" t="s">
        <v>0</v>
      </c>
      <c r="CF204" s="38" t="s">
        <v>0</v>
      </c>
    </row>
    <row r="205" spans="1:84" ht="18">
      <c r="A205" s="51" t="s">
        <v>935</v>
      </c>
      <c r="B205" s="51"/>
      <c r="C205" s="52" t="s">
        <v>0</v>
      </c>
      <c r="D205" s="52" t="s">
        <v>5176</v>
      </c>
      <c r="E205" s="52" t="s">
        <v>0</v>
      </c>
      <c r="F205" s="52" t="s">
        <v>0</v>
      </c>
      <c r="G205" s="52" t="s">
        <v>0</v>
      </c>
      <c r="H205" s="52" t="s">
        <v>0</v>
      </c>
      <c r="I205" s="84" t="s">
        <v>0</v>
      </c>
      <c r="J205" s="52" t="s">
        <v>0</v>
      </c>
      <c r="K205" s="84" t="s">
        <v>0</v>
      </c>
      <c r="L205" s="84" t="s">
        <v>0</v>
      </c>
      <c r="M205" s="52" t="s">
        <v>0</v>
      </c>
      <c r="N205" s="84" t="s">
        <v>0</v>
      </c>
      <c r="O205" s="52" t="s">
        <v>0</v>
      </c>
      <c r="P205" s="84" t="s">
        <v>0</v>
      </c>
      <c r="Q205" s="84" t="s">
        <v>0</v>
      </c>
      <c r="R205" s="52" t="s">
        <v>0</v>
      </c>
      <c r="S205" s="84" t="s">
        <v>0</v>
      </c>
      <c r="T205" s="52" t="s">
        <v>5571</v>
      </c>
      <c r="U205" s="52" t="s">
        <v>5571</v>
      </c>
      <c r="V205" s="84"/>
      <c r="W205" s="52" t="s">
        <v>4423</v>
      </c>
      <c r="X205" s="84" t="s">
        <v>6460</v>
      </c>
      <c r="Y205" s="52" t="s">
        <v>0</v>
      </c>
      <c r="Z205" s="52" t="s">
        <v>0</v>
      </c>
      <c r="AA205" s="52" t="s">
        <v>0</v>
      </c>
      <c r="AB205" s="52" t="s">
        <v>0</v>
      </c>
      <c r="AC205" s="52" t="s">
        <v>0</v>
      </c>
      <c r="AD205" s="52" t="s">
        <v>0</v>
      </c>
      <c r="AE205" s="52" t="s">
        <v>5994</v>
      </c>
      <c r="AF205" s="52" t="s">
        <v>5972</v>
      </c>
      <c r="AG205" s="52" t="s">
        <v>0</v>
      </c>
      <c r="AH205" s="186" t="s">
        <v>7113</v>
      </c>
      <c r="AI205" s="186" t="s">
        <v>7149</v>
      </c>
      <c r="AJ205" s="52" t="s">
        <v>6098</v>
      </c>
      <c r="AK205" s="52" t="s">
        <v>0</v>
      </c>
      <c r="AL205" s="52" t="s">
        <v>0</v>
      </c>
      <c r="AM205" s="52" t="s">
        <v>5340</v>
      </c>
      <c r="AN205" s="52" t="s">
        <v>5389</v>
      </c>
      <c r="AO205" s="52" t="s">
        <v>4226</v>
      </c>
      <c r="AP205" s="52" t="s">
        <v>0</v>
      </c>
      <c r="AQ205" s="52" t="s">
        <v>0</v>
      </c>
      <c r="AR205" s="52"/>
      <c r="AS205" s="52" t="s">
        <v>1940</v>
      </c>
      <c r="AT205" s="52" t="s">
        <v>1940</v>
      </c>
      <c r="AU205" s="52" t="s">
        <v>1940</v>
      </c>
      <c r="AV205" s="52" t="s">
        <v>4353</v>
      </c>
      <c r="AW205" s="52" t="s">
        <v>4353</v>
      </c>
      <c r="AX205" s="52" t="s">
        <v>0</v>
      </c>
      <c r="AY205" s="52" t="s">
        <v>0</v>
      </c>
      <c r="AZ205" s="52" t="s">
        <v>0</v>
      </c>
      <c r="BA205" s="52" t="s">
        <v>4539</v>
      </c>
      <c r="BB205" s="52" t="s">
        <v>4467</v>
      </c>
      <c r="BC205" s="52" t="s">
        <v>4840</v>
      </c>
      <c r="BD205" s="52" t="s">
        <v>7731</v>
      </c>
      <c r="BE205" s="52" t="s">
        <v>4924</v>
      </c>
      <c r="BF205" s="52" t="s">
        <v>7632</v>
      </c>
      <c r="BG205" s="52" t="s">
        <v>4840</v>
      </c>
      <c r="BH205" s="52" t="s">
        <v>7897</v>
      </c>
      <c r="BI205" s="52" t="s">
        <v>7825</v>
      </c>
      <c r="BJ205" s="52" t="s">
        <v>2257</v>
      </c>
      <c r="BK205" s="52"/>
      <c r="BL205" s="52"/>
      <c r="BM205" s="52" t="s">
        <v>0</v>
      </c>
      <c r="BN205" s="52" t="s">
        <v>0</v>
      </c>
      <c r="BO205" s="52"/>
      <c r="BP205" s="52" t="s">
        <v>0</v>
      </c>
      <c r="BQ205" s="52" t="s">
        <v>0</v>
      </c>
      <c r="BR205" s="52" t="s">
        <v>0</v>
      </c>
      <c r="BS205" s="52" t="s">
        <v>0</v>
      </c>
      <c r="BT205" s="52" t="s">
        <v>0</v>
      </c>
      <c r="BU205" s="84" t="s">
        <v>2840</v>
      </c>
      <c r="BV205" s="84"/>
      <c r="BW205" s="52"/>
      <c r="BX205" s="52" t="s">
        <v>0</v>
      </c>
      <c r="BY205" s="52" t="s">
        <v>0</v>
      </c>
      <c r="BZ205" s="52" t="s">
        <v>0</v>
      </c>
      <c r="CA205" s="52" t="s">
        <v>0</v>
      </c>
      <c r="CB205" s="52" t="s">
        <v>0</v>
      </c>
      <c r="CC205" s="52"/>
      <c r="CD205" s="52"/>
      <c r="CE205" s="52" t="s">
        <v>0</v>
      </c>
      <c r="CF205" s="52" t="s">
        <v>0</v>
      </c>
    </row>
    <row r="206" spans="1:84">
      <c r="A206" s="183" t="s">
        <v>6625</v>
      </c>
      <c r="B206" s="183"/>
      <c r="C206" s="38"/>
      <c r="D206" s="38"/>
      <c r="E206" s="38"/>
      <c r="F206" s="38"/>
      <c r="G206" s="38"/>
      <c r="H206" s="38"/>
      <c r="I206" s="183"/>
      <c r="J206" s="38"/>
      <c r="K206" s="183"/>
      <c r="L206" s="183"/>
      <c r="M206" s="38"/>
      <c r="N206" s="183"/>
      <c r="O206" s="38"/>
      <c r="P206" s="183"/>
      <c r="Q206" s="183"/>
      <c r="R206" s="38"/>
      <c r="S206" s="183"/>
      <c r="T206" s="38"/>
      <c r="U206" s="38"/>
      <c r="V206" s="145"/>
      <c r="W206" s="38"/>
      <c r="X206" s="38"/>
      <c r="Y206" s="38"/>
      <c r="Z206" s="38"/>
      <c r="AA206" s="38"/>
      <c r="AB206" s="36"/>
      <c r="AC206" s="36"/>
      <c r="AD206" s="38"/>
      <c r="AE206" s="7"/>
      <c r="AF206" s="34"/>
      <c r="AG206" s="183"/>
      <c r="AH206" s="183"/>
      <c r="AI206" s="183"/>
      <c r="AJ206" s="36"/>
      <c r="AK206" s="7"/>
      <c r="AL206" s="7"/>
      <c r="AM206" s="38"/>
      <c r="AN206" s="38"/>
      <c r="AO206" s="38"/>
      <c r="AP206" s="38"/>
      <c r="AQ206" s="36"/>
      <c r="AR206" s="38"/>
      <c r="AS206" s="38"/>
      <c r="AT206" s="38"/>
      <c r="AU206" s="38"/>
      <c r="AV206" s="38"/>
      <c r="AW206" s="38"/>
      <c r="AX206" s="38"/>
      <c r="AY206" s="38"/>
      <c r="AZ206" s="36"/>
      <c r="BA206" s="36"/>
      <c r="BB206" s="38"/>
      <c r="BC206" s="36"/>
      <c r="BD206" s="183"/>
      <c r="BE206" s="36"/>
      <c r="BF206" s="183"/>
      <c r="BG206" s="36"/>
      <c r="BH206" s="183"/>
      <c r="BI206" s="183"/>
      <c r="BJ206" s="38"/>
      <c r="BK206" s="36"/>
      <c r="BL206" s="36"/>
      <c r="BM206" s="38"/>
      <c r="BN206" s="38"/>
      <c r="BO206" s="38"/>
      <c r="BP206" s="38"/>
      <c r="BQ206" s="38"/>
      <c r="BR206" s="36"/>
      <c r="BS206" s="36"/>
      <c r="BT206" s="36"/>
      <c r="BU206" s="36"/>
      <c r="BV206" s="36"/>
      <c r="BW206" s="36"/>
      <c r="BX206" s="38"/>
      <c r="BY206" s="38"/>
      <c r="BZ206" s="38"/>
      <c r="CA206" s="183"/>
      <c r="CB206" s="183"/>
      <c r="CC206" s="38"/>
      <c r="CD206" s="38"/>
      <c r="CE206" s="38"/>
      <c r="CF206" s="38"/>
    </row>
    <row r="207" spans="1:84" ht="90">
      <c r="A207" s="81" t="s">
        <v>6712</v>
      </c>
      <c r="B207" s="200" t="s">
        <v>6713</v>
      </c>
      <c r="C207" s="114"/>
      <c r="D207" s="114"/>
      <c r="E207" s="114"/>
      <c r="F207" s="114"/>
      <c r="G207" s="114"/>
      <c r="H207" s="114"/>
      <c r="I207" s="36" t="s">
        <v>0</v>
      </c>
      <c r="J207" s="114"/>
      <c r="K207" s="36" t="s">
        <v>0</v>
      </c>
      <c r="L207" s="36" t="s">
        <v>8692</v>
      </c>
      <c r="M207" s="114"/>
      <c r="N207" s="36" t="s">
        <v>0</v>
      </c>
      <c r="O207" s="114"/>
      <c r="P207" s="36" t="s">
        <v>8694</v>
      </c>
      <c r="Q207" s="36" t="s">
        <v>8694</v>
      </c>
      <c r="R207" s="114"/>
      <c r="S207" s="36" t="s">
        <v>8693</v>
      </c>
      <c r="T207" s="114"/>
      <c r="U207" s="114"/>
      <c r="V207" s="221"/>
      <c r="W207" s="114"/>
      <c r="X207" s="114"/>
      <c r="Y207" s="114"/>
      <c r="Z207" s="114"/>
      <c r="AA207" s="114"/>
      <c r="AB207" s="114"/>
      <c r="AC207" s="114"/>
      <c r="AD207" s="114"/>
      <c r="AE207" s="215"/>
      <c r="AF207" s="215"/>
      <c r="AG207" s="38" t="s">
        <v>0</v>
      </c>
      <c r="AH207" s="38" t="s">
        <v>0</v>
      </c>
      <c r="AI207" s="38" t="s">
        <v>0</v>
      </c>
      <c r="AJ207" s="225"/>
      <c r="AK207" s="215"/>
      <c r="AL207" s="215"/>
      <c r="AM207" s="114"/>
      <c r="AN207" s="114"/>
      <c r="AO207" s="114"/>
      <c r="AP207" s="114"/>
      <c r="AQ207" s="114"/>
      <c r="AR207" s="114"/>
      <c r="AS207" s="114"/>
      <c r="AT207" s="114"/>
      <c r="AU207" s="114"/>
      <c r="AV207" s="114"/>
      <c r="AW207" s="114"/>
      <c r="AX207" s="114"/>
      <c r="AY207" s="114"/>
      <c r="AZ207" s="114"/>
      <c r="BA207" s="114"/>
      <c r="BB207" s="114"/>
      <c r="BC207" s="114"/>
      <c r="BD207" s="38" t="s">
        <v>0</v>
      </c>
      <c r="BE207" s="114"/>
      <c r="BF207" s="36" t="s">
        <v>7633</v>
      </c>
      <c r="BG207" s="114"/>
      <c r="BH207" s="36" t="s">
        <v>0</v>
      </c>
      <c r="BI207" s="36" t="s">
        <v>0</v>
      </c>
      <c r="BJ207" s="114"/>
      <c r="BK207" s="114"/>
      <c r="BL207" s="114"/>
      <c r="BM207" s="114"/>
      <c r="BN207" s="114"/>
      <c r="BO207" s="114"/>
      <c r="BP207" s="114"/>
      <c r="BQ207" s="114"/>
      <c r="BR207" s="114"/>
      <c r="BS207" s="114"/>
      <c r="BT207" s="114"/>
      <c r="BU207" s="114"/>
      <c r="BV207" s="114"/>
      <c r="BW207" s="114"/>
      <c r="BX207" s="114"/>
      <c r="BY207" s="114"/>
      <c r="BZ207" s="114"/>
      <c r="CA207" s="114"/>
      <c r="CB207" s="114"/>
      <c r="CC207" s="114"/>
      <c r="CD207" s="114"/>
      <c r="CE207" s="114"/>
      <c r="CF207" s="114"/>
    </row>
    <row r="208" spans="1:84" ht="18">
      <c r="A208" s="51" t="s">
        <v>935</v>
      </c>
      <c r="B208" s="51"/>
      <c r="C208" s="52"/>
      <c r="D208" s="52"/>
      <c r="E208" s="52"/>
      <c r="F208" s="52"/>
      <c r="G208" s="52"/>
      <c r="H208" s="52"/>
      <c r="I208" s="84" t="s">
        <v>0</v>
      </c>
      <c r="J208" s="52"/>
      <c r="K208" s="84" t="s">
        <v>0</v>
      </c>
      <c r="L208" s="84" t="s">
        <v>8697</v>
      </c>
      <c r="M208" s="52"/>
      <c r="N208" s="84" t="s">
        <v>0</v>
      </c>
      <c r="O208" s="52"/>
      <c r="P208" s="84" t="s">
        <v>8695</v>
      </c>
      <c r="Q208" s="84" t="s">
        <v>8695</v>
      </c>
      <c r="R208" s="52"/>
      <c r="S208" s="84" t="s">
        <v>8696</v>
      </c>
      <c r="T208" s="52"/>
      <c r="U208" s="52"/>
      <c r="V208" s="84"/>
      <c r="W208" s="52"/>
      <c r="X208" s="52"/>
      <c r="Y208" s="52"/>
      <c r="Z208" s="52"/>
      <c r="AA208" s="52"/>
      <c r="AB208" s="52"/>
      <c r="AC208" s="52"/>
      <c r="AD208" s="52"/>
      <c r="AE208" s="52"/>
      <c r="AF208" s="52"/>
      <c r="AG208" s="186" t="s">
        <v>0</v>
      </c>
      <c r="AH208" s="186" t="s">
        <v>0</v>
      </c>
      <c r="AI208" s="186" t="s">
        <v>0</v>
      </c>
      <c r="AJ208" s="52"/>
      <c r="AK208" s="52"/>
      <c r="AL208" s="52"/>
      <c r="AM208" s="52"/>
      <c r="AN208" s="52"/>
      <c r="AO208" s="52"/>
      <c r="AP208" s="52"/>
      <c r="AQ208" s="52"/>
      <c r="AR208" s="52"/>
      <c r="AS208" s="52"/>
      <c r="AT208" s="52"/>
      <c r="AU208" s="52"/>
      <c r="AV208" s="52"/>
      <c r="AW208" s="52"/>
      <c r="AX208" s="52"/>
      <c r="AY208" s="52"/>
      <c r="AZ208" s="52"/>
      <c r="BA208" s="52"/>
      <c r="BB208" s="52"/>
      <c r="BC208" s="52"/>
      <c r="BD208" s="186" t="s">
        <v>0</v>
      </c>
      <c r="BE208" s="52"/>
      <c r="BF208" s="186" t="s">
        <v>7634</v>
      </c>
      <c r="BG208" s="52"/>
      <c r="BH208" s="186" t="s">
        <v>0</v>
      </c>
      <c r="BI208" s="186" t="s">
        <v>0</v>
      </c>
      <c r="BJ208" s="52"/>
      <c r="BK208" s="52"/>
      <c r="BL208" s="52"/>
      <c r="BM208" s="52"/>
      <c r="BN208" s="52"/>
      <c r="BO208" s="52"/>
      <c r="BP208" s="52"/>
      <c r="BQ208" s="52"/>
      <c r="BR208" s="52"/>
      <c r="BS208" s="52"/>
      <c r="BT208" s="52"/>
      <c r="BU208" s="84"/>
      <c r="BV208" s="84"/>
      <c r="BW208" s="52"/>
      <c r="BX208" s="52"/>
      <c r="BY208" s="52"/>
      <c r="BZ208" s="52"/>
      <c r="CA208" s="52"/>
      <c r="CB208" s="52"/>
      <c r="CC208" s="52"/>
      <c r="CD208" s="52"/>
      <c r="CE208" s="52"/>
      <c r="CF208" s="52"/>
    </row>
    <row r="209" spans="1:84" ht="54">
      <c r="A209" s="6" t="s">
        <v>6963</v>
      </c>
      <c r="B209" s="200" t="s">
        <v>6945</v>
      </c>
      <c r="C209" s="36" t="s">
        <v>5201</v>
      </c>
      <c r="D209" s="36" t="s">
        <v>5173</v>
      </c>
      <c r="E209" s="36" t="s">
        <v>430</v>
      </c>
      <c r="F209" s="36" t="s">
        <v>430</v>
      </c>
      <c r="G209" s="38" t="s">
        <v>56</v>
      </c>
      <c r="H209" s="36" t="s">
        <v>245</v>
      </c>
      <c r="I209" s="36" t="s">
        <v>8898</v>
      </c>
      <c r="J209" s="36" t="s">
        <v>0</v>
      </c>
      <c r="K209" s="36" t="s">
        <v>8898</v>
      </c>
      <c r="L209" s="36" t="s">
        <v>8897</v>
      </c>
      <c r="M209" s="36" t="s">
        <v>5829</v>
      </c>
      <c r="N209" s="36" t="s">
        <v>8898</v>
      </c>
      <c r="O209" s="36" t="s">
        <v>5775</v>
      </c>
      <c r="P209" s="36" t="s">
        <v>8896</v>
      </c>
      <c r="Q209" s="36" t="s">
        <v>9147</v>
      </c>
      <c r="R209" s="36" t="s">
        <v>5803</v>
      </c>
      <c r="S209" s="36" t="s">
        <v>8897</v>
      </c>
      <c r="T209" s="36" t="s">
        <v>3270</v>
      </c>
      <c r="U209" s="36" t="s">
        <v>3270</v>
      </c>
      <c r="V209" s="145" t="s">
        <v>5728</v>
      </c>
      <c r="W209" s="36" t="s">
        <v>4451</v>
      </c>
      <c r="X209" s="36" t="s">
        <v>6400</v>
      </c>
      <c r="Y209" s="36" t="s">
        <v>0</v>
      </c>
      <c r="Z209" s="7" t="s">
        <v>2364</v>
      </c>
      <c r="AA209" s="7" t="s">
        <v>430</v>
      </c>
      <c r="AB209" s="36" t="s">
        <v>4728</v>
      </c>
      <c r="AC209" s="36" t="s">
        <v>4800</v>
      </c>
      <c r="AD209" s="36" t="s">
        <v>4727</v>
      </c>
      <c r="AE209" s="7" t="s">
        <v>430</v>
      </c>
      <c r="AF209" s="7" t="s">
        <v>5990</v>
      </c>
      <c r="AG209" s="36" t="s">
        <v>7187</v>
      </c>
      <c r="AH209" s="36" t="s">
        <v>7187</v>
      </c>
      <c r="AI209" s="7" t="s">
        <v>7189</v>
      </c>
      <c r="AJ209" s="7" t="s">
        <v>6113</v>
      </c>
      <c r="AK209" s="7" t="s">
        <v>0</v>
      </c>
      <c r="AL209" s="37" t="s">
        <v>4171</v>
      </c>
      <c r="AM209" s="36" t="s">
        <v>5422</v>
      </c>
      <c r="AN209" s="36" t="s">
        <v>5422</v>
      </c>
      <c r="AO209" s="36" t="s">
        <v>4230</v>
      </c>
      <c r="AP209" s="38" t="s">
        <v>56</v>
      </c>
      <c r="AQ209" s="36" t="s">
        <v>6340</v>
      </c>
      <c r="AR209" s="36" t="s">
        <v>56</v>
      </c>
      <c r="AS209" s="38" t="s">
        <v>56</v>
      </c>
      <c r="AT209" s="36" t="s">
        <v>3462</v>
      </c>
      <c r="AU209" s="36" t="s">
        <v>3462</v>
      </c>
      <c r="AV209" s="36" t="s">
        <v>4357</v>
      </c>
      <c r="AW209" s="36" t="s">
        <v>4357</v>
      </c>
      <c r="AX209" s="159" t="s">
        <v>5065</v>
      </c>
      <c r="AY209" s="36" t="s">
        <v>5065</v>
      </c>
      <c r="AZ209" s="36" t="s">
        <v>5748</v>
      </c>
      <c r="BA209" s="36" t="s">
        <v>5747</v>
      </c>
      <c r="BB209" s="36" t="s">
        <v>5746</v>
      </c>
      <c r="BC209" s="36" t="s">
        <v>4945</v>
      </c>
      <c r="BD209" s="36" t="s">
        <v>9383</v>
      </c>
      <c r="BE209" s="36" t="s">
        <v>5329</v>
      </c>
      <c r="BF209" s="36" t="s">
        <v>9384</v>
      </c>
      <c r="BG209" s="36" t="s">
        <v>5004</v>
      </c>
      <c r="BH209" s="36" t="s">
        <v>9385</v>
      </c>
      <c r="BI209" s="36" t="s">
        <v>9382</v>
      </c>
      <c r="BJ209" s="36" t="s">
        <v>5002</v>
      </c>
      <c r="BK209" s="36" t="s">
        <v>559</v>
      </c>
      <c r="BL209" s="36" t="s">
        <v>559</v>
      </c>
      <c r="BM209" s="38" t="s">
        <v>0</v>
      </c>
      <c r="BN209" s="38" t="s">
        <v>56</v>
      </c>
      <c r="BO209" s="38"/>
      <c r="BP209" s="36" t="s">
        <v>2232</v>
      </c>
      <c r="BQ209" s="36" t="s">
        <v>2278</v>
      </c>
      <c r="BR209" s="36" t="s">
        <v>2630</v>
      </c>
      <c r="BS209" s="36" t="s">
        <v>2630</v>
      </c>
      <c r="BT209" s="36" t="s">
        <v>2630</v>
      </c>
      <c r="BU209" s="36" t="s">
        <v>5090</v>
      </c>
      <c r="BV209" s="36" t="s">
        <v>56</v>
      </c>
      <c r="BW209" s="36" t="s">
        <v>711</v>
      </c>
      <c r="BX209" s="36" t="s">
        <v>56</v>
      </c>
      <c r="BY209" s="38" t="s">
        <v>413</v>
      </c>
      <c r="BZ209" s="38" t="s">
        <v>56</v>
      </c>
      <c r="CA209" s="36" t="s">
        <v>3161</v>
      </c>
      <c r="CB209" s="36" t="s">
        <v>854</v>
      </c>
      <c r="CC209" s="36" t="s">
        <v>56</v>
      </c>
      <c r="CD209" s="36" t="s">
        <v>245</v>
      </c>
      <c r="CE209" s="36" t="s">
        <v>56</v>
      </c>
      <c r="CF209" s="36" t="s">
        <v>2171</v>
      </c>
    </row>
    <row r="210" spans="1:84" ht="18">
      <c r="A210" s="51" t="s">
        <v>935</v>
      </c>
      <c r="B210" s="51"/>
      <c r="C210" s="52" t="s">
        <v>5200</v>
      </c>
      <c r="D210" s="52" t="s">
        <v>5174</v>
      </c>
      <c r="E210" s="52" t="s">
        <v>2811</v>
      </c>
      <c r="F210" s="52" t="s">
        <v>2811</v>
      </c>
      <c r="G210" s="52" t="s">
        <v>0</v>
      </c>
      <c r="H210" s="52" t="s">
        <v>1413</v>
      </c>
      <c r="I210" s="52" t="s">
        <v>8188</v>
      </c>
      <c r="J210" s="52" t="s">
        <v>0</v>
      </c>
      <c r="K210" s="52" t="s">
        <v>8323</v>
      </c>
      <c r="L210" s="52" t="s">
        <v>8451</v>
      </c>
      <c r="M210" s="52" t="s">
        <v>1498</v>
      </c>
      <c r="N210" s="52" t="s">
        <v>8259</v>
      </c>
      <c r="O210" s="52" t="s">
        <v>5776</v>
      </c>
      <c r="P210" s="52" t="s">
        <v>9138</v>
      </c>
      <c r="Q210" s="52" t="s">
        <v>9137</v>
      </c>
      <c r="R210" s="52" t="s">
        <v>1539</v>
      </c>
      <c r="S210" s="52" t="s">
        <v>8501</v>
      </c>
      <c r="T210" s="52" t="s">
        <v>3282</v>
      </c>
      <c r="U210" s="52" t="s">
        <v>3282</v>
      </c>
      <c r="V210" s="84"/>
      <c r="W210" s="52" t="s">
        <v>4450</v>
      </c>
      <c r="X210" s="84" t="s">
        <v>6430</v>
      </c>
      <c r="Y210" s="52" t="s">
        <v>2363</v>
      </c>
      <c r="Z210" s="52" t="s">
        <v>2365</v>
      </c>
      <c r="AA210" s="52" t="s">
        <v>2363</v>
      </c>
      <c r="AB210" s="52" t="s">
        <v>4730</v>
      </c>
      <c r="AC210" s="52" t="s">
        <v>4731</v>
      </c>
      <c r="AD210" s="52" t="s">
        <v>4729</v>
      </c>
      <c r="AE210" s="52" t="s">
        <v>1693</v>
      </c>
      <c r="AF210" s="52" t="s">
        <v>5989</v>
      </c>
      <c r="AG210" s="84" t="s">
        <v>7188</v>
      </c>
      <c r="AH210" s="84" t="s">
        <v>7188</v>
      </c>
      <c r="AI210" s="52" t="s">
        <v>7181</v>
      </c>
      <c r="AJ210" s="52" t="s">
        <v>6112</v>
      </c>
      <c r="AK210" s="52" t="s">
        <v>0</v>
      </c>
      <c r="AL210" s="52" t="s">
        <v>1867</v>
      </c>
      <c r="AM210" s="52" t="s">
        <v>5420</v>
      </c>
      <c r="AN210" s="52" t="s">
        <v>5420</v>
      </c>
      <c r="AO210" s="52" t="s">
        <v>4291</v>
      </c>
      <c r="AP210" s="52" t="s">
        <v>6334</v>
      </c>
      <c r="AQ210" s="52" t="s">
        <v>6333</v>
      </c>
      <c r="AR210" s="52"/>
      <c r="AS210" s="52" t="s">
        <v>1025</v>
      </c>
      <c r="AT210" s="52" t="s">
        <v>1025</v>
      </c>
      <c r="AU210" s="52" t="s">
        <v>1025</v>
      </c>
      <c r="AV210" s="52" t="s">
        <v>4356</v>
      </c>
      <c r="AW210" s="52" t="s">
        <v>4356</v>
      </c>
      <c r="AX210" s="52"/>
      <c r="AY210" s="52" t="s">
        <v>5066</v>
      </c>
      <c r="AZ210" s="52" t="s">
        <v>5749</v>
      </c>
      <c r="BA210" s="52" t="s">
        <v>3578</v>
      </c>
      <c r="BB210" s="52" t="s">
        <v>3482</v>
      </c>
      <c r="BC210" s="52" t="s">
        <v>4946</v>
      </c>
      <c r="BD210" s="186" t="s">
        <v>7734</v>
      </c>
      <c r="BE210" s="52" t="s">
        <v>2257</v>
      </c>
      <c r="BF210" s="186" t="s">
        <v>7735</v>
      </c>
      <c r="BG210" s="52" t="s">
        <v>4946</v>
      </c>
      <c r="BH210" s="186" t="s">
        <v>7735</v>
      </c>
      <c r="BI210" s="52" t="s">
        <v>7828</v>
      </c>
      <c r="BJ210" s="52" t="s">
        <v>5001</v>
      </c>
      <c r="BK210" s="52"/>
      <c r="BL210" s="52"/>
      <c r="BM210" s="52" t="s">
        <v>0</v>
      </c>
      <c r="BN210" s="52" t="s">
        <v>3881</v>
      </c>
      <c r="BO210" s="52"/>
      <c r="BP210" s="52" t="s">
        <v>2231</v>
      </c>
      <c r="BQ210" s="52" t="s">
        <v>2277</v>
      </c>
      <c r="BR210" s="52" t="s">
        <v>2682</v>
      </c>
      <c r="BS210" s="52" t="s">
        <v>2682</v>
      </c>
      <c r="BT210" s="52" t="s">
        <v>2682</v>
      </c>
      <c r="BU210" s="84" t="s">
        <v>5089</v>
      </c>
      <c r="BV210" s="84"/>
      <c r="BW210" s="52"/>
      <c r="BX210" s="52" t="s">
        <v>3945</v>
      </c>
      <c r="BY210" s="52" t="s">
        <v>3803</v>
      </c>
      <c r="BZ210" s="52" t="s">
        <v>6222</v>
      </c>
      <c r="CA210" s="52" t="s">
        <v>3160</v>
      </c>
      <c r="CB210" s="52" t="s">
        <v>3081</v>
      </c>
      <c r="CC210" s="52"/>
      <c r="CD210" s="52"/>
      <c r="CE210" s="52" t="s">
        <v>3247</v>
      </c>
      <c r="CF210" s="52" t="s">
        <v>2172</v>
      </c>
    </row>
    <row r="211" spans="1:84" ht="27">
      <c r="A211" s="6" t="s">
        <v>8</v>
      </c>
      <c r="B211" s="200"/>
      <c r="C211" s="38" t="s">
        <v>0</v>
      </c>
      <c r="D211" s="36" t="s">
        <v>5184</v>
      </c>
      <c r="E211" s="38" t="s">
        <v>0</v>
      </c>
      <c r="F211" s="38" t="s">
        <v>57</v>
      </c>
      <c r="G211" s="38" t="s">
        <v>5512</v>
      </c>
      <c r="H211" s="38" t="s">
        <v>210</v>
      </c>
      <c r="I211" s="36" t="s">
        <v>8179</v>
      </c>
      <c r="J211" s="36" t="s">
        <v>57</v>
      </c>
      <c r="K211" s="36" t="s">
        <v>57</v>
      </c>
      <c r="L211" s="36" t="s">
        <v>57</v>
      </c>
      <c r="M211" s="38" t="s">
        <v>57</v>
      </c>
      <c r="N211" s="36" t="s">
        <v>6313</v>
      </c>
      <c r="O211" s="38" t="s">
        <v>57</v>
      </c>
      <c r="P211" s="36" t="s">
        <v>57</v>
      </c>
      <c r="Q211" s="36" t="s">
        <v>57</v>
      </c>
      <c r="R211" s="36" t="s">
        <v>57</v>
      </c>
      <c r="S211" s="36" t="s">
        <v>57</v>
      </c>
      <c r="T211" s="36" t="s">
        <v>223</v>
      </c>
      <c r="U211" s="36" t="s">
        <v>210</v>
      </c>
      <c r="V211" s="145" t="s">
        <v>5729</v>
      </c>
      <c r="W211" s="36" t="s">
        <v>4426</v>
      </c>
      <c r="X211" s="36" t="s">
        <v>6458</v>
      </c>
      <c r="Y211" s="36" t="s">
        <v>0</v>
      </c>
      <c r="Z211" s="36" t="s">
        <v>0</v>
      </c>
      <c r="AA211" s="36" t="s">
        <v>2369</v>
      </c>
      <c r="AB211" s="36" t="s">
        <v>210</v>
      </c>
      <c r="AC211" s="36" t="s">
        <v>210</v>
      </c>
      <c r="AD211" s="36" t="s">
        <v>4732</v>
      </c>
      <c r="AE211" s="7" t="s">
        <v>432</v>
      </c>
      <c r="AF211" s="7" t="s">
        <v>197</v>
      </c>
      <c r="AG211" s="38" t="s">
        <v>0</v>
      </c>
      <c r="AH211" s="38" t="s">
        <v>7104</v>
      </c>
      <c r="AI211" s="38" t="s">
        <v>5529</v>
      </c>
      <c r="AJ211" s="7" t="s">
        <v>223</v>
      </c>
      <c r="AK211" s="7" t="s">
        <v>0</v>
      </c>
      <c r="AL211" s="34" t="s">
        <v>57</v>
      </c>
      <c r="AM211" s="36" t="s">
        <v>5339</v>
      </c>
      <c r="AN211" s="36" t="s">
        <v>5367</v>
      </c>
      <c r="AO211" s="36" t="s">
        <v>892</v>
      </c>
      <c r="AP211" s="38" t="s">
        <v>0</v>
      </c>
      <c r="AQ211" s="38" t="s">
        <v>6341</v>
      </c>
      <c r="AR211" s="36" t="s">
        <v>350</v>
      </c>
      <c r="AS211" s="38" t="s">
        <v>57</v>
      </c>
      <c r="AT211" s="38" t="s">
        <v>57</v>
      </c>
      <c r="AU211" s="38" t="s">
        <v>57</v>
      </c>
      <c r="AV211" s="36" t="s">
        <v>4336</v>
      </c>
      <c r="AW211" s="36" t="s">
        <v>4336</v>
      </c>
      <c r="AX211" s="36" t="s">
        <v>6316</v>
      </c>
      <c r="AY211" s="36" t="s">
        <v>365</v>
      </c>
      <c r="AZ211" s="36" t="s">
        <v>0</v>
      </c>
      <c r="BA211" s="36" t="s">
        <v>4483</v>
      </c>
      <c r="BB211" s="38" t="s">
        <v>57</v>
      </c>
      <c r="BC211" s="36" t="s">
        <v>111</v>
      </c>
      <c r="BD211" s="36" t="s">
        <v>859</v>
      </c>
      <c r="BE211" s="36" t="s">
        <v>4883</v>
      </c>
      <c r="BF211" s="36" t="s">
        <v>4883</v>
      </c>
      <c r="BG211" s="36" t="s">
        <v>111</v>
      </c>
      <c r="BH211" s="36" t="s">
        <v>859</v>
      </c>
      <c r="BI211" s="36" t="s">
        <v>7795</v>
      </c>
      <c r="BJ211" s="36" t="s">
        <v>159</v>
      </c>
      <c r="BK211" s="36" t="s">
        <v>159</v>
      </c>
      <c r="BL211" s="36" t="s">
        <v>17</v>
      </c>
      <c r="BM211" s="38" t="s">
        <v>0</v>
      </c>
      <c r="BN211" s="36" t="s">
        <v>3860</v>
      </c>
      <c r="BO211" s="36"/>
      <c r="BP211" s="36" t="s">
        <v>18</v>
      </c>
      <c r="BQ211" s="36" t="s">
        <v>18</v>
      </c>
      <c r="BR211" s="38" t="s">
        <v>0</v>
      </c>
      <c r="BS211" s="38" t="s">
        <v>350</v>
      </c>
      <c r="BT211" s="38" t="s">
        <v>350</v>
      </c>
      <c r="BU211" s="36" t="s">
        <v>111</v>
      </c>
      <c r="BV211" s="36" t="s">
        <v>17</v>
      </c>
      <c r="BW211" s="38" t="s">
        <v>26</v>
      </c>
      <c r="BX211" s="36" t="s">
        <v>834</v>
      </c>
      <c r="BY211" s="38" t="s">
        <v>210</v>
      </c>
      <c r="BZ211" s="36" t="s">
        <v>6223</v>
      </c>
      <c r="CA211" s="38" t="s">
        <v>17</v>
      </c>
      <c r="CB211" s="38" t="s">
        <v>17</v>
      </c>
      <c r="CC211" s="38" t="s">
        <v>18</v>
      </c>
      <c r="CD211" s="38" t="s">
        <v>18</v>
      </c>
      <c r="CE211" s="36" t="s">
        <v>3219</v>
      </c>
      <c r="CF211" s="36" t="s">
        <v>834</v>
      </c>
    </row>
    <row r="212" spans="1:84" ht="18">
      <c r="A212" s="51" t="s">
        <v>935</v>
      </c>
      <c r="B212" s="51"/>
      <c r="C212" s="52" t="s">
        <v>0</v>
      </c>
      <c r="D212" s="52" t="s">
        <v>5182</v>
      </c>
      <c r="E212" s="52" t="s">
        <v>0</v>
      </c>
      <c r="F212" s="52" t="s">
        <v>2767</v>
      </c>
      <c r="G212" s="52" t="s">
        <v>1413</v>
      </c>
      <c r="H212" s="52" t="s">
        <v>1413</v>
      </c>
      <c r="I212" s="52" t="s">
        <v>8187</v>
      </c>
      <c r="J212" s="52" t="s">
        <v>5300</v>
      </c>
      <c r="K212" s="52" t="s">
        <v>8328</v>
      </c>
      <c r="L212" s="52" t="s">
        <v>8450</v>
      </c>
      <c r="M212" s="52" t="s">
        <v>3322</v>
      </c>
      <c r="N212" s="52" t="s">
        <v>8261</v>
      </c>
      <c r="O212" s="52" t="s">
        <v>1596</v>
      </c>
      <c r="P212" s="52" t="s">
        <v>8632</v>
      </c>
      <c r="Q212" s="52" t="s">
        <v>8632</v>
      </c>
      <c r="R212" s="52" t="s">
        <v>1545</v>
      </c>
      <c r="S212" s="52" t="s">
        <v>8505</v>
      </c>
      <c r="T212" s="52" t="s">
        <v>5550</v>
      </c>
      <c r="U212" s="52" t="s">
        <v>5550</v>
      </c>
      <c r="V212" s="84"/>
      <c r="W212" s="52" t="s">
        <v>4423</v>
      </c>
      <c r="X212" s="84" t="s">
        <v>6430</v>
      </c>
      <c r="Y212" s="52" t="s">
        <v>2330</v>
      </c>
      <c r="Z212" s="52" t="s">
        <v>2330</v>
      </c>
      <c r="AA212" s="52" t="s">
        <v>2370</v>
      </c>
      <c r="AB212" s="52" t="s">
        <v>4733</v>
      </c>
      <c r="AC212" s="52" t="s">
        <v>5915</v>
      </c>
      <c r="AD212" s="52" t="s">
        <v>0</v>
      </c>
      <c r="AE212" s="52" t="s">
        <v>6070</v>
      </c>
      <c r="AF212" s="52" t="s">
        <v>6071</v>
      </c>
      <c r="AG212" s="186" t="s">
        <v>0</v>
      </c>
      <c r="AH212" s="186" t="s">
        <v>7114</v>
      </c>
      <c r="AI212" s="186" t="s">
        <v>7146</v>
      </c>
      <c r="AJ212" s="52" t="s">
        <v>6112</v>
      </c>
      <c r="AK212" s="52" t="s">
        <v>0</v>
      </c>
      <c r="AL212" s="52" t="s">
        <v>4197</v>
      </c>
      <c r="AM212" s="52" t="s">
        <v>5337</v>
      </c>
      <c r="AN212" s="52" t="s">
        <v>5385</v>
      </c>
      <c r="AO212" s="52" t="s">
        <v>4226</v>
      </c>
      <c r="AP212" s="52" t="s">
        <v>0</v>
      </c>
      <c r="AQ212" s="52" t="s">
        <v>6333</v>
      </c>
      <c r="AR212" s="52"/>
      <c r="AS212" s="52" t="s">
        <v>3463</v>
      </c>
      <c r="AT212" s="52" t="s">
        <v>3463</v>
      </c>
      <c r="AU212" s="52" t="s">
        <v>3463</v>
      </c>
      <c r="AV212" s="52" t="s">
        <v>4335</v>
      </c>
      <c r="AW212" s="52" t="s">
        <v>4335</v>
      </c>
      <c r="AX212" s="52" t="s">
        <v>5058</v>
      </c>
      <c r="AY212" s="52" t="s">
        <v>1324</v>
      </c>
      <c r="AZ212" s="52" t="s">
        <v>0</v>
      </c>
      <c r="BA212" s="52" t="s">
        <v>3652</v>
      </c>
      <c r="BB212" s="52" t="s">
        <v>3503</v>
      </c>
      <c r="BC212" s="52" t="s">
        <v>4839</v>
      </c>
      <c r="BD212" s="186" t="s">
        <v>7757</v>
      </c>
      <c r="BE212" s="52" t="s">
        <v>4882</v>
      </c>
      <c r="BF212" s="186" t="s">
        <v>7635</v>
      </c>
      <c r="BG212" s="52" t="s">
        <v>4839</v>
      </c>
      <c r="BH212" s="52" t="s">
        <v>7887</v>
      </c>
      <c r="BI212" s="52" t="s">
        <v>7829</v>
      </c>
      <c r="BJ212" s="52" t="s">
        <v>4987</v>
      </c>
      <c r="BK212" s="52"/>
      <c r="BL212" s="52"/>
      <c r="BM212" s="52" t="s">
        <v>0</v>
      </c>
      <c r="BN212" s="52" t="s">
        <v>3859</v>
      </c>
      <c r="BO212" s="52"/>
      <c r="BP212" s="52" t="s">
        <v>2259</v>
      </c>
      <c r="BQ212" s="52" t="s">
        <v>2259</v>
      </c>
      <c r="BR212" s="52" t="s">
        <v>0</v>
      </c>
      <c r="BS212" s="52" t="s">
        <v>2652</v>
      </c>
      <c r="BT212" s="52" t="s">
        <v>2652</v>
      </c>
      <c r="BU212" s="84" t="s">
        <v>2837</v>
      </c>
      <c r="BV212" s="84"/>
      <c r="BW212" s="52"/>
      <c r="BX212" s="52" t="s">
        <v>3933</v>
      </c>
      <c r="BY212" s="52" t="s">
        <v>3779</v>
      </c>
      <c r="BZ212" s="52" t="s">
        <v>6225</v>
      </c>
      <c r="CA212" s="52" t="s">
        <v>3104</v>
      </c>
      <c r="CB212" s="52" t="s">
        <v>3104</v>
      </c>
      <c r="CC212" s="52"/>
      <c r="CD212" s="52"/>
      <c r="CE212" s="52" t="s">
        <v>3218</v>
      </c>
      <c r="CF212" s="52" t="s">
        <v>2147</v>
      </c>
    </row>
    <row r="213" spans="1:84" ht="45">
      <c r="A213" s="6" t="s">
        <v>158</v>
      </c>
      <c r="B213" s="200"/>
      <c r="C213" s="38" t="s">
        <v>0</v>
      </c>
      <c r="D213" s="36" t="s">
        <v>5183</v>
      </c>
      <c r="E213" s="36" t="s">
        <v>0</v>
      </c>
      <c r="F213" s="36" t="s">
        <v>57</v>
      </c>
      <c r="G213" s="38" t="s">
        <v>5513</v>
      </c>
      <c r="H213" s="38" t="s">
        <v>18</v>
      </c>
      <c r="I213" s="36" t="s">
        <v>8179</v>
      </c>
      <c r="J213" s="36" t="s">
        <v>57</v>
      </c>
      <c r="K213" s="36" t="s">
        <v>57</v>
      </c>
      <c r="L213" s="36" t="s">
        <v>57</v>
      </c>
      <c r="M213" s="38" t="s">
        <v>57</v>
      </c>
      <c r="N213" s="36" t="s">
        <v>6313</v>
      </c>
      <c r="O213" s="38" t="s">
        <v>57</v>
      </c>
      <c r="P213" s="36" t="s">
        <v>57</v>
      </c>
      <c r="Q213" s="36" t="s">
        <v>57</v>
      </c>
      <c r="R213" s="36" t="s">
        <v>57</v>
      </c>
      <c r="S213" s="36" t="s">
        <v>57</v>
      </c>
      <c r="T213" s="36" t="s">
        <v>223</v>
      </c>
      <c r="U213" s="36" t="s">
        <v>210</v>
      </c>
      <c r="V213" s="145" t="s">
        <v>223</v>
      </c>
      <c r="W213" s="36" t="s">
        <v>4426</v>
      </c>
      <c r="X213" s="36" t="s">
        <v>17</v>
      </c>
      <c r="Y213" s="36" t="s">
        <v>0</v>
      </c>
      <c r="Z213" s="36" t="s">
        <v>0</v>
      </c>
      <c r="AA213" s="36" t="s">
        <v>2368</v>
      </c>
      <c r="AB213" s="36" t="s">
        <v>210</v>
      </c>
      <c r="AC213" s="38" t="s">
        <v>57</v>
      </c>
      <c r="AD213" s="36" t="s">
        <v>4732</v>
      </c>
      <c r="AE213" s="7" t="s">
        <v>432</v>
      </c>
      <c r="AF213" s="7" t="s">
        <v>197</v>
      </c>
      <c r="AG213" s="38" t="s">
        <v>0</v>
      </c>
      <c r="AH213" s="38" t="s">
        <v>7104</v>
      </c>
      <c r="AI213" s="38" t="s">
        <v>5529</v>
      </c>
      <c r="AJ213" s="7" t="s">
        <v>223</v>
      </c>
      <c r="AK213" s="7" t="s">
        <v>0</v>
      </c>
      <c r="AL213" s="37" t="s">
        <v>57</v>
      </c>
      <c r="AM213" s="36" t="s">
        <v>5339</v>
      </c>
      <c r="AN213" s="36" t="s">
        <v>5367</v>
      </c>
      <c r="AO213" s="36" t="s">
        <v>892</v>
      </c>
      <c r="AP213" s="38" t="s">
        <v>0</v>
      </c>
      <c r="AQ213" s="38" t="s">
        <v>6341</v>
      </c>
      <c r="AR213" s="36" t="s">
        <v>924</v>
      </c>
      <c r="AS213" s="38" t="s">
        <v>57</v>
      </c>
      <c r="AT213" s="38" t="s">
        <v>57</v>
      </c>
      <c r="AU213" s="38" t="s">
        <v>57</v>
      </c>
      <c r="AV213" s="36" t="s">
        <v>4336</v>
      </c>
      <c r="AW213" s="36" t="s">
        <v>4336</v>
      </c>
      <c r="AX213" s="36" t="s">
        <v>6316</v>
      </c>
      <c r="AY213" s="36" t="s">
        <v>365</v>
      </c>
      <c r="AZ213" s="36" t="s">
        <v>0</v>
      </c>
      <c r="BA213" s="36" t="s">
        <v>4483</v>
      </c>
      <c r="BB213" s="38" t="s">
        <v>57</v>
      </c>
      <c r="BC213" s="36" t="s">
        <v>111</v>
      </c>
      <c r="BD213" s="36" t="s">
        <v>859</v>
      </c>
      <c r="BE213" s="36" t="s">
        <v>4883</v>
      </c>
      <c r="BF213" s="36" t="s">
        <v>4883</v>
      </c>
      <c r="BG213" s="36" t="s">
        <v>111</v>
      </c>
      <c r="BH213" s="36" t="s">
        <v>859</v>
      </c>
      <c r="BI213" s="36" t="s">
        <v>7795</v>
      </c>
      <c r="BJ213" s="36" t="s">
        <v>159</v>
      </c>
      <c r="BK213" s="36" t="s">
        <v>159</v>
      </c>
      <c r="BL213" s="36" t="s">
        <v>17</v>
      </c>
      <c r="BM213" s="38" t="s">
        <v>0</v>
      </c>
      <c r="BN213" s="36" t="s">
        <v>3878</v>
      </c>
      <c r="BO213" s="36"/>
      <c r="BP213" s="36" t="s">
        <v>18</v>
      </c>
      <c r="BQ213" s="36" t="s">
        <v>18</v>
      </c>
      <c r="BR213" s="38" t="s">
        <v>0</v>
      </c>
      <c r="BS213" s="36" t="s">
        <v>2628</v>
      </c>
      <c r="BT213" s="36" t="s">
        <v>2628</v>
      </c>
      <c r="BU213" s="36" t="s">
        <v>111</v>
      </c>
      <c r="BV213" s="36" t="s">
        <v>17</v>
      </c>
      <c r="BW213" s="38" t="s">
        <v>26</v>
      </c>
      <c r="BX213" s="36" t="s">
        <v>834</v>
      </c>
      <c r="BY213" s="38" t="s">
        <v>210</v>
      </c>
      <c r="BZ213" s="36" t="s">
        <v>6224</v>
      </c>
      <c r="CA213" s="38" t="s">
        <v>17</v>
      </c>
      <c r="CB213" s="38" t="s">
        <v>17</v>
      </c>
      <c r="CC213" s="38" t="s">
        <v>18</v>
      </c>
      <c r="CD213" s="38" t="s">
        <v>18</v>
      </c>
      <c r="CE213" s="38" t="s">
        <v>0</v>
      </c>
      <c r="CF213" s="36" t="s">
        <v>834</v>
      </c>
    </row>
    <row r="214" spans="1:84" ht="18">
      <c r="A214" s="51" t="s">
        <v>935</v>
      </c>
      <c r="B214" s="51"/>
      <c r="C214" s="52" t="s">
        <v>0</v>
      </c>
      <c r="D214" s="52" t="s">
        <v>5182</v>
      </c>
      <c r="E214" s="52" t="s">
        <v>0</v>
      </c>
      <c r="F214" s="52" t="s">
        <v>2764</v>
      </c>
      <c r="G214" s="52" t="s">
        <v>1413</v>
      </c>
      <c r="H214" s="52" t="s">
        <v>1413</v>
      </c>
      <c r="I214" s="52" t="s">
        <v>8187</v>
      </c>
      <c r="J214" s="52" t="s">
        <v>5300</v>
      </c>
      <c r="K214" s="52" t="s">
        <v>8328</v>
      </c>
      <c r="L214" s="52" t="s">
        <v>8450</v>
      </c>
      <c r="M214" s="52" t="s">
        <v>3322</v>
      </c>
      <c r="N214" s="52" t="s">
        <v>8261</v>
      </c>
      <c r="O214" s="52" t="s">
        <v>1596</v>
      </c>
      <c r="P214" s="52" t="s">
        <v>8632</v>
      </c>
      <c r="Q214" s="52" t="s">
        <v>8632</v>
      </c>
      <c r="R214" s="52" t="s">
        <v>1545</v>
      </c>
      <c r="S214" s="52" t="s">
        <v>8505</v>
      </c>
      <c r="T214" s="52" t="s">
        <v>5550</v>
      </c>
      <c r="U214" s="52" t="s">
        <v>5550</v>
      </c>
      <c r="V214" s="84"/>
      <c r="W214" s="52" t="s">
        <v>4423</v>
      </c>
      <c r="X214" s="84" t="s">
        <v>6429</v>
      </c>
      <c r="Y214" s="52" t="s">
        <v>2330</v>
      </c>
      <c r="Z214" s="52" t="s">
        <v>2330</v>
      </c>
      <c r="AA214" s="52" t="s">
        <v>2370</v>
      </c>
      <c r="AB214" s="52" t="s">
        <v>4733</v>
      </c>
      <c r="AC214" s="52" t="s">
        <v>4734</v>
      </c>
      <c r="AD214" s="52" t="s">
        <v>0</v>
      </c>
      <c r="AE214" s="52" t="s">
        <v>6070</v>
      </c>
      <c r="AF214" s="52" t="s">
        <v>6071</v>
      </c>
      <c r="AG214" s="186" t="s">
        <v>0</v>
      </c>
      <c r="AH214" s="186" t="s">
        <v>7114</v>
      </c>
      <c r="AI214" s="186" t="s">
        <v>7146</v>
      </c>
      <c r="AJ214" s="52" t="s">
        <v>6112</v>
      </c>
      <c r="AK214" s="52" t="s">
        <v>0</v>
      </c>
      <c r="AL214" s="52" t="s">
        <v>4175</v>
      </c>
      <c r="AM214" s="52" t="s">
        <v>5337</v>
      </c>
      <c r="AN214" s="52" t="s">
        <v>5385</v>
      </c>
      <c r="AO214" s="52" t="s">
        <v>4226</v>
      </c>
      <c r="AP214" s="52" t="s">
        <v>0</v>
      </c>
      <c r="AQ214" s="52" t="s">
        <v>6333</v>
      </c>
      <c r="AR214" s="52"/>
      <c r="AS214" s="52" t="s">
        <v>3463</v>
      </c>
      <c r="AT214" s="52" t="s">
        <v>3463</v>
      </c>
      <c r="AU214" s="52" t="s">
        <v>3463</v>
      </c>
      <c r="AV214" s="52" t="s">
        <v>4335</v>
      </c>
      <c r="AW214" s="52" t="s">
        <v>4335</v>
      </c>
      <c r="AX214" s="52" t="s">
        <v>5057</v>
      </c>
      <c r="AY214" s="52" t="s">
        <v>1325</v>
      </c>
      <c r="AZ214" s="52" t="s">
        <v>0</v>
      </c>
      <c r="BA214" s="52" t="s">
        <v>3652</v>
      </c>
      <c r="BB214" s="52" t="s">
        <v>3503</v>
      </c>
      <c r="BC214" s="52" t="s">
        <v>4839</v>
      </c>
      <c r="BD214" s="186" t="s">
        <v>7757</v>
      </c>
      <c r="BE214" s="52" t="s">
        <v>4882</v>
      </c>
      <c r="BF214" s="186" t="s">
        <v>7635</v>
      </c>
      <c r="BG214" s="52" t="s">
        <v>4839</v>
      </c>
      <c r="BH214" s="52" t="s">
        <v>7887</v>
      </c>
      <c r="BI214" s="52" t="s">
        <v>7829</v>
      </c>
      <c r="BJ214" s="52" t="s">
        <v>4987</v>
      </c>
      <c r="BK214" s="52"/>
      <c r="BL214" s="52"/>
      <c r="BM214" s="52" t="s">
        <v>0</v>
      </c>
      <c r="BN214" s="52" t="s">
        <v>3877</v>
      </c>
      <c r="BO214" s="52"/>
      <c r="BP214" s="52" t="s">
        <v>2259</v>
      </c>
      <c r="BQ214" s="52" t="s">
        <v>2259</v>
      </c>
      <c r="BR214" s="52" t="s">
        <v>0</v>
      </c>
      <c r="BS214" s="52" t="s">
        <v>2653</v>
      </c>
      <c r="BT214" s="52" t="s">
        <v>2653</v>
      </c>
      <c r="BU214" s="84" t="s">
        <v>5092</v>
      </c>
      <c r="BV214" s="84"/>
      <c r="BW214" s="52"/>
      <c r="BX214" s="52" t="s">
        <v>3933</v>
      </c>
      <c r="BY214" s="52" t="s">
        <v>3779</v>
      </c>
      <c r="BZ214" s="52" t="s">
        <v>6226</v>
      </c>
      <c r="CA214" s="52" t="s">
        <v>3104</v>
      </c>
      <c r="CB214" s="52" t="s">
        <v>3104</v>
      </c>
      <c r="CC214" s="52"/>
      <c r="CD214" s="52"/>
      <c r="CE214" s="52" t="s">
        <v>0</v>
      </c>
      <c r="CF214" s="52" t="s">
        <v>2149</v>
      </c>
    </row>
    <row r="215" spans="1:84" ht="27">
      <c r="A215" s="6" t="s">
        <v>206</v>
      </c>
      <c r="B215" s="200"/>
      <c r="C215" s="38" t="s">
        <v>0</v>
      </c>
      <c r="D215" s="36" t="s">
        <v>5184</v>
      </c>
      <c r="E215" s="36" t="s">
        <v>0</v>
      </c>
      <c r="F215" s="36" t="s">
        <v>57</v>
      </c>
      <c r="G215" s="36" t="s">
        <v>213</v>
      </c>
      <c r="H215" s="36" t="s">
        <v>5514</v>
      </c>
      <c r="I215" s="36" t="s">
        <v>8179</v>
      </c>
      <c r="J215" s="36" t="s">
        <v>57</v>
      </c>
      <c r="K215" s="36" t="s">
        <v>57</v>
      </c>
      <c r="L215" s="36" t="s">
        <v>57</v>
      </c>
      <c r="M215" s="38" t="s">
        <v>57</v>
      </c>
      <c r="N215" s="36" t="s">
        <v>6313</v>
      </c>
      <c r="O215" s="36" t="s">
        <v>57</v>
      </c>
      <c r="P215" s="36" t="s">
        <v>57</v>
      </c>
      <c r="Q215" s="36" t="s">
        <v>57</v>
      </c>
      <c r="R215" s="36" t="s">
        <v>57</v>
      </c>
      <c r="S215" s="36" t="s">
        <v>57</v>
      </c>
      <c r="T215" s="36" t="s">
        <v>223</v>
      </c>
      <c r="U215" s="36" t="s">
        <v>210</v>
      </c>
      <c r="V215" s="145" t="s">
        <v>5718</v>
      </c>
      <c r="W215" s="36" t="s">
        <v>4426</v>
      </c>
      <c r="X215" s="36" t="s">
        <v>17</v>
      </c>
      <c r="Y215" s="36" t="s">
        <v>0</v>
      </c>
      <c r="Z215" s="36" t="s">
        <v>0</v>
      </c>
      <c r="AA215" s="36" t="s">
        <v>2369</v>
      </c>
      <c r="AB215" s="36" t="s">
        <v>210</v>
      </c>
      <c r="AC215" s="38" t="s">
        <v>57</v>
      </c>
      <c r="AD215" s="36" t="s">
        <v>4732</v>
      </c>
      <c r="AE215" s="7" t="s">
        <v>432</v>
      </c>
      <c r="AF215" s="7" t="s">
        <v>197</v>
      </c>
      <c r="AG215" s="38" t="s">
        <v>0</v>
      </c>
      <c r="AH215" s="38" t="s">
        <v>7104</v>
      </c>
      <c r="AI215" s="38" t="s">
        <v>5529</v>
      </c>
      <c r="AJ215" s="7" t="s">
        <v>223</v>
      </c>
      <c r="AK215" s="7" t="s">
        <v>0</v>
      </c>
      <c r="AL215" s="37" t="s">
        <v>57</v>
      </c>
      <c r="AM215" s="36" t="s">
        <v>5339</v>
      </c>
      <c r="AN215" s="36" t="s">
        <v>5367</v>
      </c>
      <c r="AO215" s="36" t="s">
        <v>892</v>
      </c>
      <c r="AP215" s="38" t="s">
        <v>0</v>
      </c>
      <c r="AQ215" s="38" t="s">
        <v>6341</v>
      </c>
      <c r="AR215" s="38" t="s">
        <v>350</v>
      </c>
      <c r="AS215" s="38" t="s">
        <v>57</v>
      </c>
      <c r="AT215" s="38" t="s">
        <v>57</v>
      </c>
      <c r="AU215" s="38" t="s">
        <v>57</v>
      </c>
      <c r="AV215" s="36" t="s">
        <v>4336</v>
      </c>
      <c r="AW215" s="36" t="s">
        <v>4336</v>
      </c>
      <c r="AX215" s="36" t="s">
        <v>5046</v>
      </c>
      <c r="AY215" s="36" t="s">
        <v>1327</v>
      </c>
      <c r="AZ215" s="36" t="s">
        <v>0</v>
      </c>
      <c r="BA215" s="36" t="s">
        <v>4483</v>
      </c>
      <c r="BB215" s="38" t="s">
        <v>57</v>
      </c>
      <c r="BC215" s="36" t="s">
        <v>111</v>
      </c>
      <c r="BD215" s="36" t="s">
        <v>859</v>
      </c>
      <c r="BE215" s="36" t="s">
        <v>4883</v>
      </c>
      <c r="BF215" s="36" t="s">
        <v>4883</v>
      </c>
      <c r="BG215" s="36" t="s">
        <v>111</v>
      </c>
      <c r="BH215" s="36" t="s">
        <v>859</v>
      </c>
      <c r="BI215" s="36" t="s">
        <v>7795</v>
      </c>
      <c r="BJ215" s="36" t="s">
        <v>159</v>
      </c>
      <c r="BK215" s="36" t="s">
        <v>159</v>
      </c>
      <c r="BL215" s="36" t="s">
        <v>17</v>
      </c>
      <c r="BM215" s="38" t="s">
        <v>0</v>
      </c>
      <c r="BN215" s="36" t="s">
        <v>3879</v>
      </c>
      <c r="BO215" s="36"/>
      <c r="BP215" s="36" t="s">
        <v>18</v>
      </c>
      <c r="BQ215" s="36" t="s">
        <v>18</v>
      </c>
      <c r="BR215" s="38" t="s">
        <v>0</v>
      </c>
      <c r="BS215" s="38" t="s">
        <v>350</v>
      </c>
      <c r="BT215" s="38" t="s">
        <v>350</v>
      </c>
      <c r="BU215" s="36" t="s">
        <v>0</v>
      </c>
      <c r="BV215" s="36" t="s">
        <v>17</v>
      </c>
      <c r="BW215" s="38" t="s">
        <v>26</v>
      </c>
      <c r="BX215" s="36" t="s">
        <v>834</v>
      </c>
      <c r="BY215" s="38" t="s">
        <v>210</v>
      </c>
      <c r="BZ215" s="36" t="s">
        <v>6224</v>
      </c>
      <c r="CA215" s="38" t="s">
        <v>17</v>
      </c>
      <c r="CB215" s="38" t="s">
        <v>17</v>
      </c>
      <c r="CC215" s="38" t="s">
        <v>0</v>
      </c>
      <c r="CD215" s="38" t="s">
        <v>0</v>
      </c>
      <c r="CE215" s="36" t="s">
        <v>3219</v>
      </c>
      <c r="CF215" s="36" t="s">
        <v>834</v>
      </c>
    </row>
    <row r="216" spans="1:84">
      <c r="A216" s="51" t="s">
        <v>935</v>
      </c>
      <c r="B216" s="51"/>
      <c r="C216" s="52" t="s">
        <v>0</v>
      </c>
      <c r="D216" s="52" t="s">
        <v>5182</v>
      </c>
      <c r="E216" s="52" t="s">
        <v>0</v>
      </c>
      <c r="F216" s="52" t="s">
        <v>2764</v>
      </c>
      <c r="G216" s="52" t="s">
        <v>0</v>
      </c>
      <c r="H216" s="52" t="s">
        <v>1413</v>
      </c>
      <c r="I216" s="52" t="s">
        <v>8187</v>
      </c>
      <c r="J216" s="52" t="s">
        <v>5300</v>
      </c>
      <c r="K216" s="52" t="s">
        <v>8328</v>
      </c>
      <c r="L216" s="52" t="s">
        <v>8450</v>
      </c>
      <c r="M216" s="52" t="s">
        <v>3322</v>
      </c>
      <c r="N216" s="52" t="s">
        <v>8261</v>
      </c>
      <c r="O216" s="52" t="s">
        <v>1596</v>
      </c>
      <c r="P216" s="52" t="s">
        <v>8632</v>
      </c>
      <c r="Q216" s="52" t="s">
        <v>8632</v>
      </c>
      <c r="R216" s="52" t="s">
        <v>1545</v>
      </c>
      <c r="S216" s="52" t="s">
        <v>8505</v>
      </c>
      <c r="T216" s="52" t="s">
        <v>5550</v>
      </c>
      <c r="U216" s="52" t="s">
        <v>5550</v>
      </c>
      <c r="V216" s="84"/>
      <c r="W216" s="52" t="s">
        <v>4423</v>
      </c>
      <c r="X216" s="84" t="s">
        <v>6429</v>
      </c>
      <c r="Y216" s="52" t="s">
        <v>2330</v>
      </c>
      <c r="Z216" s="52" t="s">
        <v>2330</v>
      </c>
      <c r="AA216" s="52" t="s">
        <v>2370</v>
      </c>
      <c r="AB216" s="52" t="s">
        <v>4733</v>
      </c>
      <c r="AC216" s="52" t="s">
        <v>4734</v>
      </c>
      <c r="AD216" s="52" t="s">
        <v>0</v>
      </c>
      <c r="AE216" s="52" t="s">
        <v>6070</v>
      </c>
      <c r="AF216" s="52" t="s">
        <v>6071</v>
      </c>
      <c r="AG216" s="186" t="s">
        <v>0</v>
      </c>
      <c r="AH216" s="186" t="s">
        <v>7114</v>
      </c>
      <c r="AI216" s="186" t="s">
        <v>7146</v>
      </c>
      <c r="AJ216" s="52" t="s">
        <v>6112</v>
      </c>
      <c r="AK216" s="52" t="s">
        <v>0</v>
      </c>
      <c r="AL216" s="52" t="s">
        <v>4175</v>
      </c>
      <c r="AM216" s="52" t="s">
        <v>5337</v>
      </c>
      <c r="AN216" s="52" t="s">
        <v>5385</v>
      </c>
      <c r="AO216" s="52" t="s">
        <v>4226</v>
      </c>
      <c r="AP216" s="52" t="s">
        <v>0</v>
      </c>
      <c r="AQ216" s="52" t="s">
        <v>6333</v>
      </c>
      <c r="AR216" s="52"/>
      <c r="AS216" s="52" t="s">
        <v>3463</v>
      </c>
      <c r="AT216" s="52" t="s">
        <v>3463</v>
      </c>
      <c r="AU216" s="52" t="s">
        <v>3463</v>
      </c>
      <c r="AV216" s="52" t="s">
        <v>4335</v>
      </c>
      <c r="AW216" s="52" t="s">
        <v>4335</v>
      </c>
      <c r="AX216" s="52" t="s">
        <v>5057</v>
      </c>
      <c r="AY216" s="52" t="s">
        <v>1325</v>
      </c>
      <c r="AZ216" s="52" t="s">
        <v>0</v>
      </c>
      <c r="BA216" s="52" t="s">
        <v>3652</v>
      </c>
      <c r="BB216" s="52" t="s">
        <v>3503</v>
      </c>
      <c r="BC216" s="52" t="s">
        <v>4839</v>
      </c>
      <c r="BD216" s="186" t="s">
        <v>7757</v>
      </c>
      <c r="BE216" s="52" t="s">
        <v>4882</v>
      </c>
      <c r="BF216" s="186" t="s">
        <v>7635</v>
      </c>
      <c r="BG216" s="52" t="s">
        <v>4839</v>
      </c>
      <c r="BH216" s="52" t="s">
        <v>7887</v>
      </c>
      <c r="BI216" s="52" t="s">
        <v>7829</v>
      </c>
      <c r="BJ216" s="52" t="s">
        <v>4987</v>
      </c>
      <c r="BK216" s="52"/>
      <c r="BL216" s="52"/>
      <c r="BM216" s="52" t="s">
        <v>0</v>
      </c>
      <c r="BN216" s="52" t="s">
        <v>3877</v>
      </c>
      <c r="BO216" s="52"/>
      <c r="BP216" s="52" t="s">
        <v>2259</v>
      </c>
      <c r="BQ216" s="52" t="s">
        <v>2259</v>
      </c>
      <c r="BR216" s="52" t="s">
        <v>0</v>
      </c>
      <c r="BS216" s="52" t="s">
        <v>2652</v>
      </c>
      <c r="BT216" s="52" t="s">
        <v>2652</v>
      </c>
      <c r="BU216" s="84" t="s">
        <v>0</v>
      </c>
      <c r="BV216" s="84"/>
      <c r="BW216" s="52"/>
      <c r="BX216" s="52" t="s">
        <v>3933</v>
      </c>
      <c r="BY216" s="52" t="s">
        <v>3779</v>
      </c>
      <c r="BZ216" s="52" t="s">
        <v>6226</v>
      </c>
      <c r="CA216" s="52" t="s">
        <v>3104</v>
      </c>
      <c r="CB216" s="52" t="s">
        <v>3104</v>
      </c>
      <c r="CC216" s="52"/>
      <c r="CD216" s="52"/>
      <c r="CE216" s="52" t="s">
        <v>3218</v>
      </c>
      <c r="CF216" s="52" t="s">
        <v>2149</v>
      </c>
    </row>
    <row r="217" spans="1:84">
      <c r="A217" s="81" t="s">
        <v>6714</v>
      </c>
      <c r="B217" s="200"/>
      <c r="C217" s="113"/>
      <c r="D217" s="113"/>
      <c r="E217" s="113"/>
      <c r="F217" s="113"/>
      <c r="G217" s="113"/>
      <c r="H217" s="114"/>
      <c r="I217" s="36" t="s">
        <v>0</v>
      </c>
      <c r="J217" s="113"/>
      <c r="K217" s="36" t="s">
        <v>0</v>
      </c>
      <c r="L217" s="36" t="s">
        <v>0</v>
      </c>
      <c r="M217" s="114"/>
      <c r="N217" s="36" t="s">
        <v>0</v>
      </c>
      <c r="O217" s="114"/>
      <c r="P217" s="36" t="s">
        <v>0</v>
      </c>
      <c r="Q217" s="36" t="s">
        <v>0</v>
      </c>
      <c r="R217" s="114"/>
      <c r="S217" s="36" t="s">
        <v>0</v>
      </c>
      <c r="T217" s="114"/>
      <c r="U217" s="114"/>
      <c r="V217" s="221"/>
      <c r="W217" s="114"/>
      <c r="X217" s="114"/>
      <c r="Y217" s="113"/>
      <c r="Z217" s="113"/>
      <c r="AA217" s="113"/>
      <c r="AB217" s="113"/>
      <c r="AC217" s="113"/>
      <c r="AD217" s="113"/>
      <c r="AE217" s="215"/>
      <c r="AF217" s="215"/>
      <c r="AG217" s="38" t="s">
        <v>0</v>
      </c>
      <c r="AH217" s="38" t="s">
        <v>0</v>
      </c>
      <c r="AI217" s="38" t="s">
        <v>0</v>
      </c>
      <c r="AJ217" s="215"/>
      <c r="AK217" s="215"/>
      <c r="AL217" s="215"/>
      <c r="AM217" s="114"/>
      <c r="AN217" s="114"/>
      <c r="AO217" s="114"/>
      <c r="AP217" s="113"/>
      <c r="AQ217" s="113"/>
      <c r="AR217" s="114"/>
      <c r="AS217" s="113"/>
      <c r="AT217" s="113"/>
      <c r="AU217" s="113"/>
      <c r="AV217" s="113"/>
      <c r="AW217" s="113"/>
      <c r="AX217" s="114"/>
      <c r="AY217" s="114"/>
      <c r="AZ217" s="114"/>
      <c r="BA217" s="114"/>
      <c r="BB217" s="114"/>
      <c r="BC217" s="114"/>
      <c r="BD217" s="38" t="s">
        <v>0</v>
      </c>
      <c r="BE217" s="114"/>
      <c r="BF217" s="38" t="s">
        <v>0</v>
      </c>
      <c r="BG217" s="114"/>
      <c r="BH217" s="38" t="s">
        <v>0</v>
      </c>
      <c r="BI217" s="38" t="s">
        <v>0</v>
      </c>
      <c r="BJ217" s="114"/>
      <c r="BK217" s="114"/>
      <c r="BL217" s="114"/>
      <c r="BM217" s="113"/>
      <c r="BN217" s="113"/>
      <c r="BO217" s="113"/>
      <c r="BP217" s="114"/>
      <c r="BQ217" s="114"/>
      <c r="BR217" s="113"/>
      <c r="BS217" s="114"/>
      <c r="BT217" s="114"/>
      <c r="BU217" s="114"/>
      <c r="BV217" s="114"/>
      <c r="BW217" s="113"/>
      <c r="BX217" s="114"/>
      <c r="BY217" s="113"/>
      <c r="BZ217" s="114"/>
      <c r="CA217" s="114"/>
      <c r="CB217" s="114"/>
      <c r="CC217" s="114"/>
      <c r="CD217" s="114"/>
      <c r="CE217" s="113"/>
      <c r="CF217" s="114"/>
    </row>
    <row r="218" spans="1:84">
      <c r="A218" s="51" t="s">
        <v>935</v>
      </c>
      <c r="B218" s="51"/>
      <c r="C218" s="52" t="s">
        <v>0</v>
      </c>
      <c r="D218" s="52" t="s">
        <v>0</v>
      </c>
      <c r="E218" s="52" t="s">
        <v>0</v>
      </c>
      <c r="F218" s="52" t="s">
        <v>0</v>
      </c>
      <c r="G218" s="52" t="s">
        <v>0</v>
      </c>
      <c r="H218" s="52" t="s">
        <v>1413</v>
      </c>
      <c r="I218" s="52" t="s">
        <v>0</v>
      </c>
      <c r="J218" s="52" t="s">
        <v>5298</v>
      </c>
      <c r="K218" s="52" t="s">
        <v>0</v>
      </c>
      <c r="L218" s="52" t="s">
        <v>0</v>
      </c>
      <c r="M218" s="52" t="s">
        <v>3326</v>
      </c>
      <c r="N218" s="52" t="s">
        <v>0</v>
      </c>
      <c r="O218" s="52" t="s">
        <v>1600</v>
      </c>
      <c r="P218" s="52" t="s">
        <v>0</v>
      </c>
      <c r="Q218" s="52" t="s">
        <v>0</v>
      </c>
      <c r="R218" s="52" t="s">
        <v>1548</v>
      </c>
      <c r="S218" s="52" t="s">
        <v>0</v>
      </c>
      <c r="T218" s="52" t="s">
        <v>5609</v>
      </c>
      <c r="U218" s="52" t="s">
        <v>5609</v>
      </c>
      <c r="V218" s="84"/>
      <c r="W218" s="52" t="s">
        <v>4423</v>
      </c>
      <c r="X218" s="52" t="s">
        <v>6466</v>
      </c>
      <c r="Y218" s="52" t="s">
        <v>0</v>
      </c>
      <c r="Z218" s="52" t="s">
        <v>0</v>
      </c>
      <c r="AA218" s="52" t="s">
        <v>0</v>
      </c>
      <c r="AB218" s="52" t="s">
        <v>0</v>
      </c>
      <c r="AC218" s="52" t="s">
        <v>0</v>
      </c>
      <c r="AD218" s="52" t="s">
        <v>0</v>
      </c>
      <c r="AE218" s="52" t="s">
        <v>0</v>
      </c>
      <c r="AF218" s="52" t="s">
        <v>5976</v>
      </c>
      <c r="AG218" s="186" t="s">
        <v>0</v>
      </c>
      <c r="AH218" s="186" t="s">
        <v>0</v>
      </c>
      <c r="AI218" s="186" t="s">
        <v>0</v>
      </c>
      <c r="AJ218" s="52" t="s">
        <v>6114</v>
      </c>
      <c r="AK218" s="52" t="s">
        <v>0</v>
      </c>
      <c r="AL218" s="52" t="s">
        <v>0</v>
      </c>
      <c r="AM218" s="52" t="s">
        <v>0</v>
      </c>
      <c r="AN218" s="52" t="s">
        <v>0</v>
      </c>
      <c r="AO218" s="52" t="s">
        <v>4226</v>
      </c>
      <c r="AP218" s="52" t="s">
        <v>0</v>
      </c>
      <c r="AQ218" s="52" t="s">
        <v>0</v>
      </c>
      <c r="AR218" s="52"/>
      <c r="AS218" s="52" t="s">
        <v>0</v>
      </c>
      <c r="AT218" s="52" t="s">
        <v>0</v>
      </c>
      <c r="AU218" s="52" t="s">
        <v>0</v>
      </c>
      <c r="AV218" s="52" t="s">
        <v>0</v>
      </c>
      <c r="AW218" s="52" t="s">
        <v>0</v>
      </c>
      <c r="AX218" s="52" t="s">
        <v>0</v>
      </c>
      <c r="AY218" s="52" t="s">
        <v>0</v>
      </c>
      <c r="AZ218" s="52" t="s">
        <v>0</v>
      </c>
      <c r="BA218" s="52" t="s">
        <v>0</v>
      </c>
      <c r="BB218" s="52" t="s">
        <v>4517</v>
      </c>
      <c r="BC218" s="52" t="s">
        <v>4848</v>
      </c>
      <c r="BD218" s="186" t="s">
        <v>0</v>
      </c>
      <c r="BE218" s="52" t="s">
        <v>4921</v>
      </c>
      <c r="BF218" s="186" t="s">
        <v>0</v>
      </c>
      <c r="BG218" s="52" t="s">
        <v>4848</v>
      </c>
      <c r="BH218" s="186" t="s">
        <v>0</v>
      </c>
      <c r="BI218" s="186" t="s">
        <v>0</v>
      </c>
      <c r="BJ218" s="52" t="s">
        <v>4846</v>
      </c>
      <c r="BK218" s="52"/>
      <c r="BL218" s="52"/>
      <c r="BM218" s="52" t="s">
        <v>0</v>
      </c>
      <c r="BN218" s="52" t="s">
        <v>0</v>
      </c>
      <c r="BO218" s="52"/>
      <c r="BP218" s="52" t="s">
        <v>0</v>
      </c>
      <c r="BQ218" s="52" t="s">
        <v>0</v>
      </c>
      <c r="BR218" s="52" t="s">
        <v>0</v>
      </c>
      <c r="BS218" s="52" t="s">
        <v>2676</v>
      </c>
      <c r="BT218" s="52" t="s">
        <v>0</v>
      </c>
      <c r="BU218" s="84" t="s">
        <v>0</v>
      </c>
      <c r="BV218" s="84"/>
      <c r="BW218" s="52"/>
      <c r="BX218" s="52" t="s">
        <v>0</v>
      </c>
      <c r="BY218" s="52" t="s">
        <v>0</v>
      </c>
      <c r="BZ218" s="52" t="s">
        <v>6236</v>
      </c>
      <c r="CA218" s="52" t="s">
        <v>3113</v>
      </c>
      <c r="CB218" s="52" t="s">
        <v>3113</v>
      </c>
      <c r="CC218" s="52"/>
      <c r="CD218" s="52"/>
      <c r="CE218" s="52" t="s">
        <v>0</v>
      </c>
      <c r="CF218" s="52" t="s">
        <v>2148</v>
      </c>
    </row>
    <row r="219" spans="1:84" ht="45">
      <c r="A219" s="6" t="s">
        <v>165</v>
      </c>
      <c r="B219" s="200"/>
      <c r="C219" s="38" t="s">
        <v>0</v>
      </c>
      <c r="D219" s="36" t="s">
        <v>350</v>
      </c>
      <c r="E219" s="36" t="s">
        <v>0</v>
      </c>
      <c r="F219" s="36" t="s">
        <v>2765</v>
      </c>
      <c r="G219" s="36" t="s">
        <v>5520</v>
      </c>
      <c r="H219" s="36" t="s">
        <v>5519</v>
      </c>
      <c r="I219" s="36" t="s">
        <v>8180</v>
      </c>
      <c r="J219" s="36" t="s">
        <v>5762</v>
      </c>
      <c r="K219" s="36" t="s">
        <v>8337</v>
      </c>
      <c r="L219" s="36" t="s">
        <v>5807</v>
      </c>
      <c r="M219" s="36" t="s">
        <v>5834</v>
      </c>
      <c r="N219" s="36" t="s">
        <v>8262</v>
      </c>
      <c r="O219" s="36" t="s">
        <v>5255</v>
      </c>
      <c r="P219" s="36" t="s">
        <v>5255</v>
      </c>
      <c r="Q219" s="36" t="s">
        <v>5255</v>
      </c>
      <c r="R219" s="36" t="s">
        <v>5807</v>
      </c>
      <c r="S219" s="36" t="s">
        <v>5255</v>
      </c>
      <c r="T219" s="36" t="s">
        <v>223</v>
      </c>
      <c r="U219" s="36" t="s">
        <v>210</v>
      </c>
      <c r="V219" s="145" t="s">
        <v>5733</v>
      </c>
      <c r="W219" s="36" t="s">
        <v>1821</v>
      </c>
      <c r="X219" s="36" t="s">
        <v>6468</v>
      </c>
      <c r="Y219" s="36" t="s">
        <v>0</v>
      </c>
      <c r="Z219" s="36" t="s">
        <v>27</v>
      </c>
      <c r="AA219" s="36" t="s">
        <v>27</v>
      </c>
      <c r="AB219" s="36" t="s">
        <v>4749</v>
      </c>
      <c r="AC219" s="36" t="s">
        <v>4750</v>
      </c>
      <c r="AD219" s="36" t="s">
        <v>0</v>
      </c>
      <c r="AE219" s="7" t="s">
        <v>954</v>
      </c>
      <c r="AF219" s="7" t="s">
        <v>954</v>
      </c>
      <c r="AG219" s="38" t="s">
        <v>0</v>
      </c>
      <c r="AH219" s="7" t="s">
        <v>7507</v>
      </c>
      <c r="AI219" s="7" t="s">
        <v>7506</v>
      </c>
      <c r="AJ219" s="7" t="s">
        <v>3450</v>
      </c>
      <c r="AK219" s="7" t="s">
        <v>0</v>
      </c>
      <c r="AL219" s="37" t="s">
        <v>4188</v>
      </c>
      <c r="AM219" s="36" t="s">
        <v>5343</v>
      </c>
      <c r="AN219" s="36" t="s">
        <v>5369</v>
      </c>
      <c r="AO219" s="36" t="s">
        <v>894</v>
      </c>
      <c r="AP219" s="36" t="s">
        <v>6345</v>
      </c>
      <c r="AQ219" s="36" t="s">
        <v>57</v>
      </c>
      <c r="AR219" s="36" t="s">
        <v>925</v>
      </c>
      <c r="AS219" s="36" t="s">
        <v>159</v>
      </c>
      <c r="AT219" s="36" t="s">
        <v>17</v>
      </c>
      <c r="AU219" s="36" t="s">
        <v>17</v>
      </c>
      <c r="AV219" s="36" t="s">
        <v>4341</v>
      </c>
      <c r="AW219" s="36" t="s">
        <v>4341</v>
      </c>
      <c r="AX219" s="36" t="s">
        <v>6320</v>
      </c>
      <c r="AY219" s="36" t="s">
        <v>6319</v>
      </c>
      <c r="AZ219" s="36" t="s">
        <v>0</v>
      </c>
      <c r="BA219" s="36" t="s">
        <v>4486</v>
      </c>
      <c r="BB219" s="36" t="s">
        <v>4540</v>
      </c>
      <c r="BC219" s="36" t="s">
        <v>4847</v>
      </c>
      <c r="BD219" s="36" t="s">
        <v>7832</v>
      </c>
      <c r="BE219" s="36" t="s">
        <v>4922</v>
      </c>
      <c r="BF219" s="36" t="s">
        <v>7637</v>
      </c>
      <c r="BG219" s="36" t="s">
        <v>4847</v>
      </c>
      <c r="BH219" s="36" t="s">
        <v>7832</v>
      </c>
      <c r="BI219" s="36" t="s">
        <v>7831</v>
      </c>
      <c r="BJ219" s="36" t="s">
        <v>5009</v>
      </c>
      <c r="BK219" s="36" t="s">
        <v>538</v>
      </c>
      <c r="BL219" s="36" t="s">
        <v>6140</v>
      </c>
      <c r="BM219" s="38" t="s">
        <v>0</v>
      </c>
      <c r="BN219" s="36" t="s">
        <v>3843</v>
      </c>
      <c r="BO219" s="36"/>
      <c r="BP219" s="36" t="s">
        <v>2255</v>
      </c>
      <c r="BQ219" s="36" t="s">
        <v>2255</v>
      </c>
      <c r="BR219" s="38" t="s">
        <v>0</v>
      </c>
      <c r="BS219" s="36" t="s">
        <v>925</v>
      </c>
      <c r="BT219" s="36" t="s">
        <v>925</v>
      </c>
      <c r="BU219" s="36" t="s">
        <v>6</v>
      </c>
      <c r="BV219" s="36" t="s">
        <v>666</v>
      </c>
      <c r="BW219" s="36" t="s">
        <v>667</v>
      </c>
      <c r="BX219" s="36" t="s">
        <v>3754</v>
      </c>
      <c r="BY219" s="36" t="s">
        <v>3755</v>
      </c>
      <c r="BZ219" s="36" t="s">
        <v>6223</v>
      </c>
      <c r="CA219" s="36" t="s">
        <v>775</v>
      </c>
      <c r="CB219" s="36" t="s">
        <v>775</v>
      </c>
      <c r="CC219" s="36" t="s">
        <v>309</v>
      </c>
      <c r="CD219" s="36" t="s">
        <v>309</v>
      </c>
      <c r="CE219" s="36" t="s">
        <v>3206</v>
      </c>
      <c r="CF219" s="36" t="s">
        <v>1821</v>
      </c>
    </row>
    <row r="220" spans="1:84" ht="18">
      <c r="A220" s="51" t="s">
        <v>935</v>
      </c>
      <c r="B220" s="51"/>
      <c r="C220" s="52" t="s">
        <v>0</v>
      </c>
      <c r="D220" s="52" t="s">
        <v>2246</v>
      </c>
      <c r="E220" s="52" t="s">
        <v>0</v>
      </c>
      <c r="F220" s="52" t="s">
        <v>2763</v>
      </c>
      <c r="G220" s="52" t="s">
        <v>1408</v>
      </c>
      <c r="H220" s="52" t="s">
        <v>1408</v>
      </c>
      <c r="I220" s="52" t="s">
        <v>8186</v>
      </c>
      <c r="J220" s="52" t="s">
        <v>5297</v>
      </c>
      <c r="K220" s="52" t="s">
        <v>8338</v>
      </c>
      <c r="L220" s="52" t="s">
        <v>8449</v>
      </c>
      <c r="M220" s="52" t="s">
        <v>1508</v>
      </c>
      <c r="N220" s="52" t="s">
        <v>8263</v>
      </c>
      <c r="O220" s="52" t="s">
        <v>1599</v>
      </c>
      <c r="P220" s="52" t="s">
        <v>8633</v>
      </c>
      <c r="Q220" s="52" t="s">
        <v>8633</v>
      </c>
      <c r="R220" s="52" t="s">
        <v>1547</v>
      </c>
      <c r="S220" s="52" t="s">
        <v>8506</v>
      </c>
      <c r="T220" s="52" t="s">
        <v>5610</v>
      </c>
      <c r="U220" s="52" t="s">
        <v>5610</v>
      </c>
      <c r="V220" s="84"/>
      <c r="W220" s="52" t="s">
        <v>4423</v>
      </c>
      <c r="X220" s="52" t="s">
        <v>6467</v>
      </c>
      <c r="Y220" s="52" t="s">
        <v>2333</v>
      </c>
      <c r="Z220" s="52" t="s">
        <v>2375</v>
      </c>
      <c r="AA220" s="52" t="s">
        <v>2375</v>
      </c>
      <c r="AB220" s="52" t="s">
        <v>5938</v>
      </c>
      <c r="AC220" s="52" t="s">
        <v>5938</v>
      </c>
      <c r="AD220" s="52" t="s">
        <v>0</v>
      </c>
      <c r="AE220" s="52" t="s">
        <v>5993</v>
      </c>
      <c r="AF220" s="52" t="s">
        <v>5971</v>
      </c>
      <c r="AG220" s="186" t="s">
        <v>0</v>
      </c>
      <c r="AH220" s="186" t="s">
        <v>7109</v>
      </c>
      <c r="AI220" s="186" t="s">
        <v>7150</v>
      </c>
      <c r="AJ220" s="52" t="s">
        <v>6114</v>
      </c>
      <c r="AK220" s="52" t="s">
        <v>0</v>
      </c>
      <c r="AL220" s="52" t="s">
        <v>1878</v>
      </c>
      <c r="AM220" s="52" t="s">
        <v>5342</v>
      </c>
      <c r="AN220" s="52" t="s">
        <v>5395</v>
      </c>
      <c r="AO220" s="52" t="s">
        <v>4226</v>
      </c>
      <c r="AP220" s="52" t="s">
        <v>6334</v>
      </c>
      <c r="AQ220" s="52" t="s">
        <v>6333</v>
      </c>
      <c r="AR220" s="52"/>
      <c r="AS220" s="52" t="s">
        <v>1025</v>
      </c>
      <c r="AT220" s="52" t="s">
        <v>1025</v>
      </c>
      <c r="AU220" s="52" t="s">
        <v>1025</v>
      </c>
      <c r="AV220" s="52" t="s">
        <v>4340</v>
      </c>
      <c r="AW220" s="52" t="s">
        <v>4340</v>
      </c>
      <c r="AX220" s="52" t="s">
        <v>1284</v>
      </c>
      <c r="AY220" s="52" t="s">
        <v>1328</v>
      </c>
      <c r="AZ220" s="52" t="s">
        <v>0</v>
      </c>
      <c r="BA220" s="52" t="s">
        <v>3629</v>
      </c>
      <c r="BB220" s="52" t="s">
        <v>3507</v>
      </c>
      <c r="BC220" s="52" t="s">
        <v>4846</v>
      </c>
      <c r="BD220" s="186" t="s">
        <v>7736</v>
      </c>
      <c r="BE220" s="52" t="s">
        <v>4921</v>
      </c>
      <c r="BF220" s="52" t="s">
        <v>7632</v>
      </c>
      <c r="BG220" s="52" t="s">
        <v>4846</v>
      </c>
      <c r="BH220" s="52" t="s">
        <v>7888</v>
      </c>
      <c r="BI220" s="52" t="s">
        <v>7830</v>
      </c>
      <c r="BJ220" s="52" t="s">
        <v>4841</v>
      </c>
      <c r="BK220" s="52"/>
      <c r="BL220" s="52"/>
      <c r="BM220" s="52" t="s">
        <v>0</v>
      </c>
      <c r="BN220" s="52" t="s">
        <v>3844</v>
      </c>
      <c r="BO220" s="52"/>
      <c r="BP220" s="52" t="s">
        <v>2254</v>
      </c>
      <c r="BQ220" s="52" t="s">
        <v>2254</v>
      </c>
      <c r="BR220" s="52" t="s">
        <v>0</v>
      </c>
      <c r="BS220" s="52" t="s">
        <v>2657</v>
      </c>
      <c r="BT220" s="52" t="s">
        <v>2657</v>
      </c>
      <c r="BU220" s="84" t="s">
        <v>2839</v>
      </c>
      <c r="BV220" s="84"/>
      <c r="BW220" s="52"/>
      <c r="BX220" s="52" t="s">
        <v>3934</v>
      </c>
      <c r="BY220" s="52" t="s">
        <v>3780</v>
      </c>
      <c r="BZ220" s="52" t="s">
        <v>6233</v>
      </c>
      <c r="CA220" s="52" t="s">
        <v>3105</v>
      </c>
      <c r="CB220" s="52" t="s">
        <v>3105</v>
      </c>
      <c r="CC220" s="52"/>
      <c r="CD220" s="52"/>
      <c r="CE220" s="52" t="s">
        <v>3218</v>
      </c>
      <c r="CF220" s="52" t="s">
        <v>2170</v>
      </c>
    </row>
    <row r="221" spans="1:84" ht="27">
      <c r="A221" s="62" t="s">
        <v>10</v>
      </c>
      <c r="B221" s="200"/>
      <c r="C221" s="38" t="s">
        <v>0</v>
      </c>
      <c r="D221" s="36" t="s">
        <v>223</v>
      </c>
      <c r="E221" s="36" t="s">
        <v>159</v>
      </c>
      <c r="F221" s="36" t="s">
        <v>57</v>
      </c>
      <c r="G221" s="36" t="s">
        <v>859</v>
      </c>
      <c r="H221" s="36" t="s">
        <v>18</v>
      </c>
      <c r="I221" s="36" t="s">
        <v>8179</v>
      </c>
      <c r="J221" s="36" t="s">
        <v>17</v>
      </c>
      <c r="K221" s="36" t="s">
        <v>8331</v>
      </c>
      <c r="L221" s="36" t="s">
        <v>8446</v>
      </c>
      <c r="M221" s="36" t="s">
        <v>57</v>
      </c>
      <c r="N221" s="36" t="s">
        <v>6313</v>
      </c>
      <c r="O221" s="36" t="s">
        <v>57</v>
      </c>
      <c r="P221" s="36" t="s">
        <v>8446</v>
      </c>
      <c r="Q221" s="36" t="s">
        <v>8446</v>
      </c>
      <c r="R221" s="36" t="s">
        <v>57</v>
      </c>
      <c r="S221" s="36" t="s">
        <v>8446</v>
      </c>
      <c r="T221" s="36" t="s">
        <v>223</v>
      </c>
      <c r="U221" s="36" t="s">
        <v>210</v>
      </c>
      <c r="V221" s="145" t="s">
        <v>5718</v>
      </c>
      <c r="W221" s="36" t="s">
        <v>833</v>
      </c>
      <c r="X221" s="36" t="s">
        <v>44</v>
      </c>
      <c r="Y221" s="36" t="s">
        <v>0</v>
      </c>
      <c r="Z221" s="36" t="s">
        <v>0</v>
      </c>
      <c r="AA221" s="36" t="s">
        <v>159</v>
      </c>
      <c r="AB221" s="36" t="s">
        <v>210</v>
      </c>
      <c r="AC221" s="36" t="s">
        <v>57</v>
      </c>
      <c r="AD221" s="38" t="s">
        <v>0</v>
      </c>
      <c r="AE221" s="7" t="s">
        <v>432</v>
      </c>
      <c r="AF221" s="7" t="s">
        <v>197</v>
      </c>
      <c r="AG221" s="38" t="s">
        <v>0</v>
      </c>
      <c r="AH221" s="38" t="s">
        <v>7104</v>
      </c>
      <c r="AI221" s="38" t="s">
        <v>5529</v>
      </c>
      <c r="AJ221" s="7" t="s">
        <v>223</v>
      </c>
      <c r="AK221" s="7" t="s">
        <v>0</v>
      </c>
      <c r="AL221" s="7" t="s">
        <v>0</v>
      </c>
      <c r="AM221" s="36" t="s">
        <v>5390</v>
      </c>
      <c r="AN221" s="36" t="s">
        <v>5391</v>
      </c>
      <c r="AO221" s="36" t="s">
        <v>892</v>
      </c>
      <c r="AP221" s="38" t="s">
        <v>0</v>
      </c>
      <c r="AQ221" s="36" t="s">
        <v>6343</v>
      </c>
      <c r="AR221" s="36" t="s">
        <v>921</v>
      </c>
      <c r="AS221" s="38" t="s">
        <v>159</v>
      </c>
      <c r="AT221" s="38" t="s">
        <v>26</v>
      </c>
      <c r="AU221" s="38" t="s">
        <v>26</v>
      </c>
      <c r="AV221" s="38" t="s">
        <v>57</v>
      </c>
      <c r="AW221" s="38" t="s">
        <v>57</v>
      </c>
      <c r="AX221" s="36" t="s">
        <v>223</v>
      </c>
      <c r="AY221" s="36" t="s">
        <v>366</v>
      </c>
      <c r="AZ221" s="36" t="s">
        <v>0</v>
      </c>
      <c r="BA221" s="36" t="s">
        <v>223</v>
      </c>
      <c r="BB221" s="36" t="s">
        <v>57</v>
      </c>
      <c r="BC221" s="36" t="s">
        <v>111</v>
      </c>
      <c r="BD221" s="36" t="s">
        <v>859</v>
      </c>
      <c r="BE221" s="36" t="s">
        <v>4883</v>
      </c>
      <c r="BF221" s="36" t="s">
        <v>7636</v>
      </c>
      <c r="BG221" s="36" t="s">
        <v>111</v>
      </c>
      <c r="BH221" s="36" t="s">
        <v>859</v>
      </c>
      <c r="BI221" s="36" t="s">
        <v>7795</v>
      </c>
      <c r="BJ221" s="36" t="s">
        <v>159</v>
      </c>
      <c r="BK221" s="36" t="s">
        <v>159</v>
      </c>
      <c r="BL221" s="36" t="s">
        <v>26</v>
      </c>
      <c r="BM221" s="38" t="s">
        <v>0</v>
      </c>
      <c r="BN221" s="38" t="s">
        <v>111</v>
      </c>
      <c r="BO221" s="38"/>
      <c r="BP221" s="36" t="s">
        <v>197</v>
      </c>
      <c r="BQ221" s="36" t="s">
        <v>111</v>
      </c>
      <c r="BR221" s="38" t="s">
        <v>0</v>
      </c>
      <c r="BS221" s="38" t="s">
        <v>210</v>
      </c>
      <c r="BT221" s="38" t="s">
        <v>350</v>
      </c>
      <c r="BU221" s="36" t="s">
        <v>111</v>
      </c>
      <c r="BV221" s="36" t="s">
        <v>17</v>
      </c>
      <c r="BW221" s="38" t="s">
        <v>26</v>
      </c>
      <c r="BX221" s="36" t="s">
        <v>834</v>
      </c>
      <c r="BY221" s="38" t="s">
        <v>210</v>
      </c>
      <c r="BZ221" s="36" t="s">
        <v>6229</v>
      </c>
      <c r="CA221" s="38" t="s">
        <v>26</v>
      </c>
      <c r="CB221" s="38" t="s">
        <v>26</v>
      </c>
      <c r="CC221" s="38" t="s">
        <v>111</v>
      </c>
      <c r="CD221" s="38" t="s">
        <v>197</v>
      </c>
      <c r="CE221" s="36" t="s">
        <v>27</v>
      </c>
      <c r="CF221" s="36" t="s">
        <v>833</v>
      </c>
    </row>
    <row r="222" spans="1:84" ht="18">
      <c r="A222" s="51" t="s">
        <v>935</v>
      </c>
      <c r="B222" s="51"/>
      <c r="C222" s="52" t="s">
        <v>0</v>
      </c>
      <c r="D222" s="52" t="s">
        <v>5180</v>
      </c>
      <c r="E222" s="52" t="s">
        <v>2762</v>
      </c>
      <c r="F222" s="52" t="s">
        <v>2762</v>
      </c>
      <c r="G222" s="52" t="s">
        <v>1413</v>
      </c>
      <c r="H222" s="52" t="s">
        <v>1413</v>
      </c>
      <c r="I222" s="52" t="s">
        <v>8185</v>
      </c>
      <c r="J222" s="52" t="s">
        <v>5295</v>
      </c>
      <c r="K222" s="52" t="s">
        <v>8332</v>
      </c>
      <c r="L222" s="52" t="s">
        <v>8445</v>
      </c>
      <c r="M222" s="52" t="s">
        <v>3322</v>
      </c>
      <c r="N222" s="52" t="s">
        <v>8260</v>
      </c>
      <c r="O222" s="52" t="s">
        <v>3354</v>
      </c>
      <c r="P222" s="52" t="s">
        <v>8634</v>
      </c>
      <c r="Q222" s="52" t="s">
        <v>8634</v>
      </c>
      <c r="R222" s="52" t="s">
        <v>3408</v>
      </c>
      <c r="S222" s="52" t="s">
        <v>8507</v>
      </c>
      <c r="T222" s="52" t="s">
        <v>5606</v>
      </c>
      <c r="U222" s="52" t="s">
        <v>5606</v>
      </c>
      <c r="V222" s="84"/>
      <c r="W222" s="52" t="s">
        <v>4425</v>
      </c>
      <c r="X222" s="84" t="s">
        <v>6463</v>
      </c>
      <c r="Y222" s="52" t="s">
        <v>2332</v>
      </c>
      <c r="Z222" s="52" t="s">
        <v>2332</v>
      </c>
      <c r="AA222" s="52" t="s">
        <v>2332</v>
      </c>
      <c r="AB222" s="52" t="s">
        <v>4740</v>
      </c>
      <c r="AC222" s="52" t="s">
        <v>4740</v>
      </c>
      <c r="AD222" s="52" t="s">
        <v>0</v>
      </c>
      <c r="AE222" s="52" t="s">
        <v>5992</v>
      </c>
      <c r="AF222" s="52" t="s">
        <v>5970</v>
      </c>
      <c r="AG222" s="186" t="s">
        <v>0</v>
      </c>
      <c r="AH222" s="186" t="s">
        <v>7106</v>
      </c>
      <c r="AI222" s="186" t="s">
        <v>7144</v>
      </c>
      <c r="AJ222" s="52" t="s">
        <v>6114</v>
      </c>
      <c r="AK222" s="52" t="s">
        <v>0</v>
      </c>
      <c r="AL222" s="52" t="s">
        <v>0</v>
      </c>
      <c r="AM222" s="52" t="s">
        <v>5393</v>
      </c>
      <c r="AN222" s="52" t="s">
        <v>5394</v>
      </c>
      <c r="AO222" s="52" t="s">
        <v>4226</v>
      </c>
      <c r="AP222" s="52" t="s">
        <v>0</v>
      </c>
      <c r="AQ222" s="52" t="s">
        <v>6333</v>
      </c>
      <c r="AR222" s="52"/>
      <c r="AS222" s="52" t="s">
        <v>1025</v>
      </c>
      <c r="AT222" s="52" t="s">
        <v>1025</v>
      </c>
      <c r="AU222" s="52" t="s">
        <v>1025</v>
      </c>
      <c r="AV222" s="52" t="s">
        <v>4337</v>
      </c>
      <c r="AW222" s="52" t="s">
        <v>4337</v>
      </c>
      <c r="AX222" s="52" t="s">
        <v>5056</v>
      </c>
      <c r="AY222" s="52" t="s">
        <v>1323</v>
      </c>
      <c r="AZ222" s="52" t="s">
        <v>0</v>
      </c>
      <c r="BA222" s="52" t="s">
        <v>3631</v>
      </c>
      <c r="BB222" s="52" t="s">
        <v>3499</v>
      </c>
      <c r="BC222" s="52" t="s">
        <v>4842</v>
      </c>
      <c r="BD222" s="186" t="s">
        <v>7758</v>
      </c>
      <c r="BE222" s="52" t="s">
        <v>4921</v>
      </c>
      <c r="BF222" s="52" t="s">
        <v>7632</v>
      </c>
      <c r="BG222" s="52" t="s">
        <v>4842</v>
      </c>
      <c r="BH222" s="186" t="s">
        <v>7889</v>
      </c>
      <c r="BI222" s="52" t="s">
        <v>7833</v>
      </c>
      <c r="BJ222" s="52" t="s">
        <v>4990</v>
      </c>
      <c r="BK222" s="52"/>
      <c r="BL222" s="52"/>
      <c r="BM222" s="52" t="s">
        <v>0</v>
      </c>
      <c r="BN222" s="52" t="s">
        <v>3845</v>
      </c>
      <c r="BO222" s="52"/>
      <c r="BP222" s="52" t="s">
        <v>2233</v>
      </c>
      <c r="BQ222" s="52" t="s">
        <v>2256</v>
      </c>
      <c r="BR222" s="52" t="s">
        <v>0</v>
      </c>
      <c r="BS222" s="52" t="s">
        <v>2679</v>
      </c>
      <c r="BT222" s="52" t="s">
        <v>2655</v>
      </c>
      <c r="BU222" s="84" t="s">
        <v>2837</v>
      </c>
      <c r="BV222" s="84"/>
      <c r="BW222" s="52"/>
      <c r="BX222" s="52" t="s">
        <v>3933</v>
      </c>
      <c r="BY222" s="52" t="s">
        <v>3779</v>
      </c>
      <c r="BZ222" s="52" t="s">
        <v>6230</v>
      </c>
      <c r="CA222" s="52" t="s">
        <v>3107</v>
      </c>
      <c r="CB222" s="52" t="s">
        <v>3107</v>
      </c>
      <c r="CC222" s="52"/>
      <c r="CD222" s="52"/>
      <c r="CE222" s="52" t="s">
        <v>3213</v>
      </c>
      <c r="CF222" s="52" t="s">
        <v>2145</v>
      </c>
    </row>
    <row r="223" spans="1:84" ht="27">
      <c r="A223" s="62" t="s">
        <v>164</v>
      </c>
      <c r="B223" s="200"/>
      <c r="C223" s="38" t="s">
        <v>0</v>
      </c>
      <c r="D223" s="36" t="s">
        <v>5181</v>
      </c>
      <c r="E223" s="36" t="s">
        <v>159</v>
      </c>
      <c r="F223" s="36" t="s">
        <v>57</v>
      </c>
      <c r="G223" s="36" t="s">
        <v>5516</v>
      </c>
      <c r="H223" s="36" t="s">
        <v>5517</v>
      </c>
      <c r="I223" s="36" t="s">
        <v>0</v>
      </c>
      <c r="J223" s="36" t="s">
        <v>0</v>
      </c>
      <c r="K223" s="36" t="s">
        <v>0</v>
      </c>
      <c r="L223" s="36" t="s">
        <v>8447</v>
      </c>
      <c r="M223" s="36" t="s">
        <v>5832</v>
      </c>
      <c r="N223" s="36" t="s">
        <v>0</v>
      </c>
      <c r="O223" s="36" t="s">
        <v>5254</v>
      </c>
      <c r="P223" s="36" t="s">
        <v>8636</v>
      </c>
      <c r="Q223" s="36" t="s">
        <v>8636</v>
      </c>
      <c r="R223" s="36" t="s">
        <v>5274</v>
      </c>
      <c r="S223" s="36" t="s">
        <v>8447</v>
      </c>
      <c r="T223" s="36" t="s">
        <v>223</v>
      </c>
      <c r="U223" s="36" t="s">
        <v>210</v>
      </c>
      <c r="V223" s="145" t="s">
        <v>5493</v>
      </c>
      <c r="W223" s="36" t="s">
        <v>4395</v>
      </c>
      <c r="X223" s="36" t="s">
        <v>44</v>
      </c>
      <c r="Y223" s="36" t="s">
        <v>0</v>
      </c>
      <c r="Z223" s="36" t="s">
        <v>0</v>
      </c>
      <c r="AA223" s="36" t="s">
        <v>159</v>
      </c>
      <c r="AB223" s="36" t="s">
        <v>4741</v>
      </c>
      <c r="AC223" s="36" t="s">
        <v>4742</v>
      </c>
      <c r="AD223" s="38" t="s">
        <v>0</v>
      </c>
      <c r="AE223" s="7" t="s">
        <v>432</v>
      </c>
      <c r="AF223" s="7" t="s">
        <v>197</v>
      </c>
      <c r="AG223" s="38" t="s">
        <v>0</v>
      </c>
      <c r="AH223" s="36" t="s">
        <v>7107</v>
      </c>
      <c r="AI223" s="36" t="s">
        <v>7145</v>
      </c>
      <c r="AJ223" s="7" t="s">
        <v>223</v>
      </c>
      <c r="AK223" s="7" t="s">
        <v>0</v>
      </c>
      <c r="AL223" s="34" t="s">
        <v>57</v>
      </c>
      <c r="AM223" s="36" t="s">
        <v>5384</v>
      </c>
      <c r="AN223" s="36" t="s">
        <v>5392</v>
      </c>
      <c r="AO223" s="36" t="s">
        <v>4228</v>
      </c>
      <c r="AP223" s="38" t="s">
        <v>0</v>
      </c>
      <c r="AQ223" s="38" t="s">
        <v>0</v>
      </c>
      <c r="AR223" s="36" t="s">
        <v>0</v>
      </c>
      <c r="AS223" s="36" t="s">
        <v>1972</v>
      </c>
      <c r="AT223" s="36" t="s">
        <v>3108</v>
      </c>
      <c r="AU223" s="36" t="s">
        <v>3108</v>
      </c>
      <c r="AV223" s="38" t="s">
        <v>57</v>
      </c>
      <c r="AW223" s="38" t="s">
        <v>57</v>
      </c>
      <c r="AX223" s="36" t="s">
        <v>0</v>
      </c>
      <c r="AY223" s="36" t="s">
        <v>0</v>
      </c>
      <c r="AZ223" s="36" t="s">
        <v>0</v>
      </c>
      <c r="BA223" s="36" t="s">
        <v>0</v>
      </c>
      <c r="BB223" s="36" t="s">
        <v>113</v>
      </c>
      <c r="BC223" s="36" t="s">
        <v>111</v>
      </c>
      <c r="BD223" s="36" t="s">
        <v>0</v>
      </c>
      <c r="BE223" s="36" t="s">
        <v>4883</v>
      </c>
      <c r="BF223" s="36" t="s">
        <v>7638</v>
      </c>
      <c r="BG223" s="36" t="s">
        <v>111</v>
      </c>
      <c r="BH223" s="36" t="s">
        <v>0</v>
      </c>
      <c r="BI223" s="36" t="s">
        <v>7795</v>
      </c>
      <c r="BJ223" s="36" t="s">
        <v>159</v>
      </c>
      <c r="BK223" s="36" t="s">
        <v>0</v>
      </c>
      <c r="BL223" s="36" t="s">
        <v>17</v>
      </c>
      <c r="BM223" s="38" t="s">
        <v>0</v>
      </c>
      <c r="BN223" s="36" t="s">
        <v>3846</v>
      </c>
      <c r="BO223" s="36"/>
      <c r="BP223" s="36" t="s">
        <v>0</v>
      </c>
      <c r="BQ223" s="36" t="s">
        <v>0</v>
      </c>
      <c r="BR223" s="38" t="s">
        <v>0</v>
      </c>
      <c r="BS223" s="38" t="s">
        <v>0</v>
      </c>
      <c r="BT223" s="38" t="s">
        <v>0</v>
      </c>
      <c r="BU223" s="36" t="s">
        <v>5073</v>
      </c>
      <c r="BV223" s="36" t="s">
        <v>17</v>
      </c>
      <c r="BW223" s="38" t="s">
        <v>26</v>
      </c>
      <c r="BX223" s="36" t="s">
        <v>834</v>
      </c>
      <c r="BY223" s="38" t="s">
        <v>210</v>
      </c>
      <c r="BZ223" s="36" t="s">
        <v>6229</v>
      </c>
      <c r="CA223" s="36" t="s">
        <v>3108</v>
      </c>
      <c r="CB223" s="36" t="s">
        <v>3108</v>
      </c>
      <c r="CC223" s="38" t="s">
        <v>0</v>
      </c>
      <c r="CD223" s="38" t="s">
        <v>0</v>
      </c>
      <c r="CE223" s="38" t="s">
        <v>0</v>
      </c>
      <c r="CF223" s="38" t="s">
        <v>0</v>
      </c>
    </row>
    <row r="224" spans="1:84" ht="18">
      <c r="A224" s="51" t="s">
        <v>935</v>
      </c>
      <c r="B224" s="51"/>
      <c r="C224" s="52" t="s">
        <v>0</v>
      </c>
      <c r="D224" s="52" t="s">
        <v>5180</v>
      </c>
      <c r="E224" s="52" t="s">
        <v>2762</v>
      </c>
      <c r="F224" s="52" t="s">
        <v>2762</v>
      </c>
      <c r="G224" s="52" t="s">
        <v>0</v>
      </c>
      <c r="H224" s="52" t="s">
        <v>0</v>
      </c>
      <c r="I224" s="52" t="s">
        <v>8185</v>
      </c>
      <c r="J224" s="52" t="s">
        <v>0</v>
      </c>
      <c r="K224" s="52" t="s">
        <v>8332</v>
      </c>
      <c r="L224" s="52" t="s">
        <v>8448</v>
      </c>
      <c r="M224" s="52" t="s">
        <v>5833</v>
      </c>
      <c r="N224" s="52" t="s">
        <v>8260</v>
      </c>
      <c r="O224" s="52" t="s">
        <v>5854</v>
      </c>
      <c r="P224" s="52" t="s">
        <v>8635</v>
      </c>
      <c r="Q224" s="52" t="s">
        <v>8635</v>
      </c>
      <c r="R224" s="52" t="s">
        <v>5805</v>
      </c>
      <c r="S224" s="52" t="s">
        <v>8508</v>
      </c>
      <c r="T224" s="52" t="s">
        <v>5607</v>
      </c>
      <c r="U224" s="52" t="s">
        <v>5607</v>
      </c>
      <c r="V224" s="84"/>
      <c r="W224" s="52" t="s">
        <v>4423</v>
      </c>
      <c r="X224" s="84" t="s">
        <v>6463</v>
      </c>
      <c r="Y224" s="52" t="s">
        <v>2332</v>
      </c>
      <c r="Z224" s="52" t="s">
        <v>2332</v>
      </c>
      <c r="AA224" s="52" t="s">
        <v>2332</v>
      </c>
      <c r="AB224" s="52" t="s">
        <v>4743</v>
      </c>
      <c r="AC224" s="52" t="s">
        <v>4743</v>
      </c>
      <c r="AD224" s="52" t="s">
        <v>0</v>
      </c>
      <c r="AE224" s="52" t="s">
        <v>5992</v>
      </c>
      <c r="AF224" s="52" t="s">
        <v>5970</v>
      </c>
      <c r="AG224" s="186" t="s">
        <v>0</v>
      </c>
      <c r="AH224" s="186" t="s">
        <v>7106</v>
      </c>
      <c r="AI224" s="186" t="s">
        <v>7144</v>
      </c>
      <c r="AJ224" s="52" t="s">
        <v>6114</v>
      </c>
      <c r="AK224" s="52" t="s">
        <v>0</v>
      </c>
      <c r="AL224" s="52" t="s">
        <v>4197</v>
      </c>
      <c r="AM224" s="52" t="s">
        <v>5383</v>
      </c>
      <c r="AN224" s="52" t="s">
        <v>5386</v>
      </c>
      <c r="AO224" s="52" t="s">
        <v>4226</v>
      </c>
      <c r="AP224" s="52" t="s">
        <v>0</v>
      </c>
      <c r="AQ224" s="52" t="s">
        <v>0</v>
      </c>
      <c r="AR224" s="52"/>
      <c r="AS224" s="52" t="s">
        <v>1936</v>
      </c>
      <c r="AT224" s="52" t="s">
        <v>1936</v>
      </c>
      <c r="AU224" s="52" t="s">
        <v>1936</v>
      </c>
      <c r="AV224" s="52" t="s">
        <v>4337</v>
      </c>
      <c r="AW224" s="52" t="s">
        <v>4337</v>
      </c>
      <c r="AX224" s="52" t="s">
        <v>0</v>
      </c>
      <c r="AY224" s="52" t="s">
        <v>0</v>
      </c>
      <c r="AZ224" s="52" t="s">
        <v>0</v>
      </c>
      <c r="BA224" s="52" t="s">
        <v>0</v>
      </c>
      <c r="BB224" s="52" t="s">
        <v>3500</v>
      </c>
      <c r="BC224" s="52" t="s">
        <v>5008</v>
      </c>
      <c r="BD224" s="52" t="s">
        <v>0</v>
      </c>
      <c r="BE224" s="52" t="s">
        <v>4921</v>
      </c>
      <c r="BF224" s="52" t="s">
        <v>7632</v>
      </c>
      <c r="BG224" s="52" t="s">
        <v>5008</v>
      </c>
      <c r="BH224" s="52" t="s">
        <v>0</v>
      </c>
      <c r="BI224" s="52" t="s">
        <v>7834</v>
      </c>
      <c r="BJ224" s="52" t="s">
        <v>4994</v>
      </c>
      <c r="BK224" s="52"/>
      <c r="BL224" s="52"/>
      <c r="BM224" s="52" t="s">
        <v>0</v>
      </c>
      <c r="BN224" s="52" t="s">
        <v>3845</v>
      </c>
      <c r="BO224" s="52"/>
      <c r="BP224" s="52" t="s">
        <v>0</v>
      </c>
      <c r="BQ224" s="52" t="s">
        <v>0</v>
      </c>
      <c r="BR224" s="52" t="s">
        <v>0</v>
      </c>
      <c r="BS224" s="52" t="s">
        <v>0</v>
      </c>
      <c r="BT224" s="52" t="s">
        <v>0</v>
      </c>
      <c r="BU224" s="84" t="s">
        <v>2837</v>
      </c>
      <c r="BV224" s="84"/>
      <c r="BW224" s="52"/>
      <c r="BX224" s="52" t="s">
        <v>3933</v>
      </c>
      <c r="BY224" s="52" t="s">
        <v>3779</v>
      </c>
      <c r="BZ224" s="52" t="s">
        <v>6230</v>
      </c>
      <c r="CA224" s="52" t="s">
        <v>3107</v>
      </c>
      <c r="CB224" s="52" t="s">
        <v>3107</v>
      </c>
      <c r="CC224" s="52"/>
      <c r="CD224" s="52"/>
      <c r="CE224" s="52" t="s">
        <v>0</v>
      </c>
      <c r="CF224" s="52" t="s">
        <v>0</v>
      </c>
    </row>
    <row r="225" spans="1:84" ht="27">
      <c r="A225" s="62" t="s">
        <v>169</v>
      </c>
      <c r="B225" s="200"/>
      <c r="C225" s="38" t="s">
        <v>0</v>
      </c>
      <c r="D225" s="38" t="s">
        <v>0</v>
      </c>
      <c r="E225" s="36" t="s">
        <v>3751</v>
      </c>
      <c r="F225" s="36" t="s">
        <v>57</v>
      </c>
      <c r="G225" s="36" t="s">
        <v>57</v>
      </c>
      <c r="H225" s="36" t="s">
        <v>57</v>
      </c>
      <c r="I225" s="36" t="s">
        <v>8179</v>
      </c>
      <c r="J225" s="38" t="s">
        <v>0</v>
      </c>
      <c r="K225" s="36" t="s">
        <v>8331</v>
      </c>
      <c r="L225" s="36" t="s">
        <v>57</v>
      </c>
      <c r="M225" s="38" t="s">
        <v>0</v>
      </c>
      <c r="N225" s="36" t="s">
        <v>6313</v>
      </c>
      <c r="O225" s="38" t="s">
        <v>0</v>
      </c>
      <c r="P225" s="36" t="s">
        <v>57</v>
      </c>
      <c r="Q225" s="36" t="s">
        <v>57</v>
      </c>
      <c r="R225" s="38" t="s">
        <v>0</v>
      </c>
      <c r="S225" s="36" t="s">
        <v>57</v>
      </c>
      <c r="T225" s="38" t="s">
        <v>0</v>
      </c>
      <c r="U225" s="38" t="s">
        <v>0</v>
      </c>
      <c r="V225" s="145" t="s">
        <v>5718</v>
      </c>
      <c r="W225" s="36" t="s">
        <v>0</v>
      </c>
      <c r="X225" s="36" t="s">
        <v>44</v>
      </c>
      <c r="Y225" s="36" t="s">
        <v>0</v>
      </c>
      <c r="Z225" s="36" t="s">
        <v>0</v>
      </c>
      <c r="AA225" s="36" t="s">
        <v>0</v>
      </c>
      <c r="AB225" s="36" t="s">
        <v>210</v>
      </c>
      <c r="AC225" s="36" t="s">
        <v>57</v>
      </c>
      <c r="AD225" s="38" t="s">
        <v>0</v>
      </c>
      <c r="AE225" s="7" t="s">
        <v>0</v>
      </c>
      <c r="AF225" s="7" t="s">
        <v>0</v>
      </c>
      <c r="AG225" s="38" t="s">
        <v>0</v>
      </c>
      <c r="AH225" s="36" t="s">
        <v>7108</v>
      </c>
      <c r="AI225" s="36" t="s">
        <v>7108</v>
      </c>
      <c r="AJ225" s="34" t="s">
        <v>0</v>
      </c>
      <c r="AK225" s="7" t="s">
        <v>0</v>
      </c>
      <c r="AL225" s="7" t="s">
        <v>0</v>
      </c>
      <c r="AM225" s="36" t="s">
        <v>5457</v>
      </c>
      <c r="AN225" s="36" t="s">
        <v>5458</v>
      </c>
      <c r="AO225" s="36" t="s">
        <v>0</v>
      </c>
      <c r="AP225" s="38" t="s">
        <v>0</v>
      </c>
      <c r="AQ225" s="38" t="s">
        <v>0</v>
      </c>
      <c r="AR225" s="36" t="s">
        <v>0</v>
      </c>
      <c r="AS225" s="38" t="s">
        <v>159</v>
      </c>
      <c r="AT225" s="38" t="s">
        <v>26</v>
      </c>
      <c r="AU225" s="38" t="s">
        <v>26</v>
      </c>
      <c r="AV225" s="36" t="s">
        <v>0</v>
      </c>
      <c r="AW225" s="36" t="s">
        <v>0</v>
      </c>
      <c r="AX225" s="36" t="s">
        <v>0</v>
      </c>
      <c r="AY225" s="36" t="s">
        <v>0</v>
      </c>
      <c r="AZ225" s="36" t="s">
        <v>0</v>
      </c>
      <c r="BA225" s="36" t="s">
        <v>0</v>
      </c>
      <c r="BB225" s="36" t="s">
        <v>0</v>
      </c>
      <c r="BC225" s="36" t="s">
        <v>111</v>
      </c>
      <c r="BD225" s="36" t="s">
        <v>859</v>
      </c>
      <c r="BE225" s="36" t="s">
        <v>4883</v>
      </c>
      <c r="BF225" s="36" t="s">
        <v>7638</v>
      </c>
      <c r="BG225" s="36" t="s">
        <v>111</v>
      </c>
      <c r="BH225" s="36" t="s">
        <v>859</v>
      </c>
      <c r="BI225" s="36" t="s">
        <v>7795</v>
      </c>
      <c r="BJ225" s="36" t="s">
        <v>159</v>
      </c>
      <c r="BK225" s="36" t="s">
        <v>0</v>
      </c>
      <c r="BL225" s="36" t="s">
        <v>0</v>
      </c>
      <c r="BM225" s="38" t="s">
        <v>0</v>
      </c>
      <c r="BN225" s="38" t="s">
        <v>0</v>
      </c>
      <c r="BO225" s="38"/>
      <c r="BP225" s="36" t="s">
        <v>0</v>
      </c>
      <c r="BQ225" s="36" t="s">
        <v>0</v>
      </c>
      <c r="BR225" s="38" t="s">
        <v>0</v>
      </c>
      <c r="BS225" s="38" t="s">
        <v>0</v>
      </c>
      <c r="BT225" s="38" t="s">
        <v>0</v>
      </c>
      <c r="BU225" s="36" t="s">
        <v>111</v>
      </c>
      <c r="BV225" s="36" t="s">
        <v>710</v>
      </c>
      <c r="BW225" s="36" t="s">
        <v>709</v>
      </c>
      <c r="BX225" s="36" t="s">
        <v>0</v>
      </c>
      <c r="BY225" s="36" t="s">
        <v>0</v>
      </c>
      <c r="BZ225" s="36" t="s">
        <v>0</v>
      </c>
      <c r="CA225" s="38" t="s">
        <v>0</v>
      </c>
      <c r="CB225" s="38" t="s">
        <v>0</v>
      </c>
      <c r="CC225" s="38" t="s">
        <v>0</v>
      </c>
      <c r="CD225" s="38" t="s">
        <v>0</v>
      </c>
      <c r="CE225" s="38" t="s">
        <v>0</v>
      </c>
      <c r="CF225" s="39" t="s">
        <v>0</v>
      </c>
    </row>
    <row r="226" spans="1:84" ht="18">
      <c r="A226" s="51" t="s">
        <v>935</v>
      </c>
      <c r="B226" s="51"/>
      <c r="C226" s="52" t="s">
        <v>0</v>
      </c>
      <c r="D226" s="52" t="s">
        <v>0</v>
      </c>
      <c r="E226" s="52" t="s">
        <v>2762</v>
      </c>
      <c r="F226" s="52" t="s">
        <v>2762</v>
      </c>
      <c r="G226" s="52" t="s">
        <v>5518</v>
      </c>
      <c r="H226" s="52" t="s">
        <v>5518</v>
      </c>
      <c r="I226" s="52" t="s">
        <v>8185</v>
      </c>
      <c r="J226" s="52" t="s">
        <v>0</v>
      </c>
      <c r="K226" s="52" t="s">
        <v>8332</v>
      </c>
      <c r="L226" s="52" t="s">
        <v>8445</v>
      </c>
      <c r="M226" s="52" t="s">
        <v>0</v>
      </c>
      <c r="N226" s="52" t="s">
        <v>8260</v>
      </c>
      <c r="O226" s="52" t="s">
        <v>0</v>
      </c>
      <c r="P226" s="52" t="s">
        <v>8634</v>
      </c>
      <c r="Q226" s="52" t="s">
        <v>8634</v>
      </c>
      <c r="R226" s="52" t="s">
        <v>0</v>
      </c>
      <c r="S226" s="52" t="s">
        <v>8507</v>
      </c>
      <c r="T226" s="52" t="s">
        <v>0</v>
      </c>
      <c r="U226" s="52" t="s">
        <v>0</v>
      </c>
      <c r="V226" s="84"/>
      <c r="W226" s="52" t="s">
        <v>0</v>
      </c>
      <c r="X226" s="84" t="s">
        <v>6463</v>
      </c>
      <c r="Y226" s="52" t="s">
        <v>0</v>
      </c>
      <c r="Z226" s="52" t="s">
        <v>0</v>
      </c>
      <c r="AA226" s="52" t="s">
        <v>0</v>
      </c>
      <c r="AB226" s="52" t="s">
        <v>4740</v>
      </c>
      <c r="AC226" s="52" t="s">
        <v>4745</v>
      </c>
      <c r="AD226" s="52" t="s">
        <v>0</v>
      </c>
      <c r="AE226" s="52" t="s">
        <v>0</v>
      </c>
      <c r="AF226" s="52" t="s">
        <v>0</v>
      </c>
      <c r="AG226" s="186" t="s">
        <v>0</v>
      </c>
      <c r="AH226" s="186" t="s">
        <v>7106</v>
      </c>
      <c r="AI226" s="186" t="s">
        <v>7144</v>
      </c>
      <c r="AJ226" s="52" t="s">
        <v>0</v>
      </c>
      <c r="AK226" s="52" t="s">
        <v>0</v>
      </c>
      <c r="AL226" s="52" t="s">
        <v>0</v>
      </c>
      <c r="AM226" s="52" t="s">
        <v>5393</v>
      </c>
      <c r="AN226" s="52" t="s">
        <v>5394</v>
      </c>
      <c r="AO226" s="52" t="s">
        <v>0</v>
      </c>
      <c r="AP226" s="52" t="s">
        <v>0</v>
      </c>
      <c r="AQ226" s="52" t="s">
        <v>0</v>
      </c>
      <c r="AR226" s="52"/>
      <c r="AS226" s="52" t="s">
        <v>1025</v>
      </c>
      <c r="AT226" s="52" t="s">
        <v>1025</v>
      </c>
      <c r="AU226" s="52" t="s">
        <v>1025</v>
      </c>
      <c r="AV226" s="52" t="s">
        <v>0</v>
      </c>
      <c r="AW226" s="52" t="s">
        <v>0</v>
      </c>
      <c r="AX226" s="52" t="s">
        <v>0</v>
      </c>
      <c r="AY226" s="52" t="s">
        <v>0</v>
      </c>
      <c r="AZ226" s="52" t="s">
        <v>0</v>
      </c>
      <c r="BA226" s="52" t="s">
        <v>0</v>
      </c>
      <c r="BB226" s="52" t="s">
        <v>0</v>
      </c>
      <c r="BC226" s="52" t="s">
        <v>4845</v>
      </c>
      <c r="BD226" s="186" t="s">
        <v>7758</v>
      </c>
      <c r="BE226" s="52" t="s">
        <v>4921</v>
      </c>
      <c r="BF226" s="52" t="s">
        <v>7632</v>
      </c>
      <c r="BG226" s="52" t="s">
        <v>4845</v>
      </c>
      <c r="BH226" s="186" t="s">
        <v>7890</v>
      </c>
      <c r="BI226" s="52" t="s">
        <v>7835</v>
      </c>
      <c r="BJ226" s="52" t="s">
        <v>4993</v>
      </c>
      <c r="BK226" s="52"/>
      <c r="BL226" s="52"/>
      <c r="BM226" s="52" t="s">
        <v>0</v>
      </c>
      <c r="BN226" s="52" t="s">
        <v>0</v>
      </c>
      <c r="BO226" s="52"/>
      <c r="BP226" s="52" t="s">
        <v>0</v>
      </c>
      <c r="BQ226" s="52" t="s">
        <v>0</v>
      </c>
      <c r="BR226" s="52" t="s">
        <v>0</v>
      </c>
      <c r="BS226" s="52" t="s">
        <v>0</v>
      </c>
      <c r="BT226" s="52" t="s">
        <v>0</v>
      </c>
      <c r="BU226" s="84" t="s">
        <v>5092</v>
      </c>
      <c r="BV226" s="84"/>
      <c r="BW226" s="52"/>
      <c r="BX226" s="52" t="s">
        <v>0</v>
      </c>
      <c r="BY226" s="52" t="s">
        <v>0</v>
      </c>
      <c r="BZ226" s="52" t="s">
        <v>0</v>
      </c>
      <c r="CA226" s="52" t="s">
        <v>0</v>
      </c>
      <c r="CB226" s="52" t="s">
        <v>0</v>
      </c>
      <c r="CC226" s="52"/>
      <c r="CD226" s="52"/>
      <c r="CE226" s="52" t="s">
        <v>0</v>
      </c>
      <c r="CF226" s="52" t="s">
        <v>0</v>
      </c>
    </row>
    <row r="227" spans="1:84" ht="27">
      <c r="A227" s="62" t="s">
        <v>9</v>
      </c>
      <c r="B227" s="200"/>
      <c r="C227" s="38" t="s">
        <v>0</v>
      </c>
      <c r="D227" s="36" t="s">
        <v>223</v>
      </c>
      <c r="E227" s="38" t="s">
        <v>0</v>
      </c>
      <c r="F227" s="38" t="s">
        <v>57</v>
      </c>
      <c r="G227" s="36" t="s">
        <v>208</v>
      </c>
      <c r="H227" s="36" t="s">
        <v>223</v>
      </c>
      <c r="I227" s="36" t="s">
        <v>8179</v>
      </c>
      <c r="J227" s="36" t="s">
        <v>17</v>
      </c>
      <c r="K227" s="36" t="s">
        <v>8331</v>
      </c>
      <c r="L227" s="36" t="s">
        <v>57</v>
      </c>
      <c r="M227" s="36" t="s">
        <v>57</v>
      </c>
      <c r="N227" s="36" t="s">
        <v>6313</v>
      </c>
      <c r="O227" s="36" t="s">
        <v>57</v>
      </c>
      <c r="P227" s="36" t="s">
        <v>57</v>
      </c>
      <c r="Q227" s="36" t="s">
        <v>57</v>
      </c>
      <c r="R227" s="36" t="s">
        <v>57</v>
      </c>
      <c r="S227" s="36" t="s">
        <v>57</v>
      </c>
      <c r="T227" s="36" t="s">
        <v>2250</v>
      </c>
      <c r="U227" s="36" t="s">
        <v>747</v>
      </c>
      <c r="V227" s="145" t="s">
        <v>5718</v>
      </c>
      <c r="W227" s="36" t="s">
        <v>834</v>
      </c>
      <c r="X227" s="36" t="s">
        <v>44</v>
      </c>
      <c r="Y227" s="36" t="s">
        <v>0</v>
      </c>
      <c r="Z227" s="36" t="s">
        <v>0</v>
      </c>
      <c r="AA227" s="36" t="s">
        <v>515</v>
      </c>
      <c r="AB227" s="36" t="s">
        <v>210</v>
      </c>
      <c r="AC227" s="36" t="s">
        <v>57</v>
      </c>
      <c r="AD227" s="38" t="s">
        <v>0</v>
      </c>
      <c r="AE227" s="7" t="s">
        <v>432</v>
      </c>
      <c r="AF227" s="7" t="s">
        <v>197</v>
      </c>
      <c r="AG227" s="38" t="s">
        <v>0</v>
      </c>
      <c r="AH227" s="38" t="s">
        <v>7104</v>
      </c>
      <c r="AI227" s="38" t="s">
        <v>5529</v>
      </c>
      <c r="AJ227" s="7" t="s">
        <v>223</v>
      </c>
      <c r="AK227" s="7" t="s">
        <v>0</v>
      </c>
      <c r="AL227" s="34" t="s">
        <v>57</v>
      </c>
      <c r="AM227" s="36" t="s">
        <v>5390</v>
      </c>
      <c r="AN227" s="36" t="s">
        <v>5391</v>
      </c>
      <c r="AO227" s="36" t="s">
        <v>892</v>
      </c>
      <c r="AP227" s="36" t="s">
        <v>0</v>
      </c>
      <c r="AQ227" s="36" t="s">
        <v>6343</v>
      </c>
      <c r="AR227" s="38" t="s">
        <v>350</v>
      </c>
      <c r="AS227" s="38" t="s">
        <v>159</v>
      </c>
      <c r="AT227" s="38" t="s">
        <v>26</v>
      </c>
      <c r="AU227" s="38" t="s">
        <v>26</v>
      </c>
      <c r="AV227" s="36" t="s">
        <v>4339</v>
      </c>
      <c r="AW227" s="36" t="s">
        <v>4339</v>
      </c>
      <c r="AX227" s="36" t="s">
        <v>6317</v>
      </c>
      <c r="AY227" s="36" t="s">
        <v>6318</v>
      </c>
      <c r="AZ227" s="36" t="s">
        <v>0</v>
      </c>
      <c r="BA227" s="36" t="s">
        <v>2250</v>
      </c>
      <c r="BB227" s="36" t="s">
        <v>57</v>
      </c>
      <c r="BC227" s="36" t="s">
        <v>4844</v>
      </c>
      <c r="BD227" s="36" t="s">
        <v>859</v>
      </c>
      <c r="BE227" s="36" t="s">
        <v>4883</v>
      </c>
      <c r="BF227" s="36" t="s">
        <v>7638</v>
      </c>
      <c r="BG227" s="36" t="s">
        <v>4844</v>
      </c>
      <c r="BH227" s="36" t="s">
        <v>859</v>
      </c>
      <c r="BI227" s="36" t="s">
        <v>7795</v>
      </c>
      <c r="BJ227" s="36" t="s">
        <v>4991</v>
      </c>
      <c r="BK227" s="36" t="s">
        <v>159</v>
      </c>
      <c r="BL227" s="36" t="s">
        <v>26</v>
      </c>
      <c r="BM227" s="38" t="s">
        <v>0</v>
      </c>
      <c r="BN227" s="36" t="s">
        <v>2271</v>
      </c>
      <c r="BO227" s="36"/>
      <c r="BP227" s="36" t="s">
        <v>2250</v>
      </c>
      <c r="BQ227" s="36" t="s">
        <v>2271</v>
      </c>
      <c r="BR227" s="38" t="s">
        <v>0</v>
      </c>
      <c r="BS227" s="38" t="s">
        <v>350</v>
      </c>
      <c r="BT227" s="38" t="s">
        <v>350</v>
      </c>
      <c r="BU227" s="36" t="s">
        <v>111</v>
      </c>
      <c r="BV227" s="36" t="s">
        <v>17</v>
      </c>
      <c r="BW227" s="38" t="s">
        <v>26</v>
      </c>
      <c r="BX227" s="36" t="s">
        <v>834</v>
      </c>
      <c r="BY227" s="38" t="s">
        <v>210</v>
      </c>
      <c r="BZ227" s="36" t="s">
        <v>6229</v>
      </c>
      <c r="CA227" s="38" t="s">
        <v>26</v>
      </c>
      <c r="CB227" s="38" t="s">
        <v>26</v>
      </c>
      <c r="CC227" s="38" t="s">
        <v>223</v>
      </c>
      <c r="CD227" s="38" t="s">
        <v>195</v>
      </c>
      <c r="CE227" s="36" t="s">
        <v>27</v>
      </c>
      <c r="CF227" s="36" t="s">
        <v>834</v>
      </c>
    </row>
    <row r="228" spans="1:84" ht="18">
      <c r="A228" s="51" t="s">
        <v>935</v>
      </c>
      <c r="B228" s="51"/>
      <c r="C228" s="52" t="s">
        <v>0</v>
      </c>
      <c r="D228" s="52" t="s">
        <v>5179</v>
      </c>
      <c r="E228" s="52" t="s">
        <v>0</v>
      </c>
      <c r="F228" s="52" t="s">
        <v>2768</v>
      </c>
      <c r="G228" s="52" t="s">
        <v>1413</v>
      </c>
      <c r="H228" s="52" t="s">
        <v>1413</v>
      </c>
      <c r="I228" s="52" t="s">
        <v>8185</v>
      </c>
      <c r="J228" s="52" t="s">
        <v>5295</v>
      </c>
      <c r="K228" s="52" t="s">
        <v>8332</v>
      </c>
      <c r="L228" s="52" t="s">
        <v>8445</v>
      </c>
      <c r="M228" s="52" t="s">
        <v>3322</v>
      </c>
      <c r="N228" s="52" t="s">
        <v>8260</v>
      </c>
      <c r="O228" s="52" t="s">
        <v>3354</v>
      </c>
      <c r="P228" s="52" t="s">
        <v>8634</v>
      </c>
      <c r="Q228" s="52" t="s">
        <v>8634</v>
      </c>
      <c r="R228" s="52" t="s">
        <v>3408</v>
      </c>
      <c r="S228" s="52" t="s">
        <v>8507</v>
      </c>
      <c r="T228" s="52" t="s">
        <v>5608</v>
      </c>
      <c r="U228" s="52" t="s">
        <v>5608</v>
      </c>
      <c r="V228" s="84"/>
      <c r="W228" s="52" t="s">
        <v>4423</v>
      </c>
      <c r="X228" s="84" t="s">
        <v>6463</v>
      </c>
      <c r="Y228" s="52" t="s">
        <v>2331</v>
      </c>
      <c r="Z228" s="52" t="s">
        <v>2331</v>
      </c>
      <c r="AA228" s="52" t="s">
        <v>2331</v>
      </c>
      <c r="AB228" s="52" t="s">
        <v>4744</v>
      </c>
      <c r="AC228" s="52" t="s">
        <v>4744</v>
      </c>
      <c r="AD228" s="52" t="s">
        <v>0</v>
      </c>
      <c r="AE228" s="52" t="s">
        <v>5991</v>
      </c>
      <c r="AF228" s="52" t="s">
        <v>5970</v>
      </c>
      <c r="AG228" s="186" t="s">
        <v>0</v>
      </c>
      <c r="AH228" s="186" t="s">
        <v>7105</v>
      </c>
      <c r="AI228" s="186" t="s">
        <v>7143</v>
      </c>
      <c r="AJ228" s="52" t="s">
        <v>6114</v>
      </c>
      <c r="AK228" s="52" t="s">
        <v>0</v>
      </c>
      <c r="AL228" s="52" t="s">
        <v>1862</v>
      </c>
      <c r="AM228" s="52" t="s">
        <v>5393</v>
      </c>
      <c r="AN228" s="52" t="s">
        <v>5394</v>
      </c>
      <c r="AO228" s="52" t="s">
        <v>4226</v>
      </c>
      <c r="AP228" s="52" t="s">
        <v>0</v>
      </c>
      <c r="AQ228" s="52" t="s">
        <v>6333</v>
      </c>
      <c r="AR228" s="52"/>
      <c r="AS228" s="52" t="s">
        <v>1025</v>
      </c>
      <c r="AT228" s="52" t="s">
        <v>1025</v>
      </c>
      <c r="AU228" s="52" t="s">
        <v>1025</v>
      </c>
      <c r="AV228" s="52" t="s">
        <v>4338</v>
      </c>
      <c r="AW228" s="52" t="s">
        <v>4338</v>
      </c>
      <c r="AX228" s="52" t="s">
        <v>1025</v>
      </c>
      <c r="AY228" s="52" t="s">
        <v>1025</v>
      </c>
      <c r="AZ228" s="52" t="s">
        <v>0</v>
      </c>
      <c r="BA228" s="52" t="s">
        <v>3632</v>
      </c>
      <c r="BB228" s="52" t="s">
        <v>3498</v>
      </c>
      <c r="BC228" s="52" t="s">
        <v>4843</v>
      </c>
      <c r="BD228" s="186" t="s">
        <v>7758</v>
      </c>
      <c r="BE228" s="52" t="s">
        <v>4921</v>
      </c>
      <c r="BF228" s="52" t="s">
        <v>7632</v>
      </c>
      <c r="BG228" s="52" t="s">
        <v>4843</v>
      </c>
      <c r="BH228" s="186" t="s">
        <v>7891</v>
      </c>
      <c r="BI228" s="52" t="s">
        <v>7836</v>
      </c>
      <c r="BJ228" s="52" t="s">
        <v>4992</v>
      </c>
      <c r="BK228" s="52"/>
      <c r="BL228" s="52"/>
      <c r="BM228" s="52" t="s">
        <v>0</v>
      </c>
      <c r="BN228" s="52" t="s">
        <v>3861</v>
      </c>
      <c r="BO228" s="52"/>
      <c r="BP228" s="52" t="s">
        <v>2249</v>
      </c>
      <c r="BQ228" s="52" t="s">
        <v>2270</v>
      </c>
      <c r="BR228" s="52" t="s">
        <v>0</v>
      </c>
      <c r="BS228" s="52" t="s">
        <v>2656</v>
      </c>
      <c r="BT228" s="52" t="s">
        <v>2656</v>
      </c>
      <c r="BU228" s="84" t="s">
        <v>2837</v>
      </c>
      <c r="BV228" s="84"/>
      <c r="BW228" s="52"/>
      <c r="BX228" s="52" t="s">
        <v>3933</v>
      </c>
      <c r="BY228" s="52" t="s">
        <v>3779</v>
      </c>
      <c r="BZ228" s="52" t="s">
        <v>6231</v>
      </c>
      <c r="CA228" s="52" t="s">
        <v>3106</v>
      </c>
      <c r="CB228" s="52" t="s">
        <v>3106</v>
      </c>
      <c r="CC228" s="52"/>
      <c r="CD228" s="52"/>
      <c r="CE228" s="52" t="s">
        <v>3213</v>
      </c>
      <c r="CF228" s="52" t="s">
        <v>2146</v>
      </c>
    </row>
    <row r="229" spans="1:84" ht="27">
      <c r="A229" s="62" t="s">
        <v>9058</v>
      </c>
      <c r="B229" s="200"/>
      <c r="C229" s="38" t="s">
        <v>0</v>
      </c>
      <c r="D229" s="38" t="s">
        <v>0</v>
      </c>
      <c r="E229" s="36" t="s">
        <v>0</v>
      </c>
      <c r="F229" s="36" t="s">
        <v>0</v>
      </c>
      <c r="G229" s="36" t="s">
        <v>57</v>
      </c>
      <c r="H229" s="36" t="s">
        <v>57</v>
      </c>
      <c r="I229" s="36" t="s">
        <v>0</v>
      </c>
      <c r="J229" s="38" t="s">
        <v>0</v>
      </c>
      <c r="K229" s="36" t="s">
        <v>8329</v>
      </c>
      <c r="L229" s="36" t="s">
        <v>8443</v>
      </c>
      <c r="M229" s="38" t="s">
        <v>0</v>
      </c>
      <c r="N229" s="36" t="s">
        <v>0</v>
      </c>
      <c r="O229" s="38" t="s">
        <v>0</v>
      </c>
      <c r="P229" s="36" t="s">
        <v>57</v>
      </c>
      <c r="Q229" s="36" t="s">
        <v>57</v>
      </c>
      <c r="R229" s="38" t="s">
        <v>0</v>
      </c>
      <c r="S229" s="36" t="s">
        <v>8331</v>
      </c>
      <c r="T229" s="36" t="s">
        <v>223</v>
      </c>
      <c r="U229" s="36" t="s">
        <v>210</v>
      </c>
      <c r="V229" s="145" t="s">
        <v>5741</v>
      </c>
      <c r="W229" s="36" t="s">
        <v>0</v>
      </c>
      <c r="X229" s="36" t="s">
        <v>0</v>
      </c>
      <c r="Y229" s="36" t="s">
        <v>0</v>
      </c>
      <c r="Z229" s="36" t="s">
        <v>0</v>
      </c>
      <c r="AA229" s="36" t="s">
        <v>0</v>
      </c>
      <c r="AB229" s="36" t="s">
        <v>0</v>
      </c>
      <c r="AC229" s="36" t="s">
        <v>0</v>
      </c>
      <c r="AD229" s="36" t="s">
        <v>0</v>
      </c>
      <c r="AE229" s="7" t="s">
        <v>0</v>
      </c>
      <c r="AF229" s="7" t="s">
        <v>0</v>
      </c>
      <c r="AG229" s="38" t="s">
        <v>0</v>
      </c>
      <c r="AH229" s="36" t="s">
        <v>9061</v>
      </c>
      <c r="AI229" s="36" t="s">
        <v>9062</v>
      </c>
      <c r="AJ229" s="34" t="s">
        <v>0</v>
      </c>
      <c r="AK229" s="7" t="s">
        <v>0</v>
      </c>
      <c r="AL229" s="7" t="s">
        <v>0</v>
      </c>
      <c r="AM229" s="36" t="s">
        <v>0</v>
      </c>
      <c r="AN229" s="36" t="s">
        <v>0</v>
      </c>
      <c r="AO229" s="36" t="s">
        <v>0</v>
      </c>
      <c r="AP229" s="38" t="s">
        <v>0</v>
      </c>
      <c r="AQ229" s="38" t="s">
        <v>0</v>
      </c>
      <c r="AR229" s="36" t="s">
        <v>0</v>
      </c>
      <c r="AS229" s="38" t="s">
        <v>0</v>
      </c>
      <c r="AT229" s="38" t="s">
        <v>0</v>
      </c>
      <c r="AU229" s="38" t="s">
        <v>0</v>
      </c>
      <c r="AV229" s="36" t="s">
        <v>0</v>
      </c>
      <c r="AW229" s="36" t="s">
        <v>0</v>
      </c>
      <c r="AX229" s="36" t="s">
        <v>0</v>
      </c>
      <c r="AY229" s="36" t="s">
        <v>0</v>
      </c>
      <c r="AZ229" s="36" t="s">
        <v>0</v>
      </c>
      <c r="BA229" s="36" t="s">
        <v>0</v>
      </c>
      <c r="BB229" s="36" t="s">
        <v>57</v>
      </c>
      <c r="BC229" s="36" t="s">
        <v>111</v>
      </c>
      <c r="BD229" s="36" t="s">
        <v>859</v>
      </c>
      <c r="BE229" s="36" t="s">
        <v>4883</v>
      </c>
      <c r="BF229" s="36" t="s">
        <v>7638</v>
      </c>
      <c r="BG229" s="36" t="s">
        <v>111</v>
      </c>
      <c r="BH229" s="36" t="s">
        <v>859</v>
      </c>
      <c r="BI229" s="36" t="s">
        <v>7795</v>
      </c>
      <c r="BJ229" s="36" t="s">
        <v>159</v>
      </c>
      <c r="BK229" s="36" t="s">
        <v>0</v>
      </c>
      <c r="BL229" s="36" t="s">
        <v>17</v>
      </c>
      <c r="BM229" s="38" t="s">
        <v>0</v>
      </c>
      <c r="BN229" s="38" t="s">
        <v>0</v>
      </c>
      <c r="BO229" s="38"/>
      <c r="BP229" s="36" t="s">
        <v>0</v>
      </c>
      <c r="BQ229" s="36" t="s">
        <v>0</v>
      </c>
      <c r="BR229" s="38" t="s">
        <v>0</v>
      </c>
      <c r="BS229" s="38" t="s">
        <v>0</v>
      </c>
      <c r="BT229" s="38" t="s">
        <v>0</v>
      </c>
      <c r="BU229" s="36" t="s">
        <v>111</v>
      </c>
      <c r="BV229" s="36" t="s">
        <v>0</v>
      </c>
      <c r="BW229" s="38" t="s">
        <v>0</v>
      </c>
      <c r="BX229" s="36" t="s">
        <v>0</v>
      </c>
      <c r="BY229" s="36" t="s">
        <v>0</v>
      </c>
      <c r="BZ229" s="36" t="s">
        <v>0</v>
      </c>
      <c r="CA229" s="38" t="s">
        <v>0</v>
      </c>
      <c r="CB229" s="38" t="s">
        <v>0</v>
      </c>
      <c r="CC229" s="38" t="s">
        <v>0</v>
      </c>
      <c r="CD229" s="38" t="s">
        <v>0</v>
      </c>
      <c r="CE229" s="38" t="s">
        <v>0</v>
      </c>
      <c r="CF229" s="38" t="s">
        <v>0</v>
      </c>
    </row>
    <row r="230" spans="1:84" ht="18">
      <c r="A230" s="51" t="s">
        <v>935</v>
      </c>
      <c r="B230" s="51"/>
      <c r="C230" s="52" t="s">
        <v>0</v>
      </c>
      <c r="D230" s="52" t="s">
        <v>0</v>
      </c>
      <c r="E230" s="52" t="s">
        <v>0</v>
      </c>
      <c r="F230" s="52" t="s">
        <v>0</v>
      </c>
      <c r="G230" s="52" t="s">
        <v>5518</v>
      </c>
      <c r="H230" s="52" t="s">
        <v>5518</v>
      </c>
      <c r="I230" s="52" t="s">
        <v>8185</v>
      </c>
      <c r="J230" s="52" t="s">
        <v>0</v>
      </c>
      <c r="K230" s="52" t="s">
        <v>8330</v>
      </c>
      <c r="L230" s="52" t="s">
        <v>8444</v>
      </c>
      <c r="M230" s="52" t="s">
        <v>0</v>
      </c>
      <c r="N230" s="52" t="s">
        <v>8260</v>
      </c>
      <c r="O230" s="52" t="s">
        <v>0</v>
      </c>
      <c r="P230" s="52" t="s">
        <v>8637</v>
      </c>
      <c r="Q230" s="52" t="s">
        <v>8637</v>
      </c>
      <c r="R230" s="52" t="s">
        <v>0</v>
      </c>
      <c r="S230" s="52" t="s">
        <v>8509</v>
      </c>
      <c r="T230" s="52" t="s">
        <v>5557</v>
      </c>
      <c r="U230" s="52" t="s">
        <v>5557</v>
      </c>
      <c r="V230" s="84"/>
      <c r="W230" s="52" t="s">
        <v>0</v>
      </c>
      <c r="X230" s="52" t="s">
        <v>0</v>
      </c>
      <c r="Y230" s="52" t="s">
        <v>0</v>
      </c>
      <c r="Z230" s="52" t="s">
        <v>0</v>
      </c>
      <c r="AA230" s="52" t="s">
        <v>0</v>
      </c>
      <c r="AB230" s="52" t="s">
        <v>0</v>
      </c>
      <c r="AC230" s="52" t="s">
        <v>0</v>
      </c>
      <c r="AD230" s="52" t="s">
        <v>0</v>
      </c>
      <c r="AE230" s="52" t="s">
        <v>0</v>
      </c>
      <c r="AF230" s="52" t="s">
        <v>0</v>
      </c>
      <c r="AG230" s="186" t="s">
        <v>0</v>
      </c>
      <c r="AH230" s="186" t="s">
        <v>7115</v>
      </c>
      <c r="AI230" s="186" t="s">
        <v>7137</v>
      </c>
      <c r="AJ230" s="52" t="s">
        <v>0</v>
      </c>
      <c r="AK230" s="52" t="s">
        <v>0</v>
      </c>
      <c r="AL230" s="52" t="s">
        <v>0</v>
      </c>
      <c r="AM230" s="52" t="s">
        <v>0</v>
      </c>
      <c r="AN230" s="52" t="s">
        <v>0</v>
      </c>
      <c r="AO230" s="52" t="s">
        <v>0</v>
      </c>
      <c r="AP230" s="52" t="s">
        <v>0</v>
      </c>
      <c r="AQ230" s="52" t="s">
        <v>0</v>
      </c>
      <c r="AR230" s="52"/>
      <c r="AS230" s="52" t="s">
        <v>0</v>
      </c>
      <c r="AT230" s="52" t="s">
        <v>0</v>
      </c>
      <c r="AU230" s="52" t="s">
        <v>0</v>
      </c>
      <c r="AV230" s="52" t="s">
        <v>0</v>
      </c>
      <c r="AW230" s="52" t="s">
        <v>0</v>
      </c>
      <c r="AX230" s="52" t="s">
        <v>0</v>
      </c>
      <c r="AY230" s="52" t="s">
        <v>0</v>
      </c>
      <c r="AZ230" s="52" t="s">
        <v>0</v>
      </c>
      <c r="BA230" s="52" t="s">
        <v>0</v>
      </c>
      <c r="BB230" s="52" t="s">
        <v>3501</v>
      </c>
      <c r="BC230" s="52" t="s">
        <v>4845</v>
      </c>
      <c r="BD230" s="186" t="s">
        <v>7758</v>
      </c>
      <c r="BE230" s="52" t="s">
        <v>4921</v>
      </c>
      <c r="BF230" s="52" t="s">
        <v>7632</v>
      </c>
      <c r="BG230" s="52" t="s">
        <v>4845</v>
      </c>
      <c r="BH230" s="186" t="s">
        <v>7890</v>
      </c>
      <c r="BI230" s="52" t="s">
        <v>7835</v>
      </c>
      <c r="BJ230" s="52" t="s">
        <v>4993</v>
      </c>
      <c r="BK230" s="52"/>
      <c r="BL230" s="52"/>
      <c r="BM230" s="52" t="s">
        <v>0</v>
      </c>
      <c r="BN230" s="52" t="s">
        <v>0</v>
      </c>
      <c r="BO230" s="52"/>
      <c r="BP230" s="52" t="s">
        <v>0</v>
      </c>
      <c r="BQ230" s="52" t="s">
        <v>0</v>
      </c>
      <c r="BR230" s="52" t="s">
        <v>0</v>
      </c>
      <c r="BS230" s="52" t="s">
        <v>0</v>
      </c>
      <c r="BT230" s="52" t="s">
        <v>0</v>
      </c>
      <c r="BU230" s="84" t="s">
        <v>5092</v>
      </c>
      <c r="BV230" s="84"/>
      <c r="BW230" s="52"/>
      <c r="BX230" s="52" t="s">
        <v>0</v>
      </c>
      <c r="BY230" s="52" t="s">
        <v>0</v>
      </c>
      <c r="BZ230" s="52" t="s">
        <v>0</v>
      </c>
      <c r="CA230" s="52" t="s">
        <v>0</v>
      </c>
      <c r="CB230" s="52" t="s">
        <v>0</v>
      </c>
      <c r="CC230" s="52"/>
      <c r="CD230" s="52"/>
      <c r="CE230" s="52" t="s">
        <v>0</v>
      </c>
      <c r="CF230" s="52" t="s">
        <v>0</v>
      </c>
    </row>
    <row r="231" spans="1:84" ht="27">
      <c r="A231" s="298" t="s">
        <v>9064</v>
      </c>
      <c r="B231" s="200"/>
      <c r="C231" s="299" t="s">
        <v>0</v>
      </c>
      <c r="D231" s="299" t="s">
        <v>0</v>
      </c>
      <c r="E231" s="109" t="s">
        <v>0</v>
      </c>
      <c r="F231" s="109" t="s">
        <v>4501</v>
      </c>
      <c r="G231" s="109" t="s">
        <v>57</v>
      </c>
      <c r="H231" s="109" t="s">
        <v>57</v>
      </c>
      <c r="I231" s="36" t="s">
        <v>0</v>
      </c>
      <c r="J231" s="109" t="s">
        <v>5855</v>
      </c>
      <c r="K231" s="36" t="s">
        <v>0</v>
      </c>
      <c r="L231" s="36" t="s">
        <v>0</v>
      </c>
      <c r="M231" s="109" t="s">
        <v>5806</v>
      </c>
      <c r="N231" s="36" t="s">
        <v>0</v>
      </c>
      <c r="O231" s="109" t="s">
        <v>5778</v>
      </c>
      <c r="P231" s="36" t="s">
        <v>0</v>
      </c>
      <c r="Q231" s="36" t="s">
        <v>0</v>
      </c>
      <c r="R231" s="109" t="s">
        <v>5806</v>
      </c>
      <c r="S231" s="36" t="s">
        <v>0</v>
      </c>
      <c r="T231" s="299" t="s">
        <v>0</v>
      </c>
      <c r="U231" s="299" t="s">
        <v>0</v>
      </c>
      <c r="V231" s="302" t="s">
        <v>5732</v>
      </c>
      <c r="W231" s="109" t="s">
        <v>0</v>
      </c>
      <c r="X231" s="109" t="s">
        <v>6464</v>
      </c>
      <c r="Y231" s="109" t="s">
        <v>0</v>
      </c>
      <c r="Z231" s="109" t="s">
        <v>0</v>
      </c>
      <c r="AA231" s="109" t="s">
        <v>0</v>
      </c>
      <c r="AB231" s="109" t="s">
        <v>0</v>
      </c>
      <c r="AC231" s="109" t="s">
        <v>0</v>
      </c>
      <c r="AD231" s="109" t="s">
        <v>0</v>
      </c>
      <c r="AE231" s="304" t="s">
        <v>1715</v>
      </c>
      <c r="AF231" s="304" t="s">
        <v>5973</v>
      </c>
      <c r="AG231" s="38" t="s">
        <v>0</v>
      </c>
      <c r="AH231" s="36" t="s">
        <v>0</v>
      </c>
      <c r="AI231" s="36" t="s">
        <v>0</v>
      </c>
      <c r="AJ231" s="304" t="s">
        <v>223</v>
      </c>
      <c r="AK231" s="304" t="s">
        <v>0</v>
      </c>
      <c r="AL231" s="304" t="s">
        <v>0</v>
      </c>
      <c r="AM231" s="109" t="s">
        <v>0</v>
      </c>
      <c r="AN231" s="109" t="s">
        <v>0</v>
      </c>
      <c r="AO231" s="109" t="s">
        <v>0</v>
      </c>
      <c r="AP231" s="109" t="s">
        <v>6344</v>
      </c>
      <c r="AQ231" s="109" t="s">
        <v>6344</v>
      </c>
      <c r="AR231" s="109" t="s">
        <v>0</v>
      </c>
      <c r="AS231" s="299" t="s">
        <v>0</v>
      </c>
      <c r="AT231" s="299" t="s">
        <v>0</v>
      </c>
      <c r="AU231" s="299" t="s">
        <v>0</v>
      </c>
      <c r="AV231" s="109" t="s">
        <v>0</v>
      </c>
      <c r="AW231" s="109" t="s">
        <v>0</v>
      </c>
      <c r="AX231" s="109" t="s">
        <v>0</v>
      </c>
      <c r="AY231" s="109" t="s">
        <v>0</v>
      </c>
      <c r="AZ231" s="109" t="s">
        <v>0</v>
      </c>
      <c r="BA231" s="109" t="s">
        <v>0</v>
      </c>
      <c r="BB231" s="109" t="s">
        <v>57</v>
      </c>
      <c r="BC231" s="109" t="s">
        <v>111</v>
      </c>
      <c r="BD231" s="36" t="s">
        <v>0</v>
      </c>
      <c r="BE231" s="109" t="s">
        <v>4883</v>
      </c>
      <c r="BF231" s="36" t="s">
        <v>0</v>
      </c>
      <c r="BG231" s="109" t="s">
        <v>111</v>
      </c>
      <c r="BH231" s="36" t="s">
        <v>0</v>
      </c>
      <c r="BI231" s="36" t="s">
        <v>0</v>
      </c>
      <c r="BJ231" s="109" t="s">
        <v>159</v>
      </c>
      <c r="BK231" s="109" t="s">
        <v>0</v>
      </c>
      <c r="BL231" s="109" t="s">
        <v>17</v>
      </c>
      <c r="BM231" s="299" t="s">
        <v>0</v>
      </c>
      <c r="BN231" s="109" t="s">
        <v>0</v>
      </c>
      <c r="BO231" s="109"/>
      <c r="BP231" s="109" t="s">
        <v>0</v>
      </c>
      <c r="BQ231" s="109" t="s">
        <v>0</v>
      </c>
      <c r="BR231" s="299" t="s">
        <v>0</v>
      </c>
      <c r="BS231" s="299" t="s">
        <v>0</v>
      </c>
      <c r="BT231" s="299" t="s">
        <v>0</v>
      </c>
      <c r="BU231" s="109" t="s">
        <v>111</v>
      </c>
      <c r="BV231" s="109" t="s">
        <v>17</v>
      </c>
      <c r="BW231" s="299" t="s">
        <v>26</v>
      </c>
      <c r="BX231" s="109" t="s">
        <v>0</v>
      </c>
      <c r="BY231" s="109" t="s">
        <v>0</v>
      </c>
      <c r="BZ231" s="109" t="s">
        <v>0</v>
      </c>
      <c r="CA231" s="109" t="s">
        <v>3079</v>
      </c>
      <c r="CB231" s="109" t="s">
        <v>3079</v>
      </c>
      <c r="CC231" s="299" t="s">
        <v>0</v>
      </c>
      <c r="CD231" s="299" t="s">
        <v>0</v>
      </c>
      <c r="CE231" s="299" t="s">
        <v>0</v>
      </c>
      <c r="CF231" s="299" t="s">
        <v>0</v>
      </c>
    </row>
    <row r="232" spans="1:84" ht="18">
      <c r="A232" s="51" t="s">
        <v>935</v>
      </c>
      <c r="B232" s="51"/>
      <c r="C232" s="52" t="s">
        <v>0</v>
      </c>
      <c r="D232" s="52" t="s">
        <v>0</v>
      </c>
      <c r="E232" s="52" t="s">
        <v>0</v>
      </c>
      <c r="F232" s="52" t="s">
        <v>2769</v>
      </c>
      <c r="G232" s="52" t="s">
        <v>5518</v>
      </c>
      <c r="H232" s="52" t="s">
        <v>5518</v>
      </c>
      <c r="I232" s="52"/>
      <c r="J232" s="52" t="s">
        <v>5296</v>
      </c>
      <c r="K232" s="52"/>
      <c r="L232" s="52"/>
      <c r="M232" s="52" t="s">
        <v>1504</v>
      </c>
      <c r="N232" s="52"/>
      <c r="O232" s="52" t="s">
        <v>3357</v>
      </c>
      <c r="P232" s="52"/>
      <c r="Q232" s="52"/>
      <c r="R232" s="52" t="s">
        <v>5275</v>
      </c>
      <c r="S232" s="52"/>
      <c r="T232" s="52" t="s">
        <v>0</v>
      </c>
      <c r="U232" s="52" t="s">
        <v>0</v>
      </c>
      <c r="V232" s="84"/>
      <c r="W232" s="52" t="s">
        <v>0</v>
      </c>
      <c r="X232" s="84" t="s">
        <v>6463</v>
      </c>
      <c r="Y232" s="52" t="s">
        <v>0</v>
      </c>
      <c r="Z232" s="52" t="s">
        <v>0</v>
      </c>
      <c r="AA232" s="52" t="s">
        <v>0</v>
      </c>
      <c r="AB232" s="52" t="s">
        <v>0</v>
      </c>
      <c r="AC232" s="52" t="s">
        <v>0</v>
      </c>
      <c r="AD232" s="52" t="s">
        <v>0</v>
      </c>
      <c r="AE232" s="52" t="s">
        <v>5995</v>
      </c>
      <c r="AF232" s="52" t="s">
        <v>5974</v>
      </c>
      <c r="AG232" s="186"/>
      <c r="AH232" s="186"/>
      <c r="AI232" s="186"/>
      <c r="AJ232" s="52" t="s">
        <v>6114</v>
      </c>
      <c r="AK232" s="52" t="s">
        <v>0</v>
      </c>
      <c r="AL232" s="52" t="s">
        <v>0</v>
      </c>
      <c r="AM232" s="52" t="s">
        <v>0</v>
      </c>
      <c r="AN232" s="52" t="s">
        <v>0</v>
      </c>
      <c r="AO232" s="52" t="s">
        <v>0</v>
      </c>
      <c r="AP232" s="52" t="s">
        <v>0</v>
      </c>
      <c r="AQ232" s="52" t="s">
        <v>0</v>
      </c>
      <c r="AR232" s="52"/>
      <c r="AS232" s="52" t="s">
        <v>0</v>
      </c>
      <c r="AT232" s="52" t="s">
        <v>0</v>
      </c>
      <c r="AU232" s="52" t="s">
        <v>0</v>
      </c>
      <c r="AV232" s="52" t="s">
        <v>0</v>
      </c>
      <c r="AW232" s="52" t="s">
        <v>0</v>
      </c>
      <c r="AX232" s="52" t="s">
        <v>0</v>
      </c>
      <c r="AY232" s="52" t="s">
        <v>0</v>
      </c>
      <c r="AZ232" s="52" t="s">
        <v>0</v>
      </c>
      <c r="BA232" s="52" t="s">
        <v>0</v>
      </c>
      <c r="BB232" s="52" t="s">
        <v>3501</v>
      </c>
      <c r="BC232" s="52" t="s">
        <v>4845</v>
      </c>
      <c r="BD232" s="186"/>
      <c r="BE232" s="52" t="s">
        <v>4921</v>
      </c>
      <c r="BF232" s="52"/>
      <c r="BG232" s="52" t="s">
        <v>4845</v>
      </c>
      <c r="BH232" s="186"/>
      <c r="BI232" s="52"/>
      <c r="BJ232" s="52" t="s">
        <v>4993</v>
      </c>
      <c r="BK232" s="52"/>
      <c r="BL232" s="52"/>
      <c r="BM232" s="52" t="s">
        <v>0</v>
      </c>
      <c r="BN232" s="52" t="s">
        <v>0</v>
      </c>
      <c r="BO232" s="52"/>
      <c r="BP232" s="52" t="s">
        <v>0</v>
      </c>
      <c r="BQ232" s="52" t="s">
        <v>0</v>
      </c>
      <c r="BR232" s="52" t="s">
        <v>0</v>
      </c>
      <c r="BS232" s="52" t="s">
        <v>0</v>
      </c>
      <c r="BT232" s="52" t="s">
        <v>0</v>
      </c>
      <c r="BU232" s="84" t="s">
        <v>5092</v>
      </c>
      <c r="BV232" s="84"/>
      <c r="BW232" s="52"/>
      <c r="BX232" s="52" t="s">
        <v>0</v>
      </c>
      <c r="BY232" s="52" t="s">
        <v>0</v>
      </c>
      <c r="BZ232" s="52" t="s">
        <v>0</v>
      </c>
      <c r="CA232" s="52" t="s">
        <v>3107</v>
      </c>
      <c r="CB232" s="52" t="s">
        <v>3107</v>
      </c>
      <c r="CC232" s="52"/>
      <c r="CD232" s="52"/>
      <c r="CE232" s="52" t="s">
        <v>0</v>
      </c>
      <c r="CF232" s="52" t="s">
        <v>0</v>
      </c>
    </row>
    <row r="233" spans="1:84" ht="27">
      <c r="A233" s="6" t="s">
        <v>4</v>
      </c>
      <c r="B233" s="200"/>
      <c r="C233" s="38" t="s">
        <v>0</v>
      </c>
      <c r="D233" s="38" t="s">
        <v>0</v>
      </c>
      <c r="E233" s="38" t="s">
        <v>0</v>
      </c>
      <c r="F233" s="38" t="s">
        <v>57</v>
      </c>
      <c r="G233" s="36" t="s">
        <v>3307</v>
      </c>
      <c r="H233" s="36" t="s">
        <v>3307</v>
      </c>
      <c r="I233" s="38" t="s">
        <v>0</v>
      </c>
      <c r="J233" s="38" t="s">
        <v>0</v>
      </c>
      <c r="K233" s="38" t="s">
        <v>0</v>
      </c>
      <c r="L233" s="38" t="s">
        <v>0</v>
      </c>
      <c r="M233" s="38" t="s">
        <v>0</v>
      </c>
      <c r="N233" s="38" t="s">
        <v>0</v>
      </c>
      <c r="O233" s="38" t="s">
        <v>0</v>
      </c>
      <c r="P233" s="38" t="s">
        <v>0</v>
      </c>
      <c r="Q233" s="38" t="s">
        <v>0</v>
      </c>
      <c r="R233" s="38" t="s">
        <v>0</v>
      </c>
      <c r="S233" s="38" t="s">
        <v>0</v>
      </c>
      <c r="T233" s="38" t="s">
        <v>57</v>
      </c>
      <c r="U233" s="38" t="s">
        <v>57</v>
      </c>
      <c r="V233" s="145" t="s">
        <v>5493</v>
      </c>
      <c r="W233" s="36" t="s">
        <v>2167</v>
      </c>
      <c r="X233" s="36" t="s">
        <v>44</v>
      </c>
      <c r="Y233" s="38" t="s">
        <v>0</v>
      </c>
      <c r="Z233" s="38" t="s">
        <v>0</v>
      </c>
      <c r="AA233" s="38" t="s">
        <v>0</v>
      </c>
      <c r="AB233" s="36" t="s">
        <v>4746</v>
      </c>
      <c r="AC233" s="36" t="s">
        <v>4747</v>
      </c>
      <c r="AD233" s="36" t="s">
        <v>0</v>
      </c>
      <c r="AE233" s="7" t="s">
        <v>0</v>
      </c>
      <c r="AF233" s="37" t="s">
        <v>1684</v>
      </c>
      <c r="AG233" s="38" t="s">
        <v>0</v>
      </c>
      <c r="AH233" s="38" t="s">
        <v>0</v>
      </c>
      <c r="AI233" s="36" t="s">
        <v>859</v>
      </c>
      <c r="AJ233" s="7" t="s">
        <v>3452</v>
      </c>
      <c r="AK233" s="7" t="s">
        <v>0</v>
      </c>
      <c r="AL233" s="7" t="s">
        <v>0</v>
      </c>
      <c r="AM233" s="36" t="s">
        <v>0</v>
      </c>
      <c r="AN233" s="36" t="s">
        <v>0</v>
      </c>
      <c r="AO233" s="38" t="s">
        <v>0</v>
      </c>
      <c r="AP233" s="36" t="s">
        <v>2581</v>
      </c>
      <c r="AQ233" s="36" t="s">
        <v>2582</v>
      </c>
      <c r="AR233" s="36" t="s">
        <v>914</v>
      </c>
      <c r="AS233" s="38" t="s">
        <v>0</v>
      </c>
      <c r="AT233" s="38" t="s">
        <v>0</v>
      </c>
      <c r="AU233" s="38" t="s">
        <v>0</v>
      </c>
      <c r="AV233" s="38" t="s">
        <v>0</v>
      </c>
      <c r="AW233" s="38" t="s">
        <v>0</v>
      </c>
      <c r="AX233" s="36" t="s">
        <v>0</v>
      </c>
      <c r="AY233" s="36" t="s">
        <v>0</v>
      </c>
      <c r="AZ233" s="36" t="s">
        <v>0</v>
      </c>
      <c r="BA233" s="36" t="s">
        <v>0</v>
      </c>
      <c r="BB233" s="36" t="s">
        <v>57</v>
      </c>
      <c r="BC233" s="36" t="s">
        <v>57</v>
      </c>
      <c r="BD233" s="36" t="s">
        <v>57</v>
      </c>
      <c r="BE233" s="36" t="s">
        <v>4883</v>
      </c>
      <c r="BF233" s="36" t="s">
        <v>7638</v>
      </c>
      <c r="BG233" s="36" t="s">
        <v>57</v>
      </c>
      <c r="BH233" s="38" t="s">
        <v>57</v>
      </c>
      <c r="BI233" s="36" t="s">
        <v>57</v>
      </c>
      <c r="BJ233" s="36" t="s">
        <v>57</v>
      </c>
      <c r="BK233" s="38" t="s">
        <v>0</v>
      </c>
      <c r="BL233" s="36" t="s">
        <v>17</v>
      </c>
      <c r="BM233" s="38" t="s">
        <v>0</v>
      </c>
      <c r="BN233" s="36" t="s">
        <v>3850</v>
      </c>
      <c r="BO233" s="36"/>
      <c r="BP233" s="36" t="s">
        <v>0</v>
      </c>
      <c r="BQ233" s="36" t="s">
        <v>0</v>
      </c>
      <c r="BR233" s="38" t="s">
        <v>0</v>
      </c>
      <c r="BS233" s="36" t="s">
        <v>2627</v>
      </c>
      <c r="BT233" s="38" t="s">
        <v>0</v>
      </c>
      <c r="BU233" s="36" t="s">
        <v>111</v>
      </c>
      <c r="BV233" s="36" t="s">
        <v>0</v>
      </c>
      <c r="BW233" s="36" t="s">
        <v>0</v>
      </c>
      <c r="BX233" s="36" t="s">
        <v>0</v>
      </c>
      <c r="BY233" s="36" t="s">
        <v>0</v>
      </c>
      <c r="BZ233" s="36" t="s">
        <v>6232</v>
      </c>
      <c r="CA233" s="38" t="s">
        <v>0</v>
      </c>
      <c r="CB233" s="38" t="s">
        <v>0</v>
      </c>
      <c r="CC233" s="36" t="s">
        <v>0</v>
      </c>
      <c r="CD233" s="36" t="s">
        <v>0</v>
      </c>
      <c r="CE233" s="38" t="s">
        <v>0</v>
      </c>
      <c r="CF233" s="36" t="s">
        <v>2167</v>
      </c>
    </row>
    <row r="234" spans="1:84" ht="18">
      <c r="A234" s="51" t="s">
        <v>935</v>
      </c>
      <c r="B234" s="51"/>
      <c r="C234" s="52" t="s">
        <v>0</v>
      </c>
      <c r="D234" s="52" t="s">
        <v>0</v>
      </c>
      <c r="E234" s="52" t="s">
        <v>0</v>
      </c>
      <c r="F234" s="52" t="s">
        <v>2769</v>
      </c>
      <c r="G234" s="52" t="s">
        <v>1407</v>
      </c>
      <c r="H234" s="52" t="s">
        <v>1407</v>
      </c>
      <c r="I234" s="52" t="s">
        <v>8185</v>
      </c>
      <c r="J234" s="52" t="s">
        <v>0</v>
      </c>
      <c r="K234" s="52" t="s">
        <v>8332</v>
      </c>
      <c r="L234" s="52" t="s">
        <v>8445</v>
      </c>
      <c r="M234" s="52" t="s">
        <v>0</v>
      </c>
      <c r="N234" s="52" t="s">
        <v>8260</v>
      </c>
      <c r="O234" s="52" t="s">
        <v>0</v>
      </c>
      <c r="P234" s="52" t="s">
        <v>8634</v>
      </c>
      <c r="Q234" s="52" t="s">
        <v>8634</v>
      </c>
      <c r="R234" s="52" t="s">
        <v>0</v>
      </c>
      <c r="S234" s="52" t="s">
        <v>8507</v>
      </c>
      <c r="T234" s="52" t="s">
        <v>3281</v>
      </c>
      <c r="U234" s="52" t="s">
        <v>3281</v>
      </c>
      <c r="V234" s="84"/>
      <c r="W234" s="52" t="s">
        <v>4411</v>
      </c>
      <c r="X234" s="84" t="s">
        <v>6463</v>
      </c>
      <c r="Y234" s="52" t="s">
        <v>0</v>
      </c>
      <c r="Z234" s="52" t="s">
        <v>0</v>
      </c>
      <c r="AA234" s="52" t="s">
        <v>0</v>
      </c>
      <c r="AB234" s="52" t="s">
        <v>5937</v>
      </c>
      <c r="AC234" s="52" t="s">
        <v>5937</v>
      </c>
      <c r="AD234" s="52" t="s">
        <v>0</v>
      </c>
      <c r="AE234" s="52" t="s">
        <v>0</v>
      </c>
      <c r="AF234" s="52" t="s">
        <v>1682</v>
      </c>
      <c r="AG234" s="186" t="s">
        <v>0</v>
      </c>
      <c r="AH234" s="186" t="s">
        <v>0</v>
      </c>
      <c r="AI234" s="186" t="s">
        <v>7151</v>
      </c>
      <c r="AJ234" s="52" t="s">
        <v>6114</v>
      </c>
      <c r="AK234" s="52" t="s">
        <v>0</v>
      </c>
      <c r="AL234" s="52" t="s">
        <v>0</v>
      </c>
      <c r="AM234" s="52" t="s">
        <v>0</v>
      </c>
      <c r="AN234" s="52" t="s">
        <v>0</v>
      </c>
      <c r="AO234" s="52" t="s">
        <v>0</v>
      </c>
      <c r="AP234" s="52" t="s">
        <v>6334</v>
      </c>
      <c r="AQ234" s="52" t="s">
        <v>6333</v>
      </c>
      <c r="AR234" s="52"/>
      <c r="AS234" s="52" t="s">
        <v>0</v>
      </c>
      <c r="AT234" s="52" t="s">
        <v>0</v>
      </c>
      <c r="AU234" s="52" t="s">
        <v>0</v>
      </c>
      <c r="AV234" s="52" t="s">
        <v>0</v>
      </c>
      <c r="AW234" s="52" t="s">
        <v>0</v>
      </c>
      <c r="AX234" s="52" t="s">
        <v>0</v>
      </c>
      <c r="AY234" s="52" t="s">
        <v>0</v>
      </c>
      <c r="AZ234" s="52" t="s">
        <v>0</v>
      </c>
      <c r="BA234" s="52" t="s">
        <v>0</v>
      </c>
      <c r="BB234" s="52" t="s">
        <v>3502</v>
      </c>
      <c r="BC234" s="52" t="s">
        <v>2259</v>
      </c>
      <c r="BD234" s="186" t="s">
        <v>7759</v>
      </c>
      <c r="BE234" s="52" t="s">
        <v>4927</v>
      </c>
      <c r="BF234" s="52" t="s">
        <v>7632</v>
      </c>
      <c r="BG234" s="52" t="s">
        <v>2259</v>
      </c>
      <c r="BH234" s="186" t="s">
        <v>7892</v>
      </c>
      <c r="BI234" s="52" t="s">
        <v>7837</v>
      </c>
      <c r="BJ234" s="52" t="s">
        <v>4995</v>
      </c>
      <c r="BK234" s="52"/>
      <c r="BL234" s="52"/>
      <c r="BM234" s="52" t="s">
        <v>0</v>
      </c>
      <c r="BN234" s="52" t="s">
        <v>3849</v>
      </c>
      <c r="BO234" s="52"/>
      <c r="BP234" s="52" t="s">
        <v>0</v>
      </c>
      <c r="BQ234" s="52" t="s">
        <v>0</v>
      </c>
      <c r="BR234" s="52" t="s">
        <v>0</v>
      </c>
      <c r="BS234" s="52" t="s">
        <v>2680</v>
      </c>
      <c r="BT234" s="52" t="s">
        <v>0</v>
      </c>
      <c r="BU234" s="84" t="s">
        <v>5091</v>
      </c>
      <c r="BV234" s="84"/>
      <c r="BW234" s="52"/>
      <c r="BX234" s="52" t="s">
        <v>0</v>
      </c>
      <c r="BY234" s="52" t="s">
        <v>0</v>
      </c>
      <c r="BZ234" s="52" t="s">
        <v>6234</v>
      </c>
      <c r="CA234" s="52" t="s">
        <v>0</v>
      </c>
      <c r="CB234" s="52" t="s">
        <v>0</v>
      </c>
      <c r="CC234" s="52"/>
      <c r="CD234" s="52"/>
      <c r="CE234" s="52" t="s">
        <v>0</v>
      </c>
      <c r="CF234" s="52" t="s">
        <v>2166</v>
      </c>
    </row>
    <row r="235" spans="1:84" ht="45">
      <c r="A235" s="6" t="s">
        <v>167</v>
      </c>
      <c r="B235" s="200"/>
      <c r="C235" s="38" t="s">
        <v>0</v>
      </c>
      <c r="D235" s="38" t="s">
        <v>0</v>
      </c>
      <c r="E235" s="38" t="s">
        <v>0</v>
      </c>
      <c r="F235" s="38" t="s">
        <v>0</v>
      </c>
      <c r="G235" s="38" t="s">
        <v>0</v>
      </c>
      <c r="H235" s="36" t="s">
        <v>1414</v>
      </c>
      <c r="I235" s="36" t="s">
        <v>8181</v>
      </c>
      <c r="J235" s="38" t="s">
        <v>159</v>
      </c>
      <c r="K235" s="36" t="s">
        <v>9125</v>
      </c>
      <c r="L235" s="36" t="s">
        <v>5808</v>
      </c>
      <c r="M235" s="36" t="s">
        <v>5808</v>
      </c>
      <c r="N235" s="36" t="s">
        <v>8181</v>
      </c>
      <c r="O235" s="36" t="s">
        <v>5779</v>
      </c>
      <c r="P235" s="36" t="s">
        <v>8638</v>
      </c>
      <c r="Q235" s="36" t="s">
        <v>8638</v>
      </c>
      <c r="R235" s="36" t="s">
        <v>5808</v>
      </c>
      <c r="S235" s="36" t="s">
        <v>5808</v>
      </c>
      <c r="T235" s="36" t="s">
        <v>223</v>
      </c>
      <c r="U235" s="36" t="s">
        <v>210</v>
      </c>
      <c r="V235" s="145" t="s">
        <v>223</v>
      </c>
      <c r="W235" s="36" t="s">
        <v>835</v>
      </c>
      <c r="X235" s="36" t="s">
        <v>6465</v>
      </c>
      <c r="Y235" s="38" t="s">
        <v>0</v>
      </c>
      <c r="Z235" s="38" t="s">
        <v>0</v>
      </c>
      <c r="AA235" s="38" t="s">
        <v>0</v>
      </c>
      <c r="AB235" s="38" t="s">
        <v>0</v>
      </c>
      <c r="AC235" s="38" t="s">
        <v>0</v>
      </c>
      <c r="AD235" s="38" t="s">
        <v>0</v>
      </c>
      <c r="AE235" s="7" t="s">
        <v>0</v>
      </c>
      <c r="AF235" s="7" t="s">
        <v>5975</v>
      </c>
      <c r="AG235" s="38" t="s">
        <v>0</v>
      </c>
      <c r="AH235" s="38" t="s">
        <v>0</v>
      </c>
      <c r="AI235" s="36" t="s">
        <v>7152</v>
      </c>
      <c r="AJ235" s="7" t="s">
        <v>3448</v>
      </c>
      <c r="AK235" s="7" t="s">
        <v>0</v>
      </c>
      <c r="AL235" s="7" t="s">
        <v>0</v>
      </c>
      <c r="AM235" s="36" t="s">
        <v>0</v>
      </c>
      <c r="AN235" s="36" t="s">
        <v>0</v>
      </c>
      <c r="AO235" s="36" t="s">
        <v>4229</v>
      </c>
      <c r="AP235" s="38" t="s">
        <v>0</v>
      </c>
      <c r="AQ235" s="38" t="s">
        <v>0</v>
      </c>
      <c r="AR235" s="36" t="s">
        <v>915</v>
      </c>
      <c r="AS235" s="38" t="s">
        <v>0</v>
      </c>
      <c r="AT235" s="38" t="s">
        <v>0</v>
      </c>
      <c r="AU235" s="38" t="s">
        <v>0</v>
      </c>
      <c r="AV235" s="38" t="s">
        <v>0</v>
      </c>
      <c r="AW235" s="38" t="s">
        <v>0</v>
      </c>
      <c r="AX235" s="36" t="s">
        <v>0</v>
      </c>
      <c r="AY235" s="36" t="s">
        <v>0</v>
      </c>
      <c r="AZ235" s="36" t="s">
        <v>0</v>
      </c>
      <c r="BA235" s="36" t="s">
        <v>0</v>
      </c>
      <c r="BB235" s="36" t="s">
        <v>4487</v>
      </c>
      <c r="BC235" s="36" t="s">
        <v>4847</v>
      </c>
      <c r="BD235" s="36" t="s">
        <v>7832</v>
      </c>
      <c r="BE235" s="36" t="s">
        <v>4922</v>
      </c>
      <c r="BF235" s="36" t="s">
        <v>7637</v>
      </c>
      <c r="BG235" s="36" t="s">
        <v>4847</v>
      </c>
      <c r="BH235" s="36" t="s">
        <v>7832</v>
      </c>
      <c r="BI235" s="36" t="s">
        <v>7831</v>
      </c>
      <c r="BJ235" s="36" t="s">
        <v>5467</v>
      </c>
      <c r="BK235" s="36" t="s">
        <v>0</v>
      </c>
      <c r="BL235" s="36" t="s">
        <v>6141</v>
      </c>
      <c r="BM235" s="38" t="s">
        <v>0</v>
      </c>
      <c r="BN235" s="38" t="s">
        <v>0</v>
      </c>
      <c r="BO235" s="38"/>
      <c r="BP235" s="36" t="s">
        <v>0</v>
      </c>
      <c r="BQ235" s="36" t="s">
        <v>0</v>
      </c>
      <c r="BR235" s="38" t="s">
        <v>0</v>
      </c>
      <c r="BS235" s="36" t="s">
        <v>2677</v>
      </c>
      <c r="BT235" s="36" t="s">
        <v>0</v>
      </c>
      <c r="BU235" s="36" t="s">
        <v>0</v>
      </c>
      <c r="BV235" s="36" t="s">
        <v>0</v>
      </c>
      <c r="BW235" s="38" t="s">
        <v>0</v>
      </c>
      <c r="BX235" s="36" t="s">
        <v>0</v>
      </c>
      <c r="BY235" s="38" t="s">
        <v>0</v>
      </c>
      <c r="BZ235" s="36" t="s">
        <v>6235</v>
      </c>
      <c r="CA235" s="36" t="s">
        <v>3114</v>
      </c>
      <c r="CB235" s="36" t="s">
        <v>3114</v>
      </c>
      <c r="CC235" s="36" t="s">
        <v>0</v>
      </c>
      <c r="CD235" s="36" t="s">
        <v>0</v>
      </c>
      <c r="CE235" s="38" t="s">
        <v>0</v>
      </c>
      <c r="CF235" s="36" t="s">
        <v>835</v>
      </c>
    </row>
    <row r="236" spans="1:84">
      <c r="A236" s="51" t="s">
        <v>935</v>
      </c>
      <c r="B236" s="51"/>
      <c r="C236" s="52" t="s">
        <v>0</v>
      </c>
      <c r="D236" s="52" t="s">
        <v>0</v>
      </c>
      <c r="E236" s="52" t="s">
        <v>0</v>
      </c>
      <c r="F236" s="52" t="s">
        <v>0</v>
      </c>
      <c r="G236" s="52" t="s">
        <v>0</v>
      </c>
      <c r="H236" s="52" t="s">
        <v>1413</v>
      </c>
      <c r="I236" s="52" t="s">
        <v>8184</v>
      </c>
      <c r="J236" s="52" t="s">
        <v>5298</v>
      </c>
      <c r="K236" s="52" t="s">
        <v>8334</v>
      </c>
      <c r="L236" s="52" t="s">
        <v>8442</v>
      </c>
      <c r="M236" s="52" t="s">
        <v>3326</v>
      </c>
      <c r="N236" s="52" t="s">
        <v>8268</v>
      </c>
      <c r="O236" s="52" t="s">
        <v>1600</v>
      </c>
      <c r="P236" s="52" t="s">
        <v>8639</v>
      </c>
      <c r="Q236" s="52" t="s">
        <v>8639</v>
      </c>
      <c r="R236" s="52" t="s">
        <v>1548</v>
      </c>
      <c r="S236" s="52" t="s">
        <v>8510</v>
      </c>
      <c r="T236" s="52" t="s">
        <v>5609</v>
      </c>
      <c r="U236" s="52" t="s">
        <v>5609</v>
      </c>
      <c r="V236" s="84"/>
      <c r="W236" s="52" t="s">
        <v>4423</v>
      </c>
      <c r="X236" s="52" t="s">
        <v>6466</v>
      </c>
      <c r="Y236" s="52" t="s">
        <v>0</v>
      </c>
      <c r="Z236" s="52" t="s">
        <v>0</v>
      </c>
      <c r="AA236" s="52" t="s">
        <v>0</v>
      </c>
      <c r="AB236" s="52" t="s">
        <v>0</v>
      </c>
      <c r="AC236" s="52" t="s">
        <v>0</v>
      </c>
      <c r="AD236" s="52" t="s">
        <v>0</v>
      </c>
      <c r="AE236" s="52" t="s">
        <v>0</v>
      </c>
      <c r="AF236" s="52" t="s">
        <v>5976</v>
      </c>
      <c r="AG236" s="186" t="s">
        <v>0</v>
      </c>
      <c r="AH236" s="186" t="s">
        <v>0</v>
      </c>
      <c r="AI236" s="186" t="s">
        <v>7153</v>
      </c>
      <c r="AJ236" s="52" t="s">
        <v>6114</v>
      </c>
      <c r="AK236" s="52" t="s">
        <v>0</v>
      </c>
      <c r="AL236" s="52" t="s">
        <v>0</v>
      </c>
      <c r="AM236" s="52" t="s">
        <v>0</v>
      </c>
      <c r="AN236" s="52" t="s">
        <v>0</v>
      </c>
      <c r="AO236" s="52" t="s">
        <v>4226</v>
      </c>
      <c r="AP236" s="52" t="s">
        <v>0</v>
      </c>
      <c r="AQ236" s="52" t="s">
        <v>0</v>
      </c>
      <c r="AR236" s="52"/>
      <c r="AS236" s="52" t="s">
        <v>0</v>
      </c>
      <c r="AT236" s="52" t="s">
        <v>0</v>
      </c>
      <c r="AU236" s="52" t="s">
        <v>0</v>
      </c>
      <c r="AV236" s="52" t="s">
        <v>0</v>
      </c>
      <c r="AW236" s="52" t="s">
        <v>0</v>
      </c>
      <c r="AX236" s="52" t="s">
        <v>0</v>
      </c>
      <c r="AY236" s="52" t="s">
        <v>0</v>
      </c>
      <c r="AZ236" s="52" t="s">
        <v>0</v>
      </c>
      <c r="BA236" s="52" t="s">
        <v>0</v>
      </c>
      <c r="BB236" s="52" t="s">
        <v>4517</v>
      </c>
      <c r="BC236" s="52" t="s">
        <v>4848</v>
      </c>
      <c r="BD236" s="186" t="s">
        <v>7737</v>
      </c>
      <c r="BE236" s="52" t="s">
        <v>4921</v>
      </c>
      <c r="BF236" s="52" t="s">
        <v>7632</v>
      </c>
      <c r="BG236" s="52" t="s">
        <v>4848</v>
      </c>
      <c r="BH236" s="186" t="s">
        <v>7894</v>
      </c>
      <c r="BI236" s="52" t="s">
        <v>7838</v>
      </c>
      <c r="BJ236" s="52" t="s">
        <v>4846</v>
      </c>
      <c r="BK236" s="52"/>
      <c r="BL236" s="52"/>
      <c r="BM236" s="52" t="s">
        <v>0</v>
      </c>
      <c r="BN236" s="52" t="s">
        <v>0</v>
      </c>
      <c r="BO236" s="52"/>
      <c r="BP236" s="52" t="s">
        <v>0</v>
      </c>
      <c r="BQ236" s="52" t="s">
        <v>0</v>
      </c>
      <c r="BR236" s="52" t="s">
        <v>0</v>
      </c>
      <c r="BS236" s="52" t="s">
        <v>2676</v>
      </c>
      <c r="BT236" s="52" t="s">
        <v>0</v>
      </c>
      <c r="BU236" s="84" t="s">
        <v>0</v>
      </c>
      <c r="BV236" s="84"/>
      <c r="BW236" s="52"/>
      <c r="BX236" s="52" t="s">
        <v>0</v>
      </c>
      <c r="BY236" s="52" t="s">
        <v>0</v>
      </c>
      <c r="BZ236" s="52" t="s">
        <v>6236</v>
      </c>
      <c r="CA236" s="52" t="s">
        <v>3113</v>
      </c>
      <c r="CB236" s="52" t="s">
        <v>3113</v>
      </c>
      <c r="CC236" s="52"/>
      <c r="CD236" s="52"/>
      <c r="CE236" s="52" t="s">
        <v>0</v>
      </c>
      <c r="CF236" s="52" t="s">
        <v>2148</v>
      </c>
    </row>
    <row r="237" spans="1:84" ht="27">
      <c r="A237" s="6" t="s">
        <v>31</v>
      </c>
      <c r="B237" s="200"/>
      <c r="C237" s="38" t="s">
        <v>0</v>
      </c>
      <c r="D237" s="36" t="s">
        <v>111</v>
      </c>
      <c r="E237" s="36" t="s">
        <v>0</v>
      </c>
      <c r="F237" s="36" t="s">
        <v>2735</v>
      </c>
      <c r="G237" s="38" t="s">
        <v>0</v>
      </c>
      <c r="H237" s="38" t="s">
        <v>859</v>
      </c>
      <c r="I237" s="36" t="s">
        <v>0</v>
      </c>
      <c r="J237" s="38" t="s">
        <v>0</v>
      </c>
      <c r="K237" s="36" t="s">
        <v>0</v>
      </c>
      <c r="L237" s="36" t="s">
        <v>8440</v>
      </c>
      <c r="M237" s="36" t="s">
        <v>1601</v>
      </c>
      <c r="N237" s="36" t="s">
        <v>0</v>
      </c>
      <c r="O237" s="36" t="s">
        <v>5782</v>
      </c>
      <c r="P237" s="36" t="s">
        <v>8640</v>
      </c>
      <c r="Q237" s="36" t="s">
        <v>8640</v>
      </c>
      <c r="R237" s="36" t="s">
        <v>5812</v>
      </c>
      <c r="S237" s="36" t="s">
        <v>8512</v>
      </c>
      <c r="T237" s="36" t="s">
        <v>223</v>
      </c>
      <c r="U237" s="36" t="s">
        <v>750</v>
      </c>
      <c r="V237" s="145" t="s">
        <v>5734</v>
      </c>
      <c r="W237" s="38" t="s">
        <v>0</v>
      </c>
      <c r="X237" s="36" t="s">
        <v>6470</v>
      </c>
      <c r="Y237" s="38" t="s">
        <v>0</v>
      </c>
      <c r="Z237" s="38" t="s">
        <v>0</v>
      </c>
      <c r="AA237" s="38" t="s">
        <v>0</v>
      </c>
      <c r="AB237" s="36" t="s">
        <v>4809</v>
      </c>
      <c r="AC237" s="36" t="s">
        <v>4812</v>
      </c>
      <c r="AD237" s="36" t="s">
        <v>4808</v>
      </c>
      <c r="AE237" s="7" t="s">
        <v>0</v>
      </c>
      <c r="AF237" s="36" t="s">
        <v>4125</v>
      </c>
      <c r="AG237" s="38" t="s">
        <v>0</v>
      </c>
      <c r="AH237" s="38" t="s">
        <v>0</v>
      </c>
      <c r="AI237" s="36" t="s">
        <v>7493</v>
      </c>
      <c r="AJ237" s="7" t="s">
        <v>3453</v>
      </c>
      <c r="AK237" s="7" t="s">
        <v>0</v>
      </c>
      <c r="AL237" s="37" t="s">
        <v>4187</v>
      </c>
      <c r="AM237" s="38" t="s">
        <v>0</v>
      </c>
      <c r="AN237" s="36" t="s">
        <v>5410</v>
      </c>
      <c r="AO237" s="38" t="s">
        <v>0</v>
      </c>
      <c r="AP237" s="38" t="s">
        <v>0</v>
      </c>
      <c r="AQ237" s="38" t="s">
        <v>111</v>
      </c>
      <c r="AR237" s="36" t="s">
        <v>0</v>
      </c>
      <c r="AS237" s="36" t="s">
        <v>6369</v>
      </c>
      <c r="AT237" s="36" t="s">
        <v>6370</v>
      </c>
      <c r="AU237" s="36" t="s">
        <v>6370</v>
      </c>
      <c r="AV237" s="36" t="s">
        <v>6305</v>
      </c>
      <c r="AW237" s="36" t="s">
        <v>6305</v>
      </c>
      <c r="AX237" s="36" t="s">
        <v>1290</v>
      </c>
      <c r="AY237" s="38" t="s">
        <v>0</v>
      </c>
      <c r="AZ237" s="36" t="s">
        <v>0</v>
      </c>
      <c r="BA237" s="7" t="s">
        <v>3453</v>
      </c>
      <c r="BB237" s="7" t="s">
        <v>4482</v>
      </c>
      <c r="BC237" s="36" t="s">
        <v>5483</v>
      </c>
      <c r="BD237" s="36" t="s">
        <v>7493</v>
      </c>
      <c r="BE237" s="36" t="s">
        <v>5484</v>
      </c>
      <c r="BF237" s="36" t="s">
        <v>7722</v>
      </c>
      <c r="BG237" s="36" t="s">
        <v>5483</v>
      </c>
      <c r="BH237" s="36" t="s">
        <v>7493</v>
      </c>
      <c r="BI237" s="36" t="s">
        <v>7839</v>
      </c>
      <c r="BJ237" s="36" t="s">
        <v>5485</v>
      </c>
      <c r="BK237" s="36" t="s">
        <v>0</v>
      </c>
      <c r="BL237" s="36" t="s">
        <v>6142</v>
      </c>
      <c r="BM237" s="38" t="s">
        <v>0</v>
      </c>
      <c r="BN237" s="36" t="s">
        <v>3842</v>
      </c>
      <c r="BO237" s="36"/>
      <c r="BP237" s="36" t="s">
        <v>111</v>
      </c>
      <c r="BQ237" s="36" t="s">
        <v>0</v>
      </c>
      <c r="BR237" s="38" t="s">
        <v>0</v>
      </c>
      <c r="BS237" s="38" t="s">
        <v>0</v>
      </c>
      <c r="BT237" s="38" t="s">
        <v>0</v>
      </c>
      <c r="BU237" s="36" t="s">
        <v>0</v>
      </c>
      <c r="BV237" s="36" t="s">
        <v>6</v>
      </c>
      <c r="BW237" s="38" t="s">
        <v>111</v>
      </c>
      <c r="BX237" s="36" t="s">
        <v>0</v>
      </c>
      <c r="BY237" s="38" t="s">
        <v>6</v>
      </c>
      <c r="BZ237" s="36" t="s">
        <v>6237</v>
      </c>
      <c r="CA237" s="38" t="s">
        <v>6158</v>
      </c>
      <c r="CB237" s="38" t="s">
        <v>6159</v>
      </c>
      <c r="CC237" s="36" t="s">
        <v>0</v>
      </c>
      <c r="CD237" s="36" t="s">
        <v>0</v>
      </c>
      <c r="CE237" s="38" t="s">
        <v>0</v>
      </c>
      <c r="CF237" s="36" t="s">
        <v>0</v>
      </c>
    </row>
    <row r="238" spans="1:84">
      <c r="A238" s="51" t="s">
        <v>935</v>
      </c>
      <c r="B238" s="51"/>
      <c r="C238" s="52" t="s">
        <v>0</v>
      </c>
      <c r="D238" s="52" t="s">
        <v>5186</v>
      </c>
      <c r="E238" s="52" t="s">
        <v>0</v>
      </c>
      <c r="F238" s="52" t="s">
        <v>2770</v>
      </c>
      <c r="G238" s="52" t="s">
        <v>3308</v>
      </c>
      <c r="H238" s="52" t="s">
        <v>3308</v>
      </c>
      <c r="I238" s="52" t="s">
        <v>0</v>
      </c>
      <c r="J238" s="52" t="s">
        <v>0</v>
      </c>
      <c r="K238" s="52" t="s">
        <v>0</v>
      </c>
      <c r="L238" s="52" t="s">
        <v>8441</v>
      </c>
      <c r="M238" s="52" t="s">
        <v>1518</v>
      </c>
      <c r="N238" s="52" t="s">
        <v>0</v>
      </c>
      <c r="O238" s="52" t="s">
        <v>3363</v>
      </c>
      <c r="P238" s="52" t="s">
        <v>8641</v>
      </c>
      <c r="Q238" s="52" t="s">
        <v>8641</v>
      </c>
      <c r="R238" s="52" t="s">
        <v>3413</v>
      </c>
      <c r="S238" s="52" t="s">
        <v>8511</v>
      </c>
      <c r="T238" s="52" t="s">
        <v>5611</v>
      </c>
      <c r="U238" s="52" t="s">
        <v>5611</v>
      </c>
      <c r="V238" s="84"/>
      <c r="W238" s="52" t="s">
        <v>4156</v>
      </c>
      <c r="X238" s="52" t="s">
        <v>6469</v>
      </c>
      <c r="Y238" s="52" t="s">
        <v>2390</v>
      </c>
      <c r="Z238" s="52" t="s">
        <v>2390</v>
      </c>
      <c r="AA238" s="52" t="s">
        <v>2390</v>
      </c>
      <c r="AB238" s="52" t="s">
        <v>4810</v>
      </c>
      <c r="AC238" s="52" t="s">
        <v>4811</v>
      </c>
      <c r="AD238" s="52" t="s">
        <v>4807</v>
      </c>
      <c r="AE238" s="52" t="s">
        <v>0</v>
      </c>
      <c r="AF238" s="52" t="s">
        <v>5977</v>
      </c>
      <c r="AG238" s="186" t="s">
        <v>7017</v>
      </c>
      <c r="AH238" s="186" t="s">
        <v>7017</v>
      </c>
      <c r="AI238" s="186" t="s">
        <v>7154</v>
      </c>
      <c r="AJ238" s="52" t="s">
        <v>6114</v>
      </c>
      <c r="AK238" s="52" t="s">
        <v>0</v>
      </c>
      <c r="AL238" s="52" t="s">
        <v>1876</v>
      </c>
      <c r="AM238" s="52" t="s">
        <v>0</v>
      </c>
      <c r="AN238" s="52" t="s">
        <v>5372</v>
      </c>
      <c r="AO238" s="52" t="s">
        <v>4255</v>
      </c>
      <c r="AP238" s="52" t="s">
        <v>0</v>
      </c>
      <c r="AQ238" s="52" t="s">
        <v>1025</v>
      </c>
      <c r="AR238" s="52"/>
      <c r="AS238" s="52" t="s">
        <v>1025</v>
      </c>
      <c r="AT238" s="52" t="s">
        <v>1025</v>
      </c>
      <c r="AU238" s="52" t="s">
        <v>1025</v>
      </c>
      <c r="AV238" s="52" t="s">
        <v>4364</v>
      </c>
      <c r="AW238" s="52" t="s">
        <v>4364</v>
      </c>
      <c r="AX238" s="52" t="s">
        <v>1025</v>
      </c>
      <c r="AY238" s="52" t="s">
        <v>1343</v>
      </c>
      <c r="AZ238" s="52" t="s">
        <v>3723</v>
      </c>
      <c r="BA238" s="52" t="s">
        <v>4530</v>
      </c>
      <c r="BB238" s="52" t="s">
        <v>3536</v>
      </c>
      <c r="BC238" s="52" t="s">
        <v>4852</v>
      </c>
      <c r="BD238" s="52" t="s">
        <v>7760</v>
      </c>
      <c r="BE238" s="52" t="s">
        <v>4886</v>
      </c>
      <c r="BF238" s="52" t="s">
        <v>7639</v>
      </c>
      <c r="BG238" s="52" t="s">
        <v>4852</v>
      </c>
      <c r="BH238" s="52" t="s">
        <v>7893</v>
      </c>
      <c r="BI238" s="52" t="s">
        <v>7840</v>
      </c>
      <c r="BJ238" s="52" t="s">
        <v>4886</v>
      </c>
      <c r="BK238" s="52"/>
      <c r="BL238" s="52"/>
      <c r="BM238" s="52" t="s">
        <v>0</v>
      </c>
      <c r="BN238" s="52" t="s">
        <v>3880</v>
      </c>
      <c r="BO238" s="52"/>
      <c r="BP238" s="52" t="s">
        <v>2247</v>
      </c>
      <c r="BQ238" s="52" t="s">
        <v>2280</v>
      </c>
      <c r="BR238" s="52" t="s">
        <v>2707</v>
      </c>
      <c r="BS238" s="52" t="s">
        <v>2707</v>
      </c>
      <c r="BT238" s="52" t="s">
        <v>2707</v>
      </c>
      <c r="BU238" s="84" t="s">
        <v>2833</v>
      </c>
      <c r="BV238" s="84"/>
      <c r="BW238" s="52"/>
      <c r="BX238" s="52" t="s">
        <v>0</v>
      </c>
      <c r="BY238" s="52" t="s">
        <v>3786</v>
      </c>
      <c r="BZ238" s="52" t="s">
        <v>6238</v>
      </c>
      <c r="CA238" s="52" t="s">
        <v>3109</v>
      </c>
      <c r="CB238" s="52" t="s">
        <v>3109</v>
      </c>
      <c r="CC238" s="52"/>
      <c r="CD238" s="52"/>
      <c r="CE238" s="52" t="s">
        <v>3248</v>
      </c>
      <c r="CF238" s="52" t="s">
        <v>2211</v>
      </c>
    </row>
    <row r="239" spans="1:84" ht="36">
      <c r="A239" s="81" t="s">
        <v>6716</v>
      </c>
      <c r="B239" s="36"/>
      <c r="C239" s="113"/>
      <c r="D239" s="114"/>
      <c r="E239" s="114"/>
      <c r="F239" s="114"/>
      <c r="G239" s="113"/>
      <c r="H239" s="113"/>
      <c r="I239" s="36" t="s">
        <v>0</v>
      </c>
      <c r="J239" s="113"/>
      <c r="K239" s="36" t="s">
        <v>0</v>
      </c>
      <c r="L239" s="36" t="s">
        <v>0</v>
      </c>
      <c r="M239" s="114"/>
      <c r="N239" s="36" t="s">
        <v>0</v>
      </c>
      <c r="O239" s="114"/>
      <c r="P239" s="36" t="s">
        <v>8680</v>
      </c>
      <c r="Q239" s="36" t="s">
        <v>8680</v>
      </c>
      <c r="R239" s="114"/>
      <c r="S239" s="36" t="s">
        <v>0</v>
      </c>
      <c r="T239" s="114"/>
      <c r="U239" s="114"/>
      <c r="V239" s="221"/>
      <c r="W239" s="113"/>
      <c r="X239" s="114"/>
      <c r="Y239" s="113"/>
      <c r="Z239" s="113"/>
      <c r="AA239" s="113"/>
      <c r="AB239" s="114"/>
      <c r="AC239" s="114"/>
      <c r="AD239" s="114"/>
      <c r="AE239" s="215"/>
      <c r="AF239" s="114"/>
      <c r="AG239" s="38" t="s">
        <v>0</v>
      </c>
      <c r="AH239" s="38" t="s">
        <v>0</v>
      </c>
      <c r="AI239" s="38" t="s">
        <v>0</v>
      </c>
      <c r="AJ239" s="215"/>
      <c r="AK239" s="215"/>
      <c r="AL239" s="226"/>
      <c r="AM239" s="113"/>
      <c r="AN239" s="114"/>
      <c r="AO239" s="113"/>
      <c r="AP239" s="113"/>
      <c r="AQ239" s="113"/>
      <c r="AR239" s="114"/>
      <c r="AS239" s="114"/>
      <c r="AT239" s="114"/>
      <c r="AU239" s="114"/>
      <c r="AV239" s="114"/>
      <c r="AW239" s="114"/>
      <c r="AX239" s="114"/>
      <c r="AY239" s="113"/>
      <c r="AZ239" s="114"/>
      <c r="BA239" s="215"/>
      <c r="BB239" s="215"/>
      <c r="BC239" s="114"/>
      <c r="BD239" s="38" t="s">
        <v>0</v>
      </c>
      <c r="BE239" s="114"/>
      <c r="BF239" s="36" t="s">
        <v>7638</v>
      </c>
      <c r="BG239" s="114"/>
      <c r="BH239" s="38" t="s">
        <v>0</v>
      </c>
      <c r="BI239" s="36" t="s">
        <v>0</v>
      </c>
      <c r="BJ239" s="114"/>
      <c r="BK239" s="114"/>
      <c r="BL239" s="114"/>
      <c r="BM239" s="113"/>
      <c r="BN239" s="114"/>
      <c r="BO239" s="114"/>
      <c r="BP239" s="114"/>
      <c r="BQ239" s="114"/>
      <c r="BR239" s="113"/>
      <c r="BS239" s="113"/>
      <c r="BT239" s="113"/>
      <c r="BU239" s="114"/>
      <c r="BV239" s="114"/>
      <c r="BW239" s="113"/>
      <c r="BX239" s="114"/>
      <c r="BY239" s="113"/>
      <c r="BZ239" s="114"/>
      <c r="CA239" s="113"/>
      <c r="CB239" s="113"/>
      <c r="CC239" s="114"/>
      <c r="CD239" s="114"/>
      <c r="CE239" s="113"/>
      <c r="CF239" s="114"/>
    </row>
    <row r="240" spans="1:84">
      <c r="A240" s="51" t="s">
        <v>935</v>
      </c>
      <c r="B240" s="51"/>
      <c r="C240" s="52"/>
      <c r="D240" s="52"/>
      <c r="E240" s="52"/>
      <c r="F240" s="52"/>
      <c r="G240" s="52"/>
      <c r="H240" s="52"/>
      <c r="I240" s="52" t="s">
        <v>0</v>
      </c>
      <c r="J240" s="52"/>
      <c r="K240" s="52" t="s">
        <v>0</v>
      </c>
      <c r="L240" s="52" t="s">
        <v>0</v>
      </c>
      <c r="M240" s="52"/>
      <c r="N240" s="52" t="s">
        <v>0</v>
      </c>
      <c r="O240" s="52"/>
      <c r="P240" s="52" t="s">
        <v>8681</v>
      </c>
      <c r="Q240" s="52" t="s">
        <v>8681</v>
      </c>
      <c r="R240" s="52"/>
      <c r="S240" s="52" t="s">
        <v>0</v>
      </c>
      <c r="T240" s="52"/>
      <c r="U240" s="52"/>
      <c r="V240" s="84"/>
      <c r="W240" s="52"/>
      <c r="X240" s="52"/>
      <c r="Y240" s="52"/>
      <c r="Z240" s="52"/>
      <c r="AA240" s="52"/>
      <c r="AB240" s="52"/>
      <c r="AC240" s="52"/>
      <c r="AD240" s="52"/>
      <c r="AE240" s="52"/>
      <c r="AF240" s="52"/>
      <c r="AG240" s="186" t="s">
        <v>7017</v>
      </c>
      <c r="AH240" s="186" t="s">
        <v>7017</v>
      </c>
      <c r="AI240" s="186" t="s">
        <v>7017</v>
      </c>
      <c r="AJ240" s="52"/>
      <c r="AK240" s="52"/>
      <c r="AL240" s="52"/>
      <c r="AM240" s="52"/>
      <c r="AN240" s="52"/>
      <c r="AO240" s="52"/>
      <c r="AP240" s="52"/>
      <c r="AQ240" s="52"/>
      <c r="AR240" s="52"/>
      <c r="AS240" s="52"/>
      <c r="AT240" s="52"/>
      <c r="AU240" s="52"/>
      <c r="AV240" s="52"/>
      <c r="AW240" s="52"/>
      <c r="AX240" s="52"/>
      <c r="AY240" s="52"/>
      <c r="AZ240" s="52"/>
      <c r="BA240" s="52"/>
      <c r="BB240" s="52"/>
      <c r="BC240" s="52"/>
      <c r="BD240" s="186" t="s">
        <v>0</v>
      </c>
      <c r="BE240" s="52"/>
      <c r="BF240" s="52" t="s">
        <v>7632</v>
      </c>
      <c r="BG240" s="52"/>
      <c r="BH240" s="186" t="s">
        <v>0</v>
      </c>
      <c r="BI240" s="52" t="s">
        <v>0</v>
      </c>
      <c r="BJ240" s="52"/>
      <c r="BK240" s="52"/>
      <c r="BL240" s="52"/>
      <c r="BM240" s="52"/>
      <c r="BN240" s="52"/>
      <c r="BO240" s="52"/>
      <c r="BP240" s="52"/>
      <c r="BQ240" s="52"/>
      <c r="BR240" s="52"/>
      <c r="BS240" s="52"/>
      <c r="BT240" s="52"/>
      <c r="BU240" s="84"/>
      <c r="BV240" s="84"/>
      <c r="BW240" s="52"/>
      <c r="BX240" s="52"/>
      <c r="BY240" s="52"/>
      <c r="BZ240" s="52"/>
      <c r="CA240" s="52"/>
      <c r="CB240" s="52"/>
      <c r="CC240" s="52"/>
      <c r="CD240" s="52"/>
      <c r="CE240" s="52"/>
      <c r="CF240" s="52"/>
    </row>
    <row r="241" spans="1:84" ht="18">
      <c r="A241" s="62" t="s">
        <v>184</v>
      </c>
      <c r="B241" s="200"/>
      <c r="C241" s="38" t="s">
        <v>0</v>
      </c>
      <c r="D241" s="38" t="s">
        <v>0</v>
      </c>
      <c r="E241" s="38" t="s">
        <v>159</v>
      </c>
      <c r="F241" s="38" t="s">
        <v>17</v>
      </c>
      <c r="G241" s="38" t="s">
        <v>0</v>
      </c>
      <c r="H241" s="38" t="s">
        <v>0</v>
      </c>
      <c r="I241" s="36" t="s">
        <v>0</v>
      </c>
      <c r="J241" s="38" t="s">
        <v>0</v>
      </c>
      <c r="K241" s="36" t="s">
        <v>0</v>
      </c>
      <c r="L241" s="36" t="s">
        <v>5509</v>
      </c>
      <c r="M241" s="38" t="s">
        <v>159</v>
      </c>
      <c r="N241" s="36" t="s">
        <v>0</v>
      </c>
      <c r="O241" s="38" t="s">
        <v>17</v>
      </c>
      <c r="P241" s="36" t="s">
        <v>8654</v>
      </c>
      <c r="Q241" s="36" t="s">
        <v>8654</v>
      </c>
      <c r="R241" s="38" t="s">
        <v>159</v>
      </c>
      <c r="S241" s="36" t="s">
        <v>5556</v>
      </c>
      <c r="T241" s="38" t="s">
        <v>223</v>
      </c>
      <c r="U241" s="38" t="s">
        <v>210</v>
      </c>
      <c r="V241" s="145" t="s">
        <v>5735</v>
      </c>
      <c r="W241" s="38" t="s">
        <v>0</v>
      </c>
      <c r="X241" s="38" t="s">
        <v>0</v>
      </c>
      <c r="Y241" s="38" t="s">
        <v>0</v>
      </c>
      <c r="Z241" s="38" t="s">
        <v>0</v>
      </c>
      <c r="AA241" s="38" t="s">
        <v>0</v>
      </c>
      <c r="AB241" s="38" t="s">
        <v>0</v>
      </c>
      <c r="AC241" s="38" t="s">
        <v>0</v>
      </c>
      <c r="AD241" s="38" t="s">
        <v>0</v>
      </c>
      <c r="AE241" s="7" t="s">
        <v>0</v>
      </c>
      <c r="AF241" s="34" t="s">
        <v>111</v>
      </c>
      <c r="AG241" s="38" t="s">
        <v>0</v>
      </c>
      <c r="AH241" s="38" t="s">
        <v>0</v>
      </c>
      <c r="AI241" s="250">
        <v>1000</v>
      </c>
      <c r="AJ241" s="34" t="s">
        <v>0</v>
      </c>
      <c r="AK241" s="7" t="s">
        <v>0</v>
      </c>
      <c r="AL241" s="7" t="s">
        <v>0</v>
      </c>
      <c r="AM241" s="38" t="s">
        <v>0</v>
      </c>
      <c r="AN241" s="38" t="s">
        <v>0</v>
      </c>
      <c r="AO241" s="36" t="s">
        <v>4219</v>
      </c>
      <c r="AP241" s="38" t="s">
        <v>0</v>
      </c>
      <c r="AQ241" s="38" t="s">
        <v>0</v>
      </c>
      <c r="AR241" s="38" t="s">
        <v>0</v>
      </c>
      <c r="AS241" s="158" t="s">
        <v>0</v>
      </c>
      <c r="AT241" s="38" t="s">
        <v>0</v>
      </c>
      <c r="AU241" s="38" t="s">
        <v>0</v>
      </c>
      <c r="AV241" s="36" t="s">
        <v>876</v>
      </c>
      <c r="AW241" s="36" t="s">
        <v>876</v>
      </c>
      <c r="AX241" s="38" t="s">
        <v>0</v>
      </c>
      <c r="AY241" s="38" t="s">
        <v>0</v>
      </c>
      <c r="AZ241" s="38" t="s">
        <v>0</v>
      </c>
      <c r="BA241" s="38" t="s">
        <v>0</v>
      </c>
      <c r="BB241" s="38" t="s">
        <v>210</v>
      </c>
      <c r="BC241" s="36" t="s">
        <v>6</v>
      </c>
      <c r="BD241" s="250" t="s">
        <v>7640</v>
      </c>
      <c r="BE241" s="36" t="s">
        <v>6</v>
      </c>
      <c r="BF241" s="250" t="s">
        <v>7640</v>
      </c>
      <c r="BG241" s="36" t="s">
        <v>6</v>
      </c>
      <c r="BH241" s="250" t="s">
        <v>7640</v>
      </c>
      <c r="BI241" s="250" t="s">
        <v>0</v>
      </c>
      <c r="BJ241" s="36" t="s">
        <v>0</v>
      </c>
      <c r="BK241" s="36" t="s">
        <v>0</v>
      </c>
      <c r="BL241" s="36" t="s">
        <v>6143</v>
      </c>
      <c r="BM241" s="38" t="s">
        <v>0</v>
      </c>
      <c r="BN241" s="38" t="s">
        <v>0</v>
      </c>
      <c r="BO241" s="38"/>
      <c r="BP241" s="38" t="s">
        <v>0</v>
      </c>
      <c r="BQ241" s="38" t="s">
        <v>0</v>
      </c>
      <c r="BR241" s="38" t="s">
        <v>0</v>
      </c>
      <c r="BS241" s="38" t="s">
        <v>0</v>
      </c>
      <c r="BT241" s="38" t="s">
        <v>0</v>
      </c>
      <c r="BU241" s="36" t="s">
        <v>0</v>
      </c>
      <c r="BV241" s="36" t="s">
        <v>0</v>
      </c>
      <c r="BW241" s="38" t="s">
        <v>0</v>
      </c>
      <c r="BX241" s="36" t="s">
        <v>0</v>
      </c>
      <c r="BY241" s="36" t="s">
        <v>6152</v>
      </c>
      <c r="BZ241" s="36" t="s">
        <v>0</v>
      </c>
      <c r="CA241" s="38" t="s">
        <v>0</v>
      </c>
      <c r="CB241" s="38" t="s">
        <v>0</v>
      </c>
      <c r="CC241" s="38" t="s">
        <v>0</v>
      </c>
      <c r="CD241" s="38" t="s">
        <v>0</v>
      </c>
      <c r="CE241" s="36" t="s">
        <v>0</v>
      </c>
      <c r="CF241" s="38" t="s">
        <v>0</v>
      </c>
    </row>
    <row r="242" spans="1:84">
      <c r="A242" s="51" t="s">
        <v>935</v>
      </c>
      <c r="B242" s="51"/>
      <c r="C242" s="52" t="s">
        <v>0</v>
      </c>
      <c r="D242" s="52" t="s">
        <v>0</v>
      </c>
      <c r="E242" s="52" t="s">
        <v>2774</v>
      </c>
      <c r="F242" s="52" t="s">
        <v>2774</v>
      </c>
      <c r="G242" s="52" t="s">
        <v>0</v>
      </c>
      <c r="H242" s="52" t="s">
        <v>0</v>
      </c>
      <c r="I242" s="84" t="s">
        <v>0</v>
      </c>
      <c r="J242" s="52" t="s">
        <v>0</v>
      </c>
      <c r="K242" s="84" t="s">
        <v>0</v>
      </c>
      <c r="L242" s="52" t="s">
        <v>8439</v>
      </c>
      <c r="M242" s="52" t="s">
        <v>1519</v>
      </c>
      <c r="N242" s="84" t="s">
        <v>0</v>
      </c>
      <c r="O242" s="52" t="s">
        <v>5783</v>
      </c>
      <c r="P242" s="52" t="s">
        <v>8653</v>
      </c>
      <c r="Q242" s="52" t="s">
        <v>8653</v>
      </c>
      <c r="R242" s="52" t="s">
        <v>3368</v>
      </c>
      <c r="S242" s="52" t="s">
        <v>8513</v>
      </c>
      <c r="T242" s="52" t="s">
        <v>5634</v>
      </c>
      <c r="U242" s="52" t="s">
        <v>5634</v>
      </c>
      <c r="V242" s="84"/>
      <c r="W242" s="52" t="s">
        <v>0</v>
      </c>
      <c r="X242" s="52" t="s">
        <v>0</v>
      </c>
      <c r="Y242" s="52" t="s">
        <v>0</v>
      </c>
      <c r="Z242" s="52" t="s">
        <v>0</v>
      </c>
      <c r="AA242" s="52" t="s">
        <v>0</v>
      </c>
      <c r="AB242" s="52" t="s">
        <v>0</v>
      </c>
      <c r="AC242" s="52" t="s">
        <v>0</v>
      </c>
      <c r="AD242" s="52" t="s">
        <v>0</v>
      </c>
      <c r="AE242" s="52" t="s">
        <v>0</v>
      </c>
      <c r="AF242" s="52" t="s">
        <v>1682</v>
      </c>
      <c r="AG242" s="186" t="s">
        <v>0</v>
      </c>
      <c r="AH242" s="186" t="s">
        <v>0</v>
      </c>
      <c r="AI242" s="186" t="s">
        <v>7140</v>
      </c>
      <c r="AJ242" s="52" t="s">
        <v>0</v>
      </c>
      <c r="AK242" s="52" t="s">
        <v>0</v>
      </c>
      <c r="AL242" s="52" t="s">
        <v>0</v>
      </c>
      <c r="AM242" s="52" t="s">
        <v>0</v>
      </c>
      <c r="AN242" s="52" t="s">
        <v>0</v>
      </c>
      <c r="AO242" s="52" t="s">
        <v>4232</v>
      </c>
      <c r="AP242" s="52" t="s">
        <v>0</v>
      </c>
      <c r="AQ242" s="52" t="s">
        <v>0</v>
      </c>
      <c r="AR242" s="52"/>
      <c r="AS242" s="52" t="s">
        <v>0</v>
      </c>
      <c r="AT242" s="52" t="s">
        <v>0</v>
      </c>
      <c r="AU242" s="52" t="s">
        <v>0</v>
      </c>
      <c r="AV242" s="52" t="s">
        <v>4351</v>
      </c>
      <c r="AW242" s="52" t="s">
        <v>4351</v>
      </c>
      <c r="AX242" s="52" t="s">
        <v>0</v>
      </c>
      <c r="AY242" s="52" t="s">
        <v>0</v>
      </c>
      <c r="AZ242" s="52" t="s">
        <v>0</v>
      </c>
      <c r="BA242" s="52" t="s">
        <v>0</v>
      </c>
      <c r="BB242" s="52" t="s">
        <v>4521</v>
      </c>
      <c r="BC242" s="52" t="s">
        <v>4873</v>
      </c>
      <c r="BD242" s="52" t="s">
        <v>7691</v>
      </c>
      <c r="BE242" s="52" t="s">
        <v>4910</v>
      </c>
      <c r="BF242" s="52" t="s">
        <v>7641</v>
      </c>
      <c r="BG242" s="52" t="s">
        <v>4873</v>
      </c>
      <c r="BH242" s="52" t="s">
        <v>7901</v>
      </c>
      <c r="BI242" s="52" t="s">
        <v>0</v>
      </c>
      <c r="BJ242" s="52" t="s">
        <v>0</v>
      </c>
      <c r="BK242" s="52"/>
      <c r="BL242" s="52"/>
      <c r="BM242" s="52" t="s">
        <v>0</v>
      </c>
      <c r="BN242" s="52" t="s">
        <v>0</v>
      </c>
      <c r="BO242" s="52"/>
      <c r="BP242" s="52" t="s">
        <v>0</v>
      </c>
      <c r="BQ242" s="52" t="s">
        <v>0</v>
      </c>
      <c r="BR242" s="52" t="s">
        <v>0</v>
      </c>
      <c r="BS242" s="52" t="s">
        <v>0</v>
      </c>
      <c r="BT242" s="52" t="s">
        <v>0</v>
      </c>
      <c r="BU242" s="84" t="s">
        <v>0</v>
      </c>
      <c r="BV242" s="84"/>
      <c r="BW242" s="52"/>
      <c r="BX242" s="52" t="s">
        <v>0</v>
      </c>
      <c r="BY242" s="52" t="s">
        <v>3806</v>
      </c>
      <c r="BZ242" s="52" t="s">
        <v>0</v>
      </c>
      <c r="CA242" s="52" t="s">
        <v>0</v>
      </c>
      <c r="CB242" s="52" t="s">
        <v>0</v>
      </c>
      <c r="CC242" s="52"/>
      <c r="CD242" s="52"/>
      <c r="CE242" s="52" t="s">
        <v>0</v>
      </c>
      <c r="CF242" s="52" t="s">
        <v>0</v>
      </c>
    </row>
    <row r="243" spans="1:84" ht="18">
      <c r="A243" s="6" t="s">
        <v>207</v>
      </c>
      <c r="B243" s="200"/>
      <c r="C243" s="38" t="s">
        <v>0</v>
      </c>
      <c r="D243" s="38" t="s">
        <v>0</v>
      </c>
      <c r="E243" s="38" t="s">
        <v>0</v>
      </c>
      <c r="F243" s="38" t="s">
        <v>0</v>
      </c>
      <c r="G243" s="38" t="s">
        <v>0</v>
      </c>
      <c r="H243" s="38" t="s">
        <v>223</v>
      </c>
      <c r="I243" s="36" t="s">
        <v>0</v>
      </c>
      <c r="J243" s="36" t="s">
        <v>159</v>
      </c>
      <c r="K243" s="36" t="s">
        <v>5512</v>
      </c>
      <c r="L243" s="36" t="s">
        <v>5509</v>
      </c>
      <c r="M243" s="36" t="s">
        <v>44</v>
      </c>
      <c r="N243" s="36" t="s">
        <v>0</v>
      </c>
      <c r="O243" s="36" t="s">
        <v>6277</v>
      </c>
      <c r="P243" s="36" t="s">
        <v>5529</v>
      </c>
      <c r="Q243" s="36" t="s">
        <v>5529</v>
      </c>
      <c r="R243" s="36" t="s">
        <v>6278</v>
      </c>
      <c r="S243" s="36" t="s">
        <v>5556</v>
      </c>
      <c r="T243" s="36" t="s">
        <v>5612</v>
      </c>
      <c r="U243" s="36" t="s">
        <v>5613</v>
      </c>
      <c r="V243" s="145" t="s">
        <v>5735</v>
      </c>
      <c r="W243" s="38" t="s">
        <v>0</v>
      </c>
      <c r="X243" s="38" t="s">
        <v>223</v>
      </c>
      <c r="Y243" s="38" t="s">
        <v>0</v>
      </c>
      <c r="Z243" s="38" t="s">
        <v>0</v>
      </c>
      <c r="AA243" s="38" t="s">
        <v>0</v>
      </c>
      <c r="AB243" s="36" t="s">
        <v>4816</v>
      </c>
      <c r="AC243" s="36" t="s">
        <v>4817</v>
      </c>
      <c r="AD243" s="36" t="s">
        <v>4808</v>
      </c>
      <c r="AE243" s="7" t="s">
        <v>0</v>
      </c>
      <c r="AF243" s="34" t="s">
        <v>197</v>
      </c>
      <c r="AG243" s="38" t="s">
        <v>0</v>
      </c>
      <c r="AH243" s="38" t="s">
        <v>0</v>
      </c>
      <c r="AI243" s="250">
        <v>5000</v>
      </c>
      <c r="AJ243" s="7" t="s">
        <v>3456</v>
      </c>
      <c r="AK243" s="7" t="s">
        <v>0</v>
      </c>
      <c r="AL243" s="34" t="s">
        <v>27</v>
      </c>
      <c r="AM243" s="36" t="s">
        <v>0</v>
      </c>
      <c r="AN243" s="36" t="s">
        <v>0</v>
      </c>
      <c r="AO243" s="36" t="s">
        <v>900</v>
      </c>
      <c r="AP243" s="38" t="s">
        <v>0</v>
      </c>
      <c r="AQ243" s="38" t="s">
        <v>685</v>
      </c>
      <c r="AR243" s="38" t="s">
        <v>0</v>
      </c>
      <c r="AS243" s="36" t="s">
        <v>6369</v>
      </c>
      <c r="AT243" s="36" t="s">
        <v>6370</v>
      </c>
      <c r="AU243" s="36" t="s">
        <v>6370</v>
      </c>
      <c r="AV243" s="38" t="s">
        <v>223</v>
      </c>
      <c r="AW243" s="38" t="s">
        <v>223</v>
      </c>
      <c r="AX243" s="38" t="s">
        <v>223</v>
      </c>
      <c r="AY243" s="38" t="s">
        <v>0</v>
      </c>
      <c r="AZ243" s="36" t="s">
        <v>0</v>
      </c>
      <c r="BA243" s="36" t="s">
        <v>208</v>
      </c>
      <c r="BB243" s="36" t="s">
        <v>113</v>
      </c>
      <c r="BC243" s="36" t="s">
        <v>111</v>
      </c>
      <c r="BD243" s="36" t="s">
        <v>859</v>
      </c>
      <c r="BE243" s="36" t="s">
        <v>111</v>
      </c>
      <c r="BF243" s="36" t="s">
        <v>859</v>
      </c>
      <c r="BG243" s="36" t="s">
        <v>159</v>
      </c>
      <c r="BH243" s="36" t="s">
        <v>6318</v>
      </c>
      <c r="BI243" s="36" t="s">
        <v>0</v>
      </c>
      <c r="BJ243" s="36" t="s">
        <v>0</v>
      </c>
      <c r="BK243" s="36" t="s">
        <v>159</v>
      </c>
      <c r="BL243" s="36" t="s">
        <v>26</v>
      </c>
      <c r="BM243" s="38" t="s">
        <v>0</v>
      </c>
      <c r="BN243" s="38" t="s">
        <v>0</v>
      </c>
      <c r="BO243" s="38"/>
      <c r="BP243" s="38" t="s">
        <v>0</v>
      </c>
      <c r="BQ243" s="38" t="s">
        <v>0</v>
      </c>
      <c r="BR243" s="38" t="s">
        <v>0</v>
      </c>
      <c r="BS243" s="38" t="s">
        <v>0</v>
      </c>
      <c r="BT243" s="38" t="s">
        <v>0</v>
      </c>
      <c r="BU243" s="36" t="s">
        <v>0</v>
      </c>
      <c r="BV243" s="36" t="s">
        <v>0</v>
      </c>
      <c r="BW243" s="38" t="s">
        <v>0</v>
      </c>
      <c r="BX243" s="36" t="s">
        <v>0</v>
      </c>
      <c r="BY243" s="38" t="s">
        <v>6</v>
      </c>
      <c r="BZ243" s="38" t="s">
        <v>0</v>
      </c>
      <c r="CA243" s="36" t="s">
        <v>0</v>
      </c>
      <c r="CB243" s="36" t="s">
        <v>0</v>
      </c>
      <c r="CC243" s="36" t="s">
        <v>0</v>
      </c>
      <c r="CD243" s="36" t="s">
        <v>27</v>
      </c>
      <c r="CE243" s="38" t="s">
        <v>0</v>
      </c>
      <c r="CF243" s="36" t="s">
        <v>2151</v>
      </c>
    </row>
    <row r="244" spans="1:84">
      <c r="A244" s="51" t="s">
        <v>935</v>
      </c>
      <c r="B244" s="51"/>
      <c r="C244" s="52" t="s">
        <v>0</v>
      </c>
      <c r="D244" s="52" t="s">
        <v>0</v>
      </c>
      <c r="E244" s="52" t="s">
        <v>0</v>
      </c>
      <c r="F244" s="52" t="s">
        <v>0</v>
      </c>
      <c r="G244" s="52" t="s">
        <v>0</v>
      </c>
      <c r="H244" s="52" t="s">
        <v>1408</v>
      </c>
      <c r="I244" s="52" t="s">
        <v>0</v>
      </c>
      <c r="J244" s="52" t="s">
        <v>5300</v>
      </c>
      <c r="K244" s="52" t="s">
        <v>8335</v>
      </c>
      <c r="L244" s="52" t="s">
        <v>8438</v>
      </c>
      <c r="M244" s="52" t="s">
        <v>5836</v>
      </c>
      <c r="N244" s="52" t="s">
        <v>0</v>
      </c>
      <c r="O244" s="52" t="s">
        <v>5256</v>
      </c>
      <c r="P244" s="52" t="s">
        <v>8652</v>
      </c>
      <c r="Q244" s="52" t="s">
        <v>8652</v>
      </c>
      <c r="R244" s="52" t="s">
        <v>5811</v>
      </c>
      <c r="S244" s="52" t="s">
        <v>8514</v>
      </c>
      <c r="T244" s="52" t="s">
        <v>5611</v>
      </c>
      <c r="U244" s="52" t="s">
        <v>5611</v>
      </c>
      <c r="V244" s="84"/>
      <c r="W244" s="52" t="s">
        <v>4447</v>
      </c>
      <c r="X244" s="52" t="s">
        <v>6473</v>
      </c>
      <c r="Y244" s="52" t="s">
        <v>0</v>
      </c>
      <c r="Z244" s="52" t="s">
        <v>0</v>
      </c>
      <c r="AA244" s="52" t="s">
        <v>0</v>
      </c>
      <c r="AB244" s="52" t="s">
        <v>5950</v>
      </c>
      <c r="AC244" s="52" t="s">
        <v>5940</v>
      </c>
      <c r="AD244" s="52" t="s">
        <v>4813</v>
      </c>
      <c r="AE244" s="52" t="s">
        <v>0</v>
      </c>
      <c r="AF244" s="52" t="s">
        <v>5969</v>
      </c>
      <c r="AG244" s="186" t="s">
        <v>0</v>
      </c>
      <c r="AH244" s="186" t="s">
        <v>0</v>
      </c>
      <c r="AI244" s="186" t="s">
        <v>7141</v>
      </c>
      <c r="AJ244" s="52" t="s">
        <v>6120</v>
      </c>
      <c r="AK244" s="52" t="s">
        <v>0</v>
      </c>
      <c r="AL244" s="52" t="s">
        <v>1865</v>
      </c>
      <c r="AM244" s="52" t="s">
        <v>0</v>
      </c>
      <c r="AN244" s="52" t="s">
        <v>0</v>
      </c>
      <c r="AO244" s="52" t="s">
        <v>4225</v>
      </c>
      <c r="AP244" s="52" t="s">
        <v>0</v>
      </c>
      <c r="AQ244" s="52" t="s">
        <v>1025</v>
      </c>
      <c r="AR244" s="52"/>
      <c r="AS244" s="52" t="s">
        <v>1025</v>
      </c>
      <c r="AT244" s="52" t="s">
        <v>1025</v>
      </c>
      <c r="AU244" s="52" t="s">
        <v>1025</v>
      </c>
      <c r="AV244" s="52" t="s">
        <v>6306</v>
      </c>
      <c r="AW244" s="52" t="s">
        <v>6306</v>
      </c>
      <c r="AX244" s="52" t="s">
        <v>1280</v>
      </c>
      <c r="AY244" s="52" t="s">
        <v>0</v>
      </c>
      <c r="AZ244" s="52" t="s">
        <v>0</v>
      </c>
      <c r="BA244" s="52" t="s">
        <v>4541</v>
      </c>
      <c r="BB244" s="52" t="s">
        <v>4518</v>
      </c>
      <c r="BC244" s="52" t="s">
        <v>2265</v>
      </c>
      <c r="BD244" s="52" t="s">
        <v>7707</v>
      </c>
      <c r="BE244" s="52" t="s">
        <v>4849</v>
      </c>
      <c r="BF244" s="52" t="s">
        <v>7642</v>
      </c>
      <c r="BG244" s="52" t="s">
        <v>2265</v>
      </c>
      <c r="BH244" s="52" t="s">
        <v>7900</v>
      </c>
      <c r="BI244" s="52" t="s">
        <v>0</v>
      </c>
      <c r="BJ244" s="52" t="s">
        <v>0</v>
      </c>
      <c r="BK244" s="52"/>
      <c r="BL244" s="52"/>
      <c r="BM244" s="52" t="s">
        <v>0</v>
      </c>
      <c r="BN244" s="52" t="s">
        <v>0</v>
      </c>
      <c r="BO244" s="52"/>
      <c r="BP244" s="52" t="s">
        <v>0</v>
      </c>
      <c r="BQ244" s="52" t="s">
        <v>0</v>
      </c>
      <c r="BR244" s="52" t="s">
        <v>0</v>
      </c>
      <c r="BS244" s="52" t="s">
        <v>0</v>
      </c>
      <c r="BT244" s="52" t="s">
        <v>0</v>
      </c>
      <c r="BU244" s="84" t="s">
        <v>0</v>
      </c>
      <c r="BV244" s="84"/>
      <c r="BW244" s="52"/>
      <c r="BX244" s="52" t="s">
        <v>0</v>
      </c>
      <c r="BY244" s="52" t="s">
        <v>3781</v>
      </c>
      <c r="BZ244" s="52" t="s">
        <v>0</v>
      </c>
      <c r="CA244" s="52" t="s">
        <v>0</v>
      </c>
      <c r="CB244" s="52" t="s">
        <v>0</v>
      </c>
      <c r="CC244" s="52"/>
      <c r="CD244" s="52"/>
      <c r="CE244" s="52" t="s">
        <v>0</v>
      </c>
      <c r="CF244" s="52" t="s">
        <v>2150</v>
      </c>
    </row>
    <row r="245" spans="1:84" ht="18">
      <c r="A245" s="62" t="s">
        <v>5221</v>
      </c>
      <c r="B245" s="200" t="s">
        <v>8901</v>
      </c>
      <c r="C245" s="38" t="s">
        <v>0</v>
      </c>
      <c r="D245" s="38" t="s">
        <v>57</v>
      </c>
      <c r="E245" s="38" t="s">
        <v>0</v>
      </c>
      <c r="F245" s="38" t="s">
        <v>111</v>
      </c>
      <c r="G245" s="38" t="s">
        <v>659</v>
      </c>
      <c r="H245" s="38" t="s">
        <v>111</v>
      </c>
      <c r="I245" s="36" t="s">
        <v>0</v>
      </c>
      <c r="J245" s="38" t="s">
        <v>685</v>
      </c>
      <c r="K245" s="36" t="s">
        <v>8270</v>
      </c>
      <c r="L245" s="36" t="s">
        <v>8436</v>
      </c>
      <c r="M245" s="38" t="s">
        <v>6</v>
      </c>
      <c r="N245" s="36" t="s">
        <v>8270</v>
      </c>
      <c r="O245" s="38" t="s">
        <v>57</v>
      </c>
      <c r="P245" s="36" t="s">
        <v>8650</v>
      </c>
      <c r="Q245" s="36" t="s">
        <v>8650</v>
      </c>
      <c r="R245" s="38" t="s">
        <v>6</v>
      </c>
      <c r="S245" s="36" t="s">
        <v>8515</v>
      </c>
      <c r="T245" s="38" t="s">
        <v>6</v>
      </c>
      <c r="U245" s="38" t="s">
        <v>111</v>
      </c>
      <c r="V245" s="145" t="s">
        <v>57</v>
      </c>
      <c r="W245" s="38" t="s">
        <v>366</v>
      </c>
      <c r="X245" s="36" t="s">
        <v>6471</v>
      </c>
      <c r="Y245" s="38" t="s">
        <v>0</v>
      </c>
      <c r="Z245" s="38" t="s">
        <v>0</v>
      </c>
      <c r="AA245" s="38" t="s">
        <v>0</v>
      </c>
      <c r="AB245" s="38" t="s">
        <v>111</v>
      </c>
      <c r="AC245" s="38" t="s">
        <v>57</v>
      </c>
      <c r="AD245" s="38" t="s">
        <v>0</v>
      </c>
      <c r="AE245" s="7" t="s">
        <v>6053</v>
      </c>
      <c r="AF245" s="7" t="s">
        <v>6053</v>
      </c>
      <c r="AG245" s="7" t="s">
        <v>111</v>
      </c>
      <c r="AH245" s="7" t="s">
        <v>111</v>
      </c>
      <c r="AI245" s="7" t="s">
        <v>111</v>
      </c>
      <c r="AJ245" s="7" t="s">
        <v>223</v>
      </c>
      <c r="AK245" s="7" t="s">
        <v>0</v>
      </c>
      <c r="AL245" s="37" t="s">
        <v>4183</v>
      </c>
      <c r="AM245" s="38" t="s">
        <v>5406</v>
      </c>
      <c r="AN245" s="38" t="s">
        <v>5407</v>
      </c>
      <c r="AO245" s="36" t="s">
        <v>900</v>
      </c>
      <c r="AP245" s="38" t="s">
        <v>0</v>
      </c>
      <c r="AQ245" s="38" t="s">
        <v>27</v>
      </c>
      <c r="AR245" s="38" t="s">
        <v>350</v>
      </c>
      <c r="AS245" s="38" t="s">
        <v>6</v>
      </c>
      <c r="AT245" s="38" t="s">
        <v>111</v>
      </c>
      <c r="AU245" s="38" t="s">
        <v>111</v>
      </c>
      <c r="AV245" s="38" t="s">
        <v>197</v>
      </c>
      <c r="AW245" s="38" t="s">
        <v>197</v>
      </c>
      <c r="AX245" s="36" t="s">
        <v>5054</v>
      </c>
      <c r="AY245" s="36" t="s">
        <v>5055</v>
      </c>
      <c r="AZ245" s="36" t="s">
        <v>0</v>
      </c>
      <c r="BA245" s="36" t="s">
        <v>208</v>
      </c>
      <c r="BB245" s="36" t="s">
        <v>4481</v>
      </c>
      <c r="BC245" s="38" t="s">
        <v>18</v>
      </c>
      <c r="BD245" s="36" t="s">
        <v>7756</v>
      </c>
      <c r="BE245" s="36" t="s">
        <v>111</v>
      </c>
      <c r="BF245" s="36" t="s">
        <v>7643</v>
      </c>
      <c r="BG245" s="38" t="s">
        <v>18</v>
      </c>
      <c r="BH245" s="36" t="s">
        <v>7756</v>
      </c>
      <c r="BI245" s="36" t="s">
        <v>0</v>
      </c>
      <c r="BJ245" s="36" t="s">
        <v>0</v>
      </c>
      <c r="BK245" s="36" t="s">
        <v>504</v>
      </c>
      <c r="BL245" s="36" t="s">
        <v>553</v>
      </c>
      <c r="BM245" s="38" t="s">
        <v>0</v>
      </c>
      <c r="BN245" s="38" t="s">
        <v>111</v>
      </c>
      <c r="BO245" s="38"/>
      <c r="BP245" s="36" t="s">
        <v>778</v>
      </c>
      <c r="BQ245" s="38" t="s">
        <v>0</v>
      </c>
      <c r="BR245" s="38" t="s">
        <v>0</v>
      </c>
      <c r="BS245" s="36" t="s">
        <v>350</v>
      </c>
      <c r="BT245" s="36" t="s">
        <v>350</v>
      </c>
      <c r="BU245" s="36" t="s">
        <v>6</v>
      </c>
      <c r="BV245" s="36" t="s">
        <v>6</v>
      </c>
      <c r="BW245" s="38" t="s">
        <v>111</v>
      </c>
      <c r="BX245" s="36" t="s">
        <v>0</v>
      </c>
      <c r="BY245" s="38" t="s">
        <v>27</v>
      </c>
      <c r="BZ245" s="36" t="s">
        <v>6239</v>
      </c>
      <c r="CA245" s="38" t="s">
        <v>27</v>
      </c>
      <c r="CB245" s="38" t="s">
        <v>27</v>
      </c>
      <c r="CC245" s="38" t="s">
        <v>0</v>
      </c>
      <c r="CD245" s="38" t="s">
        <v>27</v>
      </c>
      <c r="CE245" s="38" t="s">
        <v>0</v>
      </c>
      <c r="CF245" s="38" t="s">
        <v>366</v>
      </c>
    </row>
    <row r="246" spans="1:84" ht="18">
      <c r="A246" s="51" t="s">
        <v>935</v>
      </c>
      <c r="B246" s="51"/>
      <c r="C246" s="52" t="s">
        <v>0</v>
      </c>
      <c r="D246" s="52" t="s">
        <v>5185</v>
      </c>
      <c r="E246" s="52" t="s">
        <v>0</v>
      </c>
      <c r="F246" s="52" t="s">
        <v>2755</v>
      </c>
      <c r="G246" s="52" t="s">
        <v>1413</v>
      </c>
      <c r="H246" s="52" t="s">
        <v>1413</v>
      </c>
      <c r="I246" s="52" t="s">
        <v>0</v>
      </c>
      <c r="J246" s="52" t="s">
        <v>5299</v>
      </c>
      <c r="K246" s="52" t="s">
        <v>8336</v>
      </c>
      <c r="L246" s="52" t="s">
        <v>8437</v>
      </c>
      <c r="M246" s="52" t="s">
        <v>5835</v>
      </c>
      <c r="N246" s="52" t="s">
        <v>8271</v>
      </c>
      <c r="O246" s="52" t="s">
        <v>1604</v>
      </c>
      <c r="P246" s="52" t="s">
        <v>8651</v>
      </c>
      <c r="Q246" s="52" t="s">
        <v>8651</v>
      </c>
      <c r="R246" s="52" t="s">
        <v>5810</v>
      </c>
      <c r="S246" s="52" t="s">
        <v>8516</v>
      </c>
      <c r="T246" s="52" t="s">
        <v>5614</v>
      </c>
      <c r="U246" s="52" t="s">
        <v>5614</v>
      </c>
      <c r="V246" s="84"/>
      <c r="W246" s="52" t="s">
        <v>4418</v>
      </c>
      <c r="X246" s="52" t="s">
        <v>6472</v>
      </c>
      <c r="Y246" s="52" t="s">
        <v>0</v>
      </c>
      <c r="Z246" s="52" t="s">
        <v>0</v>
      </c>
      <c r="AA246" s="52" t="s">
        <v>0</v>
      </c>
      <c r="AB246" s="52" t="s">
        <v>5939</v>
      </c>
      <c r="AC246" s="52" t="s">
        <v>5939</v>
      </c>
      <c r="AD246" s="52" t="s">
        <v>0</v>
      </c>
      <c r="AE246" s="52" t="s">
        <v>6054</v>
      </c>
      <c r="AF246" s="52" t="s">
        <v>6054</v>
      </c>
      <c r="AG246" s="186" t="s">
        <v>7082</v>
      </c>
      <c r="AH246" s="186" t="s">
        <v>7082</v>
      </c>
      <c r="AI246" s="186" t="s">
        <v>7082</v>
      </c>
      <c r="AJ246" s="52" t="s">
        <v>6120</v>
      </c>
      <c r="AK246" s="52" t="s">
        <v>0</v>
      </c>
      <c r="AL246" s="52" t="s">
        <v>1857</v>
      </c>
      <c r="AM246" s="52" t="s">
        <v>5351</v>
      </c>
      <c r="AN246" s="52" t="s">
        <v>5405</v>
      </c>
      <c r="AO246" s="52" t="s">
        <v>4225</v>
      </c>
      <c r="AP246" s="52" t="s">
        <v>0</v>
      </c>
      <c r="AQ246" s="52" t="s">
        <v>1025</v>
      </c>
      <c r="AR246" s="52"/>
      <c r="AS246" s="52" t="s">
        <v>1025</v>
      </c>
      <c r="AT246" s="52" t="s">
        <v>1025</v>
      </c>
      <c r="AU246" s="52" t="s">
        <v>1025</v>
      </c>
      <c r="AV246" s="52" t="s">
        <v>4348</v>
      </c>
      <c r="AW246" s="52" t="s">
        <v>4348</v>
      </c>
      <c r="AX246" s="52" t="s">
        <v>1274</v>
      </c>
      <c r="AY246" s="52" t="s">
        <v>1316</v>
      </c>
      <c r="AZ246" s="52" t="s">
        <v>0</v>
      </c>
      <c r="BA246" s="52" t="s">
        <v>4542</v>
      </c>
      <c r="BB246" s="52" t="s">
        <v>4519</v>
      </c>
      <c r="BC246" s="52" t="s">
        <v>4850</v>
      </c>
      <c r="BD246" s="52" t="s">
        <v>7755</v>
      </c>
      <c r="BE246" s="52" t="s">
        <v>4884</v>
      </c>
      <c r="BF246" s="52" t="s">
        <v>7644</v>
      </c>
      <c r="BG246" s="52" t="s">
        <v>4850</v>
      </c>
      <c r="BH246" s="52" t="s">
        <v>7899</v>
      </c>
      <c r="BI246" s="52" t="s">
        <v>0</v>
      </c>
      <c r="BJ246" s="52" t="s">
        <v>0</v>
      </c>
      <c r="BK246" s="52"/>
      <c r="BL246" s="52"/>
      <c r="BM246" s="52" t="s">
        <v>0</v>
      </c>
      <c r="BN246" s="52" t="s">
        <v>3868</v>
      </c>
      <c r="BO246" s="52"/>
      <c r="BP246" s="52" t="s">
        <v>2245</v>
      </c>
      <c r="BQ246" s="52" t="s">
        <v>0</v>
      </c>
      <c r="BR246" s="52" t="s">
        <v>0</v>
      </c>
      <c r="BS246" s="52" t="s">
        <v>2651</v>
      </c>
      <c r="BT246" s="52" t="s">
        <v>2651</v>
      </c>
      <c r="BU246" s="84" t="s">
        <v>2857</v>
      </c>
      <c r="BV246" s="84"/>
      <c r="BW246" s="52"/>
      <c r="BX246" s="52" t="s">
        <v>0</v>
      </c>
      <c r="BY246" s="52" t="s">
        <v>3792</v>
      </c>
      <c r="BZ246" s="52" t="s">
        <v>6240</v>
      </c>
      <c r="CA246" s="52" t="s">
        <v>3127</v>
      </c>
      <c r="CB246" s="52" t="s">
        <v>3127</v>
      </c>
      <c r="CC246" s="52"/>
      <c r="CD246" s="52"/>
      <c r="CE246" s="52" t="s">
        <v>0</v>
      </c>
      <c r="CF246" s="52" t="s">
        <v>2160</v>
      </c>
    </row>
    <row r="247" spans="1:84">
      <c r="A247" s="251"/>
      <c r="B247" s="251"/>
      <c r="C247" s="252"/>
      <c r="D247" s="252"/>
      <c r="E247" s="252"/>
      <c r="F247" s="252"/>
      <c r="G247" s="252"/>
      <c r="H247" s="252"/>
      <c r="I247" s="252"/>
      <c r="J247" s="252"/>
      <c r="K247" s="252"/>
      <c r="L247" s="252"/>
      <c r="M247" s="252"/>
      <c r="N247" s="252"/>
      <c r="O247" s="252"/>
      <c r="P247" s="252"/>
      <c r="Q247" s="252"/>
      <c r="R247" s="252"/>
      <c r="S247" s="252"/>
      <c r="T247" s="252"/>
      <c r="U247" s="252"/>
      <c r="V247" s="71"/>
      <c r="W247" s="252"/>
      <c r="X247" s="252"/>
      <c r="Y247" s="252"/>
      <c r="Z247" s="252"/>
      <c r="AA247" s="252"/>
      <c r="AB247" s="252"/>
      <c r="AC247" s="252"/>
      <c r="AD247" s="252"/>
      <c r="AE247" s="252"/>
      <c r="AF247" s="252"/>
      <c r="AG247" s="65"/>
      <c r="AH247" s="65"/>
      <c r="AI247" s="65"/>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65"/>
      <c r="BE247" s="252"/>
      <c r="BF247" s="65"/>
      <c r="BG247" s="252"/>
      <c r="BH247" s="65"/>
      <c r="BI247" s="65"/>
      <c r="BJ247" s="252"/>
      <c r="BK247" s="252"/>
      <c r="BL247" s="252"/>
      <c r="BM247" s="252"/>
      <c r="BN247" s="252"/>
      <c r="BO247" s="252"/>
      <c r="BP247" s="252"/>
      <c r="BQ247" s="252"/>
      <c r="BR247" s="252"/>
      <c r="BS247" s="252"/>
      <c r="BT247" s="252"/>
      <c r="BU247" s="71"/>
      <c r="BV247" s="71"/>
      <c r="BW247" s="252"/>
      <c r="BX247" s="252"/>
      <c r="BY247" s="252"/>
      <c r="BZ247" s="252"/>
      <c r="CA247" s="252"/>
      <c r="CB247" s="252"/>
      <c r="CC247" s="252"/>
      <c r="CD247" s="252"/>
      <c r="CE247" s="252"/>
      <c r="CF247" s="252"/>
    </row>
    <row r="248" spans="1:84" ht="18">
      <c r="A248" s="10" t="s">
        <v>6623</v>
      </c>
      <c r="B248" s="10"/>
      <c r="C248" s="18" t="str">
        <f t="shared" ref="C248:BZ248" si="12">C1</f>
        <v>ADCURI Basis-Schutz</v>
      </c>
      <c r="D248" s="18" t="str">
        <f t="shared" si="12"/>
        <v>ADCURI Top-Schutz</v>
      </c>
      <c r="E248" s="18" t="str">
        <f t="shared" si="12"/>
        <v>Allianz</v>
      </c>
      <c r="F248" s="18" t="str">
        <f t="shared" si="12"/>
        <v>Allianz inkl. SicherheitPlus</v>
      </c>
      <c r="G248" s="18" t="str">
        <f t="shared" si="12"/>
        <v>Alte Leipziger classic</v>
      </c>
      <c r="H248" s="18" t="str">
        <f t="shared" si="12"/>
        <v>Alte Leipziger comfort</v>
      </c>
      <c r="I248" s="18" t="str">
        <f>I1</f>
        <v>Ammerländer Basic
(2019-02)</v>
      </c>
      <c r="J248" s="18" t="str">
        <f t="shared" si="12"/>
        <v>Ammerländer Classic
(2016-01)</v>
      </c>
      <c r="K248" s="18" t="str">
        <f>K1</f>
        <v>Ammerländer Classic
(2019-02)</v>
      </c>
      <c r="L248" s="18" t="str">
        <f>L1</f>
        <v>Ammerländer Comfort
(2019-02)</v>
      </c>
      <c r="M248" s="18" t="str">
        <f t="shared" si="12"/>
        <v>Ammerländer Comfort
(2016-01)</v>
      </c>
      <c r="N248" s="18" t="str">
        <f>N1</f>
        <v>Ammerländer Economic
(2019-02)</v>
      </c>
      <c r="O248" s="18" t="str">
        <f t="shared" si="12"/>
        <v>Ammerländer Excellent
(2016-01)</v>
      </c>
      <c r="P248" s="18" t="str">
        <f>P1</f>
        <v>Ammerländer Excellent
(2019-02)</v>
      </c>
      <c r="Q248" s="18" t="str">
        <f>Q1</f>
        <v>Ammerländer Excellent
(2020-02)</v>
      </c>
      <c r="R248" s="18" t="str">
        <f>R1</f>
        <v>Ammerländer Exclusiv
(2016-01)</v>
      </c>
      <c r="S248" s="18" t="str">
        <f>S1</f>
        <v>Ammerländer Exclusiv
(2019-02)</v>
      </c>
      <c r="T248" s="18" t="str">
        <f t="shared" si="12"/>
        <v>ARAG Komfort (Wohnfläche)</v>
      </c>
      <c r="U248" s="18" t="str">
        <f t="shared" si="12"/>
        <v>ARAG Premium (Wohnfläche)</v>
      </c>
      <c r="V248" s="18" t="str">
        <f t="shared" si="12"/>
        <v>AXA BOXflex</v>
      </c>
      <c r="W248" s="18" t="str">
        <f t="shared" si="12"/>
        <v>Baden Badener TOP</v>
      </c>
      <c r="X248" s="18" t="str">
        <f t="shared" si="12"/>
        <v>Concordia Sorglos</v>
      </c>
      <c r="Y248" s="18" t="str">
        <f t="shared" si="12"/>
        <v>Debeka Basis</v>
      </c>
      <c r="Z248" s="18" t="str">
        <f t="shared" si="12"/>
        <v>Debeka Standard</v>
      </c>
      <c r="AA248" s="18" t="str">
        <f t="shared" si="12"/>
        <v>Debeka Top</v>
      </c>
      <c r="AB248" s="18" t="str">
        <f t="shared" si="12"/>
        <v>die Bayerische (Komfort)</v>
      </c>
      <c r="AC248" s="18" t="str">
        <f t="shared" si="12"/>
        <v>die Bayerische (Prestige)</v>
      </c>
      <c r="AD248" s="18" t="str">
        <f t="shared" si="12"/>
        <v>die Bayerische (Smart)</v>
      </c>
      <c r="AE248" s="18" t="str">
        <f t="shared" si="12"/>
        <v>Domcura Komfort
(Stand 2014-10)</v>
      </c>
      <c r="AF248" s="18" t="str">
        <f t="shared" si="12"/>
        <v>Domcura Top
(Stand 2014-10)</v>
      </c>
      <c r="AG248" s="18" t="str">
        <f>AG1</f>
        <v>Domcura Standard
(2016-10-01)</v>
      </c>
      <c r="AH248" s="18" t="str">
        <f>AH1</f>
        <v>Domcura Komfort
(2016-10-01)</v>
      </c>
      <c r="AI248" s="18" t="str">
        <f>AI1</f>
        <v>Domcura Top
(2016-10-01)</v>
      </c>
      <c r="AJ248" s="18" t="str">
        <f t="shared" si="12"/>
        <v>ERGO Hausrat Spezial</v>
      </c>
      <c r="AK248" s="18" t="str">
        <f t="shared" si="12"/>
        <v>Generali Basis</v>
      </c>
      <c r="AL248" s="18" t="str">
        <f t="shared" si="12"/>
        <v>Generali KomfortPlus</v>
      </c>
      <c r="AM248" s="18" t="str">
        <f t="shared" si="12"/>
        <v>Gothaer Top</v>
      </c>
      <c r="AN248" s="18" t="str">
        <f t="shared" si="12"/>
        <v>Gothaer Top Plus</v>
      </c>
      <c r="AO248" s="18" t="str">
        <f t="shared" si="12"/>
        <v>HDI Privatschutz</v>
      </c>
      <c r="AP248" s="18" t="str">
        <f t="shared" si="12"/>
        <v>Helvetia Basis</v>
      </c>
      <c r="AQ248" s="18" t="str">
        <f t="shared" si="12"/>
        <v>Helvetia Komfort</v>
      </c>
      <c r="AR248" s="18" t="str">
        <f t="shared" si="12"/>
        <v>HFK Rundumschutz</v>
      </c>
      <c r="AS248" s="18" t="str">
        <f t="shared" si="12"/>
        <v>HKD Einfach Gut</v>
      </c>
      <c r="AT248" s="18" t="str">
        <f t="shared" si="12"/>
        <v>HKD Einfach Besser</v>
      </c>
      <c r="AU248" s="18" t="str">
        <f t="shared" si="12"/>
        <v>HKD Einfach Komplett</v>
      </c>
      <c r="AV248" s="18" t="str">
        <f t="shared" si="12"/>
        <v>HUK Classic</v>
      </c>
      <c r="AW248" s="18" t="str">
        <f t="shared" si="12"/>
        <v>HUK Plus</v>
      </c>
      <c r="AX248" s="18" t="str">
        <f t="shared" si="12"/>
        <v>Ideal Exklusiv</v>
      </c>
      <c r="AY248" s="18" t="str">
        <f t="shared" si="12"/>
        <v>Ideal Klassik</v>
      </c>
      <c r="AZ248" s="18" t="str">
        <f t="shared" si="12"/>
        <v>InterRisk L</v>
      </c>
      <c r="BA248" s="18" t="str">
        <f t="shared" si="12"/>
        <v>InterRisk XL</v>
      </c>
      <c r="BB248" s="18" t="str">
        <f t="shared" si="12"/>
        <v>InterRisk XXL</v>
      </c>
      <c r="BC248" s="18" t="str">
        <f t="shared" si="12"/>
        <v>ITL afm Eurosecure Plus</v>
      </c>
      <c r="BD248" s="18" t="str">
        <f>BD1</f>
        <v>ITL Eurosecure Plus afm
Stand 2013-08</v>
      </c>
      <c r="BE248" s="18" t="str">
        <f t="shared" si="12"/>
        <v>ITL afm Infinitus</v>
      </c>
      <c r="BF248" s="18" t="str">
        <f>BF1</f>
        <v>ITL Infinitus
Stand 2013-08</v>
      </c>
      <c r="BG248" s="18" t="str">
        <f t="shared" si="12"/>
        <v>ITL afm Protect Plus</v>
      </c>
      <c r="BH248" s="18" t="str">
        <f>BH1</f>
        <v>ITL Protect Plus afm
Stand 2013-08</v>
      </c>
      <c r="BI248" s="18" t="str">
        <f>BI1</f>
        <v>ITL Classic
Stand 2013-08</v>
      </c>
      <c r="BJ248" s="18" t="str">
        <f t="shared" si="12"/>
        <v>ITL Classic</v>
      </c>
      <c r="BK248" s="18" t="str">
        <f t="shared" si="12"/>
        <v>Janitos Balance</v>
      </c>
      <c r="BL248" s="18" t="str">
        <f t="shared" si="12"/>
        <v>Janitos Best Selection</v>
      </c>
      <c r="BM248" s="18" t="str">
        <f t="shared" si="12"/>
        <v>Keine</v>
      </c>
      <c r="BN248" s="18" t="str">
        <f t="shared" si="12"/>
        <v>Nürnberger KomplettSchutz</v>
      </c>
      <c r="BO248" s="18" t="str">
        <f t="shared" si="12"/>
        <v>NV Premium. 2.0</v>
      </c>
      <c r="BP248" s="18" t="str">
        <f t="shared" si="12"/>
        <v>Prokundo ExklusivPaket</v>
      </c>
      <c r="BQ248" s="18" t="str">
        <f t="shared" si="12"/>
        <v>Prokundo Komfort</v>
      </c>
      <c r="BR248" s="18" t="str">
        <f t="shared" si="12"/>
        <v>Provinzial Kompakt</v>
      </c>
      <c r="BS248" s="18" t="str">
        <f t="shared" si="12"/>
        <v>Provinzial Rundum inkl. Plus</v>
      </c>
      <c r="BT248" s="18" t="str">
        <f t="shared" si="12"/>
        <v>Provinzial Rundumschutz</v>
      </c>
      <c r="BU248" s="18" t="str">
        <f t="shared" si="12"/>
        <v>R+V PrivatPolice</v>
      </c>
      <c r="BV248" s="18" t="str">
        <f t="shared" si="12"/>
        <v>SLP Prima</v>
      </c>
      <c r="BW248" s="18" t="str">
        <f t="shared" si="12"/>
        <v>SLP Prima Plus</v>
      </c>
      <c r="BX248" s="18" t="str">
        <f t="shared" si="12"/>
        <v>VdVA Classic</v>
      </c>
      <c r="BY248" s="18" t="str">
        <f t="shared" si="12"/>
        <v>VdVA Exclusiv</v>
      </c>
      <c r="BZ248" s="18" t="str">
        <f t="shared" si="12"/>
        <v>VGH Standard</v>
      </c>
      <c r="CA248" s="18" t="str">
        <f>CA1</f>
        <v>VHV Klassik Garant
(Stand 2015-04)</v>
      </c>
      <c r="CB248" s="18" t="str">
        <f>CB1</f>
        <v>VHV Klassik Garant Exkl.
(Stand 2015-04)</v>
      </c>
      <c r="CC248" s="18" t="str">
        <f t="shared" ref="CC248:CF248" si="13">CC1</f>
        <v>VWB Komfort</v>
      </c>
      <c r="CD248" s="18" t="str">
        <f t="shared" si="13"/>
        <v>VWB Komfort Plus</v>
      </c>
      <c r="CE248" s="18" t="str">
        <f t="shared" si="13"/>
        <v>WÜBA Plus</v>
      </c>
      <c r="CF248" s="18" t="str">
        <f t="shared" si="13"/>
        <v>Zurich Maklerkonzept</v>
      </c>
    </row>
    <row r="249" spans="1:84" ht="27">
      <c r="A249" s="82" t="s">
        <v>6715</v>
      </c>
      <c r="B249" s="200"/>
      <c r="C249" s="82"/>
      <c r="D249" s="114"/>
      <c r="E249" s="114"/>
      <c r="F249" s="113"/>
      <c r="G249" s="114"/>
      <c r="H249" s="221"/>
      <c r="I249" s="36" t="s">
        <v>0</v>
      </c>
      <c r="J249" s="221"/>
      <c r="K249" s="36" t="s">
        <v>8393</v>
      </c>
      <c r="L249" s="36" t="s">
        <v>8434</v>
      </c>
      <c r="M249" s="113"/>
      <c r="N249" s="36" t="s">
        <v>0</v>
      </c>
      <c r="O249" s="113"/>
      <c r="P249" s="36" t="s">
        <v>8626</v>
      </c>
      <c r="Q249" s="36" t="s">
        <v>8626</v>
      </c>
      <c r="R249" s="113"/>
      <c r="S249" s="36" t="s">
        <v>8540</v>
      </c>
      <c r="T249" s="113"/>
      <c r="U249" s="114"/>
      <c r="V249" s="114"/>
      <c r="W249" s="114"/>
      <c r="X249" s="225"/>
      <c r="Y249" s="225"/>
      <c r="Z249" s="225"/>
      <c r="AA249" s="225"/>
      <c r="AB249" s="226"/>
      <c r="AC249" s="226"/>
      <c r="AD249" s="220"/>
      <c r="AE249" s="220"/>
      <c r="AF249" s="113"/>
      <c r="AG249" s="38" t="s">
        <v>0</v>
      </c>
      <c r="AH249" s="38" t="s">
        <v>0</v>
      </c>
      <c r="AI249" s="36" t="s">
        <v>7138</v>
      </c>
      <c r="AJ249" s="113"/>
      <c r="AK249" s="113"/>
      <c r="AL249" s="113"/>
      <c r="AM249" s="113"/>
      <c r="AN249" s="114"/>
      <c r="AO249" s="114"/>
      <c r="AP249" s="114"/>
      <c r="AQ249" s="114"/>
      <c r="AR249" s="114"/>
      <c r="AS249" s="113"/>
      <c r="AT249" s="113"/>
      <c r="AU249" s="113"/>
      <c r="AV249" s="113"/>
      <c r="AW249" s="114"/>
      <c r="AX249" s="114"/>
      <c r="AY249" s="114"/>
      <c r="AZ249" s="113"/>
      <c r="BA249" s="113"/>
      <c r="BB249" s="113"/>
      <c r="BC249" s="220"/>
      <c r="BD249" s="36" t="s">
        <v>0</v>
      </c>
      <c r="BE249" s="220"/>
      <c r="BF249" s="36" t="s">
        <v>7650</v>
      </c>
      <c r="BG249" s="220"/>
      <c r="BH249" s="36" t="s">
        <v>0</v>
      </c>
      <c r="BI249" s="36" t="s">
        <v>0</v>
      </c>
      <c r="BJ249" s="113"/>
      <c r="BK249" s="113"/>
      <c r="BL249" s="113"/>
      <c r="BM249" s="113"/>
      <c r="BN249" s="114"/>
      <c r="BO249" s="113"/>
      <c r="BP249" s="113"/>
      <c r="BQ249" s="113"/>
      <c r="BR249" s="114"/>
      <c r="BS249" s="114"/>
      <c r="BT249" s="114"/>
      <c r="BU249" s="113"/>
      <c r="BV249" s="231"/>
      <c r="BW249" s="231"/>
      <c r="BX249" s="231"/>
      <c r="BY249" s="231"/>
      <c r="BZ249" s="231"/>
      <c r="CA249" s="231"/>
      <c r="CB249" s="231"/>
      <c r="CC249" s="231"/>
      <c r="CD249" s="231"/>
      <c r="CE249" s="231"/>
      <c r="CF249" s="231"/>
    </row>
    <row r="250" spans="1:84">
      <c r="A250" s="185" t="s">
        <v>935</v>
      </c>
      <c r="B250" s="185"/>
      <c r="C250" s="185"/>
      <c r="D250" s="186"/>
      <c r="E250" s="186"/>
      <c r="F250" s="186"/>
      <c r="G250" s="186"/>
      <c r="H250" s="84"/>
      <c r="I250" s="52" t="s">
        <v>0</v>
      </c>
      <c r="J250" s="84"/>
      <c r="K250" s="52" t="s">
        <v>8394</v>
      </c>
      <c r="L250" s="52" t="s">
        <v>8435</v>
      </c>
      <c r="M250" s="186"/>
      <c r="N250" s="52" t="s">
        <v>0</v>
      </c>
      <c r="O250" s="186"/>
      <c r="P250" s="52" t="s">
        <v>8625</v>
      </c>
      <c r="Q250" s="52" t="s">
        <v>8625</v>
      </c>
      <c r="R250" s="186"/>
      <c r="S250" s="52" t="s">
        <v>8539</v>
      </c>
      <c r="T250" s="186"/>
      <c r="U250" s="186"/>
      <c r="V250" s="186"/>
      <c r="W250" s="186"/>
      <c r="X250" s="186"/>
      <c r="Y250" s="186"/>
      <c r="Z250" s="186"/>
      <c r="AA250" s="186"/>
      <c r="AB250" s="186"/>
      <c r="AC250" s="186"/>
      <c r="AD250" s="186"/>
      <c r="AE250" s="186"/>
      <c r="AF250" s="186"/>
      <c r="AG250" s="186" t="s">
        <v>0</v>
      </c>
      <c r="AH250" s="186" t="s">
        <v>0</v>
      </c>
      <c r="AI250" s="186" t="s">
        <v>7139</v>
      </c>
      <c r="AJ250" s="186"/>
      <c r="AK250" s="186"/>
      <c r="AL250" s="186"/>
      <c r="AM250" s="186"/>
      <c r="AN250" s="186"/>
      <c r="AO250" s="186"/>
      <c r="AP250" s="186"/>
      <c r="AQ250" s="186"/>
      <c r="AR250" s="186"/>
      <c r="AS250" s="186"/>
      <c r="AT250" s="186"/>
      <c r="AU250" s="186"/>
      <c r="AV250" s="186"/>
      <c r="AW250" s="186"/>
      <c r="AX250" s="186"/>
      <c r="AY250" s="186"/>
      <c r="AZ250" s="186"/>
      <c r="BA250" s="186"/>
      <c r="BB250" s="186"/>
      <c r="BC250" s="186"/>
      <c r="BD250" s="186" t="s">
        <v>0</v>
      </c>
      <c r="BE250" s="186"/>
      <c r="BF250" s="52" t="s">
        <v>7651</v>
      </c>
      <c r="BG250" s="186"/>
      <c r="BH250" s="186" t="s">
        <v>0</v>
      </c>
      <c r="BI250" s="52" t="s">
        <v>0</v>
      </c>
      <c r="BJ250" s="186"/>
      <c r="BK250" s="186"/>
      <c r="BL250" s="186"/>
      <c r="BM250" s="186"/>
      <c r="BN250" s="186"/>
      <c r="BO250" s="52"/>
      <c r="BP250" s="52"/>
      <c r="BQ250" s="52"/>
      <c r="BR250" s="52"/>
      <c r="BS250" s="52"/>
      <c r="BT250" s="52"/>
      <c r="BU250" s="52"/>
      <c r="BV250" s="52"/>
      <c r="BW250" s="52"/>
      <c r="BX250" s="52"/>
      <c r="BY250" s="52"/>
      <c r="BZ250" s="52"/>
      <c r="CA250" s="52"/>
      <c r="CB250" s="52"/>
      <c r="CC250" s="52"/>
      <c r="CD250" s="52"/>
      <c r="CE250" s="52"/>
      <c r="CF250" s="52"/>
    </row>
    <row r="251" spans="1:84" ht="27">
      <c r="A251" s="82" t="s">
        <v>6720</v>
      </c>
      <c r="B251" s="200"/>
      <c r="C251" s="82"/>
      <c r="D251" s="114"/>
      <c r="E251" s="114"/>
      <c r="F251" s="113"/>
      <c r="G251" s="114"/>
      <c r="H251" s="221"/>
      <c r="I251" s="36" t="s">
        <v>0</v>
      </c>
      <c r="J251" s="221"/>
      <c r="K251" s="36" t="s">
        <v>0</v>
      </c>
      <c r="L251" s="36" t="s">
        <v>8432</v>
      </c>
      <c r="M251" s="113"/>
      <c r="N251" s="36" t="s">
        <v>0</v>
      </c>
      <c r="O251" s="113"/>
      <c r="P251" s="36" t="s">
        <v>8622</v>
      </c>
      <c r="Q251" s="36" t="s">
        <v>9567</v>
      </c>
      <c r="R251" s="113"/>
      <c r="S251" s="36" t="s">
        <v>8542</v>
      </c>
      <c r="T251" s="113"/>
      <c r="U251" s="114"/>
      <c r="V251" s="114"/>
      <c r="W251" s="114"/>
      <c r="X251" s="225"/>
      <c r="Y251" s="225"/>
      <c r="Z251" s="225"/>
      <c r="AA251" s="225"/>
      <c r="AB251" s="226"/>
      <c r="AC251" s="226"/>
      <c r="AD251" s="220"/>
      <c r="AE251" s="220"/>
      <c r="AF251" s="113"/>
      <c r="AG251" s="38" t="s">
        <v>0</v>
      </c>
      <c r="AH251" s="38" t="s">
        <v>0</v>
      </c>
      <c r="AI251" s="38" t="s">
        <v>0</v>
      </c>
      <c r="AJ251" s="113"/>
      <c r="AK251" s="113"/>
      <c r="AL251" s="113"/>
      <c r="AM251" s="113"/>
      <c r="AN251" s="114"/>
      <c r="AO251" s="114"/>
      <c r="AP251" s="114"/>
      <c r="AQ251" s="114"/>
      <c r="AR251" s="114"/>
      <c r="AS251" s="113"/>
      <c r="AT251" s="113"/>
      <c r="AU251" s="113"/>
      <c r="AV251" s="113"/>
      <c r="AW251" s="114"/>
      <c r="AX251" s="114"/>
      <c r="AY251" s="114"/>
      <c r="AZ251" s="113"/>
      <c r="BA251" s="113"/>
      <c r="BB251" s="113"/>
      <c r="BC251" s="220"/>
      <c r="BD251" s="38" t="s">
        <v>0</v>
      </c>
      <c r="BE251" s="220"/>
      <c r="BF251" s="38" t="s">
        <v>0</v>
      </c>
      <c r="BG251" s="220"/>
      <c r="BH251" s="38" t="s">
        <v>0</v>
      </c>
      <c r="BI251" s="38" t="s">
        <v>0</v>
      </c>
      <c r="BJ251" s="113"/>
      <c r="BK251" s="113"/>
      <c r="BL251" s="113"/>
      <c r="BM251" s="113"/>
      <c r="BN251" s="114"/>
      <c r="BO251" s="113"/>
      <c r="BP251" s="113"/>
      <c r="BQ251" s="113"/>
      <c r="BR251" s="114"/>
      <c r="BS251" s="114"/>
      <c r="BT251" s="114"/>
      <c r="BU251" s="113"/>
      <c r="BV251" s="231"/>
      <c r="BW251" s="231"/>
      <c r="BX251" s="231"/>
      <c r="BY251" s="231"/>
      <c r="BZ251" s="231"/>
      <c r="CA251" s="231"/>
      <c r="CB251" s="231"/>
      <c r="CC251" s="231"/>
      <c r="CD251" s="231"/>
      <c r="CE251" s="231"/>
      <c r="CF251" s="231"/>
    </row>
    <row r="252" spans="1:84">
      <c r="A252" s="185" t="s">
        <v>935</v>
      </c>
      <c r="B252" s="185"/>
      <c r="C252" s="185"/>
      <c r="D252" s="186"/>
      <c r="E252" s="186"/>
      <c r="F252" s="186"/>
      <c r="G252" s="186"/>
      <c r="H252" s="84"/>
      <c r="I252" s="52" t="s">
        <v>0</v>
      </c>
      <c r="J252" s="84"/>
      <c r="K252" s="52" t="s">
        <v>0</v>
      </c>
      <c r="L252" s="52" t="s">
        <v>8433</v>
      </c>
      <c r="M252" s="186"/>
      <c r="N252" s="52" t="s">
        <v>0</v>
      </c>
      <c r="O252" s="186"/>
      <c r="P252" s="52" t="s">
        <v>8623</v>
      </c>
      <c r="Q252" s="52" t="s">
        <v>8623</v>
      </c>
      <c r="R252" s="186"/>
      <c r="S252" s="52" t="s">
        <v>8541</v>
      </c>
      <c r="T252" s="186"/>
      <c r="U252" s="186"/>
      <c r="V252" s="186"/>
      <c r="W252" s="186"/>
      <c r="X252" s="186"/>
      <c r="Y252" s="186"/>
      <c r="Z252" s="186"/>
      <c r="AA252" s="186"/>
      <c r="AB252" s="186"/>
      <c r="AC252" s="186"/>
      <c r="AD252" s="186"/>
      <c r="AE252" s="186"/>
      <c r="AF252" s="186"/>
      <c r="AG252" s="186" t="s">
        <v>0</v>
      </c>
      <c r="AH252" s="186" t="s">
        <v>0</v>
      </c>
      <c r="AI252" s="186" t="s">
        <v>0</v>
      </c>
      <c r="AJ252" s="186"/>
      <c r="AK252" s="186"/>
      <c r="AL252" s="186"/>
      <c r="AM252" s="186"/>
      <c r="AN252" s="186"/>
      <c r="AO252" s="186"/>
      <c r="AP252" s="186"/>
      <c r="AQ252" s="186"/>
      <c r="AR252" s="186"/>
      <c r="AS252" s="186"/>
      <c r="AT252" s="186"/>
      <c r="AU252" s="186"/>
      <c r="AV252" s="186"/>
      <c r="AW252" s="186"/>
      <c r="AX252" s="186"/>
      <c r="AY252" s="186"/>
      <c r="AZ252" s="186"/>
      <c r="BA252" s="186"/>
      <c r="BB252" s="186"/>
      <c r="BC252" s="186"/>
      <c r="BD252" s="186" t="s">
        <v>0</v>
      </c>
      <c r="BE252" s="52"/>
      <c r="BF252" s="186" t="s">
        <v>0</v>
      </c>
      <c r="BG252" s="52"/>
      <c r="BH252" s="186" t="s">
        <v>0</v>
      </c>
      <c r="BI252" s="186" t="s">
        <v>0</v>
      </c>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row>
    <row r="253" spans="1:84" ht="18">
      <c r="A253" s="62" t="s">
        <v>25</v>
      </c>
      <c r="B253" s="200" t="s">
        <v>9498</v>
      </c>
      <c r="C253" s="38" t="s">
        <v>0</v>
      </c>
      <c r="D253" s="38" t="s">
        <v>57</v>
      </c>
      <c r="E253" s="38" t="s">
        <v>0</v>
      </c>
      <c r="F253" s="38" t="s">
        <v>0</v>
      </c>
      <c r="G253" s="38" t="s">
        <v>57</v>
      </c>
      <c r="H253" s="36" t="s">
        <v>57</v>
      </c>
      <c r="I253" s="38" t="s">
        <v>57</v>
      </c>
      <c r="J253" s="36" t="s">
        <v>57</v>
      </c>
      <c r="K253" s="38" t="s">
        <v>57</v>
      </c>
      <c r="L253" s="38" t="s">
        <v>57</v>
      </c>
      <c r="M253" s="36" t="s">
        <v>57</v>
      </c>
      <c r="N253" s="38" t="s">
        <v>57</v>
      </c>
      <c r="O253" s="36" t="s">
        <v>57</v>
      </c>
      <c r="P253" s="38" t="s">
        <v>57</v>
      </c>
      <c r="Q253" s="38" t="s">
        <v>57</v>
      </c>
      <c r="R253" s="36" t="s">
        <v>57</v>
      </c>
      <c r="S253" s="38" t="s">
        <v>57</v>
      </c>
      <c r="T253" s="38" t="s">
        <v>57</v>
      </c>
      <c r="U253" s="38" t="s">
        <v>57</v>
      </c>
      <c r="V253" s="145" t="s">
        <v>5493</v>
      </c>
      <c r="W253" s="38" t="s">
        <v>0</v>
      </c>
      <c r="X253" s="38" t="s">
        <v>0</v>
      </c>
      <c r="Y253" s="38" t="s">
        <v>0</v>
      </c>
      <c r="Z253" s="38" t="s">
        <v>0</v>
      </c>
      <c r="AA253" s="38" t="s">
        <v>0</v>
      </c>
      <c r="AB253" s="36" t="s">
        <v>57</v>
      </c>
      <c r="AC253" s="36" t="s">
        <v>57</v>
      </c>
      <c r="AD253" s="36" t="s">
        <v>0</v>
      </c>
      <c r="AE253" s="7" t="s">
        <v>57</v>
      </c>
      <c r="AF253" s="7" t="s">
        <v>57</v>
      </c>
      <c r="AG253" s="36" t="s">
        <v>7063</v>
      </c>
      <c r="AH253" s="36" t="s">
        <v>7063</v>
      </c>
      <c r="AI253" s="36" t="s">
        <v>7063</v>
      </c>
      <c r="AJ253" s="7" t="s">
        <v>57</v>
      </c>
      <c r="AK253" s="7" t="s">
        <v>0</v>
      </c>
      <c r="AL253" s="7" t="s">
        <v>57</v>
      </c>
      <c r="AM253" s="38" t="s">
        <v>57</v>
      </c>
      <c r="AN253" s="38" t="s">
        <v>57</v>
      </c>
      <c r="AO253" s="36" t="s">
        <v>4239</v>
      </c>
      <c r="AP253" s="38" t="s">
        <v>0</v>
      </c>
      <c r="AQ253" s="38" t="s">
        <v>57</v>
      </c>
      <c r="AR253" s="38" t="s">
        <v>911</v>
      </c>
      <c r="AS253" s="38" t="s">
        <v>57</v>
      </c>
      <c r="AT253" s="38" t="s">
        <v>57</v>
      </c>
      <c r="AU253" s="38" t="s">
        <v>57</v>
      </c>
      <c r="AV253" s="38" t="s">
        <v>0</v>
      </c>
      <c r="AW253" s="38" t="s">
        <v>0</v>
      </c>
      <c r="AX253" s="36" t="s">
        <v>0</v>
      </c>
      <c r="AY253" s="36" t="s">
        <v>0</v>
      </c>
      <c r="AZ253" s="36" t="s">
        <v>0</v>
      </c>
      <c r="BA253" s="38" t="s">
        <v>57</v>
      </c>
      <c r="BB253" s="38" t="s">
        <v>57</v>
      </c>
      <c r="BC253" s="38" t="s">
        <v>57</v>
      </c>
      <c r="BD253" s="36" t="s">
        <v>57</v>
      </c>
      <c r="BE253" s="36" t="s">
        <v>57</v>
      </c>
      <c r="BF253" s="36" t="s">
        <v>57</v>
      </c>
      <c r="BG253" s="38" t="s">
        <v>57</v>
      </c>
      <c r="BH253" s="36" t="s">
        <v>57</v>
      </c>
      <c r="BI253" s="36" t="s">
        <v>57</v>
      </c>
      <c r="BJ253" s="36" t="s">
        <v>57</v>
      </c>
      <c r="BK253" s="38" t="s">
        <v>57</v>
      </c>
      <c r="BL253" s="38" t="s">
        <v>57</v>
      </c>
      <c r="BM253" s="38" t="s">
        <v>0</v>
      </c>
      <c r="BN253" s="38" t="s">
        <v>0</v>
      </c>
      <c r="BO253" s="38"/>
      <c r="BP253" s="36" t="s">
        <v>0</v>
      </c>
      <c r="BQ253" s="36" t="s">
        <v>0</v>
      </c>
      <c r="BR253" s="38" t="s">
        <v>0</v>
      </c>
      <c r="BS253" s="38" t="s">
        <v>57</v>
      </c>
      <c r="BT253" s="38" t="s">
        <v>0</v>
      </c>
      <c r="BU253" s="36" t="s">
        <v>0</v>
      </c>
      <c r="BV253" s="36" t="s">
        <v>57</v>
      </c>
      <c r="BW253" s="38" t="s">
        <v>57</v>
      </c>
      <c r="BX253" s="38" t="s">
        <v>57</v>
      </c>
      <c r="BY253" s="38" t="s">
        <v>57</v>
      </c>
      <c r="BZ253" s="38" t="s">
        <v>0</v>
      </c>
      <c r="CA253" s="38" t="s">
        <v>50</v>
      </c>
      <c r="CB253" s="38" t="s">
        <v>50</v>
      </c>
      <c r="CC253" s="38" t="s">
        <v>0</v>
      </c>
      <c r="CD253" s="38" t="s">
        <v>0</v>
      </c>
      <c r="CE253" s="38" t="s">
        <v>57</v>
      </c>
      <c r="CF253" s="38" t="s">
        <v>0</v>
      </c>
    </row>
    <row r="254" spans="1:84">
      <c r="A254" s="51" t="s">
        <v>935</v>
      </c>
      <c r="B254" s="51"/>
      <c r="C254" s="52" t="s">
        <v>5215</v>
      </c>
      <c r="D254" s="52" t="s">
        <v>2241</v>
      </c>
      <c r="E254" s="52" t="s">
        <v>2782</v>
      </c>
      <c r="F254" s="52" t="s">
        <v>2782</v>
      </c>
      <c r="G254" s="52" t="s">
        <v>1413</v>
      </c>
      <c r="H254" s="52" t="s">
        <v>1413</v>
      </c>
      <c r="I254" s="52" t="s">
        <v>8183</v>
      </c>
      <c r="J254" s="52" t="s">
        <v>5763</v>
      </c>
      <c r="K254" s="52" t="s">
        <v>8339</v>
      </c>
      <c r="L254" s="52" t="s">
        <v>8431</v>
      </c>
      <c r="M254" s="52" t="s">
        <v>1520</v>
      </c>
      <c r="N254" s="52" t="s">
        <v>8274</v>
      </c>
      <c r="O254" s="52" t="s">
        <v>1607</v>
      </c>
      <c r="P254" s="52" t="s">
        <v>8624</v>
      </c>
      <c r="Q254" s="52" t="s">
        <v>8624</v>
      </c>
      <c r="R254" s="52" t="s">
        <v>1554</v>
      </c>
      <c r="S254" s="52" t="s">
        <v>8521</v>
      </c>
      <c r="T254" s="52" t="s">
        <v>5589</v>
      </c>
      <c r="U254" s="52" t="s">
        <v>5589</v>
      </c>
      <c r="V254" s="84"/>
      <c r="W254" s="52" t="s">
        <v>4434</v>
      </c>
      <c r="X254" s="52" t="s">
        <v>0</v>
      </c>
      <c r="Y254" s="52" t="s">
        <v>2386</v>
      </c>
      <c r="Z254" s="52" t="s">
        <v>2386</v>
      </c>
      <c r="AA254" s="52" t="s">
        <v>2386</v>
      </c>
      <c r="AB254" s="52" t="s">
        <v>5948</v>
      </c>
      <c r="AC254" s="52" t="s">
        <v>5928</v>
      </c>
      <c r="AD254" s="52" t="s">
        <v>4702</v>
      </c>
      <c r="AE254" s="52" t="s">
        <v>6026</v>
      </c>
      <c r="AF254" s="52" t="s">
        <v>6026</v>
      </c>
      <c r="AG254" s="186" t="s">
        <v>7064</v>
      </c>
      <c r="AH254" s="186" t="s">
        <v>7064</v>
      </c>
      <c r="AI254" s="186" t="s">
        <v>7064</v>
      </c>
      <c r="AJ254" s="52" t="s">
        <v>6107</v>
      </c>
      <c r="AK254" s="52" t="s">
        <v>1915</v>
      </c>
      <c r="AL254" s="52" t="s">
        <v>4192</v>
      </c>
      <c r="AM254" s="52" t="s">
        <v>5419</v>
      </c>
      <c r="AN254" s="52" t="s">
        <v>5419</v>
      </c>
      <c r="AO254" s="52" t="s">
        <v>1025</v>
      </c>
      <c r="AP254" s="52" t="s">
        <v>0</v>
      </c>
      <c r="AQ254" s="52" t="s">
        <v>6333</v>
      </c>
      <c r="AR254" s="52"/>
      <c r="AS254" s="52" t="s">
        <v>1025</v>
      </c>
      <c r="AT254" s="52" t="s">
        <v>1025</v>
      </c>
      <c r="AU254" s="52" t="s">
        <v>1025</v>
      </c>
      <c r="AV254" s="52" t="s">
        <v>4310</v>
      </c>
      <c r="AW254" s="52" t="s">
        <v>4310</v>
      </c>
      <c r="AX254" s="52" t="s">
        <v>6315</v>
      </c>
      <c r="AY254" s="52" t="s">
        <v>1376</v>
      </c>
      <c r="AZ254" s="52" t="s">
        <v>3694</v>
      </c>
      <c r="BA254" s="52" t="s">
        <v>3576</v>
      </c>
      <c r="BB254" s="52" t="s">
        <v>3479</v>
      </c>
      <c r="BC254" s="52" t="s">
        <v>4838</v>
      </c>
      <c r="BD254" s="52" t="s">
        <v>7738</v>
      </c>
      <c r="BE254" s="52" t="s">
        <v>4838</v>
      </c>
      <c r="BF254" s="52" t="s">
        <v>7602</v>
      </c>
      <c r="BG254" s="52" t="s">
        <v>4838</v>
      </c>
      <c r="BH254" s="52" t="s">
        <v>7602</v>
      </c>
      <c r="BI254" s="52" t="s">
        <v>7740</v>
      </c>
      <c r="BJ254" s="52" t="s">
        <v>4837</v>
      </c>
      <c r="BK254" s="52"/>
      <c r="BL254" s="52"/>
      <c r="BM254" s="52" t="s">
        <v>0</v>
      </c>
      <c r="BN254" s="52" t="s">
        <v>2288</v>
      </c>
      <c r="BO254" s="52"/>
      <c r="BP254" s="52" t="s">
        <v>2288</v>
      </c>
      <c r="BQ254" s="52" t="s">
        <v>2288</v>
      </c>
      <c r="BR254" s="52" t="s">
        <v>2706</v>
      </c>
      <c r="BS254" s="52" t="s">
        <v>2705</v>
      </c>
      <c r="BT254" s="52" t="s">
        <v>2706</v>
      </c>
      <c r="BU254" s="84" t="s">
        <v>2831</v>
      </c>
      <c r="BV254" s="84"/>
      <c r="BW254" s="52"/>
      <c r="BX254" s="52" t="s">
        <v>3798</v>
      </c>
      <c r="BY254" s="52" t="s">
        <v>3798</v>
      </c>
      <c r="BZ254" s="52" t="s">
        <v>6201</v>
      </c>
      <c r="CA254" s="52" t="s">
        <v>3093</v>
      </c>
      <c r="CB254" s="52" t="s">
        <v>3093</v>
      </c>
      <c r="CC254" s="52"/>
      <c r="CD254" s="52"/>
      <c r="CE254" s="52" t="s">
        <v>3208</v>
      </c>
      <c r="CF254" s="52" t="s">
        <v>2199</v>
      </c>
    </row>
    <row r="255" spans="1:84" ht="27">
      <c r="A255" s="82" t="s">
        <v>6663</v>
      </c>
      <c r="B255" s="200"/>
      <c r="C255" s="82"/>
      <c r="D255" s="114"/>
      <c r="E255" s="114"/>
      <c r="F255" s="113"/>
      <c r="G255" s="114"/>
      <c r="H255" s="221"/>
      <c r="I255" s="36" t="s">
        <v>0</v>
      </c>
      <c r="J255" s="221"/>
      <c r="K255" s="36" t="s">
        <v>0</v>
      </c>
      <c r="L255" s="36" t="s">
        <v>0</v>
      </c>
      <c r="M255" s="113"/>
      <c r="N255" s="36" t="s">
        <v>0</v>
      </c>
      <c r="O255" s="113"/>
      <c r="P255" s="36" t="s">
        <v>0</v>
      </c>
      <c r="Q255" s="36" t="s">
        <v>0</v>
      </c>
      <c r="R255" s="113"/>
      <c r="S255" s="36" t="s">
        <v>0</v>
      </c>
      <c r="T255" s="113"/>
      <c r="U255" s="114"/>
      <c r="V255" s="114"/>
      <c r="W255" s="114"/>
      <c r="X255" s="225"/>
      <c r="Y255" s="225"/>
      <c r="Z255" s="225"/>
      <c r="AA255" s="225"/>
      <c r="AB255" s="226"/>
      <c r="AC255" s="226"/>
      <c r="AD255" s="220"/>
      <c r="AE255" s="220"/>
      <c r="AF255" s="113"/>
      <c r="AG255" s="220"/>
      <c r="AH255" s="220"/>
      <c r="AI255" s="220"/>
      <c r="AJ255" s="113"/>
      <c r="AK255" s="113"/>
      <c r="AL255" s="113"/>
      <c r="AM255" s="113"/>
      <c r="AN255" s="114"/>
      <c r="AO255" s="114"/>
      <c r="AP255" s="114"/>
      <c r="AQ255" s="114"/>
      <c r="AR255" s="114"/>
      <c r="AS255" s="113"/>
      <c r="AT255" s="113"/>
      <c r="AU255" s="113"/>
      <c r="AV255" s="113"/>
      <c r="AW255" s="114"/>
      <c r="AX255" s="114"/>
      <c r="AY255" s="114"/>
      <c r="AZ255" s="113"/>
      <c r="BA255" s="113"/>
      <c r="BB255" s="113"/>
      <c r="BC255" s="220"/>
      <c r="BD255" s="116" t="s">
        <v>8871</v>
      </c>
      <c r="BE255" s="220"/>
      <c r="BF255" s="116" t="s">
        <v>8871</v>
      </c>
      <c r="BG255" s="220"/>
      <c r="BH255" s="116" t="s">
        <v>8871</v>
      </c>
      <c r="BI255" s="116" t="s">
        <v>0</v>
      </c>
      <c r="BJ255" s="113"/>
      <c r="BK255" s="113"/>
      <c r="BL255" s="113"/>
      <c r="BM255" s="113"/>
      <c r="BN255" s="114"/>
      <c r="BO255" s="113"/>
      <c r="BP255" s="113"/>
      <c r="BQ255" s="113"/>
      <c r="BR255" s="114"/>
      <c r="BS255" s="114"/>
      <c r="BT255" s="114"/>
      <c r="BU255" s="113"/>
      <c r="BV255" s="231"/>
      <c r="BW255" s="231"/>
      <c r="BX255" s="231"/>
      <c r="BY255" s="231"/>
      <c r="BZ255" s="231"/>
      <c r="CA255" s="231"/>
      <c r="CB255" s="231"/>
      <c r="CC255" s="231"/>
      <c r="CD255" s="231"/>
      <c r="CE255" s="231"/>
      <c r="CF255" s="231"/>
    </row>
    <row r="256" spans="1:84">
      <c r="A256" s="185" t="s">
        <v>935</v>
      </c>
      <c r="B256" s="185"/>
      <c r="C256" s="185"/>
      <c r="D256" s="186"/>
      <c r="E256" s="186"/>
      <c r="F256" s="186"/>
      <c r="G256" s="186"/>
      <c r="H256" s="84"/>
      <c r="I256" s="52" t="s">
        <v>0</v>
      </c>
      <c r="J256" s="84"/>
      <c r="K256" s="52" t="s">
        <v>0</v>
      </c>
      <c r="L256" s="52" t="s">
        <v>0</v>
      </c>
      <c r="M256" s="186"/>
      <c r="N256" s="52" t="s">
        <v>0</v>
      </c>
      <c r="O256" s="186"/>
      <c r="P256" s="52" t="s">
        <v>0</v>
      </c>
      <c r="Q256" s="52" t="s">
        <v>0</v>
      </c>
      <c r="R256" s="186"/>
      <c r="S256" s="52" t="s">
        <v>0</v>
      </c>
      <c r="T256" s="186"/>
      <c r="U256" s="186"/>
      <c r="V256" s="186"/>
      <c r="W256" s="186"/>
      <c r="X256" s="186"/>
      <c r="Y256" s="186"/>
      <c r="Z256" s="186"/>
      <c r="AA256" s="186"/>
      <c r="AB256" s="186"/>
      <c r="AC256" s="186"/>
      <c r="AD256" s="186"/>
      <c r="AE256" s="186"/>
      <c r="AF256" s="186"/>
      <c r="AG256" s="186"/>
      <c r="AH256" s="186"/>
      <c r="AI256" s="186"/>
      <c r="AJ256" s="186"/>
      <c r="AK256" s="186"/>
      <c r="AL256" s="186"/>
      <c r="AM256" s="186"/>
      <c r="AN256" s="186"/>
      <c r="AO256" s="186"/>
      <c r="AP256" s="186"/>
      <c r="AQ256" s="186"/>
      <c r="AR256" s="186"/>
      <c r="AS256" s="186"/>
      <c r="AT256" s="186"/>
      <c r="AU256" s="186"/>
      <c r="AV256" s="186"/>
      <c r="AW256" s="186"/>
      <c r="AX256" s="186"/>
      <c r="AY256" s="186"/>
      <c r="AZ256" s="186"/>
      <c r="BA256" s="186"/>
      <c r="BB256" s="186"/>
      <c r="BC256" s="186"/>
      <c r="BD256" s="186" t="s">
        <v>7780</v>
      </c>
      <c r="BE256" s="186"/>
      <c r="BF256" s="186" t="s">
        <v>7780</v>
      </c>
      <c r="BG256" s="186"/>
      <c r="BH256" s="186" t="s">
        <v>7902</v>
      </c>
      <c r="BI256" s="186" t="s">
        <v>0</v>
      </c>
      <c r="BJ256" s="186"/>
      <c r="BK256" s="186"/>
      <c r="BL256" s="186"/>
      <c r="BM256" s="186"/>
      <c r="BN256" s="186"/>
      <c r="BO256" s="186"/>
      <c r="BP256" s="186"/>
      <c r="BQ256" s="186"/>
      <c r="BR256" s="186"/>
      <c r="BS256" s="186"/>
      <c r="BT256" s="186"/>
      <c r="BU256" s="186"/>
      <c r="BV256" s="186"/>
      <c r="BW256" s="186"/>
      <c r="BX256" s="186"/>
      <c r="BY256" s="186"/>
      <c r="BZ256" s="186"/>
      <c r="CA256" s="186"/>
      <c r="CB256" s="186"/>
      <c r="CC256" s="186"/>
      <c r="CD256" s="186"/>
      <c r="CE256" s="186"/>
      <c r="CF256" s="186"/>
    </row>
    <row r="257" spans="1:84" ht="409.5">
      <c r="A257" s="82" t="s">
        <v>8902</v>
      </c>
      <c r="B257" s="200"/>
      <c r="C257" s="38"/>
      <c r="D257" s="36"/>
      <c r="E257" s="36"/>
      <c r="F257" s="36"/>
      <c r="G257" s="36"/>
      <c r="H257" s="36"/>
      <c r="I257" s="36" t="s">
        <v>0</v>
      </c>
      <c r="J257" s="36"/>
      <c r="K257" s="36" t="s">
        <v>0</v>
      </c>
      <c r="L257" s="36" t="s">
        <v>0</v>
      </c>
      <c r="M257" s="36"/>
      <c r="N257" s="36" t="s">
        <v>0</v>
      </c>
      <c r="O257" s="36"/>
      <c r="P257" s="36" t="s">
        <v>0</v>
      </c>
      <c r="Q257" s="36" t="s">
        <v>0</v>
      </c>
      <c r="R257" s="36"/>
      <c r="S257" s="36" t="s">
        <v>0</v>
      </c>
      <c r="T257" s="220"/>
      <c r="U257" s="220"/>
      <c r="V257" s="220"/>
      <c r="W257" s="116"/>
      <c r="X257" s="116"/>
      <c r="Y257" s="116"/>
      <c r="Z257" s="116"/>
      <c r="AA257" s="116"/>
      <c r="AB257" s="116"/>
      <c r="AC257" s="116"/>
      <c r="AD257" s="116"/>
      <c r="AE257" s="116"/>
      <c r="AF257" s="116"/>
      <c r="AG257" s="220"/>
      <c r="AH257" s="220"/>
      <c r="AI257" s="220"/>
      <c r="AJ257" s="116"/>
      <c r="AK257" s="116"/>
      <c r="AL257" s="116"/>
      <c r="AM257" s="231"/>
      <c r="AN257" s="231"/>
      <c r="AO257" s="38"/>
      <c r="AP257" s="38"/>
      <c r="AQ257" s="114"/>
      <c r="AR257" s="114"/>
      <c r="AS257" s="114"/>
      <c r="AT257" s="113"/>
      <c r="AU257" s="231"/>
      <c r="AV257" s="231"/>
      <c r="AW257" s="231"/>
      <c r="AX257" s="231"/>
      <c r="AY257" s="231"/>
      <c r="AZ257" s="231"/>
      <c r="BA257" s="231"/>
      <c r="BB257" s="40"/>
      <c r="BC257" s="40"/>
      <c r="BD257" s="116" t="s">
        <v>8872</v>
      </c>
      <c r="BE257" s="40"/>
      <c r="BF257" s="116" t="s">
        <v>8873</v>
      </c>
      <c r="BG257" s="40"/>
      <c r="BH257" s="116" t="s">
        <v>8873</v>
      </c>
      <c r="BI257" s="116" t="s">
        <v>0</v>
      </c>
      <c r="BJ257" s="40"/>
      <c r="BK257" s="40"/>
      <c r="BL257" s="40"/>
      <c r="BM257" s="40"/>
      <c r="BN257" s="40"/>
      <c r="BO257" s="40"/>
      <c r="BP257" s="40"/>
      <c r="BQ257" s="40"/>
      <c r="BR257" s="40"/>
      <c r="BS257" s="40"/>
      <c r="BT257" s="40"/>
      <c r="BU257" s="40"/>
      <c r="BV257" s="40"/>
      <c r="BW257" s="40"/>
      <c r="BX257" s="40"/>
      <c r="BY257" s="40"/>
      <c r="BZ257" s="40"/>
      <c r="CA257" s="231"/>
      <c r="CB257" s="231"/>
      <c r="CC257" s="40"/>
      <c r="CD257" s="40"/>
      <c r="CE257" s="40"/>
      <c r="CF257" s="40"/>
    </row>
    <row r="258" spans="1:84">
      <c r="A258" s="185"/>
      <c r="B258" s="185"/>
      <c r="C258" s="186"/>
      <c r="D258" s="52"/>
      <c r="E258" s="52"/>
      <c r="F258" s="52"/>
      <c r="G258" s="52"/>
      <c r="H258" s="52"/>
      <c r="I258" s="52"/>
      <c r="J258" s="52"/>
      <c r="K258" s="52"/>
      <c r="L258" s="52"/>
      <c r="M258" s="52"/>
      <c r="N258" s="52"/>
      <c r="O258" s="52"/>
      <c r="P258" s="52"/>
      <c r="Q258" s="52"/>
      <c r="R258" s="52"/>
      <c r="S258" s="52"/>
      <c r="T258" s="186"/>
      <c r="U258" s="186"/>
      <c r="V258" s="186"/>
      <c r="W258" s="52"/>
      <c r="X258" s="52"/>
      <c r="Y258" s="186"/>
      <c r="Z258" s="186"/>
      <c r="AA258" s="186"/>
      <c r="AB258" s="186"/>
      <c r="AC258" s="186"/>
      <c r="AD258" s="186"/>
      <c r="AE258" s="186"/>
      <c r="AF258" s="186"/>
      <c r="AG258" s="186"/>
      <c r="AH258" s="186"/>
      <c r="AI258" s="186"/>
      <c r="AJ258" s="186"/>
      <c r="AK258" s="186"/>
      <c r="AL258" s="186"/>
      <c r="AM258" s="186"/>
      <c r="AN258" s="186"/>
      <c r="AO258" s="186"/>
      <c r="AP258" s="186"/>
      <c r="AQ258" s="186"/>
      <c r="AR258" s="186"/>
      <c r="AS258" s="186"/>
      <c r="AT258" s="186"/>
      <c r="AU258" s="186"/>
      <c r="AV258" s="186"/>
      <c r="AW258" s="186"/>
      <c r="AX258" s="186"/>
      <c r="AY258" s="186"/>
      <c r="AZ258" s="186"/>
      <c r="BA258" s="186"/>
      <c r="BB258" s="40"/>
      <c r="BC258" s="40"/>
      <c r="BD258" s="186"/>
      <c r="BE258" s="40"/>
      <c r="BF258" s="186"/>
      <c r="BG258" s="40"/>
      <c r="BH258" s="186"/>
      <c r="BI258" s="186"/>
      <c r="BJ258" s="40"/>
      <c r="BK258" s="40"/>
      <c r="BL258" s="40"/>
      <c r="BM258" s="40"/>
      <c r="BN258" s="40"/>
      <c r="BO258" s="40"/>
      <c r="BP258" s="40"/>
      <c r="BQ258" s="40"/>
      <c r="BR258" s="40"/>
      <c r="BS258" s="40"/>
      <c r="BT258" s="40"/>
      <c r="BU258" s="40"/>
      <c r="BV258" s="40"/>
      <c r="BW258" s="40"/>
      <c r="BX258" s="40"/>
      <c r="BY258" s="40"/>
      <c r="BZ258" s="40"/>
      <c r="CA258" s="186"/>
      <c r="CB258" s="186"/>
      <c r="CC258" s="40"/>
      <c r="CD258" s="40"/>
      <c r="CE258" s="40"/>
      <c r="CF258" s="40"/>
    </row>
    <row r="259" spans="1:84" ht="162">
      <c r="A259" s="82" t="s">
        <v>8903</v>
      </c>
      <c r="B259" s="200"/>
      <c r="C259" s="38"/>
      <c r="D259" s="36"/>
      <c r="E259" s="36"/>
      <c r="F259" s="36"/>
      <c r="G259" s="36"/>
      <c r="H259" s="36"/>
      <c r="I259" s="36" t="s">
        <v>0</v>
      </c>
      <c r="J259" s="36"/>
      <c r="K259" s="36" t="s">
        <v>0</v>
      </c>
      <c r="L259" s="36" t="s">
        <v>0</v>
      </c>
      <c r="M259" s="36"/>
      <c r="N259" s="36" t="s">
        <v>0</v>
      </c>
      <c r="O259" s="36"/>
      <c r="P259" s="36" t="s">
        <v>0</v>
      </c>
      <c r="Q259" s="36" t="s">
        <v>0</v>
      </c>
      <c r="R259" s="36"/>
      <c r="S259" s="36" t="s">
        <v>0</v>
      </c>
      <c r="T259" s="220"/>
      <c r="U259" s="220"/>
      <c r="V259" s="220"/>
      <c r="W259" s="116"/>
      <c r="X259" s="116"/>
      <c r="Y259" s="116"/>
      <c r="Z259" s="116"/>
      <c r="AA259" s="116"/>
      <c r="AB259" s="116"/>
      <c r="AC259" s="116"/>
      <c r="AD259" s="116"/>
      <c r="AE259" s="116"/>
      <c r="AF259" s="116"/>
      <c r="AG259" s="220"/>
      <c r="AH259" s="220"/>
      <c r="AI259" s="220"/>
      <c r="AJ259" s="116"/>
      <c r="AK259" s="116"/>
      <c r="AL259" s="116"/>
      <c r="AM259" s="231"/>
      <c r="AN259" s="231"/>
      <c r="AO259" s="38"/>
      <c r="AP259" s="38"/>
      <c r="AQ259" s="114"/>
      <c r="AR259" s="114"/>
      <c r="AS259" s="114"/>
      <c r="AT259" s="113"/>
      <c r="AU259" s="231"/>
      <c r="AV259" s="231"/>
      <c r="AW259" s="231"/>
      <c r="AX259" s="231"/>
      <c r="AY259" s="231"/>
      <c r="AZ259" s="231"/>
      <c r="BA259" s="231"/>
      <c r="BB259" s="40"/>
      <c r="BC259" s="40"/>
      <c r="BD259" s="116" t="s">
        <v>8874</v>
      </c>
      <c r="BE259" s="40"/>
      <c r="BF259" s="116" t="s">
        <v>8874</v>
      </c>
      <c r="BG259" s="40"/>
      <c r="BH259" s="116" t="s">
        <v>8874</v>
      </c>
      <c r="BI259" s="116" t="s">
        <v>0</v>
      </c>
      <c r="BJ259" s="40"/>
      <c r="BK259" s="40"/>
      <c r="BL259" s="40"/>
      <c r="BM259" s="40"/>
      <c r="BN259" s="40"/>
      <c r="BO259" s="40"/>
      <c r="BP259" s="40"/>
      <c r="BQ259" s="40"/>
      <c r="BR259" s="40"/>
      <c r="BS259" s="40"/>
      <c r="BT259" s="40"/>
      <c r="BU259" s="40"/>
      <c r="BV259" s="40"/>
      <c r="BW259" s="40"/>
      <c r="BX259" s="40"/>
      <c r="BY259" s="40"/>
      <c r="BZ259" s="40"/>
      <c r="CA259" s="231"/>
      <c r="CB259" s="231"/>
      <c r="CC259" s="40"/>
      <c r="CD259" s="40"/>
      <c r="CE259" s="40"/>
      <c r="CF259" s="40"/>
    </row>
    <row r="260" spans="1:84">
      <c r="A260" s="185"/>
      <c r="B260" s="185"/>
      <c r="C260" s="186"/>
      <c r="D260" s="52"/>
      <c r="E260" s="52"/>
      <c r="F260" s="52"/>
      <c r="G260" s="52"/>
      <c r="H260" s="52"/>
      <c r="I260" s="52"/>
      <c r="J260" s="52"/>
      <c r="K260" s="52"/>
      <c r="L260" s="52"/>
      <c r="M260" s="52"/>
      <c r="N260" s="52"/>
      <c r="O260" s="52"/>
      <c r="P260" s="52"/>
      <c r="Q260" s="52"/>
      <c r="R260" s="52"/>
      <c r="S260" s="52"/>
      <c r="T260" s="186"/>
      <c r="U260" s="186"/>
      <c r="V260" s="186"/>
      <c r="W260" s="52"/>
      <c r="X260" s="52"/>
      <c r="Y260" s="186"/>
      <c r="Z260" s="186"/>
      <c r="AA260" s="186"/>
      <c r="AB260" s="186"/>
      <c r="AC260" s="186"/>
      <c r="AD260" s="186"/>
      <c r="AE260" s="186"/>
      <c r="AF260" s="186"/>
      <c r="AG260" s="186"/>
      <c r="AH260" s="186"/>
      <c r="AI260" s="186"/>
      <c r="AJ260" s="186"/>
      <c r="AK260" s="186"/>
      <c r="AL260" s="186"/>
      <c r="AM260" s="186"/>
      <c r="AN260" s="186"/>
      <c r="AO260" s="186"/>
      <c r="AP260" s="186"/>
      <c r="AQ260" s="186"/>
      <c r="AR260" s="186"/>
      <c r="AS260" s="186"/>
      <c r="AT260" s="186"/>
      <c r="AU260" s="186"/>
      <c r="AV260" s="186"/>
      <c r="AW260" s="186"/>
      <c r="AX260" s="186"/>
      <c r="AY260" s="186"/>
      <c r="AZ260" s="186"/>
      <c r="BA260" s="186"/>
      <c r="BB260" s="40"/>
      <c r="BC260" s="40"/>
      <c r="BD260" s="186"/>
      <c r="BE260" s="40"/>
      <c r="BF260" s="186"/>
      <c r="BG260" s="40"/>
      <c r="BH260" s="186"/>
      <c r="BI260" s="186"/>
      <c r="BJ260" s="40"/>
      <c r="BK260" s="40"/>
      <c r="BL260" s="40"/>
      <c r="BM260" s="40"/>
      <c r="BN260" s="40"/>
      <c r="BO260" s="40"/>
      <c r="BP260" s="40"/>
      <c r="BQ260" s="40"/>
      <c r="BR260" s="40"/>
      <c r="BS260" s="40"/>
      <c r="BT260" s="40"/>
      <c r="BU260" s="40"/>
      <c r="BV260" s="40"/>
      <c r="BW260" s="40"/>
      <c r="BX260" s="40"/>
      <c r="BY260" s="40"/>
      <c r="BZ260" s="40"/>
      <c r="CA260" s="186"/>
      <c r="CB260" s="186"/>
      <c r="CC260" s="40"/>
      <c r="CD260" s="40"/>
      <c r="CE260" s="40"/>
      <c r="CF260" s="40"/>
    </row>
    <row r="261" spans="1:84" ht="36">
      <c r="A261" s="82" t="s">
        <v>6946</v>
      </c>
      <c r="B261" s="200" t="s">
        <v>6947</v>
      </c>
      <c r="C261" s="82"/>
      <c r="D261" s="114"/>
      <c r="E261" s="114"/>
      <c r="F261" s="113"/>
      <c r="G261" s="114"/>
      <c r="H261" s="221"/>
      <c r="I261" s="36" t="s">
        <v>0</v>
      </c>
      <c r="J261" s="221"/>
      <c r="K261" s="36" t="s">
        <v>0</v>
      </c>
      <c r="L261" s="36" t="s">
        <v>0</v>
      </c>
      <c r="M261" s="113"/>
      <c r="N261" s="36" t="s">
        <v>0</v>
      </c>
      <c r="O261" s="113"/>
      <c r="P261" s="36" t="s">
        <v>0</v>
      </c>
      <c r="Q261" s="36" t="s">
        <v>0</v>
      </c>
      <c r="R261" s="113"/>
      <c r="S261" s="36" t="s">
        <v>0</v>
      </c>
      <c r="T261" s="113"/>
      <c r="U261" s="114"/>
      <c r="V261" s="114"/>
      <c r="W261" s="114"/>
      <c r="X261" s="225"/>
      <c r="Y261" s="225"/>
      <c r="Z261" s="225"/>
      <c r="AA261" s="225"/>
      <c r="AB261" s="226"/>
      <c r="AC261" s="226"/>
      <c r="AD261" s="220"/>
      <c r="AE261" s="220"/>
      <c r="AF261" s="113"/>
      <c r="AG261" s="220"/>
      <c r="AH261" s="220"/>
      <c r="AI261" s="220"/>
      <c r="AJ261" s="113"/>
      <c r="AK261" s="113"/>
      <c r="AL261" s="113"/>
      <c r="AM261" s="113"/>
      <c r="AN261" s="114"/>
      <c r="AO261" s="114"/>
      <c r="AP261" s="114"/>
      <c r="AQ261" s="114"/>
      <c r="AR261" s="114"/>
      <c r="AS261" s="113"/>
      <c r="AT261" s="113"/>
      <c r="AU261" s="113"/>
      <c r="AV261" s="113"/>
      <c r="AW261" s="114"/>
      <c r="AX261" s="114"/>
      <c r="AY261" s="114"/>
      <c r="AZ261" s="113"/>
      <c r="BA261" s="113"/>
      <c r="BB261" s="113"/>
      <c r="BC261" s="220"/>
      <c r="BD261" s="7" t="s">
        <v>0</v>
      </c>
      <c r="BE261" s="220"/>
      <c r="BF261" s="7" t="s">
        <v>0</v>
      </c>
      <c r="BG261" s="220"/>
      <c r="BH261" s="7" t="s">
        <v>0</v>
      </c>
      <c r="BI261" s="7" t="s">
        <v>0</v>
      </c>
      <c r="BJ261" s="113"/>
      <c r="BK261" s="113"/>
      <c r="BL261" s="113"/>
      <c r="BM261" s="113"/>
      <c r="BN261" s="114"/>
      <c r="BO261" s="113"/>
      <c r="BP261" s="113"/>
      <c r="BQ261" s="113"/>
      <c r="BR261" s="114"/>
      <c r="BS261" s="114"/>
      <c r="BT261" s="114"/>
      <c r="BU261" s="113"/>
      <c r="BV261" s="231"/>
      <c r="BW261" s="231"/>
      <c r="BX261" s="231"/>
      <c r="BY261" s="231"/>
      <c r="BZ261" s="231"/>
      <c r="CA261" s="231"/>
      <c r="CB261" s="231"/>
      <c r="CC261" s="231"/>
      <c r="CD261" s="231"/>
      <c r="CE261" s="231"/>
      <c r="CF261" s="231"/>
    </row>
    <row r="262" spans="1:84">
      <c r="A262" s="185" t="s">
        <v>935</v>
      </c>
      <c r="B262" s="185"/>
      <c r="C262" s="185"/>
      <c r="D262" s="186"/>
      <c r="E262" s="186"/>
      <c r="F262" s="186"/>
      <c r="G262" s="186"/>
      <c r="H262" s="84"/>
      <c r="I262" s="52" t="s">
        <v>0</v>
      </c>
      <c r="J262" s="84"/>
      <c r="K262" s="52" t="s">
        <v>0</v>
      </c>
      <c r="L262" s="52" t="s">
        <v>0</v>
      </c>
      <c r="M262" s="186"/>
      <c r="N262" s="52" t="s">
        <v>0</v>
      </c>
      <c r="O262" s="186"/>
      <c r="P262" s="52"/>
      <c r="Q262" s="52"/>
      <c r="R262" s="186"/>
      <c r="S262" s="52" t="s">
        <v>0</v>
      </c>
      <c r="T262" s="186"/>
      <c r="U262" s="186"/>
      <c r="V262" s="186"/>
      <c r="W262" s="186"/>
      <c r="X262" s="186"/>
      <c r="Y262" s="186"/>
      <c r="Z262" s="186"/>
      <c r="AA262" s="186"/>
      <c r="AB262" s="186"/>
      <c r="AC262" s="186"/>
      <c r="AD262" s="186"/>
      <c r="AE262" s="186"/>
      <c r="AF262" s="186"/>
      <c r="AG262" s="186"/>
      <c r="AH262" s="186"/>
      <c r="AI262" s="186"/>
      <c r="AJ262" s="186"/>
      <c r="AK262" s="186"/>
      <c r="AL262" s="186"/>
      <c r="AM262" s="186"/>
      <c r="AN262" s="186"/>
      <c r="AO262" s="186"/>
      <c r="AP262" s="186"/>
      <c r="AQ262" s="186"/>
      <c r="AR262" s="186"/>
      <c r="AS262" s="186"/>
      <c r="AT262" s="186"/>
      <c r="AU262" s="186"/>
      <c r="AV262" s="186"/>
      <c r="AW262" s="186"/>
      <c r="AX262" s="186"/>
      <c r="AY262" s="186"/>
      <c r="AZ262" s="186"/>
      <c r="BA262" s="186"/>
      <c r="BB262" s="186"/>
      <c r="BC262" s="186"/>
      <c r="BD262" s="186" t="s">
        <v>0</v>
      </c>
      <c r="BE262" s="186"/>
      <c r="BF262" s="186" t="s">
        <v>0</v>
      </c>
      <c r="BG262" s="186"/>
      <c r="BH262" s="186" t="s">
        <v>0</v>
      </c>
      <c r="BI262" s="186" t="s">
        <v>0</v>
      </c>
      <c r="BJ262" s="186"/>
      <c r="BK262" s="186"/>
      <c r="BL262" s="186"/>
      <c r="BM262" s="186"/>
      <c r="BN262" s="186"/>
      <c r="BO262" s="186"/>
      <c r="BP262" s="186"/>
      <c r="BQ262" s="186"/>
      <c r="BR262" s="186"/>
      <c r="BS262" s="186"/>
      <c r="BT262" s="186"/>
      <c r="BU262" s="186"/>
      <c r="BV262" s="186"/>
      <c r="BW262" s="186"/>
      <c r="BX262" s="186"/>
      <c r="BY262" s="186"/>
      <c r="BZ262" s="186"/>
      <c r="CA262" s="186"/>
      <c r="CB262" s="186"/>
      <c r="CC262" s="186"/>
      <c r="CD262" s="186"/>
      <c r="CE262" s="186"/>
      <c r="CF262" s="186"/>
    </row>
    <row r="263" spans="1:84" ht="126">
      <c r="A263" s="82" t="s">
        <v>6664</v>
      </c>
      <c r="B263" s="200" t="s">
        <v>6900</v>
      </c>
      <c r="C263" s="82"/>
      <c r="D263" s="114"/>
      <c r="E263" s="228"/>
      <c r="F263" s="114"/>
      <c r="G263" s="229"/>
      <c r="H263" s="221"/>
      <c r="I263" s="36" t="s">
        <v>0</v>
      </c>
      <c r="J263" s="221"/>
      <c r="K263" s="36" t="s">
        <v>0</v>
      </c>
      <c r="L263" s="36" t="s">
        <v>0</v>
      </c>
      <c r="M263" s="230"/>
      <c r="N263" s="36" t="s">
        <v>0</v>
      </c>
      <c r="O263" s="114"/>
      <c r="P263" s="36" t="s">
        <v>8655</v>
      </c>
      <c r="Q263" s="36" t="s">
        <v>8655</v>
      </c>
      <c r="R263" s="113"/>
      <c r="S263" s="36" t="s">
        <v>0</v>
      </c>
      <c r="T263" s="113"/>
      <c r="U263" s="114"/>
      <c r="V263" s="114"/>
      <c r="W263" s="114"/>
      <c r="X263" s="114"/>
      <c r="Y263" s="220"/>
      <c r="Z263" s="222"/>
      <c r="AA263" s="220"/>
      <c r="AB263" s="225"/>
      <c r="AC263" s="225"/>
      <c r="AD263" s="220"/>
      <c r="AE263" s="114"/>
      <c r="AF263" s="220"/>
      <c r="AG263" s="220"/>
      <c r="AH263" s="220"/>
      <c r="AI263" s="220"/>
      <c r="AJ263" s="220"/>
      <c r="AK263" s="220"/>
      <c r="AL263" s="114"/>
      <c r="AM263" s="114"/>
      <c r="AN263" s="114"/>
      <c r="AO263" s="114"/>
      <c r="AP263" s="114"/>
      <c r="AQ263" s="114"/>
      <c r="AR263" s="114"/>
      <c r="AS263" s="114"/>
      <c r="AT263" s="114"/>
      <c r="AU263" s="114"/>
      <c r="AV263" s="114"/>
      <c r="AW263" s="114"/>
      <c r="AX263" s="114"/>
      <c r="AY263" s="114"/>
      <c r="AZ263" s="114"/>
      <c r="BA263" s="114"/>
      <c r="BB263" s="113"/>
      <c r="BC263" s="114"/>
      <c r="BD263" s="36" t="s">
        <v>7779</v>
      </c>
      <c r="BE263" s="114"/>
      <c r="BF263" s="36" t="s">
        <v>7779</v>
      </c>
      <c r="BG263" s="114"/>
      <c r="BH263" s="36" t="s">
        <v>7779</v>
      </c>
      <c r="BI263" s="36" t="s">
        <v>7779</v>
      </c>
      <c r="BJ263" s="113"/>
      <c r="BK263" s="113"/>
      <c r="BL263" s="113"/>
      <c r="BM263" s="113"/>
      <c r="BN263" s="113"/>
      <c r="BO263" s="113"/>
      <c r="BP263" s="113"/>
      <c r="BQ263" s="114"/>
      <c r="BR263" s="114"/>
      <c r="BS263" s="113"/>
      <c r="BT263" s="114"/>
      <c r="BU263" s="114"/>
      <c r="BV263" s="231"/>
      <c r="BW263" s="231"/>
      <c r="BX263" s="231"/>
      <c r="BY263" s="231"/>
      <c r="BZ263" s="231"/>
      <c r="CA263" s="231"/>
      <c r="CB263" s="231"/>
      <c r="CC263" s="231"/>
      <c r="CD263" s="231"/>
      <c r="CE263" s="231"/>
      <c r="CF263" s="231"/>
    </row>
    <row r="264" spans="1:84">
      <c r="A264" s="185" t="s">
        <v>935</v>
      </c>
      <c r="B264" s="185"/>
      <c r="C264" s="185"/>
      <c r="D264" s="186"/>
      <c r="E264" s="186"/>
      <c r="F264" s="186"/>
      <c r="G264" s="189"/>
      <c r="H264" s="84"/>
      <c r="I264" s="186" t="s">
        <v>0</v>
      </c>
      <c r="J264" s="84"/>
      <c r="K264" s="186" t="s">
        <v>0</v>
      </c>
      <c r="L264" s="186" t="s">
        <v>0</v>
      </c>
      <c r="M264" s="190"/>
      <c r="N264" s="186" t="s">
        <v>0</v>
      </c>
      <c r="O264" s="186"/>
      <c r="P264" s="52" t="s">
        <v>8656</v>
      </c>
      <c r="Q264" s="52" t="s">
        <v>8656</v>
      </c>
      <c r="R264" s="186"/>
      <c r="S264" s="186" t="s">
        <v>0</v>
      </c>
      <c r="T264" s="186"/>
      <c r="U264" s="186"/>
      <c r="V264" s="186"/>
      <c r="W264" s="186"/>
      <c r="X264" s="186"/>
      <c r="Y264" s="186"/>
      <c r="Z264" s="187"/>
      <c r="AA264" s="186"/>
      <c r="AB264" s="186"/>
      <c r="AC264" s="186"/>
      <c r="AD264" s="186"/>
      <c r="AE264" s="186"/>
      <c r="AF264" s="186"/>
      <c r="AG264" s="186"/>
      <c r="AH264" s="186"/>
      <c r="AI264" s="186"/>
      <c r="AJ264" s="186"/>
      <c r="AK264" s="186"/>
      <c r="AL264" s="186"/>
      <c r="AM264" s="186"/>
      <c r="AN264" s="186"/>
      <c r="AO264" s="186"/>
      <c r="AP264" s="186"/>
      <c r="AQ264" s="186"/>
      <c r="AR264" s="186"/>
      <c r="AS264" s="186"/>
      <c r="AT264" s="186"/>
      <c r="AU264" s="186"/>
      <c r="AV264" s="186"/>
      <c r="AW264" s="186"/>
      <c r="AX264" s="186"/>
      <c r="AY264" s="186"/>
      <c r="AZ264" s="186"/>
      <c r="BA264" s="186"/>
      <c r="BB264" s="186"/>
      <c r="BC264" s="186"/>
      <c r="BD264" s="52" t="s">
        <v>7797</v>
      </c>
      <c r="BE264" s="186"/>
      <c r="BF264" s="52" t="s">
        <v>7797</v>
      </c>
      <c r="BG264" s="186"/>
      <c r="BH264" s="52" t="s">
        <v>7797</v>
      </c>
      <c r="BI264" s="52" t="s">
        <v>7797</v>
      </c>
      <c r="BJ264" s="186"/>
      <c r="BK264" s="186"/>
      <c r="BL264" s="186"/>
      <c r="BM264" s="186"/>
      <c r="BN264" s="186"/>
      <c r="BO264" s="186"/>
      <c r="BP264" s="186"/>
      <c r="BQ264" s="186"/>
      <c r="BR264" s="186"/>
      <c r="BS264" s="186"/>
      <c r="BT264" s="186"/>
      <c r="BU264" s="186"/>
      <c r="BV264" s="186"/>
      <c r="BW264" s="186"/>
      <c r="BX264" s="186"/>
      <c r="BY264" s="186"/>
      <c r="BZ264" s="186"/>
      <c r="CA264" s="186"/>
      <c r="CB264" s="186"/>
      <c r="CC264" s="186"/>
      <c r="CD264" s="186"/>
      <c r="CE264" s="186"/>
      <c r="CF264" s="186"/>
    </row>
    <row r="265" spans="1:84" ht="108">
      <c r="A265" s="6" t="s">
        <v>6901</v>
      </c>
      <c r="B265" s="200" t="s">
        <v>6903</v>
      </c>
      <c r="C265" s="38" t="s">
        <v>4825</v>
      </c>
      <c r="D265" s="38" t="s">
        <v>4825</v>
      </c>
      <c r="E265" s="38" t="s">
        <v>56</v>
      </c>
      <c r="F265" s="38" t="s">
        <v>56</v>
      </c>
      <c r="G265" s="38" t="s">
        <v>56</v>
      </c>
      <c r="H265" s="38" t="s">
        <v>56</v>
      </c>
      <c r="I265" s="36" t="s">
        <v>0</v>
      </c>
      <c r="J265" s="38" t="s">
        <v>56</v>
      </c>
      <c r="K265" s="36" t="s">
        <v>0</v>
      </c>
      <c r="L265" s="36" t="s">
        <v>0</v>
      </c>
      <c r="M265" s="38" t="s">
        <v>56</v>
      </c>
      <c r="N265" s="36" t="s">
        <v>0</v>
      </c>
      <c r="O265" s="38" t="s">
        <v>56</v>
      </c>
      <c r="P265" s="36" t="s">
        <v>0</v>
      </c>
      <c r="Q265" s="36" t="s">
        <v>0</v>
      </c>
      <c r="R265" s="38" t="s">
        <v>56</v>
      </c>
      <c r="S265" s="36" t="s">
        <v>0</v>
      </c>
      <c r="T265" s="38" t="s">
        <v>56</v>
      </c>
      <c r="U265" s="38" t="s">
        <v>56</v>
      </c>
      <c r="V265" s="145" t="s">
        <v>5725</v>
      </c>
      <c r="W265" s="7" t="s">
        <v>56</v>
      </c>
      <c r="X265" s="7" t="s">
        <v>56</v>
      </c>
      <c r="Y265" s="7" t="s">
        <v>56</v>
      </c>
      <c r="Z265" s="7" t="s">
        <v>56</v>
      </c>
      <c r="AA265" s="7" t="s">
        <v>56</v>
      </c>
      <c r="AB265" s="38" t="s">
        <v>56</v>
      </c>
      <c r="AC265" s="38" t="s">
        <v>56</v>
      </c>
      <c r="AD265" s="38" t="s">
        <v>56</v>
      </c>
      <c r="AE265" s="7" t="s">
        <v>56</v>
      </c>
      <c r="AF265" s="7" t="s">
        <v>56</v>
      </c>
      <c r="AG265" s="7" t="s">
        <v>0</v>
      </c>
      <c r="AH265" s="7" t="s">
        <v>0</v>
      </c>
      <c r="AI265" s="7" t="s">
        <v>0</v>
      </c>
      <c r="AJ265" s="7" t="s">
        <v>56</v>
      </c>
      <c r="AK265" s="7" t="s">
        <v>56</v>
      </c>
      <c r="AL265" s="7" t="s">
        <v>56</v>
      </c>
      <c r="AM265" s="38" t="s">
        <v>56</v>
      </c>
      <c r="AN265" s="38" t="s">
        <v>56</v>
      </c>
      <c r="AO265" s="36" t="s">
        <v>4216</v>
      </c>
      <c r="AP265" s="38" t="s">
        <v>56</v>
      </c>
      <c r="AQ265" s="38" t="s">
        <v>56</v>
      </c>
      <c r="AR265" s="38" t="s">
        <v>56</v>
      </c>
      <c r="AS265" s="38" t="s">
        <v>56</v>
      </c>
      <c r="AT265" s="38" t="s">
        <v>56</v>
      </c>
      <c r="AU265" s="38" t="s">
        <v>56</v>
      </c>
      <c r="AV265" s="38" t="s">
        <v>56</v>
      </c>
      <c r="AW265" s="38" t="s">
        <v>56</v>
      </c>
      <c r="AX265" s="38" t="s">
        <v>56</v>
      </c>
      <c r="AY265" s="38" t="s">
        <v>56</v>
      </c>
      <c r="AZ265" s="38" t="s">
        <v>56</v>
      </c>
      <c r="BA265" s="38" t="s">
        <v>56</v>
      </c>
      <c r="BB265" s="38" t="s">
        <v>56</v>
      </c>
      <c r="BC265" s="38" t="s">
        <v>56</v>
      </c>
      <c r="BD265" s="36" t="s">
        <v>0</v>
      </c>
      <c r="BE265" s="36" t="s">
        <v>3888</v>
      </c>
      <c r="BF265" s="36" t="s">
        <v>7777</v>
      </c>
      <c r="BG265" s="38" t="s">
        <v>56</v>
      </c>
      <c r="BH265" s="38" t="s">
        <v>0</v>
      </c>
      <c r="BI265" s="36" t="s">
        <v>0</v>
      </c>
      <c r="BJ265" s="38" t="s">
        <v>56</v>
      </c>
      <c r="BK265" s="38" t="s">
        <v>56</v>
      </c>
      <c r="BL265" s="38" t="s">
        <v>56</v>
      </c>
      <c r="BM265" s="38" t="s">
        <v>0</v>
      </c>
      <c r="BN265" s="38" t="s">
        <v>56</v>
      </c>
      <c r="BO265" s="38"/>
      <c r="BP265" s="38" t="s">
        <v>56</v>
      </c>
      <c r="BQ265" s="38" t="s">
        <v>56</v>
      </c>
      <c r="BR265" s="38" t="s">
        <v>56</v>
      </c>
      <c r="BS265" s="38" t="s">
        <v>56</v>
      </c>
      <c r="BT265" s="38" t="s">
        <v>56</v>
      </c>
      <c r="BU265" s="36" t="s">
        <v>5080</v>
      </c>
      <c r="BV265" s="36" t="s">
        <v>56</v>
      </c>
      <c r="BW265" s="38" t="s">
        <v>56</v>
      </c>
      <c r="BX265" s="36" t="s">
        <v>56</v>
      </c>
      <c r="BY265" s="36" t="s">
        <v>56</v>
      </c>
      <c r="BZ265" s="36" t="s">
        <v>56</v>
      </c>
      <c r="CA265" s="38" t="s">
        <v>56</v>
      </c>
      <c r="CB265" s="38" t="s">
        <v>56</v>
      </c>
      <c r="CC265" s="38" t="s">
        <v>56</v>
      </c>
      <c r="CD265" s="38" t="s">
        <v>56</v>
      </c>
      <c r="CE265" s="38" t="s">
        <v>56</v>
      </c>
      <c r="CF265" s="38" t="s">
        <v>56</v>
      </c>
    </row>
    <row r="266" spans="1:84">
      <c r="A266" s="51" t="s">
        <v>935</v>
      </c>
      <c r="B266" s="51"/>
      <c r="C266" s="52" t="s">
        <v>5202</v>
      </c>
      <c r="D266" s="52" t="s">
        <v>5202</v>
      </c>
      <c r="E266" s="52" t="s">
        <v>1442</v>
      </c>
      <c r="F266" s="52" t="s">
        <v>1442</v>
      </c>
      <c r="G266" s="52" t="s">
        <v>1443</v>
      </c>
      <c r="H266" s="52" t="s">
        <v>1443</v>
      </c>
      <c r="I266" s="84" t="s">
        <v>8699</v>
      </c>
      <c r="J266" s="52" t="s">
        <v>1442</v>
      </c>
      <c r="K266" s="84" t="s">
        <v>8699</v>
      </c>
      <c r="L266" s="84" t="s">
        <v>8699</v>
      </c>
      <c r="M266" s="52" t="s">
        <v>1442</v>
      </c>
      <c r="N266" s="84" t="s">
        <v>8699</v>
      </c>
      <c r="O266" s="52" t="s">
        <v>1442</v>
      </c>
      <c r="P266" s="84" t="s">
        <v>8699</v>
      </c>
      <c r="Q266" s="84" t="s">
        <v>8699</v>
      </c>
      <c r="R266" s="52" t="s">
        <v>1442</v>
      </c>
      <c r="S266" s="84" t="s">
        <v>8699</v>
      </c>
      <c r="T266" s="52" t="s">
        <v>5580</v>
      </c>
      <c r="U266" s="52" t="s">
        <v>5580</v>
      </c>
      <c r="V266" s="84"/>
      <c r="W266" s="52" t="s">
        <v>4417</v>
      </c>
      <c r="X266" s="52"/>
      <c r="Y266" s="52" t="s">
        <v>1025</v>
      </c>
      <c r="Z266" s="52" t="s">
        <v>1025</v>
      </c>
      <c r="AA266" s="52" t="s">
        <v>1025</v>
      </c>
      <c r="AB266" s="52" t="s">
        <v>4799</v>
      </c>
      <c r="AC266" s="52" t="s">
        <v>4799</v>
      </c>
      <c r="AD266" s="52" t="s">
        <v>4799</v>
      </c>
      <c r="AE266" s="52" t="s">
        <v>1687</v>
      </c>
      <c r="AF266" s="52" t="s">
        <v>1687</v>
      </c>
      <c r="AG266" s="52" t="s">
        <v>0</v>
      </c>
      <c r="AH266" s="52" t="s">
        <v>0</v>
      </c>
      <c r="AI266" s="52" t="s">
        <v>0</v>
      </c>
      <c r="AJ266" s="52" t="s">
        <v>1443</v>
      </c>
      <c r="AK266" s="52" t="s">
        <v>1443</v>
      </c>
      <c r="AL266" s="52" t="s">
        <v>1443</v>
      </c>
      <c r="AM266" s="52" t="s">
        <v>1443</v>
      </c>
      <c r="AN266" s="52" t="s">
        <v>1443</v>
      </c>
      <c r="AO266" s="52" t="s">
        <v>4288</v>
      </c>
      <c r="AP266" s="52" t="s">
        <v>1443</v>
      </c>
      <c r="AQ266" s="52" t="s">
        <v>1443</v>
      </c>
      <c r="AR266" s="52"/>
      <c r="AS266" s="52" t="s">
        <v>1964</v>
      </c>
      <c r="AT266" s="52" t="s">
        <v>1964</v>
      </c>
      <c r="AU266" s="52" t="s">
        <v>1964</v>
      </c>
      <c r="AV266" s="52" t="s">
        <v>1442</v>
      </c>
      <c r="AW266" s="52" t="s">
        <v>1442</v>
      </c>
      <c r="AX266" s="52" t="s">
        <v>1355</v>
      </c>
      <c r="AY266" s="52" t="s">
        <v>1355</v>
      </c>
      <c r="AZ266" s="52" t="s">
        <v>1443</v>
      </c>
      <c r="BA266" s="52" t="s">
        <v>1443</v>
      </c>
      <c r="BB266" s="52" t="s">
        <v>1443</v>
      </c>
      <c r="BC266" s="52" t="s">
        <v>4949</v>
      </c>
      <c r="BD266" s="52" t="s">
        <v>0</v>
      </c>
      <c r="BE266" s="52" t="s">
        <v>4949</v>
      </c>
      <c r="BF266" s="52" t="s">
        <v>7778</v>
      </c>
      <c r="BG266" s="52" t="s">
        <v>4568</v>
      </c>
      <c r="BH266" s="52" t="s">
        <v>0</v>
      </c>
      <c r="BI266" s="52" t="s">
        <v>0</v>
      </c>
      <c r="BJ266" s="52" t="s">
        <v>4568</v>
      </c>
      <c r="BK266" s="52"/>
      <c r="BL266" s="52"/>
      <c r="BM266" s="52" t="s">
        <v>0</v>
      </c>
      <c r="BN266" s="52" t="s">
        <v>1443</v>
      </c>
      <c r="BO266" s="52"/>
      <c r="BP266" s="52" t="s">
        <v>1442</v>
      </c>
      <c r="BQ266" s="52" t="s">
        <v>1442</v>
      </c>
      <c r="BR266" s="52" t="s">
        <v>1025</v>
      </c>
      <c r="BS266" s="52" t="s">
        <v>2714</v>
      </c>
      <c r="BT266" s="52" t="s">
        <v>2714</v>
      </c>
      <c r="BU266" s="84" t="s">
        <v>5082</v>
      </c>
      <c r="BV266" s="84"/>
      <c r="BW266" s="52"/>
      <c r="BX266" s="52" t="s">
        <v>3804</v>
      </c>
      <c r="BY266" s="52" t="s">
        <v>3804</v>
      </c>
      <c r="BZ266" s="52" t="s">
        <v>6190</v>
      </c>
      <c r="CA266" s="52" t="s">
        <v>1442</v>
      </c>
      <c r="CB266" s="52" t="s">
        <v>1442</v>
      </c>
      <c r="CC266" s="52"/>
      <c r="CD266" s="52"/>
      <c r="CE266" s="52" t="s">
        <v>1442</v>
      </c>
      <c r="CF266" s="52" t="s">
        <v>1442</v>
      </c>
    </row>
    <row r="267" spans="1:84" ht="81">
      <c r="A267" s="6" t="s">
        <v>6902</v>
      </c>
      <c r="B267" s="200" t="s">
        <v>6904</v>
      </c>
      <c r="C267" s="38" t="s">
        <v>4825</v>
      </c>
      <c r="D267" s="38" t="s">
        <v>4825</v>
      </c>
      <c r="E267" s="38" t="s">
        <v>56</v>
      </c>
      <c r="F267" s="38" t="s">
        <v>56</v>
      </c>
      <c r="G267" s="38" t="s">
        <v>56</v>
      </c>
      <c r="H267" s="38" t="s">
        <v>56</v>
      </c>
      <c r="I267" s="36" t="s">
        <v>8698</v>
      </c>
      <c r="J267" s="38" t="s">
        <v>56</v>
      </c>
      <c r="K267" s="36" t="s">
        <v>8698</v>
      </c>
      <c r="L267" s="36" t="s">
        <v>8698</v>
      </c>
      <c r="M267" s="38" t="s">
        <v>56</v>
      </c>
      <c r="N267" s="36" t="s">
        <v>8698</v>
      </c>
      <c r="O267" s="38" t="s">
        <v>56</v>
      </c>
      <c r="P267" s="36" t="s">
        <v>8698</v>
      </c>
      <c r="Q267" s="36" t="s">
        <v>8698</v>
      </c>
      <c r="R267" s="38" t="s">
        <v>56</v>
      </c>
      <c r="S267" s="36" t="s">
        <v>8698</v>
      </c>
      <c r="T267" s="38" t="s">
        <v>56</v>
      </c>
      <c r="U267" s="38" t="s">
        <v>56</v>
      </c>
      <c r="V267" s="145" t="s">
        <v>5725</v>
      </c>
      <c r="W267" s="7" t="s">
        <v>56</v>
      </c>
      <c r="X267" s="7" t="s">
        <v>56</v>
      </c>
      <c r="Y267" s="7" t="s">
        <v>56</v>
      </c>
      <c r="Z267" s="7" t="s">
        <v>56</v>
      </c>
      <c r="AA267" s="7" t="s">
        <v>56</v>
      </c>
      <c r="AB267" s="38" t="s">
        <v>56</v>
      </c>
      <c r="AC267" s="38" t="s">
        <v>56</v>
      </c>
      <c r="AD267" s="38" t="s">
        <v>56</v>
      </c>
      <c r="AE267" s="7" t="s">
        <v>56</v>
      </c>
      <c r="AF267" s="7" t="s">
        <v>56</v>
      </c>
      <c r="AG267" s="7" t="s">
        <v>8992</v>
      </c>
      <c r="AH267" s="7" t="s">
        <v>8992</v>
      </c>
      <c r="AI267" s="7" t="s">
        <v>8992</v>
      </c>
      <c r="AJ267" s="7" t="s">
        <v>56</v>
      </c>
      <c r="AK267" s="7" t="s">
        <v>56</v>
      </c>
      <c r="AL267" s="7" t="s">
        <v>56</v>
      </c>
      <c r="AM267" s="38" t="s">
        <v>56</v>
      </c>
      <c r="AN267" s="38" t="s">
        <v>56</v>
      </c>
      <c r="AO267" s="36" t="s">
        <v>4216</v>
      </c>
      <c r="AP267" s="38" t="s">
        <v>56</v>
      </c>
      <c r="AQ267" s="38" t="s">
        <v>56</v>
      </c>
      <c r="AR267" s="38" t="s">
        <v>56</v>
      </c>
      <c r="AS267" s="38" t="s">
        <v>56</v>
      </c>
      <c r="AT267" s="38" t="s">
        <v>56</v>
      </c>
      <c r="AU267" s="38" t="s">
        <v>56</v>
      </c>
      <c r="AV267" s="38" t="s">
        <v>56</v>
      </c>
      <c r="AW267" s="38" t="s">
        <v>56</v>
      </c>
      <c r="AX267" s="38" t="s">
        <v>56</v>
      </c>
      <c r="AY267" s="38" t="s">
        <v>56</v>
      </c>
      <c r="AZ267" s="38" t="s">
        <v>56</v>
      </c>
      <c r="BA267" s="38" t="s">
        <v>56</v>
      </c>
      <c r="BB267" s="38" t="s">
        <v>56</v>
      </c>
      <c r="BC267" s="38" t="s">
        <v>56</v>
      </c>
      <c r="BD267" s="36" t="s">
        <v>7841</v>
      </c>
      <c r="BE267" s="36" t="s">
        <v>3888</v>
      </c>
      <c r="BF267" s="36" t="s">
        <v>7777</v>
      </c>
      <c r="BG267" s="38" t="s">
        <v>56</v>
      </c>
      <c r="BH267" s="36" t="s">
        <v>7841</v>
      </c>
      <c r="BI267" s="36" t="s">
        <v>7841</v>
      </c>
      <c r="BJ267" s="38" t="s">
        <v>56</v>
      </c>
      <c r="BK267" s="38" t="s">
        <v>56</v>
      </c>
      <c r="BL267" s="38" t="s">
        <v>56</v>
      </c>
      <c r="BM267" s="38" t="s">
        <v>0</v>
      </c>
      <c r="BN267" s="38" t="s">
        <v>56</v>
      </c>
      <c r="BO267" s="38"/>
      <c r="BP267" s="38" t="s">
        <v>56</v>
      </c>
      <c r="BQ267" s="38" t="s">
        <v>56</v>
      </c>
      <c r="BR267" s="38" t="s">
        <v>56</v>
      </c>
      <c r="BS267" s="38" t="s">
        <v>56</v>
      </c>
      <c r="BT267" s="38" t="s">
        <v>56</v>
      </c>
      <c r="BU267" s="36" t="s">
        <v>5080</v>
      </c>
      <c r="BV267" s="36" t="s">
        <v>56</v>
      </c>
      <c r="BW267" s="38" t="s">
        <v>56</v>
      </c>
      <c r="BX267" s="36" t="s">
        <v>56</v>
      </c>
      <c r="BY267" s="36" t="s">
        <v>56</v>
      </c>
      <c r="BZ267" s="36" t="s">
        <v>56</v>
      </c>
      <c r="CA267" s="38" t="s">
        <v>56</v>
      </c>
      <c r="CB267" s="38" t="s">
        <v>56</v>
      </c>
      <c r="CC267" s="38" t="s">
        <v>56</v>
      </c>
      <c r="CD267" s="38" t="s">
        <v>56</v>
      </c>
      <c r="CE267" s="38" t="s">
        <v>56</v>
      </c>
      <c r="CF267" s="38" t="s">
        <v>56</v>
      </c>
    </row>
    <row r="268" spans="1:84">
      <c r="A268" s="51" t="s">
        <v>935</v>
      </c>
      <c r="B268" s="51"/>
      <c r="C268" s="52" t="s">
        <v>5202</v>
      </c>
      <c r="D268" s="52" t="s">
        <v>5202</v>
      </c>
      <c r="E268" s="52" t="s">
        <v>1442</v>
      </c>
      <c r="F268" s="52" t="s">
        <v>1442</v>
      </c>
      <c r="G268" s="52" t="s">
        <v>1443</v>
      </c>
      <c r="H268" s="52" t="s">
        <v>1443</v>
      </c>
      <c r="I268" s="84" t="s">
        <v>8699</v>
      </c>
      <c r="J268" s="52" t="s">
        <v>1442</v>
      </c>
      <c r="K268" s="84" t="s">
        <v>8699</v>
      </c>
      <c r="L268" s="84" t="s">
        <v>8699</v>
      </c>
      <c r="M268" s="52" t="s">
        <v>1442</v>
      </c>
      <c r="N268" s="84" t="s">
        <v>8699</v>
      </c>
      <c r="O268" s="52" t="s">
        <v>1442</v>
      </c>
      <c r="P268" s="84" t="s">
        <v>8699</v>
      </c>
      <c r="Q268" s="84" t="s">
        <v>8699</v>
      </c>
      <c r="R268" s="52" t="s">
        <v>1442</v>
      </c>
      <c r="S268" s="84" t="s">
        <v>8699</v>
      </c>
      <c r="T268" s="52" t="s">
        <v>5580</v>
      </c>
      <c r="U268" s="52" t="s">
        <v>5580</v>
      </c>
      <c r="V268" s="84"/>
      <c r="W268" s="52" t="s">
        <v>4417</v>
      </c>
      <c r="X268" s="52"/>
      <c r="Y268" s="52" t="s">
        <v>1025</v>
      </c>
      <c r="Z268" s="52" t="s">
        <v>1025</v>
      </c>
      <c r="AA268" s="52" t="s">
        <v>1025</v>
      </c>
      <c r="AB268" s="52" t="s">
        <v>4799</v>
      </c>
      <c r="AC268" s="52" t="s">
        <v>4799</v>
      </c>
      <c r="AD268" s="52" t="s">
        <v>4799</v>
      </c>
      <c r="AE268" s="52" t="s">
        <v>1687</v>
      </c>
      <c r="AF268" s="52" t="s">
        <v>1687</v>
      </c>
      <c r="AG268" s="52" t="s">
        <v>7186</v>
      </c>
      <c r="AH268" s="52" t="s">
        <v>7186</v>
      </c>
      <c r="AI268" s="52" t="s">
        <v>7186</v>
      </c>
      <c r="AJ268" s="52" t="s">
        <v>1443</v>
      </c>
      <c r="AK268" s="52" t="s">
        <v>1443</v>
      </c>
      <c r="AL268" s="52" t="s">
        <v>1443</v>
      </c>
      <c r="AM268" s="52" t="s">
        <v>1443</v>
      </c>
      <c r="AN268" s="52" t="s">
        <v>1443</v>
      </c>
      <c r="AO268" s="52" t="s">
        <v>4288</v>
      </c>
      <c r="AP268" s="52" t="s">
        <v>1443</v>
      </c>
      <c r="AQ268" s="52" t="s">
        <v>1443</v>
      </c>
      <c r="AR268" s="52"/>
      <c r="AS268" s="52" t="s">
        <v>1964</v>
      </c>
      <c r="AT268" s="52" t="s">
        <v>1964</v>
      </c>
      <c r="AU268" s="52" t="s">
        <v>1964</v>
      </c>
      <c r="AV268" s="52" t="s">
        <v>1442</v>
      </c>
      <c r="AW268" s="52" t="s">
        <v>1442</v>
      </c>
      <c r="AX268" s="52" t="s">
        <v>1355</v>
      </c>
      <c r="AY268" s="52" t="s">
        <v>1355</v>
      </c>
      <c r="AZ268" s="52" t="s">
        <v>1443</v>
      </c>
      <c r="BA268" s="52" t="s">
        <v>1443</v>
      </c>
      <c r="BB268" s="52" t="s">
        <v>1443</v>
      </c>
      <c r="BC268" s="52" t="s">
        <v>4949</v>
      </c>
      <c r="BD268" s="52"/>
      <c r="BE268" s="52" t="s">
        <v>4949</v>
      </c>
      <c r="BF268" s="52" t="s">
        <v>7778</v>
      </c>
      <c r="BG268" s="52" t="s">
        <v>4568</v>
      </c>
      <c r="BH268" s="52" t="s">
        <v>7842</v>
      </c>
      <c r="BI268" s="52" t="s">
        <v>7842</v>
      </c>
      <c r="BJ268" s="52" t="s">
        <v>4568</v>
      </c>
      <c r="BK268" s="52"/>
      <c r="BL268" s="52"/>
      <c r="BM268" s="52" t="s">
        <v>0</v>
      </c>
      <c r="BN268" s="52" t="s">
        <v>1443</v>
      </c>
      <c r="BO268" s="52"/>
      <c r="BP268" s="52" t="s">
        <v>1442</v>
      </c>
      <c r="BQ268" s="52" t="s">
        <v>1442</v>
      </c>
      <c r="BR268" s="52" t="s">
        <v>1025</v>
      </c>
      <c r="BS268" s="52" t="s">
        <v>2714</v>
      </c>
      <c r="BT268" s="52" t="s">
        <v>2714</v>
      </c>
      <c r="BU268" s="84" t="s">
        <v>5082</v>
      </c>
      <c r="BV268" s="84"/>
      <c r="BW268" s="52"/>
      <c r="BX268" s="52" t="s">
        <v>3804</v>
      </c>
      <c r="BY268" s="52" t="s">
        <v>3804</v>
      </c>
      <c r="BZ268" s="52" t="s">
        <v>6190</v>
      </c>
      <c r="CA268" s="52" t="s">
        <v>1442</v>
      </c>
      <c r="CB268" s="52" t="s">
        <v>1442</v>
      </c>
      <c r="CC268" s="52"/>
      <c r="CD268" s="52"/>
      <c r="CE268" s="52" t="s">
        <v>1442</v>
      </c>
      <c r="CF268" s="52" t="s">
        <v>1442</v>
      </c>
    </row>
    <row r="269" spans="1:84">
      <c r="V269" s="71"/>
    </row>
    <row r="270" spans="1:84" ht="18">
      <c r="A270" s="22" t="s">
        <v>15</v>
      </c>
      <c r="B270" s="22"/>
      <c r="C270" s="18" t="str">
        <f t="shared" ref="C270:BZ270" si="14">C1</f>
        <v>ADCURI Basis-Schutz</v>
      </c>
      <c r="D270" s="18" t="str">
        <f t="shared" si="14"/>
        <v>ADCURI Top-Schutz</v>
      </c>
      <c r="E270" s="18" t="str">
        <f t="shared" si="14"/>
        <v>Allianz</v>
      </c>
      <c r="F270" s="18" t="str">
        <f t="shared" si="14"/>
        <v>Allianz inkl. SicherheitPlus</v>
      </c>
      <c r="G270" s="18" t="str">
        <f t="shared" si="14"/>
        <v>Alte Leipziger classic</v>
      </c>
      <c r="H270" s="18" t="str">
        <f t="shared" si="14"/>
        <v>Alte Leipziger comfort</v>
      </c>
      <c r="I270" s="18" t="str">
        <f>I1</f>
        <v>Ammerländer Basic
(2019-02)</v>
      </c>
      <c r="J270" s="18" t="str">
        <f t="shared" si="14"/>
        <v>Ammerländer Classic
(2016-01)</v>
      </c>
      <c r="K270" s="18" t="str">
        <f>K1</f>
        <v>Ammerländer Classic
(2019-02)</v>
      </c>
      <c r="L270" s="18" t="str">
        <f>L1</f>
        <v>Ammerländer Comfort
(2019-02)</v>
      </c>
      <c r="M270" s="18" t="str">
        <f t="shared" si="14"/>
        <v>Ammerländer Comfort
(2016-01)</v>
      </c>
      <c r="N270" s="18" t="str">
        <f>N1</f>
        <v>Ammerländer Economic
(2019-02)</v>
      </c>
      <c r="O270" s="18" t="str">
        <f t="shared" si="14"/>
        <v>Ammerländer Excellent
(2016-01)</v>
      </c>
      <c r="P270" s="18" t="str">
        <f>P1</f>
        <v>Ammerländer Excellent
(2019-02)</v>
      </c>
      <c r="Q270" s="18" t="str">
        <f>Q1</f>
        <v>Ammerländer Excellent
(2020-02)</v>
      </c>
      <c r="R270" s="18" t="str">
        <f>R1</f>
        <v>Ammerländer Exclusiv
(2016-01)</v>
      </c>
      <c r="S270" s="18" t="str">
        <f>S1</f>
        <v>Ammerländer Exclusiv
(2019-02)</v>
      </c>
      <c r="T270" s="18" t="str">
        <f t="shared" si="14"/>
        <v>ARAG Komfort (Wohnfläche)</v>
      </c>
      <c r="U270" s="18" t="str">
        <f t="shared" si="14"/>
        <v>ARAG Premium (Wohnfläche)</v>
      </c>
      <c r="V270" s="18" t="str">
        <f t="shared" si="14"/>
        <v>AXA BOXflex</v>
      </c>
      <c r="W270" s="18" t="str">
        <f t="shared" si="14"/>
        <v>Baden Badener TOP</v>
      </c>
      <c r="X270" s="18" t="str">
        <f t="shared" si="14"/>
        <v>Concordia Sorglos</v>
      </c>
      <c r="Y270" s="18" t="str">
        <f t="shared" si="14"/>
        <v>Debeka Basis</v>
      </c>
      <c r="Z270" s="18" t="str">
        <f t="shared" si="14"/>
        <v>Debeka Standard</v>
      </c>
      <c r="AA270" s="18" t="str">
        <f t="shared" si="14"/>
        <v>Debeka Top</v>
      </c>
      <c r="AB270" s="18" t="str">
        <f t="shared" si="14"/>
        <v>die Bayerische (Komfort)</v>
      </c>
      <c r="AC270" s="18" t="str">
        <f t="shared" si="14"/>
        <v>die Bayerische (Prestige)</v>
      </c>
      <c r="AD270" s="18" t="str">
        <f t="shared" si="14"/>
        <v>die Bayerische (Smart)</v>
      </c>
      <c r="AE270" s="18" t="str">
        <f t="shared" si="14"/>
        <v>Domcura Komfort
(Stand 2014-10)</v>
      </c>
      <c r="AF270" s="18" t="str">
        <f t="shared" si="14"/>
        <v>Domcura Top
(Stand 2014-10)</v>
      </c>
      <c r="AG270" s="18" t="str">
        <f>AG1</f>
        <v>Domcura Standard
(2016-10-01)</v>
      </c>
      <c r="AH270" s="18" t="str">
        <f>AH1</f>
        <v>Domcura Komfort
(2016-10-01)</v>
      </c>
      <c r="AI270" s="18" t="str">
        <f>AI1</f>
        <v>Domcura Top
(2016-10-01)</v>
      </c>
      <c r="AJ270" s="18" t="str">
        <f t="shared" si="14"/>
        <v>ERGO Hausrat Spezial</v>
      </c>
      <c r="AK270" s="18" t="str">
        <f t="shared" si="14"/>
        <v>Generali Basis</v>
      </c>
      <c r="AL270" s="18" t="str">
        <f t="shared" si="14"/>
        <v>Generali KomfortPlus</v>
      </c>
      <c r="AM270" s="18" t="str">
        <f t="shared" si="14"/>
        <v>Gothaer Top</v>
      </c>
      <c r="AN270" s="18" t="str">
        <f t="shared" si="14"/>
        <v>Gothaer Top Plus</v>
      </c>
      <c r="AO270" s="18" t="str">
        <f t="shared" si="14"/>
        <v>HDI Privatschutz</v>
      </c>
      <c r="AP270" s="18" t="str">
        <f t="shared" si="14"/>
        <v>Helvetia Basis</v>
      </c>
      <c r="AQ270" s="18" t="str">
        <f t="shared" si="14"/>
        <v>Helvetia Komfort</v>
      </c>
      <c r="AR270" s="18" t="str">
        <f t="shared" si="14"/>
        <v>HFK Rundumschutz</v>
      </c>
      <c r="AS270" s="18" t="str">
        <f t="shared" si="14"/>
        <v>HKD Einfach Gut</v>
      </c>
      <c r="AT270" s="18" t="str">
        <f t="shared" si="14"/>
        <v>HKD Einfach Besser</v>
      </c>
      <c r="AU270" s="18" t="str">
        <f t="shared" si="14"/>
        <v>HKD Einfach Komplett</v>
      </c>
      <c r="AV270" s="18" t="str">
        <f t="shared" si="14"/>
        <v>HUK Classic</v>
      </c>
      <c r="AW270" s="18" t="str">
        <f t="shared" si="14"/>
        <v>HUK Plus</v>
      </c>
      <c r="AX270" s="18" t="str">
        <f t="shared" si="14"/>
        <v>Ideal Exklusiv</v>
      </c>
      <c r="AY270" s="18" t="str">
        <f t="shared" si="14"/>
        <v>Ideal Klassik</v>
      </c>
      <c r="AZ270" s="18" t="str">
        <f t="shared" si="14"/>
        <v>InterRisk L</v>
      </c>
      <c r="BA270" s="18" t="str">
        <f t="shared" si="14"/>
        <v>InterRisk XL</v>
      </c>
      <c r="BB270" s="18" t="str">
        <f t="shared" si="14"/>
        <v>InterRisk XXL</v>
      </c>
      <c r="BC270" s="18" t="str">
        <f t="shared" si="14"/>
        <v>ITL afm Eurosecure Plus</v>
      </c>
      <c r="BD270" s="18" t="str">
        <f>BD1</f>
        <v>ITL Eurosecure Plus afm
Stand 2013-08</v>
      </c>
      <c r="BE270" s="18" t="str">
        <f t="shared" si="14"/>
        <v>ITL afm Infinitus</v>
      </c>
      <c r="BF270" s="18" t="str">
        <f>BF1</f>
        <v>ITL Infinitus
Stand 2013-08</v>
      </c>
      <c r="BG270" s="18" t="str">
        <f t="shared" si="14"/>
        <v>ITL afm Protect Plus</v>
      </c>
      <c r="BH270" s="18" t="str">
        <f>BH1</f>
        <v>ITL Protect Plus afm
Stand 2013-08</v>
      </c>
      <c r="BI270" s="18" t="str">
        <f>BI1</f>
        <v>ITL Classic
Stand 2013-08</v>
      </c>
      <c r="BJ270" s="18" t="str">
        <f t="shared" si="14"/>
        <v>ITL Classic</v>
      </c>
      <c r="BK270" s="18" t="str">
        <f t="shared" si="14"/>
        <v>Janitos Balance</v>
      </c>
      <c r="BL270" s="18" t="str">
        <f t="shared" si="14"/>
        <v>Janitos Best Selection</v>
      </c>
      <c r="BM270" s="18" t="str">
        <f t="shared" si="14"/>
        <v>Keine</v>
      </c>
      <c r="BN270" s="18" t="str">
        <f t="shared" si="14"/>
        <v>Nürnberger KomplettSchutz</v>
      </c>
      <c r="BO270" s="18" t="str">
        <f t="shared" si="14"/>
        <v>NV Premium. 2.0</v>
      </c>
      <c r="BP270" s="18" t="str">
        <f t="shared" si="14"/>
        <v>Prokundo ExklusivPaket</v>
      </c>
      <c r="BQ270" s="18" t="str">
        <f t="shared" si="14"/>
        <v>Prokundo Komfort</v>
      </c>
      <c r="BR270" s="18" t="str">
        <f t="shared" si="14"/>
        <v>Provinzial Kompakt</v>
      </c>
      <c r="BS270" s="18" t="str">
        <f t="shared" si="14"/>
        <v>Provinzial Rundum inkl. Plus</v>
      </c>
      <c r="BT270" s="18" t="str">
        <f t="shared" si="14"/>
        <v>Provinzial Rundumschutz</v>
      </c>
      <c r="BU270" s="18" t="str">
        <f t="shared" si="14"/>
        <v>R+V PrivatPolice</v>
      </c>
      <c r="BV270" s="18" t="str">
        <f t="shared" si="14"/>
        <v>SLP Prima</v>
      </c>
      <c r="BW270" s="18" t="str">
        <f t="shared" si="14"/>
        <v>SLP Prima Plus</v>
      </c>
      <c r="BX270" s="18" t="str">
        <f t="shared" si="14"/>
        <v>VdVA Classic</v>
      </c>
      <c r="BY270" s="18" t="str">
        <f t="shared" si="14"/>
        <v>VdVA Exclusiv</v>
      </c>
      <c r="BZ270" s="18" t="str">
        <f t="shared" si="14"/>
        <v>VGH Standard</v>
      </c>
      <c r="CA270" s="18" t="str">
        <f>CA1</f>
        <v>VHV Klassik Garant
(Stand 2015-04)</v>
      </c>
      <c r="CB270" s="18" t="str">
        <f>CB1</f>
        <v>VHV Klassik Garant Exkl.
(Stand 2015-04)</v>
      </c>
      <c r="CC270" s="18" t="str">
        <f t="shared" ref="CC270:CF270" si="15">CC1</f>
        <v>VWB Komfort</v>
      </c>
      <c r="CD270" s="18" t="str">
        <f t="shared" si="15"/>
        <v>VWB Komfort Plus</v>
      </c>
      <c r="CE270" s="18" t="str">
        <f t="shared" si="15"/>
        <v>WÜBA Plus</v>
      </c>
      <c r="CF270" s="18" t="str">
        <f t="shared" si="15"/>
        <v>Zurich Maklerkonzept</v>
      </c>
    </row>
    <row r="271" spans="1:84" ht="36">
      <c r="A271" s="181" t="s">
        <v>8920</v>
      </c>
      <c r="B271" s="200" t="s">
        <v>7084</v>
      </c>
      <c r="C271" s="214" t="s">
        <v>57</v>
      </c>
      <c r="D271" s="214" t="s">
        <v>57</v>
      </c>
      <c r="E271" s="214"/>
      <c r="F271" s="214"/>
      <c r="G271" s="214"/>
      <c r="H271" s="214"/>
      <c r="I271" s="38" t="s">
        <v>57</v>
      </c>
      <c r="J271" s="214"/>
      <c r="K271" s="38" t="s">
        <v>57</v>
      </c>
      <c r="L271" s="38" t="s">
        <v>57</v>
      </c>
      <c r="M271" s="214"/>
      <c r="N271" s="38" t="s">
        <v>57</v>
      </c>
      <c r="O271" s="214"/>
      <c r="P271" s="38" t="s">
        <v>57</v>
      </c>
      <c r="Q271" s="38" t="s">
        <v>57</v>
      </c>
      <c r="R271" s="214"/>
      <c r="S271" s="38" t="s">
        <v>57</v>
      </c>
      <c r="T271" s="214"/>
      <c r="U271" s="214"/>
      <c r="V271" s="217"/>
      <c r="W271" s="214"/>
      <c r="X271" s="214"/>
      <c r="Y271" s="214"/>
      <c r="Z271" s="214"/>
      <c r="AA271" s="214"/>
      <c r="AB271" s="214"/>
      <c r="AC271" s="214"/>
      <c r="AD271" s="214"/>
      <c r="AE271" s="213" t="s">
        <v>434</v>
      </c>
      <c r="AF271" s="213" t="s">
        <v>434</v>
      </c>
      <c r="AG271" s="36" t="s">
        <v>7095</v>
      </c>
      <c r="AH271" s="36" t="s">
        <v>7120</v>
      </c>
      <c r="AI271" s="36" t="s">
        <v>7120</v>
      </c>
      <c r="AJ271" s="213" t="s">
        <v>57</v>
      </c>
      <c r="AK271" s="213" t="s">
        <v>57</v>
      </c>
      <c r="AL271" s="213" t="s">
        <v>57</v>
      </c>
      <c r="AM271" s="214" t="s">
        <v>57</v>
      </c>
      <c r="AN271" s="214" t="s">
        <v>57</v>
      </c>
      <c r="AO271" s="214" t="s">
        <v>57</v>
      </c>
      <c r="AP271" s="214" t="s">
        <v>57</v>
      </c>
      <c r="AQ271" s="214" t="s">
        <v>57</v>
      </c>
      <c r="AR271" s="214" t="s">
        <v>57</v>
      </c>
      <c r="AS271" s="214" t="s">
        <v>57</v>
      </c>
      <c r="AT271" s="214" t="s">
        <v>57</v>
      </c>
      <c r="AU271" s="214" t="s">
        <v>57</v>
      </c>
      <c r="AV271" s="214" t="s">
        <v>57</v>
      </c>
      <c r="AW271" s="214" t="s">
        <v>57</v>
      </c>
      <c r="AX271" s="214" t="s">
        <v>57</v>
      </c>
      <c r="AY271" s="214" t="s">
        <v>57</v>
      </c>
      <c r="AZ271" s="212" t="s">
        <v>57</v>
      </c>
      <c r="BA271" s="212" t="s">
        <v>57</v>
      </c>
      <c r="BB271" s="212" t="s">
        <v>57</v>
      </c>
      <c r="BC271" s="214" t="s">
        <v>57</v>
      </c>
      <c r="BD271" s="36" t="s">
        <v>7768</v>
      </c>
      <c r="BE271" s="214" t="s">
        <v>57</v>
      </c>
      <c r="BF271" s="36" t="s">
        <v>57</v>
      </c>
      <c r="BG271" s="214" t="s">
        <v>57</v>
      </c>
      <c r="BH271" s="36" t="s">
        <v>7768</v>
      </c>
      <c r="BI271" s="36" t="s">
        <v>7768</v>
      </c>
      <c r="BJ271" s="214" t="s">
        <v>57</v>
      </c>
      <c r="BK271" s="214" t="s">
        <v>57</v>
      </c>
      <c r="BL271" s="214" t="s">
        <v>57</v>
      </c>
      <c r="BM271" s="214" t="s">
        <v>0</v>
      </c>
      <c r="BN271" s="214" t="s">
        <v>57</v>
      </c>
      <c r="BO271" s="214"/>
      <c r="BP271" s="214" t="s">
        <v>57</v>
      </c>
      <c r="BQ271" s="214" t="s">
        <v>57</v>
      </c>
      <c r="BR271" s="212" t="s">
        <v>57</v>
      </c>
      <c r="BS271" s="212" t="s">
        <v>57</v>
      </c>
      <c r="BT271" s="212" t="s">
        <v>57</v>
      </c>
      <c r="BU271" s="212" t="s">
        <v>57</v>
      </c>
      <c r="BV271" s="212" t="s">
        <v>57</v>
      </c>
      <c r="BW271" s="214" t="s">
        <v>57</v>
      </c>
      <c r="BX271" s="214" t="s">
        <v>57</v>
      </c>
      <c r="BY271" s="214" t="s">
        <v>57</v>
      </c>
      <c r="BZ271" s="214" t="s">
        <v>57</v>
      </c>
      <c r="CA271" s="214" t="s">
        <v>57</v>
      </c>
      <c r="CB271" s="214" t="s">
        <v>57</v>
      </c>
      <c r="CC271" s="214" t="s">
        <v>57</v>
      </c>
      <c r="CD271" s="214" t="s">
        <v>57</v>
      </c>
      <c r="CE271" s="214" t="s">
        <v>57</v>
      </c>
      <c r="CF271" s="214" t="s">
        <v>434</v>
      </c>
    </row>
    <row r="272" spans="1:84">
      <c r="A272" s="51" t="s">
        <v>935</v>
      </c>
      <c r="B272" s="51"/>
      <c r="C272" s="52" t="s">
        <v>5223</v>
      </c>
      <c r="D272" s="52" t="s">
        <v>5223</v>
      </c>
      <c r="E272" s="52"/>
      <c r="F272" s="52"/>
      <c r="G272" s="52"/>
      <c r="H272" s="52"/>
      <c r="I272" s="52" t="s">
        <v>8241</v>
      </c>
      <c r="J272" s="52"/>
      <c r="K272" s="52" t="s">
        <v>8241</v>
      </c>
      <c r="L272" s="52" t="s">
        <v>8241</v>
      </c>
      <c r="M272" s="52"/>
      <c r="N272" s="52" t="s">
        <v>8241</v>
      </c>
      <c r="O272" s="52"/>
      <c r="P272" s="52" t="s">
        <v>8241</v>
      </c>
      <c r="Q272" s="52" t="s">
        <v>8241</v>
      </c>
      <c r="R272" s="52"/>
      <c r="S272" s="52" t="s">
        <v>8241</v>
      </c>
      <c r="T272" s="52"/>
      <c r="U272" s="52"/>
      <c r="V272" s="84"/>
      <c r="W272" s="52"/>
      <c r="X272" s="52"/>
      <c r="Y272" s="52"/>
      <c r="Z272" s="52"/>
      <c r="AA272" s="52"/>
      <c r="AB272" s="52"/>
      <c r="AC272" s="52"/>
      <c r="AD272" s="52"/>
      <c r="AE272" s="52" t="s">
        <v>6072</v>
      </c>
      <c r="AF272" s="52" t="s">
        <v>6073</v>
      </c>
      <c r="AG272" s="186" t="s">
        <v>7085</v>
      </c>
      <c r="AH272" s="186" t="s">
        <v>7121</v>
      </c>
      <c r="AI272" s="186" t="s">
        <v>7160</v>
      </c>
      <c r="AJ272" s="52" t="s">
        <v>6121</v>
      </c>
      <c r="AK272" s="52" t="s">
        <v>1892</v>
      </c>
      <c r="AL272" s="52" t="s">
        <v>1892</v>
      </c>
      <c r="AM272" s="52" t="s">
        <v>5429</v>
      </c>
      <c r="AN272" s="52" t="s">
        <v>5429</v>
      </c>
      <c r="AO272" s="52" t="s">
        <v>4256</v>
      </c>
      <c r="AP272" s="52" t="s">
        <v>2572</v>
      </c>
      <c r="AQ272" s="52" t="s">
        <v>2572</v>
      </c>
      <c r="AR272" s="52"/>
      <c r="AS272" s="52" t="s">
        <v>2040</v>
      </c>
      <c r="AT272" s="52" t="s">
        <v>2040</v>
      </c>
      <c r="AU272" s="52" t="s">
        <v>2040</v>
      </c>
      <c r="AV272" s="52" t="s">
        <v>4329</v>
      </c>
      <c r="AW272" s="52" t="s">
        <v>4329</v>
      </c>
      <c r="AX272" s="52" t="s">
        <v>1361</v>
      </c>
      <c r="AY272" s="52" t="s">
        <v>1361</v>
      </c>
      <c r="AZ272" s="52" t="s">
        <v>3669</v>
      </c>
      <c r="BA272" s="52" t="s">
        <v>3635</v>
      </c>
      <c r="BB272" s="52" t="s">
        <v>3538</v>
      </c>
      <c r="BC272" s="52" t="s">
        <v>4939</v>
      </c>
      <c r="BD272" s="52" t="s">
        <v>7679</v>
      </c>
      <c r="BE272" s="52" t="s">
        <v>4939</v>
      </c>
      <c r="BF272" s="52" t="s">
        <v>7679</v>
      </c>
      <c r="BG272" s="52" t="s">
        <v>4939</v>
      </c>
      <c r="BH272" s="52" t="s">
        <v>7843</v>
      </c>
      <c r="BI272" s="52" t="s">
        <v>7843</v>
      </c>
      <c r="BJ272" s="52" t="s">
        <v>4939</v>
      </c>
      <c r="BK272" s="52"/>
      <c r="BL272" s="52"/>
      <c r="BM272" s="52" t="s">
        <v>0</v>
      </c>
      <c r="BN272" s="52" t="s">
        <v>1676</v>
      </c>
      <c r="BO272" s="52"/>
      <c r="BP272" s="52" t="s">
        <v>2306</v>
      </c>
      <c r="BQ272" s="52" t="s">
        <v>2306</v>
      </c>
      <c r="BR272" s="52" t="s">
        <v>2695</v>
      </c>
      <c r="BS272" s="52" t="s">
        <v>2695</v>
      </c>
      <c r="BT272" s="52" t="s">
        <v>2695</v>
      </c>
      <c r="BU272" s="84" t="s">
        <v>2875</v>
      </c>
      <c r="BV272" s="84"/>
      <c r="BW272" s="52"/>
      <c r="BX272" s="52" t="s">
        <v>3790</v>
      </c>
      <c r="BY272" s="52" t="s">
        <v>3790</v>
      </c>
      <c r="BZ272" s="52" t="s">
        <v>6245</v>
      </c>
      <c r="CA272" s="52" t="s">
        <v>3171</v>
      </c>
      <c r="CB272" s="52" t="s">
        <v>3171</v>
      </c>
      <c r="CC272" s="52"/>
      <c r="CD272" s="52"/>
      <c r="CE272" s="52" t="s">
        <v>3258</v>
      </c>
      <c r="CF272" s="52" t="s">
        <v>2185</v>
      </c>
    </row>
    <row r="273" spans="1:84" ht="54">
      <c r="A273" s="181" t="s">
        <v>6815</v>
      </c>
      <c r="B273" s="200" t="s">
        <v>6813</v>
      </c>
      <c r="C273" s="214" t="s">
        <v>57</v>
      </c>
      <c r="D273" s="214" t="s">
        <v>57</v>
      </c>
      <c r="E273" s="214" t="s">
        <v>57</v>
      </c>
      <c r="F273" s="214" t="s">
        <v>57</v>
      </c>
      <c r="G273" s="214" t="s">
        <v>57</v>
      </c>
      <c r="H273" s="214" t="s">
        <v>57</v>
      </c>
      <c r="I273" s="38" t="s">
        <v>57</v>
      </c>
      <c r="J273" s="214" t="s">
        <v>57</v>
      </c>
      <c r="K273" s="38" t="s">
        <v>57</v>
      </c>
      <c r="L273" s="38" t="s">
        <v>57</v>
      </c>
      <c r="M273" s="214" t="s">
        <v>57</v>
      </c>
      <c r="N273" s="38" t="s">
        <v>57</v>
      </c>
      <c r="O273" s="214" t="s">
        <v>57</v>
      </c>
      <c r="P273" s="38" t="s">
        <v>57</v>
      </c>
      <c r="Q273" s="38" t="s">
        <v>57</v>
      </c>
      <c r="R273" s="214" t="s">
        <v>57</v>
      </c>
      <c r="S273" s="38" t="s">
        <v>57</v>
      </c>
      <c r="T273" s="214" t="s">
        <v>57</v>
      </c>
      <c r="U273" s="214" t="s">
        <v>57</v>
      </c>
      <c r="V273" s="217" t="s">
        <v>57</v>
      </c>
      <c r="W273" s="214" t="s">
        <v>434</v>
      </c>
      <c r="X273" s="214" t="s">
        <v>57</v>
      </c>
      <c r="Y273" s="214" t="s">
        <v>57</v>
      </c>
      <c r="Z273" s="214" t="s">
        <v>57</v>
      </c>
      <c r="AA273" s="214" t="s">
        <v>57</v>
      </c>
      <c r="AB273" s="214" t="s">
        <v>57</v>
      </c>
      <c r="AC273" s="214" t="s">
        <v>57</v>
      </c>
      <c r="AD273" s="214" t="s">
        <v>57</v>
      </c>
      <c r="AE273" s="213" t="s">
        <v>434</v>
      </c>
      <c r="AF273" s="213" t="s">
        <v>434</v>
      </c>
      <c r="AG273" s="36" t="s">
        <v>7536</v>
      </c>
      <c r="AH273" s="36" t="s">
        <v>7535</v>
      </c>
      <c r="AI273" s="36" t="s">
        <v>7535</v>
      </c>
      <c r="AJ273" s="213" t="s">
        <v>57</v>
      </c>
      <c r="AK273" s="213" t="s">
        <v>57</v>
      </c>
      <c r="AL273" s="213" t="s">
        <v>57</v>
      </c>
      <c r="AM273" s="214" t="s">
        <v>57</v>
      </c>
      <c r="AN273" s="214" t="s">
        <v>57</v>
      </c>
      <c r="AO273" s="214" t="s">
        <v>57</v>
      </c>
      <c r="AP273" s="214" t="s">
        <v>57</v>
      </c>
      <c r="AQ273" s="214" t="s">
        <v>57</v>
      </c>
      <c r="AR273" s="214" t="s">
        <v>57</v>
      </c>
      <c r="AS273" s="214" t="s">
        <v>57</v>
      </c>
      <c r="AT273" s="214" t="s">
        <v>57</v>
      </c>
      <c r="AU273" s="214" t="s">
        <v>57</v>
      </c>
      <c r="AV273" s="214" t="s">
        <v>57</v>
      </c>
      <c r="AW273" s="214" t="s">
        <v>57</v>
      </c>
      <c r="AX273" s="214" t="s">
        <v>57</v>
      </c>
      <c r="AY273" s="214" t="s">
        <v>57</v>
      </c>
      <c r="AZ273" s="212" t="s">
        <v>57</v>
      </c>
      <c r="BA273" s="212" t="s">
        <v>57</v>
      </c>
      <c r="BB273" s="212" t="s">
        <v>57</v>
      </c>
      <c r="BC273" s="214" t="s">
        <v>57</v>
      </c>
      <c r="BD273" s="36" t="s">
        <v>57</v>
      </c>
      <c r="BE273" s="214" t="s">
        <v>57</v>
      </c>
      <c r="BF273" s="36" t="s">
        <v>57</v>
      </c>
      <c r="BG273" s="214" t="s">
        <v>57</v>
      </c>
      <c r="BH273" s="36" t="s">
        <v>57</v>
      </c>
      <c r="BI273" s="36" t="s">
        <v>57</v>
      </c>
      <c r="BJ273" s="214" t="s">
        <v>57</v>
      </c>
      <c r="BK273" s="214" t="s">
        <v>57</v>
      </c>
      <c r="BL273" s="214" t="s">
        <v>57</v>
      </c>
      <c r="BM273" s="214" t="s">
        <v>0</v>
      </c>
      <c r="BN273" s="214" t="s">
        <v>57</v>
      </c>
      <c r="BO273" s="214"/>
      <c r="BP273" s="214" t="s">
        <v>57</v>
      </c>
      <c r="BQ273" s="214" t="s">
        <v>57</v>
      </c>
      <c r="BR273" s="212" t="s">
        <v>57</v>
      </c>
      <c r="BS273" s="212" t="s">
        <v>57</v>
      </c>
      <c r="BT273" s="212" t="s">
        <v>57</v>
      </c>
      <c r="BU273" s="212" t="s">
        <v>57</v>
      </c>
      <c r="BV273" s="212" t="s">
        <v>57</v>
      </c>
      <c r="BW273" s="214" t="s">
        <v>57</v>
      </c>
      <c r="BX273" s="214" t="s">
        <v>57</v>
      </c>
      <c r="BY273" s="214" t="s">
        <v>57</v>
      </c>
      <c r="BZ273" s="214" t="s">
        <v>57</v>
      </c>
      <c r="CA273" s="214" t="s">
        <v>57</v>
      </c>
      <c r="CB273" s="214" t="s">
        <v>57</v>
      </c>
      <c r="CC273" s="214" t="s">
        <v>57</v>
      </c>
      <c r="CD273" s="214" t="s">
        <v>57</v>
      </c>
      <c r="CE273" s="214" t="s">
        <v>57</v>
      </c>
      <c r="CF273" s="214" t="s">
        <v>434</v>
      </c>
    </row>
    <row r="274" spans="1:84">
      <c r="A274" s="51" t="s">
        <v>935</v>
      </c>
      <c r="B274" s="51"/>
      <c r="C274" s="52" t="s">
        <v>5223</v>
      </c>
      <c r="D274" s="52" t="s">
        <v>5223</v>
      </c>
      <c r="E274" s="52" t="s">
        <v>2744</v>
      </c>
      <c r="F274" s="52" t="s">
        <v>2744</v>
      </c>
      <c r="G274" s="52" t="s">
        <v>5521</v>
      </c>
      <c r="H274" s="52" t="s">
        <v>5521</v>
      </c>
      <c r="I274" s="52" t="s">
        <v>8206</v>
      </c>
      <c r="J274" s="52" t="s">
        <v>1676</v>
      </c>
      <c r="K274" s="52" t="s">
        <v>8206</v>
      </c>
      <c r="L274" s="52" t="s">
        <v>8206</v>
      </c>
      <c r="M274" s="52" t="s">
        <v>1676</v>
      </c>
      <c r="N274" s="52" t="s">
        <v>8206</v>
      </c>
      <c r="O274" s="52" t="s">
        <v>1676</v>
      </c>
      <c r="P274" s="52" t="s">
        <v>8206</v>
      </c>
      <c r="Q274" s="52" t="s">
        <v>8206</v>
      </c>
      <c r="R274" s="52" t="s">
        <v>1676</v>
      </c>
      <c r="S274" s="52" t="s">
        <v>8206</v>
      </c>
      <c r="T274" s="52" t="s">
        <v>5616</v>
      </c>
      <c r="U274" s="52" t="s">
        <v>5616</v>
      </c>
      <c r="V274" s="84"/>
      <c r="W274" s="52" t="s">
        <v>4412</v>
      </c>
      <c r="X274" s="52" t="s">
        <v>6476</v>
      </c>
      <c r="Y274" s="52" t="s">
        <v>2416</v>
      </c>
      <c r="Z274" s="52" t="s">
        <v>2416</v>
      </c>
      <c r="AA274" s="52" t="s">
        <v>2416</v>
      </c>
      <c r="AB274" s="52" t="s">
        <v>4760</v>
      </c>
      <c r="AC274" s="52" t="s">
        <v>4760</v>
      </c>
      <c r="AD274" s="52" t="s">
        <v>4760</v>
      </c>
      <c r="AE274" s="52" t="s">
        <v>6072</v>
      </c>
      <c r="AF274" s="52" t="s">
        <v>6073</v>
      </c>
      <c r="AG274" s="186" t="s">
        <v>9031</v>
      </c>
      <c r="AH274" s="186" t="s">
        <v>9030</v>
      </c>
      <c r="AI274" s="186" t="s">
        <v>9032</v>
      </c>
      <c r="AJ274" s="52" t="s">
        <v>6121</v>
      </c>
      <c r="AK274" s="52" t="s">
        <v>1892</v>
      </c>
      <c r="AL274" s="52" t="s">
        <v>1892</v>
      </c>
      <c r="AM274" s="52" t="s">
        <v>5429</v>
      </c>
      <c r="AN274" s="52" t="s">
        <v>5429</v>
      </c>
      <c r="AO274" s="52" t="s">
        <v>4256</v>
      </c>
      <c r="AP274" s="52" t="s">
        <v>2572</v>
      </c>
      <c r="AQ274" s="52" t="s">
        <v>2572</v>
      </c>
      <c r="AR274" s="52"/>
      <c r="AS274" s="52" t="s">
        <v>2040</v>
      </c>
      <c r="AT274" s="52" t="s">
        <v>2040</v>
      </c>
      <c r="AU274" s="52" t="s">
        <v>2040</v>
      </c>
      <c r="AV274" s="52" t="s">
        <v>4329</v>
      </c>
      <c r="AW274" s="52" t="s">
        <v>4329</v>
      </c>
      <c r="AX274" s="52" t="s">
        <v>1361</v>
      </c>
      <c r="AY274" s="52" t="s">
        <v>1361</v>
      </c>
      <c r="AZ274" s="52" t="s">
        <v>3669</v>
      </c>
      <c r="BA274" s="52" t="s">
        <v>3635</v>
      </c>
      <c r="BB274" s="52" t="s">
        <v>3538</v>
      </c>
      <c r="BC274" s="52" t="s">
        <v>4939</v>
      </c>
      <c r="BD274" s="52" t="s">
        <v>7659</v>
      </c>
      <c r="BE274" s="52" t="s">
        <v>4939</v>
      </c>
      <c r="BF274" s="52" t="s">
        <v>7659</v>
      </c>
      <c r="BG274" s="52" t="s">
        <v>4939</v>
      </c>
      <c r="BH274" s="52" t="s">
        <v>7659</v>
      </c>
      <c r="BI274" s="52" t="s">
        <v>7659</v>
      </c>
      <c r="BJ274" s="52" t="s">
        <v>4939</v>
      </c>
      <c r="BK274" s="52"/>
      <c r="BL274" s="52"/>
      <c r="BM274" s="52" t="s">
        <v>0</v>
      </c>
      <c r="BN274" s="52" t="s">
        <v>1676</v>
      </c>
      <c r="BO274" s="52"/>
      <c r="BP274" s="52" t="s">
        <v>2306</v>
      </c>
      <c r="BQ274" s="52" t="s">
        <v>2306</v>
      </c>
      <c r="BR274" s="52" t="s">
        <v>2695</v>
      </c>
      <c r="BS274" s="52" t="s">
        <v>2695</v>
      </c>
      <c r="BT274" s="52" t="s">
        <v>2695</v>
      </c>
      <c r="BU274" s="84" t="s">
        <v>2875</v>
      </c>
      <c r="BV274" s="84"/>
      <c r="BW274" s="52"/>
      <c r="BX274" s="52" t="s">
        <v>3790</v>
      </c>
      <c r="BY274" s="52" t="s">
        <v>3790</v>
      </c>
      <c r="BZ274" s="52" t="s">
        <v>6245</v>
      </c>
      <c r="CA274" s="52" t="s">
        <v>3171</v>
      </c>
      <c r="CB274" s="52" t="s">
        <v>3171</v>
      </c>
      <c r="CC274" s="52"/>
      <c r="CD274" s="52"/>
      <c r="CE274" s="52" t="s">
        <v>3258</v>
      </c>
      <c r="CF274" s="52" t="s">
        <v>2185</v>
      </c>
    </row>
    <row r="275" spans="1:84" ht="35.1" customHeight="1">
      <c r="A275" s="82" t="s">
        <v>6814</v>
      </c>
      <c r="B275" s="200" t="s">
        <v>6816</v>
      </c>
      <c r="C275" s="82"/>
      <c r="D275" s="114"/>
      <c r="E275" s="114"/>
      <c r="F275" s="113"/>
      <c r="G275" s="114"/>
      <c r="H275" s="221"/>
      <c r="I275" s="38" t="s">
        <v>57</v>
      </c>
      <c r="J275" s="221"/>
      <c r="K275" s="38" t="s">
        <v>57</v>
      </c>
      <c r="L275" s="38" t="s">
        <v>57</v>
      </c>
      <c r="M275" s="113"/>
      <c r="N275" s="38" t="s">
        <v>57</v>
      </c>
      <c r="O275" s="113"/>
      <c r="P275" s="38" t="s">
        <v>57</v>
      </c>
      <c r="Q275" s="38" t="s">
        <v>57</v>
      </c>
      <c r="R275" s="113"/>
      <c r="S275" s="38" t="s">
        <v>57</v>
      </c>
      <c r="T275" s="113"/>
      <c r="U275" s="114"/>
      <c r="V275" s="114"/>
      <c r="W275" s="114"/>
      <c r="X275" s="225"/>
      <c r="Y275" s="225"/>
      <c r="Z275" s="225"/>
      <c r="AA275" s="225"/>
      <c r="AB275" s="226"/>
      <c r="AC275" s="226"/>
      <c r="AD275" s="220"/>
      <c r="AE275" s="220"/>
      <c r="AF275" s="113"/>
      <c r="AG275" s="36" t="s">
        <v>7087</v>
      </c>
      <c r="AH275" s="36" t="s">
        <v>7122</v>
      </c>
      <c r="AI275" s="36" t="s">
        <v>7122</v>
      </c>
      <c r="AJ275" s="113"/>
      <c r="AK275" s="113"/>
      <c r="AL275" s="113"/>
      <c r="AM275" s="113"/>
      <c r="AN275" s="114"/>
      <c r="AO275" s="114"/>
      <c r="AP275" s="114"/>
      <c r="AQ275" s="114"/>
      <c r="AR275" s="114"/>
      <c r="AS275" s="113"/>
      <c r="AT275" s="113"/>
      <c r="AU275" s="113"/>
      <c r="AV275" s="113"/>
      <c r="AW275" s="114"/>
      <c r="AX275" s="114"/>
      <c r="AY275" s="114"/>
      <c r="AZ275" s="113"/>
      <c r="BA275" s="113"/>
      <c r="BB275" s="113"/>
      <c r="BC275" s="220"/>
      <c r="BD275" s="36" t="s">
        <v>57</v>
      </c>
      <c r="BE275" s="220"/>
      <c r="BF275" s="36" t="s">
        <v>57</v>
      </c>
      <c r="BG275" s="220"/>
      <c r="BH275" s="36" t="s">
        <v>57</v>
      </c>
      <c r="BI275" s="36" t="s">
        <v>57</v>
      </c>
      <c r="BJ275" s="113"/>
      <c r="BK275" s="113"/>
      <c r="BL275" s="113"/>
      <c r="BM275" s="113"/>
      <c r="BN275" s="114"/>
      <c r="BO275" s="113"/>
      <c r="BP275" s="113"/>
      <c r="BQ275" s="113"/>
      <c r="BR275" s="114"/>
      <c r="BS275" s="114"/>
      <c r="BT275" s="114"/>
      <c r="BU275" s="113"/>
      <c r="BV275" s="231"/>
      <c r="BW275" s="231"/>
      <c r="BX275" s="231"/>
      <c r="BY275" s="231"/>
      <c r="BZ275" s="231"/>
      <c r="CA275" s="231"/>
      <c r="CB275" s="231"/>
      <c r="CC275" s="231"/>
      <c r="CD275" s="231"/>
      <c r="CE275" s="231"/>
      <c r="CF275" s="231"/>
    </row>
    <row r="276" spans="1:84">
      <c r="A276" s="185" t="s">
        <v>935</v>
      </c>
      <c r="B276" s="185"/>
      <c r="C276" s="185"/>
      <c r="D276" s="186"/>
      <c r="E276" s="186"/>
      <c r="F276" s="186"/>
      <c r="G276" s="186"/>
      <c r="H276" s="84"/>
      <c r="I276" s="52" t="s">
        <v>8207</v>
      </c>
      <c r="J276" s="84"/>
      <c r="K276" s="52" t="s">
        <v>8207</v>
      </c>
      <c r="L276" s="52" t="s">
        <v>8207</v>
      </c>
      <c r="M276" s="186"/>
      <c r="N276" s="52" t="s">
        <v>8207</v>
      </c>
      <c r="O276" s="186"/>
      <c r="P276" s="52" t="s">
        <v>8207</v>
      </c>
      <c r="Q276" s="52" t="s">
        <v>8207</v>
      </c>
      <c r="R276" s="186"/>
      <c r="S276" s="52" t="s">
        <v>8207</v>
      </c>
      <c r="T276" s="186"/>
      <c r="U276" s="186"/>
      <c r="V276" s="186"/>
      <c r="W276" s="186"/>
      <c r="X276" s="186"/>
      <c r="Y276" s="186"/>
      <c r="Z276" s="186"/>
      <c r="AA276" s="186"/>
      <c r="AB276" s="186"/>
      <c r="AC276" s="186"/>
      <c r="AD276" s="186"/>
      <c r="AE276" s="186"/>
      <c r="AF276" s="186"/>
      <c r="AG276" s="186" t="s">
        <v>7066</v>
      </c>
      <c r="AH276" s="186" t="s">
        <v>7123</v>
      </c>
      <c r="AI276" s="186" t="s">
        <v>7161</v>
      </c>
      <c r="AJ276" s="186"/>
      <c r="AK276" s="186"/>
      <c r="AL276" s="186"/>
      <c r="AM276" s="186"/>
      <c r="AN276" s="186"/>
      <c r="AO276" s="186"/>
      <c r="AP276" s="186"/>
      <c r="AQ276" s="186"/>
      <c r="AR276" s="186"/>
      <c r="AS276" s="186"/>
      <c r="AT276" s="186"/>
      <c r="AU276" s="186"/>
      <c r="AV276" s="186"/>
      <c r="AW276" s="186"/>
      <c r="AX276" s="186"/>
      <c r="AY276" s="186"/>
      <c r="AZ276" s="186"/>
      <c r="BA276" s="186"/>
      <c r="BB276" s="186"/>
      <c r="BC276" s="186"/>
      <c r="BD276" s="52" t="s">
        <v>7660</v>
      </c>
      <c r="BE276" s="186"/>
      <c r="BF276" s="52" t="s">
        <v>7660</v>
      </c>
      <c r="BG276" s="186"/>
      <c r="BH276" s="52" t="s">
        <v>7660</v>
      </c>
      <c r="BI276" s="52" t="s">
        <v>7660</v>
      </c>
      <c r="BJ276" s="186"/>
      <c r="BK276" s="186"/>
      <c r="BL276" s="186"/>
      <c r="BM276" s="186"/>
      <c r="BN276" s="186"/>
      <c r="BO276" s="186"/>
      <c r="BP276" s="186"/>
      <c r="BQ276" s="186"/>
      <c r="BR276" s="186"/>
      <c r="BS276" s="186"/>
      <c r="BT276" s="186"/>
      <c r="BU276" s="186"/>
      <c r="BV276" s="186"/>
      <c r="BW276" s="186"/>
      <c r="BX276" s="186"/>
      <c r="BY276" s="186"/>
      <c r="BZ276" s="186"/>
      <c r="CA276" s="186"/>
      <c r="CB276" s="186"/>
      <c r="CC276" s="186"/>
      <c r="CD276" s="186"/>
      <c r="CE276" s="186"/>
      <c r="CF276" s="186"/>
    </row>
    <row r="277" spans="1:84" ht="27">
      <c r="A277" s="62" t="s">
        <v>6819</v>
      </c>
      <c r="B277" s="200" t="s">
        <v>6820</v>
      </c>
      <c r="C277" s="38" t="s">
        <v>40</v>
      </c>
      <c r="D277" s="38" t="s">
        <v>617</v>
      </c>
      <c r="E277" s="38" t="s">
        <v>40</v>
      </c>
      <c r="F277" s="38" t="s">
        <v>40</v>
      </c>
      <c r="G277" s="38" t="s">
        <v>336</v>
      </c>
      <c r="H277" s="38" t="s">
        <v>41</v>
      </c>
      <c r="I277" s="38" t="s">
        <v>8210</v>
      </c>
      <c r="J277" s="38" t="s">
        <v>40</v>
      </c>
      <c r="K277" s="38" t="s">
        <v>6839</v>
      </c>
      <c r="L277" s="38" t="s">
        <v>8429</v>
      </c>
      <c r="M277" s="38" t="s">
        <v>275</v>
      </c>
      <c r="N277" s="38" t="s">
        <v>8210</v>
      </c>
      <c r="O277" s="38" t="s">
        <v>275</v>
      </c>
      <c r="P277" s="38" t="s">
        <v>8429</v>
      </c>
      <c r="Q277" s="38" t="s">
        <v>8429</v>
      </c>
      <c r="R277" s="38" t="s">
        <v>275</v>
      </c>
      <c r="S277" s="38" t="s">
        <v>8429</v>
      </c>
      <c r="T277" s="38" t="s">
        <v>336</v>
      </c>
      <c r="U277" s="36" t="s">
        <v>5617</v>
      </c>
      <c r="V277" s="145" t="s">
        <v>57</v>
      </c>
      <c r="W277" s="38" t="s">
        <v>41</v>
      </c>
      <c r="X277" s="38" t="s">
        <v>40</v>
      </c>
      <c r="Y277" s="38" t="s">
        <v>0</v>
      </c>
      <c r="Z277" s="38" t="s">
        <v>336</v>
      </c>
      <c r="AA277" s="38" t="s">
        <v>41</v>
      </c>
      <c r="AB277" s="38" t="s">
        <v>41</v>
      </c>
      <c r="AC277" s="38" t="s">
        <v>57</v>
      </c>
      <c r="AD277" s="38" t="s">
        <v>40</v>
      </c>
      <c r="AE277" s="7" t="s">
        <v>41</v>
      </c>
      <c r="AF277" s="7" t="s">
        <v>41</v>
      </c>
      <c r="AG277" s="7" t="s">
        <v>41</v>
      </c>
      <c r="AH277" s="7" t="s">
        <v>41</v>
      </c>
      <c r="AI277" s="7" t="s">
        <v>41</v>
      </c>
      <c r="AJ277" s="7" t="s">
        <v>336</v>
      </c>
      <c r="AK277" s="7" t="s">
        <v>40</v>
      </c>
      <c r="AL277" s="34" t="s">
        <v>57</v>
      </c>
      <c r="AM277" s="38" t="s">
        <v>41</v>
      </c>
      <c r="AN277" s="38" t="s">
        <v>5376</v>
      </c>
      <c r="AO277" s="38" t="s">
        <v>220</v>
      </c>
      <c r="AP277" s="38" t="s">
        <v>40</v>
      </c>
      <c r="AQ277" s="38" t="s">
        <v>41</v>
      </c>
      <c r="AR277" s="38" t="s">
        <v>40</v>
      </c>
      <c r="AS277" s="38" t="s">
        <v>220</v>
      </c>
      <c r="AT277" s="38" t="s">
        <v>275</v>
      </c>
      <c r="AU277" s="38" t="s">
        <v>275</v>
      </c>
      <c r="AV277" s="38" t="s">
        <v>617</v>
      </c>
      <c r="AW277" s="38" t="s">
        <v>617</v>
      </c>
      <c r="AX277" s="38" t="s">
        <v>40</v>
      </c>
      <c r="AY277" s="38" t="s">
        <v>40</v>
      </c>
      <c r="AZ277" s="38" t="s">
        <v>40</v>
      </c>
      <c r="BA277" s="38" t="s">
        <v>41</v>
      </c>
      <c r="BB277" s="38" t="s">
        <v>57</v>
      </c>
      <c r="BC277" s="38" t="s">
        <v>41</v>
      </c>
      <c r="BD277" s="38" t="s">
        <v>41</v>
      </c>
      <c r="BE277" s="38" t="s">
        <v>57</v>
      </c>
      <c r="BF277" s="7" t="s">
        <v>57</v>
      </c>
      <c r="BG277" s="38" t="s">
        <v>41</v>
      </c>
      <c r="BH277" s="38" t="s">
        <v>41</v>
      </c>
      <c r="BI277" s="38" t="s">
        <v>41</v>
      </c>
      <c r="BJ277" s="38" t="s">
        <v>41</v>
      </c>
      <c r="BK277" s="38" t="s">
        <v>40</v>
      </c>
      <c r="BL277" s="38" t="s">
        <v>337</v>
      </c>
      <c r="BM277" s="38" t="s">
        <v>0</v>
      </c>
      <c r="BN277" s="38" t="s">
        <v>336</v>
      </c>
      <c r="BO277" s="38"/>
      <c r="BP277" s="38" t="s">
        <v>41</v>
      </c>
      <c r="BQ277" s="38" t="s">
        <v>40</v>
      </c>
      <c r="BR277" s="38" t="s">
        <v>40</v>
      </c>
      <c r="BS277" s="38" t="s">
        <v>40</v>
      </c>
      <c r="BT277" s="38" t="s">
        <v>40</v>
      </c>
      <c r="BU277" s="36" t="s">
        <v>336</v>
      </c>
      <c r="BV277" s="36" t="s">
        <v>46</v>
      </c>
      <c r="BW277" s="38" t="s">
        <v>337</v>
      </c>
      <c r="BX277" s="38" t="s">
        <v>40</v>
      </c>
      <c r="BY277" s="38" t="s">
        <v>41</v>
      </c>
      <c r="BZ277" s="38" t="s">
        <v>57</v>
      </c>
      <c r="CA277" s="38" t="s">
        <v>41</v>
      </c>
      <c r="CB277" s="38" t="s">
        <v>41</v>
      </c>
      <c r="CC277" s="38" t="s">
        <v>40</v>
      </c>
      <c r="CD277" s="38" t="s">
        <v>41</v>
      </c>
      <c r="CE277" s="38" t="s">
        <v>41</v>
      </c>
      <c r="CF277" s="36" t="s">
        <v>40</v>
      </c>
    </row>
    <row r="278" spans="1:84" ht="18">
      <c r="A278" s="51" t="s">
        <v>935</v>
      </c>
      <c r="B278" s="51"/>
      <c r="C278" s="52" t="s">
        <v>5225</v>
      </c>
      <c r="D278" s="52" t="s">
        <v>5192</v>
      </c>
      <c r="E278" s="52" t="s">
        <v>2746</v>
      </c>
      <c r="F278" s="52" t="s">
        <v>2746</v>
      </c>
      <c r="G278" s="52" t="s">
        <v>5527</v>
      </c>
      <c r="H278" s="52" t="s">
        <v>5527</v>
      </c>
      <c r="I278" s="52" t="s">
        <v>8211</v>
      </c>
      <c r="J278" s="52" t="s">
        <v>5316</v>
      </c>
      <c r="K278" s="52" t="s">
        <v>8374</v>
      </c>
      <c r="L278" s="52" t="s">
        <v>8430</v>
      </c>
      <c r="M278" s="52" t="s">
        <v>5845</v>
      </c>
      <c r="N278" s="52" t="s">
        <v>8291</v>
      </c>
      <c r="O278" s="52" t="s">
        <v>1629</v>
      </c>
      <c r="P278" s="52" t="s">
        <v>8621</v>
      </c>
      <c r="Q278" s="52" t="s">
        <v>8621</v>
      </c>
      <c r="R278" s="52" t="s">
        <v>1569</v>
      </c>
      <c r="S278" s="52" t="s">
        <v>8544</v>
      </c>
      <c r="T278" s="52" t="s">
        <v>5625</v>
      </c>
      <c r="U278" s="52" t="s">
        <v>5625</v>
      </c>
      <c r="V278" s="84"/>
      <c r="W278" s="52" t="s">
        <v>4413</v>
      </c>
      <c r="X278" s="52" t="s">
        <v>6487</v>
      </c>
      <c r="Y278" s="52" t="s">
        <v>2360</v>
      </c>
      <c r="Z278" s="52" t="s">
        <v>2360</v>
      </c>
      <c r="AA278" s="52" t="s">
        <v>2360</v>
      </c>
      <c r="AB278" s="52" t="s">
        <v>5943</v>
      </c>
      <c r="AC278" s="52" t="s">
        <v>5943</v>
      </c>
      <c r="AD278" s="52" t="s">
        <v>4633</v>
      </c>
      <c r="AE278" s="52" t="s">
        <v>6045</v>
      </c>
      <c r="AF278" s="52" t="s">
        <v>6045</v>
      </c>
      <c r="AG278" s="186" t="s">
        <v>7067</v>
      </c>
      <c r="AH278" s="186" t="s">
        <v>7067</v>
      </c>
      <c r="AI278" s="186" t="s">
        <v>7067</v>
      </c>
      <c r="AJ278" s="52" t="s">
        <v>6125</v>
      </c>
      <c r="AK278" s="52" t="s">
        <v>1893</v>
      </c>
      <c r="AL278" s="52" t="s">
        <v>1893</v>
      </c>
      <c r="AM278" s="52" t="s">
        <v>5360</v>
      </c>
      <c r="AN278" s="52" t="s">
        <v>5375</v>
      </c>
      <c r="AO278" s="52" t="s">
        <v>4259</v>
      </c>
      <c r="AP278" s="52" t="s">
        <v>1025</v>
      </c>
      <c r="AQ278" s="52" t="s">
        <v>1025</v>
      </c>
      <c r="AR278" s="52"/>
      <c r="AS278" s="52" t="s">
        <v>1025</v>
      </c>
      <c r="AT278" s="52" t="s">
        <v>1025</v>
      </c>
      <c r="AU278" s="52" t="s">
        <v>1025</v>
      </c>
      <c r="AV278" s="52" t="s">
        <v>4330</v>
      </c>
      <c r="AW278" s="52" t="s">
        <v>4330</v>
      </c>
      <c r="AX278" s="52" t="s">
        <v>1293</v>
      </c>
      <c r="AY278" s="52" t="s">
        <v>1293</v>
      </c>
      <c r="AZ278" s="52" t="s">
        <v>3727</v>
      </c>
      <c r="BA278" s="52" t="s">
        <v>3640</v>
      </c>
      <c r="BB278" s="52" t="s">
        <v>3544</v>
      </c>
      <c r="BC278" s="52" t="s">
        <v>4934</v>
      </c>
      <c r="BD278" s="52" t="s">
        <v>7661</v>
      </c>
      <c r="BE278" s="52" t="s">
        <v>4903</v>
      </c>
      <c r="BF278" s="52" t="s">
        <v>7662</v>
      </c>
      <c r="BG278" s="52" t="s">
        <v>4934</v>
      </c>
      <c r="BH278" s="52" t="s">
        <v>7661</v>
      </c>
      <c r="BI278" s="52" t="s">
        <v>7661</v>
      </c>
      <c r="BJ278" s="52" t="s">
        <v>4934</v>
      </c>
      <c r="BK278" s="52"/>
      <c r="BL278" s="52"/>
      <c r="BM278" s="52" t="s">
        <v>0</v>
      </c>
      <c r="BN278" s="52" t="s">
        <v>3865</v>
      </c>
      <c r="BO278" s="52"/>
      <c r="BP278" s="52" t="s">
        <v>2246</v>
      </c>
      <c r="BQ278" s="52" t="s">
        <v>2309</v>
      </c>
      <c r="BR278" s="52" t="s">
        <v>2696</v>
      </c>
      <c r="BS278" s="52" t="s">
        <v>2696</v>
      </c>
      <c r="BT278" s="52" t="s">
        <v>2696</v>
      </c>
      <c r="BU278" s="84" t="s">
        <v>2877</v>
      </c>
      <c r="BV278" s="84"/>
      <c r="BW278" s="52"/>
      <c r="BX278" s="52" t="s">
        <v>3938</v>
      </c>
      <c r="BY278" s="52" t="s">
        <v>3770</v>
      </c>
      <c r="BZ278" s="52" t="s">
        <v>6254</v>
      </c>
      <c r="CA278" s="52" t="s">
        <v>3124</v>
      </c>
      <c r="CB278" s="52" t="s">
        <v>3124</v>
      </c>
      <c r="CC278" s="52"/>
      <c r="CD278" s="52"/>
      <c r="CE278" s="52" t="s">
        <v>3215</v>
      </c>
      <c r="CF278" s="52" t="s">
        <v>2186</v>
      </c>
    </row>
    <row r="279" spans="1:84" ht="21.95" customHeight="1">
      <c r="A279" s="62" t="s">
        <v>6822</v>
      </c>
      <c r="B279" s="200" t="s">
        <v>6823</v>
      </c>
      <c r="C279" s="38" t="s">
        <v>57</v>
      </c>
      <c r="D279" s="38" t="s">
        <v>57</v>
      </c>
      <c r="E279" s="38" t="s">
        <v>57</v>
      </c>
      <c r="F279" s="38" t="s">
        <v>57</v>
      </c>
      <c r="G279" s="38" t="s">
        <v>57</v>
      </c>
      <c r="H279" s="38" t="s">
        <v>57</v>
      </c>
      <c r="I279" s="38" t="s">
        <v>57</v>
      </c>
      <c r="J279" s="38" t="s">
        <v>57</v>
      </c>
      <c r="K279" s="38" t="s">
        <v>57</v>
      </c>
      <c r="L279" s="38" t="s">
        <v>57</v>
      </c>
      <c r="M279" s="38" t="s">
        <v>57</v>
      </c>
      <c r="N279" s="38" t="s">
        <v>57</v>
      </c>
      <c r="O279" s="38" t="s">
        <v>57</v>
      </c>
      <c r="P279" s="38" t="s">
        <v>57</v>
      </c>
      <c r="Q279" s="38" t="s">
        <v>57</v>
      </c>
      <c r="R279" s="38" t="s">
        <v>57</v>
      </c>
      <c r="S279" s="38" t="s">
        <v>57</v>
      </c>
      <c r="T279" s="38" t="s">
        <v>57</v>
      </c>
      <c r="U279" s="38" t="s">
        <v>57</v>
      </c>
      <c r="V279" s="145" t="s">
        <v>57</v>
      </c>
      <c r="W279" s="36" t="s">
        <v>4397</v>
      </c>
      <c r="X279" s="36" t="s">
        <v>6482</v>
      </c>
      <c r="Y279" s="38" t="s">
        <v>57</v>
      </c>
      <c r="Z279" s="38" t="s">
        <v>57</v>
      </c>
      <c r="AA279" s="38" t="s">
        <v>57</v>
      </c>
      <c r="AB279" s="38" t="s">
        <v>57</v>
      </c>
      <c r="AC279" s="38" t="s">
        <v>57</v>
      </c>
      <c r="AD279" s="38" t="s">
        <v>57</v>
      </c>
      <c r="AE279" s="7" t="s">
        <v>196</v>
      </c>
      <c r="AF279" s="7" t="s">
        <v>1685</v>
      </c>
      <c r="AG279" s="7" t="s">
        <v>196</v>
      </c>
      <c r="AH279" s="7" t="s">
        <v>196</v>
      </c>
      <c r="AI279" s="7" t="s">
        <v>7166</v>
      </c>
      <c r="AJ279" s="7" t="s">
        <v>3454</v>
      </c>
      <c r="AK279" s="7" t="s">
        <v>0</v>
      </c>
      <c r="AL279" s="37" t="s">
        <v>4179</v>
      </c>
      <c r="AM279" s="38" t="s">
        <v>57</v>
      </c>
      <c r="AN279" s="36" t="s">
        <v>5378</v>
      </c>
      <c r="AO279" s="38" t="s">
        <v>57</v>
      </c>
      <c r="AP279" s="38" t="s">
        <v>57</v>
      </c>
      <c r="AQ279" s="38" t="s">
        <v>57</v>
      </c>
      <c r="AR279" s="36" t="s">
        <v>916</v>
      </c>
      <c r="AS279" s="36" t="s">
        <v>6361</v>
      </c>
      <c r="AT279" s="36" t="s">
        <v>1956</v>
      </c>
      <c r="AU279" s="36" t="s">
        <v>1956</v>
      </c>
      <c r="AV279" s="38" t="s">
        <v>57</v>
      </c>
      <c r="AW279" s="38" t="s">
        <v>57</v>
      </c>
      <c r="AX279" s="36" t="s">
        <v>5050</v>
      </c>
      <c r="AY279" s="36" t="s">
        <v>57</v>
      </c>
      <c r="AZ279" s="38" t="s">
        <v>57</v>
      </c>
      <c r="BA279" s="38" t="s">
        <v>57</v>
      </c>
      <c r="BB279" s="36" t="s">
        <v>4491</v>
      </c>
      <c r="BC279" s="38" t="s">
        <v>57</v>
      </c>
      <c r="BD279" s="36" t="s">
        <v>57</v>
      </c>
      <c r="BE279" s="38" t="s">
        <v>57</v>
      </c>
      <c r="BF279" s="36" t="s">
        <v>57</v>
      </c>
      <c r="BG279" s="38" t="s">
        <v>57</v>
      </c>
      <c r="BH279" s="36" t="s">
        <v>57</v>
      </c>
      <c r="BI279" s="36" t="s">
        <v>57</v>
      </c>
      <c r="BJ279" s="38" t="s">
        <v>57</v>
      </c>
      <c r="BK279" s="38" t="s">
        <v>57</v>
      </c>
      <c r="BL279" s="36" t="s">
        <v>569</v>
      </c>
      <c r="BM279" s="38" t="s">
        <v>0</v>
      </c>
      <c r="BN279" s="38" t="s">
        <v>57</v>
      </c>
      <c r="BO279" s="38"/>
      <c r="BP279" s="36" t="s">
        <v>2261</v>
      </c>
      <c r="BQ279" s="36" t="s">
        <v>2261</v>
      </c>
      <c r="BR279" s="38" t="s">
        <v>57</v>
      </c>
      <c r="BS279" s="38" t="s">
        <v>57</v>
      </c>
      <c r="BT279" s="38" t="s">
        <v>57</v>
      </c>
      <c r="BU279" s="36" t="s">
        <v>57</v>
      </c>
      <c r="BV279" s="36" t="s">
        <v>57</v>
      </c>
      <c r="BW279" s="38" t="s">
        <v>57</v>
      </c>
      <c r="BX279" s="36" t="s">
        <v>3937</v>
      </c>
      <c r="BY279" s="36" t="s">
        <v>6151</v>
      </c>
      <c r="BZ279" s="36" t="s">
        <v>57</v>
      </c>
      <c r="CA279" s="38" t="s">
        <v>57</v>
      </c>
      <c r="CB279" s="38" t="s">
        <v>57</v>
      </c>
      <c r="CC279" s="38" t="s">
        <v>57</v>
      </c>
      <c r="CD279" s="38" t="s">
        <v>57</v>
      </c>
      <c r="CE279" s="38" t="s">
        <v>57</v>
      </c>
      <c r="CF279" s="38" t="s">
        <v>57</v>
      </c>
    </row>
    <row r="280" spans="1:84">
      <c r="A280" s="51" t="s">
        <v>935</v>
      </c>
      <c r="B280" s="51"/>
      <c r="C280" s="52" t="s">
        <v>5226</v>
      </c>
      <c r="D280" s="52" t="s">
        <v>5226</v>
      </c>
      <c r="E280" s="52" t="s">
        <v>2747</v>
      </c>
      <c r="F280" s="52" t="s">
        <v>2747</v>
      </c>
      <c r="G280" s="52" t="s">
        <v>1470</v>
      </c>
      <c r="H280" s="52" t="s">
        <v>1470</v>
      </c>
      <c r="I280" s="52" t="s">
        <v>8212</v>
      </c>
      <c r="J280" s="52" t="s">
        <v>1678</v>
      </c>
      <c r="K280" s="52" t="s">
        <v>8212</v>
      </c>
      <c r="L280" s="52" t="s">
        <v>8212</v>
      </c>
      <c r="M280" s="52" t="s">
        <v>1678</v>
      </c>
      <c r="N280" s="52" t="s">
        <v>8212</v>
      </c>
      <c r="O280" s="52" t="s">
        <v>1678</v>
      </c>
      <c r="P280" s="52" t="s">
        <v>8212</v>
      </c>
      <c r="Q280" s="52" t="s">
        <v>8212</v>
      </c>
      <c r="R280" s="52" t="s">
        <v>1678</v>
      </c>
      <c r="S280" s="52" t="s">
        <v>8212</v>
      </c>
      <c r="T280" s="119" t="s">
        <v>5620</v>
      </c>
      <c r="U280" s="119" t="s">
        <v>5620</v>
      </c>
      <c r="V280" s="84"/>
      <c r="W280" s="52" t="s">
        <v>4414</v>
      </c>
      <c r="X280" s="52" t="s">
        <v>6483</v>
      </c>
      <c r="Y280" s="52" t="s">
        <v>2417</v>
      </c>
      <c r="Z280" s="52" t="s">
        <v>2417</v>
      </c>
      <c r="AA280" s="52" t="s">
        <v>2417</v>
      </c>
      <c r="AB280" s="52" t="s">
        <v>4764</v>
      </c>
      <c r="AC280" s="52" t="s">
        <v>4764</v>
      </c>
      <c r="AD280" s="52" t="s">
        <v>4764</v>
      </c>
      <c r="AE280" s="52" t="s">
        <v>6046</v>
      </c>
      <c r="AF280" s="52" t="s">
        <v>6047</v>
      </c>
      <c r="AG280" s="186" t="s">
        <v>7068</v>
      </c>
      <c r="AH280" s="186" t="s">
        <v>7068</v>
      </c>
      <c r="AI280" s="186" t="s">
        <v>7167</v>
      </c>
      <c r="AJ280" s="52" t="s">
        <v>6123</v>
      </c>
      <c r="AK280" s="52" t="s">
        <v>4186</v>
      </c>
      <c r="AL280" s="52" t="s">
        <v>4186</v>
      </c>
      <c r="AM280" s="52" t="s">
        <v>5427</v>
      </c>
      <c r="AN280" s="52" t="s">
        <v>5428</v>
      </c>
      <c r="AO280" s="52" t="s">
        <v>4260</v>
      </c>
      <c r="AP280" s="52" t="s">
        <v>2569</v>
      </c>
      <c r="AQ280" s="52" t="s">
        <v>2569</v>
      </c>
      <c r="AR280" s="52"/>
      <c r="AS280" s="52" t="s">
        <v>1025</v>
      </c>
      <c r="AT280" s="52" t="s">
        <v>1025</v>
      </c>
      <c r="AU280" s="52" t="s">
        <v>1025</v>
      </c>
      <c r="AV280" s="52" t="s">
        <v>4331</v>
      </c>
      <c r="AW280" s="52" t="s">
        <v>4331</v>
      </c>
      <c r="AX280" s="52" t="s">
        <v>5049</v>
      </c>
      <c r="AY280" s="52" t="s">
        <v>1342</v>
      </c>
      <c r="AZ280" s="52" t="s">
        <v>3726</v>
      </c>
      <c r="BA280" s="52" t="s">
        <v>3637</v>
      </c>
      <c r="BB280" s="52" t="s">
        <v>3543</v>
      </c>
      <c r="BC280" s="52" t="s">
        <v>4935</v>
      </c>
      <c r="BD280" s="52" t="s">
        <v>7665</v>
      </c>
      <c r="BE280" s="52" t="s">
        <v>4935</v>
      </c>
      <c r="BF280" s="52" t="s">
        <v>7665</v>
      </c>
      <c r="BG280" s="52" t="s">
        <v>4935</v>
      </c>
      <c r="BH280" s="52" t="s">
        <v>7665</v>
      </c>
      <c r="BI280" s="52" t="s">
        <v>7665</v>
      </c>
      <c r="BJ280" s="52" t="s">
        <v>4935</v>
      </c>
      <c r="BK280" s="52"/>
      <c r="BL280" s="52"/>
      <c r="BM280" s="52" t="s">
        <v>0</v>
      </c>
      <c r="BN280" s="52" t="s">
        <v>3891</v>
      </c>
      <c r="BO280" s="52"/>
      <c r="BP280" s="52" t="s">
        <v>2281</v>
      </c>
      <c r="BQ280" s="52" t="s">
        <v>2281</v>
      </c>
      <c r="BR280" s="52" t="s">
        <v>2697</v>
      </c>
      <c r="BS280" s="52" t="s">
        <v>2697</v>
      </c>
      <c r="BT280" s="52" t="s">
        <v>2697</v>
      </c>
      <c r="BU280" s="84" t="s">
        <v>2878</v>
      </c>
      <c r="BV280" s="84"/>
      <c r="BW280" s="52"/>
      <c r="BX280" s="52" t="s">
        <v>3936</v>
      </c>
      <c r="BY280" s="52" t="s">
        <v>3771</v>
      </c>
      <c r="BZ280" s="52" t="s">
        <v>6249</v>
      </c>
      <c r="CA280" s="52" t="s">
        <v>3174</v>
      </c>
      <c r="CB280" s="52" t="s">
        <v>3174</v>
      </c>
      <c r="CC280" s="52"/>
      <c r="CD280" s="52"/>
      <c r="CE280" s="52" t="s">
        <v>3259</v>
      </c>
      <c r="CF280" s="52" t="s">
        <v>2187</v>
      </c>
    </row>
    <row r="281" spans="1:84" ht="27">
      <c r="A281" s="62" t="s">
        <v>42</v>
      </c>
      <c r="B281" s="200" t="s">
        <v>6827</v>
      </c>
      <c r="C281" s="38" t="s">
        <v>57</v>
      </c>
      <c r="D281" s="38" t="s">
        <v>57</v>
      </c>
      <c r="E281" s="38" t="s">
        <v>57</v>
      </c>
      <c r="F281" s="38" t="s">
        <v>57</v>
      </c>
      <c r="G281" s="38" t="s">
        <v>57</v>
      </c>
      <c r="H281" s="36" t="s">
        <v>57</v>
      </c>
      <c r="I281" s="36" t="s">
        <v>8922</v>
      </c>
      <c r="J281" s="36" t="s">
        <v>504</v>
      </c>
      <c r="K281" s="36" t="s">
        <v>8923</v>
      </c>
      <c r="L281" s="36" t="s">
        <v>57</v>
      </c>
      <c r="M281" s="38" t="s">
        <v>57</v>
      </c>
      <c r="N281" s="36" t="s">
        <v>8924</v>
      </c>
      <c r="O281" s="38" t="s">
        <v>57</v>
      </c>
      <c r="P281" s="36" t="s">
        <v>57</v>
      </c>
      <c r="Q281" s="36" t="s">
        <v>57</v>
      </c>
      <c r="R281" s="38" t="s">
        <v>57</v>
      </c>
      <c r="S281" s="36" t="s">
        <v>57</v>
      </c>
      <c r="T281" s="36" t="s">
        <v>57</v>
      </c>
      <c r="U281" s="36" t="s">
        <v>57</v>
      </c>
      <c r="V281" s="145" t="s">
        <v>57</v>
      </c>
      <c r="W281" s="36" t="s">
        <v>4416</v>
      </c>
      <c r="X281" s="36" t="s">
        <v>6478</v>
      </c>
      <c r="Y281" s="38" t="s">
        <v>57</v>
      </c>
      <c r="Z281" s="38" t="s">
        <v>57</v>
      </c>
      <c r="AA281" s="38" t="s">
        <v>57</v>
      </c>
      <c r="AB281" s="38" t="s">
        <v>57</v>
      </c>
      <c r="AC281" s="38" t="s">
        <v>57</v>
      </c>
      <c r="AD281" s="36" t="s">
        <v>0</v>
      </c>
      <c r="AE281" s="7" t="s">
        <v>196</v>
      </c>
      <c r="AF281" s="7" t="s">
        <v>196</v>
      </c>
      <c r="AG281" s="7" t="s">
        <v>196</v>
      </c>
      <c r="AH281" s="7" t="s">
        <v>196</v>
      </c>
      <c r="AI281" s="7" t="s">
        <v>196</v>
      </c>
      <c r="AJ281" s="7" t="s">
        <v>57</v>
      </c>
      <c r="AK281" s="7" t="s">
        <v>57</v>
      </c>
      <c r="AL281" s="34" t="s">
        <v>57</v>
      </c>
      <c r="AM281" s="38" t="s">
        <v>57</v>
      </c>
      <c r="AN281" s="38" t="s">
        <v>57</v>
      </c>
      <c r="AO281" s="38" t="s">
        <v>57</v>
      </c>
      <c r="AP281" s="38" t="s">
        <v>57</v>
      </c>
      <c r="AQ281" s="158" t="s">
        <v>57</v>
      </c>
      <c r="AR281" s="38" t="s">
        <v>57</v>
      </c>
      <c r="AS281" s="36" t="s">
        <v>734</v>
      </c>
      <c r="AT281" s="36" t="s">
        <v>734</v>
      </c>
      <c r="AU281" s="36" t="s">
        <v>734</v>
      </c>
      <c r="AV281" s="38" t="s">
        <v>57</v>
      </c>
      <c r="AW281" s="38" t="s">
        <v>57</v>
      </c>
      <c r="AX281" s="38" t="s">
        <v>57</v>
      </c>
      <c r="AY281" s="38" t="s">
        <v>57</v>
      </c>
      <c r="AZ281" s="38" t="s">
        <v>57</v>
      </c>
      <c r="BA281" s="38" t="s">
        <v>57</v>
      </c>
      <c r="BB281" s="38" t="s">
        <v>57</v>
      </c>
      <c r="BC281" s="38" t="s">
        <v>57</v>
      </c>
      <c r="BD281" s="36" t="s">
        <v>57</v>
      </c>
      <c r="BE281" s="38" t="s">
        <v>57</v>
      </c>
      <c r="BF281" s="36" t="s">
        <v>57</v>
      </c>
      <c r="BG281" s="38" t="s">
        <v>57</v>
      </c>
      <c r="BH281" s="36" t="s">
        <v>57</v>
      </c>
      <c r="BI281" s="36" t="s">
        <v>57</v>
      </c>
      <c r="BJ281" s="38" t="s">
        <v>57</v>
      </c>
      <c r="BK281" s="38" t="s">
        <v>57</v>
      </c>
      <c r="BL281" s="38" t="s">
        <v>57</v>
      </c>
      <c r="BM281" s="38" t="s">
        <v>0</v>
      </c>
      <c r="BN281" s="38" t="s">
        <v>57</v>
      </c>
      <c r="BO281" s="38"/>
      <c r="BP281" s="38" t="s">
        <v>57</v>
      </c>
      <c r="BQ281" s="38" t="s">
        <v>57</v>
      </c>
      <c r="BR281" s="38" t="s">
        <v>57</v>
      </c>
      <c r="BS281" s="38" t="s">
        <v>57</v>
      </c>
      <c r="BT281" s="38" t="s">
        <v>57</v>
      </c>
      <c r="BU281" s="36" t="s">
        <v>57</v>
      </c>
      <c r="BV281" s="36" t="s">
        <v>57</v>
      </c>
      <c r="BW281" s="38" t="s">
        <v>57</v>
      </c>
      <c r="BX281" s="38" t="s">
        <v>57</v>
      </c>
      <c r="BY281" s="38" t="s">
        <v>57</v>
      </c>
      <c r="BZ281" s="36" t="s">
        <v>6208</v>
      </c>
      <c r="CA281" s="38" t="s">
        <v>57</v>
      </c>
      <c r="CB281" s="38" t="s">
        <v>57</v>
      </c>
      <c r="CC281" s="38" t="s">
        <v>57</v>
      </c>
      <c r="CD281" s="38" t="s">
        <v>57</v>
      </c>
      <c r="CE281" s="38" t="s">
        <v>57</v>
      </c>
      <c r="CF281" s="38" t="s">
        <v>402</v>
      </c>
    </row>
    <row r="282" spans="1:84">
      <c r="A282" s="51" t="s">
        <v>935</v>
      </c>
      <c r="B282" s="51"/>
      <c r="C282" s="52" t="s">
        <v>5229</v>
      </c>
      <c r="D282" s="52" t="s">
        <v>5229</v>
      </c>
      <c r="E282" s="52" t="s">
        <v>2749</v>
      </c>
      <c r="F282" s="52" t="s">
        <v>2749</v>
      </c>
      <c r="G282" s="52" t="s">
        <v>5523</v>
      </c>
      <c r="H282" s="52" t="s">
        <v>5523</v>
      </c>
      <c r="I282" s="52" t="s">
        <v>8235</v>
      </c>
      <c r="J282" s="52" t="s">
        <v>5312</v>
      </c>
      <c r="K282" s="52" t="s">
        <v>8373</v>
      </c>
      <c r="L282" s="52" t="s">
        <v>8428</v>
      </c>
      <c r="M282" s="52" t="s">
        <v>3335</v>
      </c>
      <c r="N282" s="52" t="s">
        <v>8285</v>
      </c>
      <c r="O282" s="52" t="s">
        <v>3373</v>
      </c>
      <c r="P282" s="52" t="s">
        <v>8620</v>
      </c>
      <c r="Q282" s="52" t="s">
        <v>8620</v>
      </c>
      <c r="R282" s="52" t="s">
        <v>1566</v>
      </c>
      <c r="S282" s="52" t="s">
        <v>8543</v>
      </c>
      <c r="T282" s="119" t="s">
        <v>5621</v>
      </c>
      <c r="U282" s="119" t="s">
        <v>5621</v>
      </c>
      <c r="V282" s="84"/>
      <c r="W282" s="52" t="s">
        <v>4415</v>
      </c>
      <c r="X282" s="52" t="s">
        <v>6479</v>
      </c>
      <c r="Y282" s="52" t="s">
        <v>2352</v>
      </c>
      <c r="Z282" s="52" t="s">
        <v>2352</v>
      </c>
      <c r="AA282" s="52" t="s">
        <v>2352</v>
      </c>
      <c r="AB282" s="52" t="s">
        <v>4763</v>
      </c>
      <c r="AC282" s="52" t="s">
        <v>4763</v>
      </c>
      <c r="AD282" s="52" t="s">
        <v>0</v>
      </c>
      <c r="AE282" s="52" t="s">
        <v>6049</v>
      </c>
      <c r="AF282" s="52" t="s">
        <v>6049</v>
      </c>
      <c r="AG282" s="186" t="s">
        <v>7074</v>
      </c>
      <c r="AH282" s="186" t="s">
        <v>7074</v>
      </c>
      <c r="AI282" s="186" t="s">
        <v>7074</v>
      </c>
      <c r="AJ282" s="52" t="s">
        <v>6122</v>
      </c>
      <c r="AK282" s="52" t="s">
        <v>1901</v>
      </c>
      <c r="AL282" s="52" t="s">
        <v>1901</v>
      </c>
      <c r="AM282" s="52" t="s">
        <v>5430</v>
      </c>
      <c r="AN282" s="52" t="s">
        <v>5430</v>
      </c>
      <c r="AO282" s="52" t="s">
        <v>4262</v>
      </c>
      <c r="AP282" s="52" t="s">
        <v>2570</v>
      </c>
      <c r="AQ282" s="52" t="s">
        <v>2570</v>
      </c>
      <c r="AR282" s="52"/>
      <c r="AS282" s="52" t="s">
        <v>1025</v>
      </c>
      <c r="AT282" s="52" t="s">
        <v>1025</v>
      </c>
      <c r="AU282" s="52" t="s">
        <v>1025</v>
      </c>
      <c r="AV282" s="52" t="s">
        <v>4332</v>
      </c>
      <c r="AW282" s="52" t="s">
        <v>4332</v>
      </c>
      <c r="AX282" s="52" t="s">
        <v>1362</v>
      </c>
      <c r="AY282" s="52" t="s">
        <v>1362</v>
      </c>
      <c r="AZ282" s="52" t="s">
        <v>3667</v>
      </c>
      <c r="BA282" s="52" t="s">
        <v>3581</v>
      </c>
      <c r="BB282" s="52" t="s">
        <v>3488</v>
      </c>
      <c r="BC282" s="52" t="s">
        <v>4936</v>
      </c>
      <c r="BD282" s="52" t="s">
        <v>7667</v>
      </c>
      <c r="BE282" s="52" t="s">
        <v>4936</v>
      </c>
      <c r="BF282" s="52" t="s">
        <v>7667</v>
      </c>
      <c r="BG282" s="52" t="s">
        <v>4936</v>
      </c>
      <c r="BH282" s="52" t="s">
        <v>7667</v>
      </c>
      <c r="BI282" s="52" t="s">
        <v>7667</v>
      </c>
      <c r="BJ282" s="52" t="s">
        <v>4936</v>
      </c>
      <c r="BK282" s="52"/>
      <c r="BL282" s="52"/>
      <c r="BM282" s="52" t="s">
        <v>0</v>
      </c>
      <c r="BN282" s="52" t="s">
        <v>2312</v>
      </c>
      <c r="BO282" s="52"/>
      <c r="BP282" s="52" t="s">
        <v>2312</v>
      </c>
      <c r="BQ282" s="52" t="s">
        <v>2312</v>
      </c>
      <c r="BR282" s="52" t="s">
        <v>2698</v>
      </c>
      <c r="BS282" s="52" t="s">
        <v>2698</v>
      </c>
      <c r="BT282" s="52" t="s">
        <v>2698</v>
      </c>
      <c r="BU282" s="84" t="s">
        <v>2881</v>
      </c>
      <c r="BV282" s="84"/>
      <c r="BW282" s="52"/>
      <c r="BX282" s="52" t="s">
        <v>3827</v>
      </c>
      <c r="BY282" s="52" t="s">
        <v>3827</v>
      </c>
      <c r="BZ282" s="52" t="s">
        <v>6247</v>
      </c>
      <c r="CA282" s="52" t="s">
        <v>3173</v>
      </c>
      <c r="CB282" s="52" t="s">
        <v>3173</v>
      </c>
      <c r="CC282" s="52"/>
      <c r="CD282" s="52"/>
      <c r="CE282" s="52" t="s">
        <v>3261</v>
      </c>
      <c r="CF282" s="52" t="s">
        <v>2139</v>
      </c>
    </row>
    <row r="283" spans="1:84" ht="27">
      <c r="A283" s="62" t="s">
        <v>38</v>
      </c>
      <c r="B283" s="200"/>
      <c r="C283" s="36" t="s">
        <v>311</v>
      </c>
      <c r="D283" s="36" t="s">
        <v>5228</v>
      </c>
      <c r="E283" s="36" t="s">
        <v>3744</v>
      </c>
      <c r="F283" s="36" t="s">
        <v>2734</v>
      </c>
      <c r="G283" s="36" t="s">
        <v>57</v>
      </c>
      <c r="H283" s="36" t="s">
        <v>57</v>
      </c>
      <c r="I283" s="38" t="s">
        <v>851</v>
      </c>
      <c r="J283" s="36" t="s">
        <v>311</v>
      </c>
      <c r="K283" s="38" t="s">
        <v>851</v>
      </c>
      <c r="L283" s="38" t="s">
        <v>851</v>
      </c>
      <c r="M283" s="36" t="s">
        <v>311</v>
      </c>
      <c r="N283" s="38" t="s">
        <v>851</v>
      </c>
      <c r="O283" s="36" t="s">
        <v>311</v>
      </c>
      <c r="P283" s="38" t="s">
        <v>851</v>
      </c>
      <c r="Q283" s="38" t="s">
        <v>851</v>
      </c>
      <c r="R283" s="36" t="s">
        <v>311</v>
      </c>
      <c r="S283" s="38" t="s">
        <v>851</v>
      </c>
      <c r="T283" s="36" t="s">
        <v>851</v>
      </c>
      <c r="U283" s="36" t="s">
        <v>5617</v>
      </c>
      <c r="V283" s="145" t="s">
        <v>5737</v>
      </c>
      <c r="W283" s="38" t="s">
        <v>828</v>
      </c>
      <c r="X283" s="38" t="s">
        <v>1410</v>
      </c>
      <c r="Y283" s="38" t="s">
        <v>0</v>
      </c>
      <c r="Z283" s="38" t="s">
        <v>2362</v>
      </c>
      <c r="AA283" s="38" t="s">
        <v>356</v>
      </c>
      <c r="AB283" s="36" t="s">
        <v>311</v>
      </c>
      <c r="AC283" s="36" t="s">
        <v>311</v>
      </c>
      <c r="AD283" s="38" t="s">
        <v>2362</v>
      </c>
      <c r="AE283" s="7" t="s">
        <v>311</v>
      </c>
      <c r="AF283" s="7" t="s">
        <v>311</v>
      </c>
      <c r="AG283" s="7" t="s">
        <v>435</v>
      </c>
      <c r="AH283" s="7" t="s">
        <v>435</v>
      </c>
      <c r="AI283" s="7" t="s">
        <v>435</v>
      </c>
      <c r="AJ283" s="7" t="s">
        <v>356</v>
      </c>
      <c r="AK283" s="7" t="s">
        <v>356</v>
      </c>
      <c r="AL283" s="7" t="s">
        <v>356</v>
      </c>
      <c r="AM283" s="38" t="s">
        <v>311</v>
      </c>
      <c r="AN283" s="38" t="s">
        <v>1410</v>
      </c>
      <c r="AO283" s="38" t="s">
        <v>851</v>
      </c>
      <c r="AP283" s="38" t="s">
        <v>851</v>
      </c>
      <c r="AQ283" s="38" t="s">
        <v>851</v>
      </c>
      <c r="AR283" s="36" t="s">
        <v>928</v>
      </c>
      <c r="AS283" s="38" t="s">
        <v>57</v>
      </c>
      <c r="AT283" s="38" t="s">
        <v>57</v>
      </c>
      <c r="AU283" s="38" t="s">
        <v>57</v>
      </c>
      <c r="AV283" s="38" t="s">
        <v>185</v>
      </c>
      <c r="AW283" s="38" t="s">
        <v>185</v>
      </c>
      <c r="AX283" s="36" t="s">
        <v>113</v>
      </c>
      <c r="AY283" s="36" t="s">
        <v>113</v>
      </c>
      <c r="AZ283" s="38" t="s">
        <v>57</v>
      </c>
      <c r="BA283" s="38" t="s">
        <v>57</v>
      </c>
      <c r="BB283" s="38" t="s">
        <v>57</v>
      </c>
      <c r="BC283" s="38" t="s">
        <v>4938</v>
      </c>
      <c r="BD283" s="38" t="s">
        <v>4938</v>
      </c>
      <c r="BE283" s="38" t="s">
        <v>57</v>
      </c>
      <c r="BF283" s="38" t="s">
        <v>4938</v>
      </c>
      <c r="BG283" s="38" t="s">
        <v>4938</v>
      </c>
      <c r="BH283" s="38" t="s">
        <v>4938</v>
      </c>
      <c r="BI283" s="38" t="s">
        <v>4938</v>
      </c>
      <c r="BJ283" s="38" t="s">
        <v>4938</v>
      </c>
      <c r="BK283" s="36" t="s">
        <v>547</v>
      </c>
      <c r="BL283" s="36" t="s">
        <v>547</v>
      </c>
      <c r="BM283" s="38" t="s">
        <v>0</v>
      </c>
      <c r="BN283" s="38" t="s">
        <v>1032</v>
      </c>
      <c r="BO283" s="38"/>
      <c r="BP283" s="38" t="s">
        <v>851</v>
      </c>
      <c r="BQ283" s="38" t="s">
        <v>1032</v>
      </c>
      <c r="BR283" s="38" t="s">
        <v>356</v>
      </c>
      <c r="BS283" s="38" t="s">
        <v>311</v>
      </c>
      <c r="BT283" s="38" t="s">
        <v>356</v>
      </c>
      <c r="BU283" s="36" t="s">
        <v>311</v>
      </c>
      <c r="BV283" s="36" t="s">
        <v>0</v>
      </c>
      <c r="BW283" s="38" t="s">
        <v>39</v>
      </c>
      <c r="BX283" s="38" t="s">
        <v>356</v>
      </c>
      <c r="BY283" s="38" t="s">
        <v>311</v>
      </c>
      <c r="BZ283" s="36" t="s">
        <v>6208</v>
      </c>
      <c r="CA283" s="38" t="s">
        <v>39</v>
      </c>
      <c r="CB283" s="38" t="s">
        <v>39</v>
      </c>
      <c r="CC283" s="38" t="s">
        <v>311</v>
      </c>
      <c r="CD283" s="38" t="s">
        <v>311</v>
      </c>
      <c r="CE283" s="38" t="s">
        <v>39</v>
      </c>
      <c r="CF283" s="38" t="s">
        <v>828</v>
      </c>
    </row>
    <row r="284" spans="1:84">
      <c r="A284" s="51" t="s">
        <v>935</v>
      </c>
      <c r="B284" s="51"/>
      <c r="C284" s="52" t="s">
        <v>5227</v>
      </c>
      <c r="D284" s="52" t="s">
        <v>5189</v>
      </c>
      <c r="E284" s="52" t="s">
        <v>2751</v>
      </c>
      <c r="F284" s="52" t="s">
        <v>2751</v>
      </c>
      <c r="G284" s="52" t="s">
        <v>5522</v>
      </c>
      <c r="H284" s="52" t="s">
        <v>5522</v>
      </c>
      <c r="I284" s="52" t="s">
        <v>8213</v>
      </c>
      <c r="J284" s="52" t="s">
        <v>1677</v>
      </c>
      <c r="K284" s="52" t="s">
        <v>8213</v>
      </c>
      <c r="L284" s="52" t="s">
        <v>8213</v>
      </c>
      <c r="M284" s="52" t="s">
        <v>1677</v>
      </c>
      <c r="N284" s="52" t="s">
        <v>8213</v>
      </c>
      <c r="O284" s="52" t="s">
        <v>1677</v>
      </c>
      <c r="P284" s="52" t="s">
        <v>8213</v>
      </c>
      <c r="Q284" s="52" t="s">
        <v>8213</v>
      </c>
      <c r="R284" s="52" t="s">
        <v>1677</v>
      </c>
      <c r="S284" s="52" t="s">
        <v>8213</v>
      </c>
      <c r="T284" s="52" t="s">
        <v>5618</v>
      </c>
      <c r="U284" s="52" t="s">
        <v>5618</v>
      </c>
      <c r="V284" s="84"/>
      <c r="W284" s="52" t="s">
        <v>4418</v>
      </c>
      <c r="X284" s="52" t="s">
        <v>6477</v>
      </c>
      <c r="Y284" s="52" t="s">
        <v>2361</v>
      </c>
      <c r="Z284" s="52" t="s">
        <v>2361</v>
      </c>
      <c r="AA284" s="52" t="s">
        <v>2361</v>
      </c>
      <c r="AB284" s="52" t="s">
        <v>5916</v>
      </c>
      <c r="AC284" s="52" t="s">
        <v>5941</v>
      </c>
      <c r="AD284" s="52" t="s">
        <v>4761</v>
      </c>
      <c r="AE284" s="52" t="s">
        <v>6048</v>
      </c>
      <c r="AF284" s="52" t="s">
        <v>6048</v>
      </c>
      <c r="AG284" s="186" t="s">
        <v>7069</v>
      </c>
      <c r="AH284" s="186" t="s">
        <v>7069</v>
      </c>
      <c r="AI284" s="186" t="s">
        <v>7069</v>
      </c>
      <c r="AJ284" s="52" t="s">
        <v>6122</v>
      </c>
      <c r="AK284" s="52" t="s">
        <v>1902</v>
      </c>
      <c r="AL284" s="52" t="s">
        <v>1902</v>
      </c>
      <c r="AM284" s="52" t="s">
        <v>5417</v>
      </c>
      <c r="AN284" s="52" t="s">
        <v>5377</v>
      </c>
      <c r="AO284" s="52" t="s">
        <v>4261</v>
      </c>
      <c r="AP284" s="52" t="s">
        <v>1025</v>
      </c>
      <c r="AQ284" s="52" t="s">
        <v>1025</v>
      </c>
      <c r="AR284" s="52"/>
      <c r="AS284" s="52" t="s">
        <v>2001</v>
      </c>
      <c r="AT284" s="52" t="s">
        <v>2001</v>
      </c>
      <c r="AU284" s="52" t="s">
        <v>2001</v>
      </c>
      <c r="AV284" s="52" t="s">
        <v>4333</v>
      </c>
      <c r="AW284" s="52" t="s">
        <v>4333</v>
      </c>
      <c r="AX284" s="52" t="s">
        <v>1314</v>
      </c>
      <c r="AY284" s="52" t="s">
        <v>1314</v>
      </c>
      <c r="AZ284" s="52" t="s">
        <v>3668</v>
      </c>
      <c r="BA284" s="52" t="s">
        <v>3636</v>
      </c>
      <c r="BB284" s="52" t="s">
        <v>3562</v>
      </c>
      <c r="BC284" s="52" t="s">
        <v>4937</v>
      </c>
      <c r="BD284" s="52" t="s">
        <v>7666</v>
      </c>
      <c r="BE284" s="52" t="s">
        <v>4904</v>
      </c>
      <c r="BF284" s="52" t="s">
        <v>7666</v>
      </c>
      <c r="BG284" s="52" t="s">
        <v>4937</v>
      </c>
      <c r="BH284" s="52" t="s">
        <v>7666</v>
      </c>
      <c r="BI284" s="52" t="s">
        <v>7666</v>
      </c>
      <c r="BJ284" s="52" t="s">
        <v>4937</v>
      </c>
      <c r="BK284" s="52"/>
      <c r="BL284" s="52"/>
      <c r="BM284" s="52" t="s">
        <v>0</v>
      </c>
      <c r="BN284" s="52" t="s">
        <v>2310</v>
      </c>
      <c r="BO284" s="52"/>
      <c r="BP284" s="52" t="s">
        <v>2223</v>
      </c>
      <c r="BQ284" s="52" t="s">
        <v>2310</v>
      </c>
      <c r="BR284" s="52" t="s">
        <v>2665</v>
      </c>
      <c r="BS284" s="52" t="s">
        <v>2664</v>
      </c>
      <c r="BT284" s="52" t="s">
        <v>2665</v>
      </c>
      <c r="BU284" s="84" t="s">
        <v>2879</v>
      </c>
      <c r="BV284" s="84"/>
      <c r="BW284" s="52"/>
      <c r="BX284" s="52" t="s">
        <v>3827</v>
      </c>
      <c r="BY284" s="52" t="s">
        <v>3827</v>
      </c>
      <c r="BZ284" s="52" t="s">
        <v>6246</v>
      </c>
      <c r="CA284" s="52" t="s">
        <v>3172</v>
      </c>
      <c r="CB284" s="52" t="s">
        <v>3172</v>
      </c>
      <c r="CC284" s="52"/>
      <c r="CD284" s="52"/>
      <c r="CE284" s="52" t="s">
        <v>3260</v>
      </c>
      <c r="CF284" s="52" t="s">
        <v>2197</v>
      </c>
    </row>
    <row r="285" spans="1:84" ht="27">
      <c r="A285" s="181" t="s">
        <v>6824</v>
      </c>
      <c r="B285" s="200"/>
      <c r="C285" s="181"/>
      <c r="D285" s="212" t="s">
        <v>57</v>
      </c>
      <c r="E285" s="212" t="s">
        <v>113</v>
      </c>
      <c r="F285" s="212" t="s">
        <v>57</v>
      </c>
      <c r="G285" s="242" t="s">
        <v>57</v>
      </c>
      <c r="H285" s="217" t="s">
        <v>6626</v>
      </c>
      <c r="I285" s="38" t="s">
        <v>57</v>
      </c>
      <c r="J285" s="217" t="s">
        <v>305</v>
      </c>
      <c r="K285" s="38" t="s">
        <v>57</v>
      </c>
      <c r="L285" s="38" t="s">
        <v>57</v>
      </c>
      <c r="M285" s="243" t="s">
        <v>57</v>
      </c>
      <c r="N285" s="38" t="s">
        <v>57</v>
      </c>
      <c r="O285" s="212" t="s">
        <v>113</v>
      </c>
      <c r="P285" s="38" t="s">
        <v>57</v>
      </c>
      <c r="Q285" s="38" t="s">
        <v>57</v>
      </c>
      <c r="R285" s="214" t="s">
        <v>0</v>
      </c>
      <c r="S285" s="38" t="s">
        <v>57</v>
      </c>
      <c r="T285" s="214" t="s">
        <v>0</v>
      </c>
      <c r="U285" s="214" t="s">
        <v>6627</v>
      </c>
      <c r="V285" s="212" t="s">
        <v>57</v>
      </c>
      <c r="W285" s="212" t="s">
        <v>57</v>
      </c>
      <c r="X285" s="212" t="s">
        <v>0</v>
      </c>
      <c r="Y285" s="244" t="s">
        <v>197</v>
      </c>
      <c r="Z285" s="245" t="s">
        <v>57</v>
      </c>
      <c r="AA285" s="218" t="s">
        <v>113</v>
      </c>
      <c r="AB285" s="219" t="s">
        <v>6628</v>
      </c>
      <c r="AC285" s="219" t="s">
        <v>6628</v>
      </c>
      <c r="AD285" s="244" t="s">
        <v>0</v>
      </c>
      <c r="AE285" s="218" t="s">
        <v>57</v>
      </c>
      <c r="AF285" s="212" t="s">
        <v>0</v>
      </c>
      <c r="AG285" s="7" t="s">
        <v>196</v>
      </c>
      <c r="AH285" s="7" t="s">
        <v>196</v>
      </c>
      <c r="AI285" s="7" t="s">
        <v>7170</v>
      </c>
      <c r="AJ285" s="219" t="s">
        <v>6629</v>
      </c>
      <c r="AK285" s="219" t="s">
        <v>6629</v>
      </c>
      <c r="AL285" s="212" t="s">
        <v>6630</v>
      </c>
      <c r="AM285" s="212" t="s">
        <v>6631</v>
      </c>
      <c r="AN285" s="212" t="s">
        <v>57</v>
      </c>
      <c r="AO285" s="212" t="s">
        <v>0</v>
      </c>
      <c r="AP285" s="212" t="s">
        <v>57</v>
      </c>
      <c r="AQ285" s="214" t="s">
        <v>0</v>
      </c>
      <c r="AR285" s="214" t="s">
        <v>57</v>
      </c>
      <c r="AS285" s="214" t="s">
        <v>210</v>
      </c>
      <c r="AT285" s="214" t="s">
        <v>57</v>
      </c>
      <c r="AU285" s="212" t="s">
        <v>197</v>
      </c>
      <c r="AV285" s="212" t="s">
        <v>0</v>
      </c>
      <c r="AW285" s="212" t="s">
        <v>57</v>
      </c>
      <c r="AX285" s="212" t="s">
        <v>57</v>
      </c>
      <c r="AY285" s="212" t="s">
        <v>197</v>
      </c>
      <c r="AZ285" s="212" t="s">
        <v>0</v>
      </c>
      <c r="BA285" s="212" t="s">
        <v>6632</v>
      </c>
      <c r="BB285" s="214" t="s">
        <v>0</v>
      </c>
      <c r="BC285" s="212" t="s">
        <v>0</v>
      </c>
      <c r="BD285" s="36" t="s">
        <v>7702</v>
      </c>
      <c r="BE285" s="219" t="s">
        <v>6633</v>
      </c>
      <c r="BF285" s="36" t="s">
        <v>7702</v>
      </c>
      <c r="BG285" s="219" t="s">
        <v>197</v>
      </c>
      <c r="BH285" s="36" t="s">
        <v>7702</v>
      </c>
      <c r="BI285" s="36" t="s">
        <v>0</v>
      </c>
      <c r="BJ285" s="212" t="s">
        <v>57</v>
      </c>
      <c r="BK285" s="214" t="s">
        <v>0</v>
      </c>
      <c r="BL285" s="214" t="s">
        <v>57</v>
      </c>
      <c r="BM285" s="214" t="s">
        <v>0</v>
      </c>
      <c r="BN285" s="212" t="s">
        <v>57</v>
      </c>
      <c r="BO285" s="212" t="s">
        <v>57</v>
      </c>
      <c r="BP285" s="212" t="s">
        <v>57</v>
      </c>
      <c r="BQ285" s="214" t="s">
        <v>0</v>
      </c>
      <c r="BR285" s="212" t="s">
        <v>6634</v>
      </c>
      <c r="BS285" s="214" t="s">
        <v>0</v>
      </c>
      <c r="BT285" s="212" t="s">
        <v>6</v>
      </c>
      <c r="BU285" s="214" t="s">
        <v>195</v>
      </c>
      <c r="BV285" s="214"/>
      <c r="BW285" s="214"/>
      <c r="BX285" s="214"/>
      <c r="BY285" s="214"/>
      <c r="BZ285" s="214"/>
      <c r="CA285" s="214"/>
      <c r="CB285" s="214"/>
      <c r="CC285" s="214"/>
      <c r="CD285" s="214"/>
      <c r="CE285" s="214"/>
      <c r="CF285" s="214"/>
    </row>
    <row r="286" spans="1:84" ht="18">
      <c r="A286" s="185" t="s">
        <v>935</v>
      </c>
      <c r="B286" s="185"/>
      <c r="C286" s="185"/>
      <c r="D286" s="186" t="s">
        <v>6635</v>
      </c>
      <c r="E286" s="186" t="s">
        <v>6636</v>
      </c>
      <c r="F286" s="186" t="s">
        <v>6637</v>
      </c>
      <c r="G286" s="189" t="s">
        <v>6638</v>
      </c>
      <c r="H286" s="84"/>
      <c r="I286" s="52" t="s">
        <v>8214</v>
      </c>
      <c r="J286" s="84"/>
      <c r="K286" s="52" t="s">
        <v>8214</v>
      </c>
      <c r="L286" s="52" t="s">
        <v>8214</v>
      </c>
      <c r="M286" s="190" t="s">
        <v>6639</v>
      </c>
      <c r="N286" s="52" t="s">
        <v>8214</v>
      </c>
      <c r="O286" s="186" t="s">
        <v>6640</v>
      </c>
      <c r="P286" s="52" t="s">
        <v>8214</v>
      </c>
      <c r="Q286" s="52" t="s">
        <v>8214</v>
      </c>
      <c r="R286" s="186" t="s">
        <v>6641</v>
      </c>
      <c r="S286" s="52" t="s">
        <v>8214</v>
      </c>
      <c r="T286" s="186" t="s">
        <v>6641</v>
      </c>
      <c r="U286" s="186" t="s">
        <v>6642</v>
      </c>
      <c r="V286" s="186" t="s">
        <v>6643</v>
      </c>
      <c r="W286" s="186" t="s">
        <v>6644</v>
      </c>
      <c r="X286" s="186" t="s">
        <v>0</v>
      </c>
      <c r="Y286" s="186" t="s">
        <v>6645</v>
      </c>
      <c r="Z286" s="187"/>
      <c r="AA286" s="186" t="s">
        <v>6646</v>
      </c>
      <c r="AB286" s="186"/>
      <c r="AC286" s="186"/>
      <c r="AD286" s="186" t="s">
        <v>0</v>
      </c>
      <c r="AE286" s="186" t="s">
        <v>6647</v>
      </c>
      <c r="AF286" s="186" t="s">
        <v>0</v>
      </c>
      <c r="AG286" s="186" t="s">
        <v>7070</v>
      </c>
      <c r="AH286" s="186" t="s">
        <v>7070</v>
      </c>
      <c r="AI286" s="186" t="s">
        <v>7173</v>
      </c>
      <c r="AJ286" s="186" t="s">
        <v>6648</v>
      </c>
      <c r="AK286" s="186" t="s">
        <v>6648</v>
      </c>
      <c r="AL286" s="186" t="s">
        <v>6649</v>
      </c>
      <c r="AM286" s="186" t="s">
        <v>6650</v>
      </c>
      <c r="AN286" s="186" t="s">
        <v>6651</v>
      </c>
      <c r="AO286" s="186" t="s">
        <v>0</v>
      </c>
      <c r="AP286" s="186"/>
      <c r="AQ286" s="186"/>
      <c r="AR286" s="186"/>
      <c r="AS286" s="186" t="s">
        <v>6652</v>
      </c>
      <c r="AT286" s="186" t="s">
        <v>6653</v>
      </c>
      <c r="AU286" s="186" t="s">
        <v>6654</v>
      </c>
      <c r="AV286" s="186" t="s">
        <v>0</v>
      </c>
      <c r="AW286" s="186" t="s">
        <v>6543</v>
      </c>
      <c r="AX286" s="186" t="s">
        <v>6543</v>
      </c>
      <c r="AY286" s="186" t="s">
        <v>6543</v>
      </c>
      <c r="AZ286" s="186" t="s">
        <v>0</v>
      </c>
      <c r="BA286" s="186" t="s">
        <v>6655</v>
      </c>
      <c r="BB286" s="186"/>
      <c r="BC286" s="186" t="s">
        <v>0</v>
      </c>
      <c r="BD286" s="52" t="s">
        <v>7701</v>
      </c>
      <c r="BE286" s="186" t="s">
        <v>6656</v>
      </c>
      <c r="BF286" s="52" t="s">
        <v>7703</v>
      </c>
      <c r="BG286" s="186" t="s">
        <v>6656</v>
      </c>
      <c r="BH286" s="52" t="s">
        <v>7903</v>
      </c>
      <c r="BI286" s="52" t="s">
        <v>0</v>
      </c>
      <c r="BJ286" s="186" t="s">
        <v>6657</v>
      </c>
      <c r="BK286" s="186" t="s">
        <v>0</v>
      </c>
      <c r="BL286" s="186" t="s">
        <v>6658</v>
      </c>
      <c r="BM286" s="186" t="s">
        <v>0</v>
      </c>
      <c r="BN286" s="191" t="s">
        <v>6659</v>
      </c>
      <c r="BO286" s="186" t="s">
        <v>6660</v>
      </c>
      <c r="BP286" s="186" t="s">
        <v>6661</v>
      </c>
      <c r="BQ286" s="186"/>
      <c r="BR286" s="186"/>
      <c r="BS286" s="186" t="s">
        <v>0</v>
      </c>
      <c r="BT286" s="186" t="s">
        <v>6662</v>
      </c>
      <c r="BU286" s="186" t="s">
        <v>6650</v>
      </c>
      <c r="BV286" s="84"/>
      <c r="BW286" s="84"/>
      <c r="BX286" s="84"/>
      <c r="BY286" s="84"/>
      <c r="BZ286" s="84"/>
      <c r="CA286" s="84"/>
      <c r="CB286" s="84"/>
      <c r="CC286" s="84"/>
      <c r="CD286" s="84"/>
      <c r="CE286" s="84"/>
      <c r="CF286" s="84"/>
    </row>
    <row r="287" spans="1:84" ht="27">
      <c r="A287" s="181" t="s">
        <v>7071</v>
      </c>
      <c r="B287" s="200"/>
      <c r="C287" s="181"/>
      <c r="D287" s="212" t="s">
        <v>57</v>
      </c>
      <c r="E287" s="212"/>
      <c r="F287" s="212"/>
      <c r="G287" s="242"/>
      <c r="H287" s="217"/>
      <c r="I287" s="38" t="s">
        <v>57</v>
      </c>
      <c r="J287" s="217"/>
      <c r="K287" s="36" t="s">
        <v>8371</v>
      </c>
      <c r="L287" s="36" t="s">
        <v>8371</v>
      </c>
      <c r="M287" s="243"/>
      <c r="N287" s="38" t="s">
        <v>57</v>
      </c>
      <c r="O287" s="212"/>
      <c r="P287" s="36" t="s">
        <v>8371</v>
      </c>
      <c r="Q287" s="36" t="s">
        <v>8371</v>
      </c>
      <c r="R287" s="214"/>
      <c r="S287" s="36" t="s">
        <v>8371</v>
      </c>
      <c r="T287" s="214"/>
      <c r="U287" s="214"/>
      <c r="V287" s="212"/>
      <c r="W287" s="212"/>
      <c r="X287" s="212"/>
      <c r="Y287" s="244"/>
      <c r="Z287" s="245"/>
      <c r="AA287" s="218"/>
      <c r="AB287" s="219"/>
      <c r="AC287" s="219"/>
      <c r="AD287" s="244"/>
      <c r="AE287" s="218"/>
      <c r="AF287" s="212"/>
      <c r="AG287" s="7" t="s">
        <v>1045</v>
      </c>
      <c r="AH287" s="7" t="s">
        <v>1045</v>
      </c>
      <c r="AI287" s="7" t="s">
        <v>7171</v>
      </c>
      <c r="AJ287" s="219"/>
      <c r="AK287" s="219"/>
      <c r="AL287" s="212"/>
      <c r="AM287" s="212"/>
      <c r="AN287" s="212"/>
      <c r="AO287" s="212"/>
      <c r="AP287" s="212"/>
      <c r="AQ287" s="214"/>
      <c r="AR287" s="214"/>
      <c r="AS287" s="214"/>
      <c r="AT287" s="214"/>
      <c r="AU287" s="212"/>
      <c r="AV287" s="212"/>
      <c r="AW287" s="212"/>
      <c r="AX287" s="212"/>
      <c r="AY287" s="212"/>
      <c r="AZ287" s="212"/>
      <c r="BA287" s="212"/>
      <c r="BB287" s="214"/>
      <c r="BC287" s="212"/>
      <c r="BD287" s="36" t="s">
        <v>57</v>
      </c>
      <c r="BE287" s="219"/>
      <c r="BF287" s="36" t="s">
        <v>57</v>
      </c>
      <c r="BG287" s="219"/>
      <c r="BH287" s="36" t="s">
        <v>57</v>
      </c>
      <c r="BI287" s="36" t="s">
        <v>57</v>
      </c>
      <c r="BJ287" s="212"/>
      <c r="BK287" s="214"/>
      <c r="BL287" s="214"/>
      <c r="BM287" s="214"/>
      <c r="BN287" s="212"/>
      <c r="BO287" s="212"/>
      <c r="BP287" s="212"/>
      <c r="BQ287" s="214"/>
      <c r="BR287" s="212"/>
      <c r="BS287" s="214"/>
      <c r="BT287" s="212"/>
      <c r="BU287" s="214"/>
      <c r="BV287" s="214"/>
      <c r="BW287" s="214"/>
      <c r="BX287" s="214"/>
      <c r="BY287" s="214"/>
      <c r="BZ287" s="214"/>
      <c r="CA287" s="214"/>
      <c r="CB287" s="214"/>
      <c r="CC287" s="214"/>
      <c r="CD287" s="214"/>
      <c r="CE287" s="214"/>
      <c r="CF287" s="214"/>
    </row>
    <row r="288" spans="1:84">
      <c r="A288" s="185" t="s">
        <v>935</v>
      </c>
      <c r="B288" s="185"/>
      <c r="C288" s="185"/>
      <c r="D288" s="186" t="s">
        <v>6635</v>
      </c>
      <c r="E288" s="186"/>
      <c r="F288" s="186"/>
      <c r="G288" s="189"/>
      <c r="H288" s="84"/>
      <c r="I288" s="52" t="s">
        <v>8215</v>
      </c>
      <c r="J288" s="84"/>
      <c r="K288" s="52" t="s">
        <v>8372</v>
      </c>
      <c r="L288" s="52" t="s">
        <v>8427</v>
      </c>
      <c r="M288" s="190"/>
      <c r="N288" s="52" t="s">
        <v>8215</v>
      </c>
      <c r="O288" s="186"/>
      <c r="P288" s="52" t="s">
        <v>8619</v>
      </c>
      <c r="Q288" s="52" t="s">
        <v>8619</v>
      </c>
      <c r="R288" s="186"/>
      <c r="S288" s="52" t="s">
        <v>8545</v>
      </c>
      <c r="T288" s="186"/>
      <c r="U288" s="186"/>
      <c r="V288" s="186"/>
      <c r="W288" s="186"/>
      <c r="X288" s="186"/>
      <c r="Y288" s="186"/>
      <c r="Z288" s="187"/>
      <c r="AA288" s="186"/>
      <c r="AB288" s="186"/>
      <c r="AC288" s="186"/>
      <c r="AD288" s="186"/>
      <c r="AE288" s="186"/>
      <c r="AF288" s="186"/>
      <c r="AG288" s="186" t="s">
        <v>7072</v>
      </c>
      <c r="AH288" s="186" t="s">
        <v>7072</v>
      </c>
      <c r="AI288" s="186" t="s">
        <v>7172</v>
      </c>
      <c r="AJ288" s="186"/>
      <c r="AK288" s="186"/>
      <c r="AL288" s="186"/>
      <c r="AM288" s="186"/>
      <c r="AN288" s="186"/>
      <c r="AO288" s="186"/>
      <c r="AP288" s="186"/>
      <c r="AQ288" s="186"/>
      <c r="AR288" s="186"/>
      <c r="AS288" s="186"/>
      <c r="AT288" s="186"/>
      <c r="AU288" s="186"/>
      <c r="AV288" s="186"/>
      <c r="AW288" s="186"/>
      <c r="AX288" s="186"/>
      <c r="AY288" s="186"/>
      <c r="AZ288" s="186"/>
      <c r="BA288" s="186"/>
      <c r="BB288" s="186"/>
      <c r="BC288" s="186"/>
      <c r="BD288" s="52" t="s">
        <v>7668</v>
      </c>
      <c r="BE288" s="186"/>
      <c r="BF288" s="52" t="s">
        <v>7668</v>
      </c>
      <c r="BG288" s="186"/>
      <c r="BH288" s="52" t="s">
        <v>7668</v>
      </c>
      <c r="BI288" s="52" t="s">
        <v>7668</v>
      </c>
      <c r="BJ288" s="186"/>
      <c r="BK288" s="186"/>
      <c r="BL288" s="186"/>
      <c r="BM288" s="186"/>
      <c r="BN288" s="191"/>
      <c r="BO288" s="186"/>
      <c r="BP288" s="186"/>
      <c r="BQ288" s="186"/>
      <c r="BR288" s="186"/>
      <c r="BS288" s="186"/>
      <c r="BT288" s="186"/>
      <c r="BU288" s="186"/>
      <c r="BV288" s="84"/>
      <c r="BW288" s="84"/>
      <c r="BX288" s="84"/>
      <c r="BY288" s="84"/>
      <c r="BZ288" s="84"/>
      <c r="CA288" s="84"/>
      <c r="CB288" s="84"/>
      <c r="CC288" s="84"/>
      <c r="CD288" s="84"/>
      <c r="CE288" s="84"/>
      <c r="CF288" s="84"/>
    </row>
    <row r="289" spans="1:84" ht="18">
      <c r="A289" s="181" t="s">
        <v>6938</v>
      </c>
      <c r="B289" s="200" t="s">
        <v>6939</v>
      </c>
      <c r="C289" s="181"/>
      <c r="D289" s="212" t="s">
        <v>57</v>
      </c>
      <c r="E289" s="212"/>
      <c r="F289" s="212"/>
      <c r="G289" s="242"/>
      <c r="H289" s="217"/>
      <c r="I289" s="36" t="s">
        <v>0</v>
      </c>
      <c r="J289" s="217"/>
      <c r="K289" s="36" t="s">
        <v>0</v>
      </c>
      <c r="L289" s="36" t="s">
        <v>0</v>
      </c>
      <c r="M289" s="243"/>
      <c r="N289" s="36" t="s">
        <v>0</v>
      </c>
      <c r="O289" s="212"/>
      <c r="P289" s="36" t="s">
        <v>8925</v>
      </c>
      <c r="Q289" s="36" t="s">
        <v>8925</v>
      </c>
      <c r="R289" s="214"/>
      <c r="S289" s="36" t="s">
        <v>8926</v>
      </c>
      <c r="T289" s="214"/>
      <c r="U289" s="214"/>
      <c r="V289" s="212"/>
      <c r="W289" s="212"/>
      <c r="X289" s="212"/>
      <c r="Y289" s="244"/>
      <c r="Z289" s="245"/>
      <c r="AA289" s="218"/>
      <c r="AB289" s="219"/>
      <c r="AC289" s="219"/>
      <c r="AD289" s="244"/>
      <c r="AE289" s="218"/>
      <c r="AF289" s="212"/>
      <c r="AG289" s="7" t="s">
        <v>0</v>
      </c>
      <c r="AH289" s="7" t="s">
        <v>0</v>
      </c>
      <c r="AI289" s="246">
        <v>1000</v>
      </c>
      <c r="AJ289" s="219"/>
      <c r="AK289" s="219"/>
      <c r="AL289" s="212"/>
      <c r="AM289" s="212"/>
      <c r="AN289" s="212"/>
      <c r="AO289" s="212"/>
      <c r="AP289" s="212"/>
      <c r="AQ289" s="214"/>
      <c r="AR289" s="214"/>
      <c r="AS289" s="214"/>
      <c r="AT289" s="214"/>
      <c r="AU289" s="212"/>
      <c r="AV289" s="212"/>
      <c r="AW289" s="212"/>
      <c r="AX289" s="212"/>
      <c r="AY289" s="212"/>
      <c r="AZ289" s="212"/>
      <c r="BA289" s="212"/>
      <c r="BB289" s="214"/>
      <c r="BC289" s="212"/>
      <c r="BD289" s="246" t="s">
        <v>0</v>
      </c>
      <c r="BE289" s="219"/>
      <c r="BF289" s="246" t="s">
        <v>0</v>
      </c>
      <c r="BG289" s="219"/>
      <c r="BH289" s="246" t="s">
        <v>0</v>
      </c>
      <c r="BI289" s="246" t="s">
        <v>0</v>
      </c>
      <c r="BJ289" s="212"/>
      <c r="BK289" s="214"/>
      <c r="BL289" s="214"/>
      <c r="BM289" s="214"/>
      <c r="BN289" s="212"/>
      <c r="BO289" s="212"/>
      <c r="BP289" s="212"/>
      <c r="BQ289" s="214"/>
      <c r="BR289" s="212"/>
      <c r="BS289" s="214"/>
      <c r="BT289" s="212"/>
      <c r="BU289" s="214"/>
      <c r="BV289" s="214"/>
      <c r="BW289" s="214"/>
      <c r="BX289" s="214"/>
      <c r="BY289" s="214"/>
      <c r="BZ289" s="214"/>
      <c r="CA289" s="214"/>
      <c r="CB289" s="214"/>
      <c r="CC289" s="214"/>
      <c r="CD289" s="214"/>
      <c r="CE289" s="214"/>
      <c r="CF289" s="214"/>
    </row>
    <row r="290" spans="1:84">
      <c r="A290" s="185" t="s">
        <v>935</v>
      </c>
      <c r="B290" s="185"/>
      <c r="C290" s="185"/>
      <c r="D290" s="186" t="s">
        <v>6635</v>
      </c>
      <c r="E290" s="186"/>
      <c r="F290" s="186"/>
      <c r="G290" s="189"/>
      <c r="H290" s="84"/>
      <c r="I290" s="52" t="s">
        <v>0</v>
      </c>
      <c r="J290" s="84"/>
      <c r="K290" s="52" t="s">
        <v>0</v>
      </c>
      <c r="L290" s="52" t="s">
        <v>0</v>
      </c>
      <c r="M290" s="190"/>
      <c r="N290" s="52" t="s">
        <v>0</v>
      </c>
      <c r="O290" s="186"/>
      <c r="P290" s="52" t="s">
        <v>8618</v>
      </c>
      <c r="Q290" s="52" t="s">
        <v>8618</v>
      </c>
      <c r="R290" s="186"/>
      <c r="S290" s="52" t="s">
        <v>8546</v>
      </c>
      <c r="T290" s="186"/>
      <c r="U290" s="186"/>
      <c r="V290" s="186"/>
      <c r="W290" s="186"/>
      <c r="X290" s="186"/>
      <c r="Y290" s="186"/>
      <c r="Z290" s="187"/>
      <c r="AA290" s="186"/>
      <c r="AB290" s="186"/>
      <c r="AC290" s="186"/>
      <c r="AD290" s="186"/>
      <c r="AE290" s="186"/>
      <c r="AF290" s="186"/>
      <c r="AG290" s="186" t="s">
        <v>0</v>
      </c>
      <c r="AH290" s="186" t="s">
        <v>0</v>
      </c>
      <c r="AI290" s="186" t="s">
        <v>7162</v>
      </c>
      <c r="AJ290" s="186"/>
      <c r="AK290" s="186"/>
      <c r="AL290" s="186"/>
      <c r="AM290" s="186"/>
      <c r="AN290" s="186"/>
      <c r="AO290" s="186"/>
      <c r="AP290" s="186"/>
      <c r="AQ290" s="186"/>
      <c r="AR290" s="186"/>
      <c r="AS290" s="186"/>
      <c r="AT290" s="186"/>
      <c r="AU290" s="186"/>
      <c r="AV290" s="186"/>
      <c r="AW290" s="186"/>
      <c r="AX290" s="186"/>
      <c r="AY290" s="186"/>
      <c r="AZ290" s="186"/>
      <c r="BA290" s="186"/>
      <c r="BB290" s="186"/>
      <c r="BC290" s="186"/>
      <c r="BD290" s="52" t="s">
        <v>0</v>
      </c>
      <c r="BE290" s="186"/>
      <c r="BF290" s="52" t="s">
        <v>0</v>
      </c>
      <c r="BG290" s="186"/>
      <c r="BH290" s="52" t="s">
        <v>0</v>
      </c>
      <c r="BI290" s="52" t="s">
        <v>0</v>
      </c>
      <c r="BJ290" s="186"/>
      <c r="BK290" s="186"/>
      <c r="BL290" s="186"/>
      <c r="BM290" s="186"/>
      <c r="BN290" s="191"/>
      <c r="BO290" s="186"/>
      <c r="BP290" s="186"/>
      <c r="BQ290" s="186"/>
      <c r="BR290" s="186"/>
      <c r="BS290" s="186"/>
      <c r="BT290" s="186"/>
      <c r="BU290" s="186"/>
      <c r="BV290" s="84"/>
      <c r="BW290" s="84"/>
      <c r="BX290" s="84"/>
      <c r="BY290" s="84"/>
      <c r="BZ290" s="84"/>
      <c r="CA290" s="84"/>
      <c r="CB290" s="84"/>
      <c r="CC290" s="84"/>
      <c r="CD290" s="84"/>
      <c r="CE290" s="84"/>
      <c r="CF290" s="84"/>
    </row>
    <row r="291" spans="1:84" ht="36">
      <c r="A291" s="6" t="s">
        <v>3076</v>
      </c>
      <c r="B291" s="200" t="s">
        <v>6826</v>
      </c>
      <c r="C291" s="36" t="s">
        <v>4827</v>
      </c>
      <c r="D291" s="36" t="s">
        <v>5191</v>
      </c>
      <c r="E291" s="36" t="s">
        <v>3743</v>
      </c>
      <c r="F291" s="36" t="s">
        <v>617</v>
      </c>
      <c r="G291" s="36" t="s">
        <v>5530</v>
      </c>
      <c r="H291" s="36" t="s">
        <v>5531</v>
      </c>
      <c r="I291" s="36" t="s">
        <v>8208</v>
      </c>
      <c r="J291" s="36" t="s">
        <v>312</v>
      </c>
      <c r="K291" s="36" t="s">
        <v>8208</v>
      </c>
      <c r="L291" s="36" t="s">
        <v>8423</v>
      </c>
      <c r="M291" s="36" t="s">
        <v>5263</v>
      </c>
      <c r="N291" s="36" t="s">
        <v>8208</v>
      </c>
      <c r="O291" s="36" t="s">
        <v>57</v>
      </c>
      <c r="P291" s="36" t="s">
        <v>7768</v>
      </c>
      <c r="Q291" s="36" t="s">
        <v>7768</v>
      </c>
      <c r="R291" s="36" t="s">
        <v>5263</v>
      </c>
      <c r="S291" s="36" t="s">
        <v>8423</v>
      </c>
      <c r="T291" s="36" t="s">
        <v>3277</v>
      </c>
      <c r="U291" s="36" t="s">
        <v>5627</v>
      </c>
      <c r="V291" s="145" t="s">
        <v>5739</v>
      </c>
      <c r="W291" s="7" t="s">
        <v>4396</v>
      </c>
      <c r="X291" s="36" t="s">
        <v>6490</v>
      </c>
      <c r="Y291" s="36" t="s">
        <v>2348</v>
      </c>
      <c r="Z291" s="36" t="s">
        <v>2349</v>
      </c>
      <c r="AA291" s="36" t="s">
        <v>2350</v>
      </c>
      <c r="AB291" s="36" t="s">
        <v>4774</v>
      </c>
      <c r="AC291" s="36" t="s">
        <v>4775</v>
      </c>
      <c r="AD291" s="36" t="s">
        <v>4773</v>
      </c>
      <c r="AE291" s="7" t="s">
        <v>437</v>
      </c>
      <c r="AF291" s="7" t="s">
        <v>437</v>
      </c>
      <c r="AG291" s="7" t="s">
        <v>437</v>
      </c>
      <c r="AH291" s="7" t="s">
        <v>437</v>
      </c>
      <c r="AI291" s="7" t="s">
        <v>7168</v>
      </c>
      <c r="AJ291" s="7" t="s">
        <v>3458</v>
      </c>
      <c r="AK291" s="7" t="s">
        <v>4191</v>
      </c>
      <c r="AL291" s="7" t="s">
        <v>4190</v>
      </c>
      <c r="AM291" s="36" t="s">
        <v>5349</v>
      </c>
      <c r="AN291" s="36" t="s">
        <v>5374</v>
      </c>
      <c r="AO291" s="36" t="s">
        <v>4258</v>
      </c>
      <c r="AP291" s="36" t="s">
        <v>2308</v>
      </c>
      <c r="AQ291" s="36" t="s">
        <v>6346</v>
      </c>
      <c r="AR291" s="36" t="s">
        <v>918</v>
      </c>
      <c r="AS291" s="36" t="s">
        <v>287</v>
      </c>
      <c r="AT291" s="36" t="s">
        <v>6373</v>
      </c>
      <c r="AU291" s="36" t="s">
        <v>6373</v>
      </c>
      <c r="AV291" s="36" t="s">
        <v>868</v>
      </c>
      <c r="AW291" s="36" t="s">
        <v>868</v>
      </c>
      <c r="AX291" s="36" t="s">
        <v>1340</v>
      </c>
      <c r="AY291" s="36" t="s">
        <v>1341</v>
      </c>
      <c r="AZ291" s="36" t="s">
        <v>3729</v>
      </c>
      <c r="BA291" s="36" t="s">
        <v>3642</v>
      </c>
      <c r="BB291" s="36" t="s">
        <v>3074</v>
      </c>
      <c r="BC291" s="36" t="s">
        <v>179</v>
      </c>
      <c r="BD291" s="7" t="s">
        <v>7692</v>
      </c>
      <c r="BE291" s="36" t="s">
        <v>5466</v>
      </c>
      <c r="BF291" s="7" t="s">
        <v>7670</v>
      </c>
      <c r="BG291" s="36" t="s">
        <v>179</v>
      </c>
      <c r="BH291" s="7" t="s">
        <v>7692</v>
      </c>
      <c r="BI291" s="7" t="s">
        <v>437</v>
      </c>
      <c r="BJ291" s="36" t="s">
        <v>179</v>
      </c>
      <c r="BK291" s="36" t="s">
        <v>545</v>
      </c>
      <c r="BL291" s="36" t="s">
        <v>565</v>
      </c>
      <c r="BM291" s="38" t="s">
        <v>0</v>
      </c>
      <c r="BN291" s="36" t="s">
        <v>2308</v>
      </c>
      <c r="BO291" s="36"/>
      <c r="BP291" s="36" t="s">
        <v>2237</v>
      </c>
      <c r="BQ291" s="36" t="s">
        <v>2308</v>
      </c>
      <c r="BR291" s="36" t="s">
        <v>2620</v>
      </c>
      <c r="BS291" s="36" t="s">
        <v>534</v>
      </c>
      <c r="BT291" s="36" t="s">
        <v>534</v>
      </c>
      <c r="BU291" s="36" t="s">
        <v>2816</v>
      </c>
      <c r="BV291" s="36" t="s">
        <v>672</v>
      </c>
      <c r="BW291" s="36" t="s">
        <v>673</v>
      </c>
      <c r="BX291" s="36" t="s">
        <v>3758</v>
      </c>
      <c r="BY291" s="36" t="s">
        <v>3757</v>
      </c>
      <c r="BZ291" s="36" t="s">
        <v>6255</v>
      </c>
      <c r="CA291" s="36" t="s">
        <v>193</v>
      </c>
      <c r="CB291" s="36" t="s">
        <v>194</v>
      </c>
      <c r="CC291" s="36" t="s">
        <v>312</v>
      </c>
      <c r="CD291" s="36" t="s">
        <v>313</v>
      </c>
      <c r="CE291" s="36" t="s">
        <v>193</v>
      </c>
      <c r="CF291" s="36" t="s">
        <v>829</v>
      </c>
    </row>
    <row r="292" spans="1:84" ht="27">
      <c r="A292" s="51" t="s">
        <v>935</v>
      </c>
      <c r="B292" s="51"/>
      <c r="C292" s="52" t="s">
        <v>5224</v>
      </c>
      <c r="D292" s="52" t="s">
        <v>5190</v>
      </c>
      <c r="E292" s="52" t="s">
        <v>2748</v>
      </c>
      <c r="F292" s="52" t="s">
        <v>2748</v>
      </c>
      <c r="G292" s="52" t="s">
        <v>1413</v>
      </c>
      <c r="H292" s="52" t="s">
        <v>1413</v>
      </c>
      <c r="I292" s="52" t="s">
        <v>8209</v>
      </c>
      <c r="J292" s="52" t="s">
        <v>5310</v>
      </c>
      <c r="K292" s="52" t="s">
        <v>8370</v>
      </c>
      <c r="L292" s="52" t="s">
        <v>8424</v>
      </c>
      <c r="M292" s="52" t="s">
        <v>5844</v>
      </c>
      <c r="N292" s="52" t="s">
        <v>8290</v>
      </c>
      <c r="O292" s="52" t="s">
        <v>3386</v>
      </c>
      <c r="P292" s="52" t="s">
        <v>8617</v>
      </c>
      <c r="Q292" s="52" t="s">
        <v>8617</v>
      </c>
      <c r="R292" s="52" t="s">
        <v>1570</v>
      </c>
      <c r="S292" s="52" t="s">
        <v>8547</v>
      </c>
      <c r="T292" s="52" t="s">
        <v>5628</v>
      </c>
      <c r="U292" s="52" t="s">
        <v>5628</v>
      </c>
      <c r="V292" s="84"/>
      <c r="W292" s="52" t="s">
        <v>4418</v>
      </c>
      <c r="X292" s="84" t="s">
        <v>6491</v>
      </c>
      <c r="Y292" s="52" t="s">
        <v>2351</v>
      </c>
      <c r="Z292" s="52" t="s">
        <v>2351</v>
      </c>
      <c r="AA292" s="52" t="s">
        <v>2351</v>
      </c>
      <c r="AB292" s="52" t="s">
        <v>5944</v>
      </c>
      <c r="AC292" s="52" t="s">
        <v>5944</v>
      </c>
      <c r="AD292" s="52" t="s">
        <v>5959</v>
      </c>
      <c r="AE292" s="52" t="s">
        <v>6044</v>
      </c>
      <c r="AF292" s="52" t="s">
        <v>6044</v>
      </c>
      <c r="AG292" s="186" t="s">
        <v>7083</v>
      </c>
      <c r="AH292" s="186" t="s">
        <v>7083</v>
      </c>
      <c r="AI292" s="186" t="s">
        <v>7169</v>
      </c>
      <c r="AJ292" s="52" t="s">
        <v>3457</v>
      </c>
      <c r="AK292" s="52" t="s">
        <v>4189</v>
      </c>
      <c r="AL292" s="52" t="s">
        <v>4189</v>
      </c>
      <c r="AM292" s="52" t="s">
        <v>5348</v>
      </c>
      <c r="AN292" s="52" t="s">
        <v>5373</v>
      </c>
      <c r="AO292" s="52" t="s">
        <v>4257</v>
      </c>
      <c r="AP292" s="52" t="s">
        <v>1025</v>
      </c>
      <c r="AQ292" s="52" t="s">
        <v>1025</v>
      </c>
      <c r="AR292" s="52"/>
      <c r="AS292" s="52" t="s">
        <v>1025</v>
      </c>
      <c r="AT292" s="52" t="s">
        <v>1025</v>
      </c>
      <c r="AU292" s="52" t="s">
        <v>1025</v>
      </c>
      <c r="AV292" s="52" t="s">
        <v>4334</v>
      </c>
      <c r="AW292" s="52" t="s">
        <v>4334</v>
      </c>
      <c r="AX292" s="52" t="s">
        <v>1339</v>
      </c>
      <c r="AY292" s="52" t="s">
        <v>1338</v>
      </c>
      <c r="AZ292" s="52" t="s">
        <v>3728</v>
      </c>
      <c r="BA292" s="52" t="s">
        <v>3641</v>
      </c>
      <c r="BB292" s="52" t="s">
        <v>3540</v>
      </c>
      <c r="BC292" s="52" t="s">
        <v>4897</v>
      </c>
      <c r="BD292" s="52" t="s">
        <v>7693</v>
      </c>
      <c r="BE292" s="52" t="s">
        <v>4898</v>
      </c>
      <c r="BF292" s="52" t="s">
        <v>7663</v>
      </c>
      <c r="BG292" s="52" t="s">
        <v>4897</v>
      </c>
      <c r="BH292" s="52" t="s">
        <v>7904</v>
      </c>
      <c r="BI292" s="52" t="s">
        <v>7844</v>
      </c>
      <c r="BJ292" s="52" t="s">
        <v>4897</v>
      </c>
      <c r="BK292" s="52"/>
      <c r="BL292" s="52"/>
      <c r="BM292" s="52" t="s">
        <v>0</v>
      </c>
      <c r="BN292" s="52" t="s">
        <v>2307</v>
      </c>
      <c r="BO292" s="52"/>
      <c r="BP292" s="52" t="s">
        <v>2236</v>
      </c>
      <c r="BQ292" s="52" t="s">
        <v>2307</v>
      </c>
      <c r="BR292" s="52" t="s">
        <v>2634</v>
      </c>
      <c r="BS292" s="52" t="s">
        <v>2635</v>
      </c>
      <c r="BT292" s="52" t="s">
        <v>2635</v>
      </c>
      <c r="BU292" s="84" t="s">
        <v>2876</v>
      </c>
      <c r="BV292" s="84"/>
      <c r="BW292" s="52"/>
      <c r="BX292" s="52" t="s">
        <v>3791</v>
      </c>
      <c r="BY292" s="52" t="s">
        <v>3791</v>
      </c>
      <c r="BZ292" s="52" t="s">
        <v>6256</v>
      </c>
      <c r="CA292" s="52" t="s">
        <v>3123</v>
      </c>
      <c r="CB292" s="52" t="s">
        <v>3085</v>
      </c>
      <c r="CC292" s="52"/>
      <c r="CD292" s="52"/>
      <c r="CE292" s="52" t="s">
        <v>3215</v>
      </c>
      <c r="CF292" s="52" t="s">
        <v>2140</v>
      </c>
    </row>
    <row r="293" spans="1:84" ht="36">
      <c r="A293" s="62" t="s">
        <v>176</v>
      </c>
      <c r="B293" s="200"/>
      <c r="C293" s="38" t="s">
        <v>0</v>
      </c>
      <c r="D293" s="38" t="s">
        <v>0</v>
      </c>
      <c r="E293" s="38" t="s">
        <v>0</v>
      </c>
      <c r="F293" s="38" t="s">
        <v>0</v>
      </c>
      <c r="G293" s="38" t="s">
        <v>0</v>
      </c>
      <c r="H293" s="36" t="s">
        <v>5526</v>
      </c>
      <c r="I293" s="38" t="s">
        <v>0</v>
      </c>
      <c r="J293" s="38" t="s">
        <v>0</v>
      </c>
      <c r="K293" s="38" t="s">
        <v>0</v>
      </c>
      <c r="L293" s="7" t="s">
        <v>8488</v>
      </c>
      <c r="M293" s="38" t="s">
        <v>0</v>
      </c>
      <c r="N293" s="38" t="s">
        <v>0</v>
      </c>
      <c r="O293" s="36" t="s">
        <v>3376</v>
      </c>
      <c r="P293" s="7" t="s">
        <v>8548</v>
      </c>
      <c r="Q293" s="7" t="s">
        <v>8548</v>
      </c>
      <c r="R293" s="36" t="s">
        <v>3377</v>
      </c>
      <c r="S293" s="7" t="s">
        <v>8548</v>
      </c>
      <c r="T293" s="36" t="s">
        <v>5623</v>
      </c>
      <c r="U293" s="36" t="s">
        <v>5623</v>
      </c>
      <c r="V293" s="145" t="s">
        <v>5739</v>
      </c>
      <c r="W293" s="38" t="s">
        <v>0</v>
      </c>
      <c r="X293" s="38" t="s">
        <v>6484</v>
      </c>
      <c r="Y293" s="38" t="s">
        <v>0</v>
      </c>
      <c r="Z293" s="38" t="s">
        <v>0</v>
      </c>
      <c r="AA293" s="38" t="s">
        <v>0</v>
      </c>
      <c r="AB293" s="38" t="s">
        <v>61</v>
      </c>
      <c r="AC293" s="38" t="s">
        <v>57</v>
      </c>
      <c r="AD293" s="38" t="s">
        <v>0</v>
      </c>
      <c r="AE293" s="7" t="s">
        <v>0</v>
      </c>
      <c r="AF293" s="34" t="s">
        <v>0</v>
      </c>
      <c r="AG293" s="38" t="s">
        <v>0</v>
      </c>
      <c r="AH293" s="38" t="s">
        <v>0</v>
      </c>
      <c r="AI293" s="38" t="s">
        <v>0</v>
      </c>
      <c r="AJ293" s="37" t="s">
        <v>223</v>
      </c>
      <c r="AK293" s="7" t="s">
        <v>0</v>
      </c>
      <c r="AL293" s="7" t="s">
        <v>0</v>
      </c>
      <c r="AM293" s="36" t="s">
        <v>5362</v>
      </c>
      <c r="AN293" s="36" t="s">
        <v>5371</v>
      </c>
      <c r="AO293" s="38" t="s">
        <v>0</v>
      </c>
      <c r="AP293" s="38" t="s">
        <v>0</v>
      </c>
      <c r="AQ293" s="38" t="s">
        <v>0</v>
      </c>
      <c r="AR293" s="38" t="s">
        <v>912</v>
      </c>
      <c r="AS293" s="38" t="s">
        <v>159</v>
      </c>
      <c r="AT293" s="38" t="s">
        <v>17</v>
      </c>
      <c r="AU293" s="38" t="s">
        <v>17</v>
      </c>
      <c r="AV293" s="36" t="s">
        <v>4360</v>
      </c>
      <c r="AW293" s="36" t="s">
        <v>4360</v>
      </c>
      <c r="AX293" s="38" t="s">
        <v>223</v>
      </c>
      <c r="AY293" s="38" t="s">
        <v>0</v>
      </c>
      <c r="AZ293" s="36" t="s">
        <v>0</v>
      </c>
      <c r="BA293" s="38" t="s">
        <v>0</v>
      </c>
      <c r="BB293" s="38" t="s">
        <v>57</v>
      </c>
      <c r="BC293" s="36" t="s">
        <v>4902</v>
      </c>
      <c r="BD293" s="36" t="s">
        <v>4902</v>
      </c>
      <c r="BE293" s="36" t="s">
        <v>4902</v>
      </c>
      <c r="BF293" s="36" t="s">
        <v>4902</v>
      </c>
      <c r="BG293" s="36" t="s">
        <v>4902</v>
      </c>
      <c r="BH293" s="7" t="s">
        <v>7905</v>
      </c>
      <c r="BI293" s="7" t="s">
        <v>7845</v>
      </c>
      <c r="BJ293" s="36" t="s">
        <v>4902</v>
      </c>
      <c r="BK293" s="38" t="s">
        <v>0</v>
      </c>
      <c r="BL293" s="38" t="s">
        <v>17</v>
      </c>
      <c r="BM293" s="38" t="s">
        <v>0</v>
      </c>
      <c r="BN293" s="36" t="s">
        <v>3847</v>
      </c>
      <c r="BO293" s="36"/>
      <c r="BP293" s="38" t="s">
        <v>0</v>
      </c>
      <c r="BQ293" s="38" t="s">
        <v>0</v>
      </c>
      <c r="BR293" s="38" t="s">
        <v>0</v>
      </c>
      <c r="BS293" s="38" t="s">
        <v>350</v>
      </c>
      <c r="BT293" s="38" t="s">
        <v>0</v>
      </c>
      <c r="BU293" s="36" t="s">
        <v>0</v>
      </c>
      <c r="BV293" s="36" t="s">
        <v>674</v>
      </c>
      <c r="BW293" s="36" t="s">
        <v>675</v>
      </c>
      <c r="BX293" s="36" t="s">
        <v>0</v>
      </c>
      <c r="BY293" s="36" t="s">
        <v>0</v>
      </c>
      <c r="BZ293" s="36" t="s">
        <v>6253</v>
      </c>
      <c r="CA293" s="38" t="s">
        <v>0</v>
      </c>
      <c r="CB293" s="38" t="s">
        <v>0</v>
      </c>
      <c r="CC293" s="38" t="s">
        <v>0</v>
      </c>
      <c r="CD293" s="36" t="s">
        <v>0</v>
      </c>
      <c r="CE293" s="36" t="s">
        <v>0</v>
      </c>
      <c r="CF293" s="38" t="s">
        <v>0</v>
      </c>
    </row>
    <row r="294" spans="1:84">
      <c r="A294" s="51" t="s">
        <v>935</v>
      </c>
      <c r="B294" s="51"/>
      <c r="C294" s="52" t="s">
        <v>0</v>
      </c>
      <c r="D294" s="52" t="s">
        <v>0</v>
      </c>
      <c r="E294" s="52" t="s">
        <v>0</v>
      </c>
      <c r="F294" s="52" t="s">
        <v>0</v>
      </c>
      <c r="G294" s="52" t="s">
        <v>0</v>
      </c>
      <c r="H294" s="52" t="s">
        <v>5508</v>
      </c>
      <c r="I294" s="52" t="s">
        <v>0</v>
      </c>
      <c r="J294" s="52" t="s">
        <v>0</v>
      </c>
      <c r="K294" s="52" t="s">
        <v>0</v>
      </c>
      <c r="L294" s="52" t="s">
        <v>8489</v>
      </c>
      <c r="M294" s="52" t="s">
        <v>0</v>
      </c>
      <c r="N294" s="52" t="s">
        <v>0</v>
      </c>
      <c r="O294" s="52" t="s">
        <v>5264</v>
      </c>
      <c r="P294" s="52" t="s">
        <v>8616</v>
      </c>
      <c r="Q294" s="52" t="s">
        <v>8616</v>
      </c>
      <c r="R294" s="52" t="s">
        <v>3420</v>
      </c>
      <c r="S294" s="52" t="s">
        <v>8549</v>
      </c>
      <c r="T294" s="52" t="s">
        <v>5624</v>
      </c>
      <c r="U294" s="52" t="s">
        <v>5624</v>
      </c>
      <c r="V294" s="84"/>
      <c r="W294" s="52" t="s">
        <v>0</v>
      </c>
      <c r="X294" s="52" t="s">
        <v>6486</v>
      </c>
      <c r="Y294" s="52" t="s">
        <v>0</v>
      </c>
      <c r="Z294" s="52" t="s">
        <v>0</v>
      </c>
      <c r="AA294" s="52" t="s">
        <v>0</v>
      </c>
      <c r="AB294" s="52" t="s">
        <v>4767</v>
      </c>
      <c r="AC294" s="52" t="s">
        <v>4767</v>
      </c>
      <c r="AD294" s="52" t="s">
        <v>0</v>
      </c>
      <c r="AE294" s="52" t="s">
        <v>0</v>
      </c>
      <c r="AF294" s="52" t="s">
        <v>0</v>
      </c>
      <c r="AG294" s="52" t="s">
        <v>0</v>
      </c>
      <c r="AH294" s="52" t="s">
        <v>0</v>
      </c>
      <c r="AI294" s="52" t="s">
        <v>0</v>
      </c>
      <c r="AJ294" s="52" t="s">
        <v>6126</v>
      </c>
      <c r="AK294" s="52" t="s">
        <v>0</v>
      </c>
      <c r="AL294" s="52" t="s">
        <v>0</v>
      </c>
      <c r="AM294" s="52" t="s">
        <v>5361</v>
      </c>
      <c r="AN294" s="52" t="s">
        <v>5409</v>
      </c>
      <c r="AO294" s="52" t="s">
        <v>0</v>
      </c>
      <c r="AP294" s="52" t="s">
        <v>0</v>
      </c>
      <c r="AQ294" s="52" t="s">
        <v>0</v>
      </c>
      <c r="AR294" s="52"/>
      <c r="AS294" s="52" t="s">
        <v>1025</v>
      </c>
      <c r="AT294" s="52" t="s">
        <v>1025</v>
      </c>
      <c r="AU294" s="52" t="s">
        <v>1025</v>
      </c>
      <c r="AV294" s="52" t="s">
        <v>6307</v>
      </c>
      <c r="AW294" s="52" t="s">
        <v>6307</v>
      </c>
      <c r="AX294" s="52" t="s">
        <v>1282</v>
      </c>
      <c r="AY294" s="52" t="s">
        <v>0</v>
      </c>
      <c r="AZ294" s="52" t="s">
        <v>0</v>
      </c>
      <c r="BA294" s="52" t="s">
        <v>0</v>
      </c>
      <c r="BB294" s="52" t="s">
        <v>3539</v>
      </c>
      <c r="BC294" s="52" t="s">
        <v>4866</v>
      </c>
      <c r="BD294" s="52" t="s">
        <v>7694</v>
      </c>
      <c r="BE294" s="52" t="s">
        <v>4901</v>
      </c>
      <c r="BF294" s="52" t="s">
        <v>7664</v>
      </c>
      <c r="BG294" s="52" t="s">
        <v>4866</v>
      </c>
      <c r="BH294" s="52" t="s">
        <v>7906</v>
      </c>
      <c r="BI294" s="52" t="s">
        <v>7846</v>
      </c>
      <c r="BJ294" s="52" t="s">
        <v>5473</v>
      </c>
      <c r="BK294" s="52"/>
      <c r="BL294" s="52"/>
      <c r="BM294" s="52" t="s">
        <v>0</v>
      </c>
      <c r="BN294" s="52" t="s">
        <v>3848</v>
      </c>
      <c r="BO294" s="52"/>
      <c r="BP294" s="52" t="s">
        <v>0</v>
      </c>
      <c r="BQ294" s="52" t="s">
        <v>0</v>
      </c>
      <c r="BR294" s="52" t="s">
        <v>0</v>
      </c>
      <c r="BS294" s="52" t="s">
        <v>2670</v>
      </c>
      <c r="BT294" s="52" t="s">
        <v>0</v>
      </c>
      <c r="BU294" s="84" t="s">
        <v>0</v>
      </c>
      <c r="BV294" s="84"/>
      <c r="BW294" s="52"/>
      <c r="BX294" s="52" t="s">
        <v>0</v>
      </c>
      <c r="BY294" s="52" t="s">
        <v>0</v>
      </c>
      <c r="BZ294" s="52" t="s">
        <v>6252</v>
      </c>
      <c r="CA294" s="52" t="s">
        <v>0</v>
      </c>
      <c r="CB294" s="52" t="s">
        <v>0</v>
      </c>
      <c r="CC294" s="52"/>
      <c r="CD294" s="52"/>
      <c r="CE294" s="52" t="s">
        <v>0</v>
      </c>
      <c r="CF294" s="52" t="s">
        <v>0</v>
      </c>
    </row>
    <row r="295" spans="1:84" ht="18">
      <c r="A295" s="62" t="s">
        <v>9009</v>
      </c>
      <c r="B295" s="200"/>
      <c r="C295" s="38" t="s">
        <v>0</v>
      </c>
      <c r="D295" s="38" t="s">
        <v>4826</v>
      </c>
      <c r="E295" s="38" t="s">
        <v>0</v>
      </c>
      <c r="F295" s="38" t="s">
        <v>57</v>
      </c>
      <c r="G295" s="38" t="s">
        <v>5524</v>
      </c>
      <c r="H295" s="36" t="s">
        <v>5525</v>
      </c>
      <c r="I295" s="38" t="s">
        <v>0</v>
      </c>
      <c r="J295" s="36" t="s">
        <v>5765</v>
      </c>
      <c r="K295" s="36" t="s">
        <v>8369</v>
      </c>
      <c r="L295" s="38" t="s">
        <v>57</v>
      </c>
      <c r="M295" s="36" t="s">
        <v>57</v>
      </c>
      <c r="N295" s="36" t="s">
        <v>8234</v>
      </c>
      <c r="O295" s="36" t="s">
        <v>57</v>
      </c>
      <c r="P295" s="38" t="s">
        <v>57</v>
      </c>
      <c r="Q295" s="38" t="s">
        <v>57</v>
      </c>
      <c r="R295" s="36" t="s">
        <v>57</v>
      </c>
      <c r="S295" s="38" t="s">
        <v>57</v>
      </c>
      <c r="T295" s="36" t="s">
        <v>3278</v>
      </c>
      <c r="U295" s="36" t="s">
        <v>3278</v>
      </c>
      <c r="V295" s="145" t="s">
        <v>5493</v>
      </c>
      <c r="W295" s="38" t="s">
        <v>0</v>
      </c>
      <c r="X295" s="38" t="s">
        <v>6484</v>
      </c>
      <c r="Y295" s="38" t="s">
        <v>0</v>
      </c>
      <c r="Z295" s="38" t="s">
        <v>159</v>
      </c>
      <c r="AA295" s="38" t="s">
        <v>17</v>
      </c>
      <c r="AB295" s="36" t="s">
        <v>57</v>
      </c>
      <c r="AC295" s="38" t="s">
        <v>57</v>
      </c>
      <c r="AD295" s="38" t="s">
        <v>57</v>
      </c>
      <c r="AE295" s="7" t="s">
        <v>0</v>
      </c>
      <c r="AF295" s="34" t="s">
        <v>197</v>
      </c>
      <c r="AG295" s="38" t="s">
        <v>0</v>
      </c>
      <c r="AH295" s="38" t="s">
        <v>0</v>
      </c>
      <c r="AI295" s="38" t="s">
        <v>5529</v>
      </c>
      <c r="AJ295" s="37" t="s">
        <v>3455</v>
      </c>
      <c r="AK295" s="7" t="s">
        <v>0</v>
      </c>
      <c r="AL295" s="7" t="s">
        <v>0</v>
      </c>
      <c r="AM295" s="36" t="s">
        <v>5403</v>
      </c>
      <c r="AN295" s="36" t="s">
        <v>5404</v>
      </c>
      <c r="AO295" s="36" t="s">
        <v>4214</v>
      </c>
      <c r="AP295" s="38" t="s">
        <v>0</v>
      </c>
      <c r="AQ295" s="38" t="s">
        <v>197</v>
      </c>
      <c r="AR295" s="38" t="s">
        <v>0</v>
      </c>
      <c r="AS295" s="38" t="s">
        <v>57</v>
      </c>
      <c r="AT295" s="38" t="s">
        <v>57</v>
      </c>
      <c r="AU295" s="38" t="s">
        <v>57</v>
      </c>
      <c r="AV295" s="38" t="s">
        <v>57</v>
      </c>
      <c r="AW295" s="38" t="s">
        <v>57</v>
      </c>
      <c r="AX295" s="36" t="s">
        <v>57</v>
      </c>
      <c r="AY295" s="36" t="s">
        <v>57</v>
      </c>
      <c r="AZ295" s="36" t="s">
        <v>0</v>
      </c>
      <c r="BA295" s="36" t="s">
        <v>3639</v>
      </c>
      <c r="BB295" s="38" t="s">
        <v>57</v>
      </c>
      <c r="BC295" s="38" t="s">
        <v>57</v>
      </c>
      <c r="BD295" s="36" t="s">
        <v>57</v>
      </c>
      <c r="BE295" s="38" t="s">
        <v>57</v>
      </c>
      <c r="BF295" s="38" t="s">
        <v>57</v>
      </c>
      <c r="BG295" s="38" t="s">
        <v>57</v>
      </c>
      <c r="BH295" s="38" t="s">
        <v>57</v>
      </c>
      <c r="BI295" s="36" t="s">
        <v>57</v>
      </c>
      <c r="BJ295" s="38" t="s">
        <v>57</v>
      </c>
      <c r="BK295" s="38" t="s">
        <v>0</v>
      </c>
      <c r="BL295" s="38" t="s">
        <v>26</v>
      </c>
      <c r="BM295" s="38" t="s">
        <v>0</v>
      </c>
      <c r="BN295" s="36" t="s">
        <v>3867</v>
      </c>
      <c r="BO295" s="36"/>
      <c r="BP295" s="38" t="s">
        <v>57</v>
      </c>
      <c r="BQ295" s="38" t="s">
        <v>57</v>
      </c>
      <c r="BR295" s="38" t="s">
        <v>0</v>
      </c>
      <c r="BS295" s="38" t="s">
        <v>0</v>
      </c>
      <c r="BT295" s="38" t="s">
        <v>0</v>
      </c>
      <c r="BU295" s="36" t="s">
        <v>57</v>
      </c>
      <c r="BV295" s="36" t="s">
        <v>17</v>
      </c>
      <c r="BW295" s="38" t="s">
        <v>26</v>
      </c>
      <c r="BX295" s="36" t="s">
        <v>0</v>
      </c>
      <c r="BY295" s="36" t="s">
        <v>0</v>
      </c>
      <c r="BZ295" s="36" t="s">
        <v>6250</v>
      </c>
      <c r="CA295" s="38" t="s">
        <v>26</v>
      </c>
      <c r="CB295" s="38" t="s">
        <v>26</v>
      </c>
      <c r="CC295" s="38" t="s">
        <v>57</v>
      </c>
      <c r="CD295" s="38" t="s">
        <v>57</v>
      </c>
      <c r="CE295" s="36" t="s">
        <v>314</v>
      </c>
      <c r="CF295" s="38" t="s">
        <v>0</v>
      </c>
    </row>
    <row r="296" spans="1:84" ht="18">
      <c r="A296" s="51" t="s">
        <v>935</v>
      </c>
      <c r="B296" s="51"/>
      <c r="C296" s="52" t="s">
        <v>0</v>
      </c>
      <c r="D296" s="52" t="s">
        <v>5193</v>
      </c>
      <c r="E296" s="52" t="s">
        <v>0</v>
      </c>
      <c r="F296" s="52" t="s">
        <v>2754</v>
      </c>
      <c r="G296" s="52" t="s">
        <v>1408</v>
      </c>
      <c r="H296" s="52" t="s">
        <v>1408</v>
      </c>
      <c r="I296" s="52" t="s">
        <v>0</v>
      </c>
      <c r="J296" s="52" t="s">
        <v>5313</v>
      </c>
      <c r="K296" s="52" t="s">
        <v>8368</v>
      </c>
      <c r="L296" s="52" t="s">
        <v>8420</v>
      </c>
      <c r="M296" s="52" t="s">
        <v>5841</v>
      </c>
      <c r="N296" s="52" t="s">
        <v>8288</v>
      </c>
      <c r="O296" s="52" t="s">
        <v>5264</v>
      </c>
      <c r="P296" s="52" t="s">
        <v>8615</v>
      </c>
      <c r="Q296" s="52" t="s">
        <v>8615</v>
      </c>
      <c r="R296" s="52" t="s">
        <v>3425</v>
      </c>
      <c r="S296" s="52" t="s">
        <v>8550</v>
      </c>
      <c r="T296" s="52" t="s">
        <v>5622</v>
      </c>
      <c r="U296" s="52" t="s">
        <v>5622</v>
      </c>
      <c r="V296" s="84"/>
      <c r="W296" s="52" t="s">
        <v>0</v>
      </c>
      <c r="X296" s="84" t="s">
        <v>6485</v>
      </c>
      <c r="Y296" s="52" t="s">
        <v>0</v>
      </c>
      <c r="Z296" s="52" t="s">
        <v>2377</v>
      </c>
      <c r="AA296" s="52" t="s">
        <v>2377</v>
      </c>
      <c r="AB296" s="52" t="s">
        <v>4766</v>
      </c>
      <c r="AC296" s="52" t="s">
        <v>5942</v>
      </c>
      <c r="AD296" s="52" t="s">
        <v>5958</v>
      </c>
      <c r="AE296" s="52" t="s">
        <v>0</v>
      </c>
      <c r="AF296" s="52" t="s">
        <v>5982</v>
      </c>
      <c r="AG296" s="52" t="s">
        <v>0</v>
      </c>
      <c r="AH296" s="52" t="s">
        <v>0</v>
      </c>
      <c r="AI296" s="186" t="s">
        <v>7165</v>
      </c>
      <c r="AJ296" s="52" t="s">
        <v>6124</v>
      </c>
      <c r="AK296" s="52" t="s">
        <v>0</v>
      </c>
      <c r="AL296" s="52" t="s">
        <v>0</v>
      </c>
      <c r="AM296" s="52" t="s">
        <v>5350</v>
      </c>
      <c r="AN296" s="52" t="s">
        <v>5402</v>
      </c>
      <c r="AO296" s="52" t="s">
        <v>4225</v>
      </c>
      <c r="AP296" s="52" t="s">
        <v>0</v>
      </c>
      <c r="AQ296" s="52" t="s">
        <v>6333</v>
      </c>
      <c r="AR296" s="52"/>
      <c r="AS296" s="52" t="s">
        <v>1025</v>
      </c>
      <c r="AT296" s="52" t="s">
        <v>1025</v>
      </c>
      <c r="AU296" s="52" t="s">
        <v>1025</v>
      </c>
      <c r="AV296" s="52" t="s">
        <v>4347</v>
      </c>
      <c r="AW296" s="52" t="s">
        <v>4347</v>
      </c>
      <c r="AX296" s="52" t="s">
        <v>1319</v>
      </c>
      <c r="AY296" s="52" t="s">
        <v>1319</v>
      </c>
      <c r="AZ296" s="52" t="s">
        <v>0</v>
      </c>
      <c r="BA296" s="52" t="s">
        <v>3638</v>
      </c>
      <c r="BB296" s="52" t="s">
        <v>4520</v>
      </c>
      <c r="BC296" s="52" t="s">
        <v>4867</v>
      </c>
      <c r="BD296" s="52" t="s">
        <v>7695</v>
      </c>
      <c r="BE296" s="52" t="s">
        <v>4905</v>
      </c>
      <c r="BF296" s="52" t="s">
        <v>7671</v>
      </c>
      <c r="BG296" s="52" t="s">
        <v>4867</v>
      </c>
      <c r="BH296" s="52" t="s">
        <v>7908</v>
      </c>
      <c r="BI296" s="52" t="s">
        <v>7847</v>
      </c>
      <c r="BJ296" s="52" t="s">
        <v>5474</v>
      </c>
      <c r="BK296" s="52"/>
      <c r="BL296" s="52"/>
      <c r="BM296" s="52" t="s">
        <v>0</v>
      </c>
      <c r="BN296" s="52" t="s">
        <v>3866</v>
      </c>
      <c r="BO296" s="52"/>
      <c r="BP296" s="52" t="s">
        <v>2265</v>
      </c>
      <c r="BQ296" s="52" t="s">
        <v>2265</v>
      </c>
      <c r="BR296" s="52" t="s">
        <v>0</v>
      </c>
      <c r="BS296" s="52" t="s">
        <v>0</v>
      </c>
      <c r="BT296" s="52" t="s">
        <v>0</v>
      </c>
      <c r="BU296" s="84" t="s">
        <v>2887</v>
      </c>
      <c r="BV296" s="84"/>
      <c r="BW296" s="52"/>
      <c r="BX296" s="52" t="s">
        <v>0</v>
      </c>
      <c r="BY296" s="52" t="s">
        <v>0</v>
      </c>
      <c r="BZ296" s="52" t="s">
        <v>6251</v>
      </c>
      <c r="CA296" s="52" t="s">
        <v>3126</v>
      </c>
      <c r="CB296" s="52" t="s">
        <v>3126</v>
      </c>
      <c r="CC296" s="52"/>
      <c r="CD296" s="52"/>
      <c r="CE296" s="52" t="s">
        <v>3215</v>
      </c>
      <c r="CF296" s="52" t="s">
        <v>0</v>
      </c>
    </row>
    <row r="297" spans="1:84" ht="36">
      <c r="A297" s="6" t="s">
        <v>3075</v>
      </c>
      <c r="B297" s="200" t="s">
        <v>6830</v>
      </c>
      <c r="C297" s="36" t="s">
        <v>0</v>
      </c>
      <c r="D297" s="36" t="s">
        <v>5188</v>
      </c>
      <c r="E297" s="36" t="s">
        <v>3745</v>
      </c>
      <c r="F297" s="36" t="s">
        <v>2753</v>
      </c>
      <c r="G297" s="36" t="s">
        <v>5528</v>
      </c>
      <c r="H297" s="36" t="s">
        <v>5529</v>
      </c>
      <c r="I297" s="36" t="s">
        <v>8236</v>
      </c>
      <c r="J297" s="36" t="s">
        <v>5306</v>
      </c>
      <c r="K297" s="36" t="s">
        <v>8367</v>
      </c>
      <c r="L297" s="36" t="s">
        <v>8421</v>
      </c>
      <c r="M297" s="36" t="s">
        <v>823</v>
      </c>
      <c r="N297" s="36" t="s">
        <v>8287</v>
      </c>
      <c r="O297" s="36" t="s">
        <v>5261</v>
      </c>
      <c r="P297" s="36" t="s">
        <v>8614</v>
      </c>
      <c r="Q297" s="36" t="s">
        <v>8614</v>
      </c>
      <c r="R297" s="36" t="s">
        <v>35</v>
      </c>
      <c r="S297" s="36" t="s">
        <v>8552</v>
      </c>
      <c r="T297" s="36" t="s">
        <v>764</v>
      </c>
      <c r="U297" s="36" t="s">
        <v>764</v>
      </c>
      <c r="V297" s="145" t="s">
        <v>5740</v>
      </c>
      <c r="W297" s="36" t="s">
        <v>823</v>
      </c>
      <c r="X297" s="36" t="s">
        <v>6488</v>
      </c>
      <c r="Y297" s="36" t="s">
        <v>0</v>
      </c>
      <c r="Z297" s="36" t="s">
        <v>296</v>
      </c>
      <c r="AA297" s="36" t="s">
        <v>35</v>
      </c>
      <c r="AB297" s="36" t="s">
        <v>4770</v>
      </c>
      <c r="AC297" s="36" t="s">
        <v>4771</v>
      </c>
      <c r="AD297" s="36" t="s">
        <v>0</v>
      </c>
      <c r="AE297" s="7" t="s">
        <v>197</v>
      </c>
      <c r="AF297" s="7" t="s">
        <v>197</v>
      </c>
      <c r="AG297" s="7" t="s">
        <v>7078</v>
      </c>
      <c r="AH297" s="7" t="s">
        <v>7078</v>
      </c>
      <c r="AI297" s="7" t="s">
        <v>7078</v>
      </c>
      <c r="AJ297" s="7" t="s">
        <v>296</v>
      </c>
      <c r="AK297" s="7" t="s">
        <v>0</v>
      </c>
      <c r="AL297" s="36" t="s">
        <v>597</v>
      </c>
      <c r="AM297" s="36" t="s">
        <v>315</v>
      </c>
      <c r="AN297" s="36" t="s">
        <v>26</v>
      </c>
      <c r="AO297" s="36" t="s">
        <v>901</v>
      </c>
      <c r="AP297" s="36" t="s">
        <v>0</v>
      </c>
      <c r="AQ297" s="36" t="s">
        <v>35</v>
      </c>
      <c r="AR297" s="36" t="s">
        <v>823</v>
      </c>
      <c r="AS297" s="36" t="s">
        <v>6371</v>
      </c>
      <c r="AT297" s="36" t="s">
        <v>6372</v>
      </c>
      <c r="AU297" s="36" t="s">
        <v>6372</v>
      </c>
      <c r="AV297" s="36" t="s">
        <v>4346</v>
      </c>
      <c r="AW297" s="36" t="s">
        <v>4346</v>
      </c>
      <c r="AX297" s="36" t="s">
        <v>197</v>
      </c>
      <c r="AY297" s="36" t="s">
        <v>111</v>
      </c>
      <c r="AZ297" s="36" t="s">
        <v>0</v>
      </c>
      <c r="BA297" s="36" t="s">
        <v>823</v>
      </c>
      <c r="BB297" s="36" t="s">
        <v>3065</v>
      </c>
      <c r="BC297" s="36" t="s">
        <v>35</v>
      </c>
      <c r="BD297" s="36" t="s">
        <v>35</v>
      </c>
      <c r="BE297" s="36" t="s">
        <v>35</v>
      </c>
      <c r="BF297" s="36" t="s">
        <v>35</v>
      </c>
      <c r="BG297" s="36" t="s">
        <v>35</v>
      </c>
      <c r="BH297" s="36" t="s">
        <v>35</v>
      </c>
      <c r="BI297" s="36" t="s">
        <v>7848</v>
      </c>
      <c r="BJ297" s="36" t="s">
        <v>296</v>
      </c>
      <c r="BK297" s="36" t="s">
        <v>546</v>
      </c>
      <c r="BL297" s="36" t="s">
        <v>566</v>
      </c>
      <c r="BM297" s="38" t="s">
        <v>0</v>
      </c>
      <c r="BN297" s="36" t="s">
        <v>0</v>
      </c>
      <c r="BO297" s="36"/>
      <c r="BP297" s="36" t="s">
        <v>315</v>
      </c>
      <c r="BQ297" s="36" t="s">
        <v>0</v>
      </c>
      <c r="BR297" s="36" t="s">
        <v>0</v>
      </c>
      <c r="BS297" s="36" t="s">
        <v>823</v>
      </c>
      <c r="BT297" s="36" t="s">
        <v>823</v>
      </c>
      <c r="BU297" s="36" t="s">
        <v>597</v>
      </c>
      <c r="BV297" s="36" t="s">
        <v>296</v>
      </c>
      <c r="BW297" s="36" t="s">
        <v>35</v>
      </c>
      <c r="BX297" s="36" t="s">
        <v>0</v>
      </c>
      <c r="BY297" s="36" t="s">
        <v>823</v>
      </c>
      <c r="BZ297" s="36" t="s">
        <v>6262</v>
      </c>
      <c r="CA297" s="36" t="s">
        <v>35</v>
      </c>
      <c r="CB297" s="36" t="s">
        <v>35</v>
      </c>
      <c r="CC297" s="36" t="s">
        <v>0</v>
      </c>
      <c r="CD297" s="36" t="s">
        <v>315</v>
      </c>
      <c r="CE297" s="36" t="s">
        <v>3216</v>
      </c>
      <c r="CF297" s="36" t="s">
        <v>823</v>
      </c>
    </row>
    <row r="298" spans="1:84" ht="18">
      <c r="A298" s="51" t="s">
        <v>935</v>
      </c>
      <c r="B298" s="51"/>
      <c r="C298" s="52"/>
      <c r="D298" s="52" t="s">
        <v>5187</v>
      </c>
      <c r="E298" s="52" t="s">
        <v>2752</v>
      </c>
      <c r="F298" s="52" t="s">
        <v>2752</v>
      </c>
      <c r="G298" s="52" t="s">
        <v>1408</v>
      </c>
      <c r="H298" s="52" t="s">
        <v>1408</v>
      </c>
      <c r="I298" s="52" t="s">
        <v>8237</v>
      </c>
      <c r="J298" s="52" t="s">
        <v>5314</v>
      </c>
      <c r="K298" s="52" t="s">
        <v>8366</v>
      </c>
      <c r="L298" s="52" t="s">
        <v>8422</v>
      </c>
      <c r="M298" s="52" t="s">
        <v>5840</v>
      </c>
      <c r="N298" s="52" t="s">
        <v>8286</v>
      </c>
      <c r="O298" s="52" t="s">
        <v>5788</v>
      </c>
      <c r="P298" s="52" t="s">
        <v>8613</v>
      </c>
      <c r="Q298" s="52" t="s">
        <v>8613</v>
      </c>
      <c r="R298" s="52" t="s">
        <v>3424</v>
      </c>
      <c r="S298" s="52" t="s">
        <v>8551</v>
      </c>
      <c r="T298" s="52" t="s">
        <v>5626</v>
      </c>
      <c r="U298" s="52" t="s">
        <v>5626</v>
      </c>
      <c r="V298" s="84"/>
      <c r="W298" s="52" t="s">
        <v>4418</v>
      </c>
      <c r="X298" s="52" t="s">
        <v>6489</v>
      </c>
      <c r="Y298" s="52" t="s">
        <v>2358</v>
      </c>
      <c r="Z298" s="52" t="s">
        <v>2376</v>
      </c>
      <c r="AA298" s="52" t="s">
        <v>2376</v>
      </c>
      <c r="AB298" s="52" t="s">
        <v>5917</v>
      </c>
      <c r="AC298" s="52" t="s">
        <v>5917</v>
      </c>
      <c r="AD298" s="52" t="s">
        <v>0</v>
      </c>
      <c r="AE298" s="52" t="s">
        <v>6051</v>
      </c>
      <c r="AF298" s="52" t="s">
        <v>6051</v>
      </c>
      <c r="AG298" s="186" t="s">
        <v>7081</v>
      </c>
      <c r="AH298" s="186" t="s">
        <v>7081</v>
      </c>
      <c r="AI298" s="186" t="s">
        <v>7081</v>
      </c>
      <c r="AJ298" s="52" t="s">
        <v>6127</v>
      </c>
      <c r="AK298" s="52" t="s">
        <v>0</v>
      </c>
      <c r="AL298" s="52" t="s">
        <v>1863</v>
      </c>
      <c r="AM298" s="52" t="s">
        <v>5418</v>
      </c>
      <c r="AN298" s="52" t="s">
        <v>5433</v>
      </c>
      <c r="AO298" s="52" t="s">
        <v>4225</v>
      </c>
      <c r="AP298" s="52" t="s">
        <v>0</v>
      </c>
      <c r="AQ298" s="52" t="s">
        <v>2556</v>
      </c>
      <c r="AR298" s="52"/>
      <c r="AS298" s="52" t="s">
        <v>1025</v>
      </c>
      <c r="AT298" s="52" t="s">
        <v>1025</v>
      </c>
      <c r="AU298" s="52" t="s">
        <v>1025</v>
      </c>
      <c r="AV298" s="52" t="s">
        <v>4345</v>
      </c>
      <c r="AW298" s="52" t="s">
        <v>4345</v>
      </c>
      <c r="AX298" s="52" t="s">
        <v>1275</v>
      </c>
      <c r="AY298" s="52" t="s">
        <v>1318</v>
      </c>
      <c r="AZ298" s="52" t="s">
        <v>0</v>
      </c>
      <c r="BA298" s="52" t="s">
        <v>3645</v>
      </c>
      <c r="BB298" s="52" t="s">
        <v>3537</v>
      </c>
      <c r="BC298" s="52" t="s">
        <v>4864</v>
      </c>
      <c r="BD298" s="52" t="s">
        <v>7700</v>
      </c>
      <c r="BE298" s="52" t="s">
        <v>4899</v>
      </c>
      <c r="BF298" s="52" t="s">
        <v>7674</v>
      </c>
      <c r="BG298" s="52" t="s">
        <v>4864</v>
      </c>
      <c r="BH298" s="52" t="s">
        <v>7907</v>
      </c>
      <c r="BI298" s="52" t="s">
        <v>7849</v>
      </c>
      <c r="BJ298" s="52" t="s">
        <v>5471</v>
      </c>
      <c r="BK298" s="52"/>
      <c r="BL298" s="52"/>
      <c r="BM298" s="52" t="s">
        <v>0</v>
      </c>
      <c r="BN298" s="52" t="s">
        <v>0</v>
      </c>
      <c r="BO298" s="52"/>
      <c r="BP298" s="52" t="s">
        <v>2240</v>
      </c>
      <c r="BQ298" s="52" t="s">
        <v>0</v>
      </c>
      <c r="BR298" s="52" t="s">
        <v>0</v>
      </c>
      <c r="BS298" s="52" t="s">
        <v>2633</v>
      </c>
      <c r="BT298" s="52" t="s">
        <v>2633</v>
      </c>
      <c r="BU298" s="84" t="s">
        <v>2882</v>
      </c>
      <c r="BV298" s="84"/>
      <c r="BW298" s="52"/>
      <c r="BX298" s="52" t="s">
        <v>0</v>
      </c>
      <c r="BY298" s="52" t="s">
        <v>3773</v>
      </c>
      <c r="BZ298" s="52" t="s">
        <v>6261</v>
      </c>
      <c r="CA298" s="52" t="s">
        <v>3125</v>
      </c>
      <c r="CB298" s="52" t="s">
        <v>3125</v>
      </c>
      <c r="CC298" s="52"/>
      <c r="CD298" s="52"/>
      <c r="CE298" s="52" t="s">
        <v>3215</v>
      </c>
      <c r="CF298" s="52" t="s">
        <v>2159</v>
      </c>
    </row>
    <row r="299" spans="1:84" ht="27">
      <c r="A299" s="6" t="s">
        <v>49</v>
      </c>
      <c r="B299" s="200"/>
      <c r="C299" s="36" t="s">
        <v>0</v>
      </c>
      <c r="D299" s="36" t="s">
        <v>764</v>
      </c>
      <c r="E299" s="36" t="s">
        <v>2798</v>
      </c>
      <c r="F299" s="36" t="s">
        <v>2798</v>
      </c>
      <c r="G299" s="36" t="s">
        <v>5533</v>
      </c>
      <c r="H299" s="36" t="s">
        <v>5532</v>
      </c>
      <c r="I299" s="36" t="s">
        <v>0</v>
      </c>
      <c r="J299" s="36" t="s">
        <v>5309</v>
      </c>
      <c r="K299" s="36" t="s">
        <v>8365</v>
      </c>
      <c r="L299" s="36" t="s">
        <v>8419</v>
      </c>
      <c r="M299" s="36" t="s">
        <v>5842</v>
      </c>
      <c r="N299" s="36" t="s">
        <v>8289</v>
      </c>
      <c r="O299" s="36" t="s">
        <v>5262</v>
      </c>
      <c r="P299" s="36" t="s">
        <v>8612</v>
      </c>
      <c r="Q299" s="36" t="s">
        <v>8612</v>
      </c>
      <c r="R299" s="36" t="s">
        <v>499</v>
      </c>
      <c r="S299" s="36" t="s">
        <v>8553</v>
      </c>
      <c r="T299" s="36" t="s">
        <v>756</v>
      </c>
      <c r="U299" s="36" t="s">
        <v>756</v>
      </c>
      <c r="V299" s="145" t="s">
        <v>5493</v>
      </c>
      <c r="W299" s="36" t="s">
        <v>826</v>
      </c>
      <c r="X299" s="36" t="s">
        <v>6492</v>
      </c>
      <c r="Y299" s="38" t="s">
        <v>0</v>
      </c>
      <c r="Z299" s="38" t="s">
        <v>0</v>
      </c>
      <c r="AA299" s="38" t="s">
        <v>0</v>
      </c>
      <c r="AB299" s="36" t="s">
        <v>3647</v>
      </c>
      <c r="AC299" s="36" t="s">
        <v>3647</v>
      </c>
      <c r="AD299" s="36" t="s">
        <v>0</v>
      </c>
      <c r="AE299" s="7" t="s">
        <v>756</v>
      </c>
      <c r="AF299" s="7" t="s">
        <v>756</v>
      </c>
      <c r="AG299" s="36" t="s">
        <v>7079</v>
      </c>
      <c r="AH299" s="36" t="s">
        <v>7079</v>
      </c>
      <c r="AI299" s="36" t="s">
        <v>7079</v>
      </c>
      <c r="AJ299" s="36" t="s">
        <v>756</v>
      </c>
      <c r="AK299" s="7" t="s">
        <v>0</v>
      </c>
      <c r="AL299" s="7" t="s">
        <v>0</v>
      </c>
      <c r="AM299" s="36" t="s">
        <v>756</v>
      </c>
      <c r="AN299" s="36" t="s">
        <v>756</v>
      </c>
      <c r="AO299" s="36" t="s">
        <v>0</v>
      </c>
      <c r="AP299" s="36" t="s">
        <v>0</v>
      </c>
      <c r="AQ299" s="36" t="s">
        <v>6347</v>
      </c>
      <c r="AR299" s="36" t="s">
        <v>756</v>
      </c>
      <c r="AS299" s="36" t="s">
        <v>6374</v>
      </c>
      <c r="AT299" s="36" t="s">
        <v>6374</v>
      </c>
      <c r="AU299" s="36" t="s">
        <v>6374</v>
      </c>
      <c r="AV299" s="36" t="s">
        <v>0</v>
      </c>
      <c r="AW299" s="36" t="s">
        <v>0</v>
      </c>
      <c r="AX299" s="36" t="s">
        <v>6321</v>
      </c>
      <c r="AY299" s="36" t="s">
        <v>0</v>
      </c>
      <c r="AZ299" s="36" t="s">
        <v>0</v>
      </c>
      <c r="BA299" s="36" t="s">
        <v>3647</v>
      </c>
      <c r="BB299" s="36" t="s">
        <v>597</v>
      </c>
      <c r="BC299" s="36" t="s">
        <v>796</v>
      </c>
      <c r="BD299" s="36" t="s">
        <v>7657</v>
      </c>
      <c r="BE299" s="36" t="s">
        <v>479</v>
      </c>
      <c r="BF299" s="36" t="s">
        <v>7657</v>
      </c>
      <c r="BG299" s="36" t="s">
        <v>796</v>
      </c>
      <c r="BH299" s="36" t="s">
        <v>7657</v>
      </c>
      <c r="BI299" s="36" t="s">
        <v>7079</v>
      </c>
      <c r="BJ299" s="36" t="s">
        <v>756</v>
      </c>
      <c r="BK299" s="36" t="s">
        <v>549</v>
      </c>
      <c r="BL299" s="36" t="s">
        <v>571</v>
      </c>
      <c r="BM299" s="38" t="s">
        <v>0</v>
      </c>
      <c r="BN299" s="36" t="s">
        <v>3841</v>
      </c>
      <c r="BO299" s="36"/>
      <c r="BP299" s="36" t="s">
        <v>2242</v>
      </c>
      <c r="BQ299" s="36" t="s">
        <v>0</v>
      </c>
      <c r="BR299" s="38" t="s">
        <v>0</v>
      </c>
      <c r="BS299" s="36" t="s">
        <v>2625</v>
      </c>
      <c r="BT299" s="36" t="s">
        <v>2625</v>
      </c>
      <c r="BU299" s="36" t="s">
        <v>2073</v>
      </c>
      <c r="BV299" s="36" t="s">
        <v>676</v>
      </c>
      <c r="BW299" s="36" t="s">
        <v>677</v>
      </c>
      <c r="BX299" s="36" t="s">
        <v>3647</v>
      </c>
      <c r="BY299" s="36" t="s">
        <v>3647</v>
      </c>
      <c r="BZ299" s="36" t="s">
        <v>57</v>
      </c>
      <c r="CA299" s="36" t="s">
        <v>37</v>
      </c>
      <c r="CB299" s="36" t="s">
        <v>37</v>
      </c>
      <c r="CC299" s="36" t="s">
        <v>0</v>
      </c>
      <c r="CD299" s="36" t="s">
        <v>316</v>
      </c>
      <c r="CE299" s="36" t="s">
        <v>3217</v>
      </c>
      <c r="CF299" s="36" t="s">
        <v>2137</v>
      </c>
    </row>
    <row r="300" spans="1:84" ht="18">
      <c r="A300" s="51" t="s">
        <v>935</v>
      </c>
      <c r="B300" s="51"/>
      <c r="C300" s="52" t="s">
        <v>2313</v>
      </c>
      <c r="D300" s="52" t="s">
        <v>5196</v>
      </c>
      <c r="E300" s="52" t="s">
        <v>2797</v>
      </c>
      <c r="F300" s="52" t="s">
        <v>2797</v>
      </c>
      <c r="G300" s="52" t="s">
        <v>1413</v>
      </c>
      <c r="H300" s="52" t="s">
        <v>1413</v>
      </c>
      <c r="I300" s="52" t="s">
        <v>8238</v>
      </c>
      <c r="J300" s="52" t="s">
        <v>5766</v>
      </c>
      <c r="K300" s="52" t="s">
        <v>8364</v>
      </c>
      <c r="L300" s="52" t="s">
        <v>8418</v>
      </c>
      <c r="M300" s="52" t="s">
        <v>5843</v>
      </c>
      <c r="N300" s="52" t="s">
        <v>8286</v>
      </c>
      <c r="O300" s="52" t="s">
        <v>5265</v>
      </c>
      <c r="P300" s="52" t="s">
        <v>8611</v>
      </c>
      <c r="Q300" s="52" t="s">
        <v>8611</v>
      </c>
      <c r="R300" s="52" t="s">
        <v>5280</v>
      </c>
      <c r="S300" s="52" t="s">
        <v>8554</v>
      </c>
      <c r="T300" s="52" t="s">
        <v>5629</v>
      </c>
      <c r="U300" s="52" t="s">
        <v>5629</v>
      </c>
      <c r="V300" s="84"/>
      <c r="W300" s="52" t="s">
        <v>4448</v>
      </c>
      <c r="X300" s="52" t="s">
        <v>6493</v>
      </c>
      <c r="Y300" s="52" t="s">
        <v>2418</v>
      </c>
      <c r="Z300" s="52" t="s">
        <v>2418</v>
      </c>
      <c r="AA300" s="52" t="s">
        <v>2418</v>
      </c>
      <c r="AB300" s="52" t="s">
        <v>5945</v>
      </c>
      <c r="AC300" s="52" t="s">
        <v>5945</v>
      </c>
      <c r="AD300" s="52" t="s">
        <v>4778</v>
      </c>
      <c r="AE300" s="52" t="s">
        <v>6052</v>
      </c>
      <c r="AF300" s="52" t="s">
        <v>6052</v>
      </c>
      <c r="AG300" s="186" t="s">
        <v>7080</v>
      </c>
      <c r="AH300" s="186" t="s">
        <v>7080</v>
      </c>
      <c r="AI300" s="186" t="s">
        <v>7080</v>
      </c>
      <c r="AJ300" s="52" t="s">
        <v>6128</v>
      </c>
      <c r="AK300" s="52" t="s">
        <v>1904</v>
      </c>
      <c r="AL300" s="52" t="s">
        <v>1904</v>
      </c>
      <c r="AM300" s="52" t="s">
        <v>5354</v>
      </c>
      <c r="AN300" s="52" t="s">
        <v>5354</v>
      </c>
      <c r="AO300" s="52" t="s">
        <v>4264</v>
      </c>
      <c r="AP300" s="52" t="s">
        <v>0</v>
      </c>
      <c r="AQ300" s="52" t="s">
        <v>6333</v>
      </c>
      <c r="AR300" s="52"/>
      <c r="AS300" s="52" t="s">
        <v>1025</v>
      </c>
      <c r="AT300" s="52" t="s">
        <v>1025</v>
      </c>
      <c r="AU300" s="52" t="s">
        <v>1025</v>
      </c>
      <c r="AV300" s="52" t="s">
        <v>4371</v>
      </c>
      <c r="AW300" s="52" t="s">
        <v>4371</v>
      </c>
      <c r="AX300" s="52" t="s">
        <v>1278</v>
      </c>
      <c r="AY300" s="52" t="s">
        <v>1337</v>
      </c>
      <c r="AZ300" s="52" t="s">
        <v>3732</v>
      </c>
      <c r="BA300" s="52" t="s">
        <v>3646</v>
      </c>
      <c r="BB300" s="52" t="s">
        <v>3559</v>
      </c>
      <c r="BC300" s="52" t="s">
        <v>4865</v>
      </c>
      <c r="BD300" s="52" t="s">
        <v>7699</v>
      </c>
      <c r="BE300" s="52" t="s">
        <v>4900</v>
      </c>
      <c r="BF300" s="52" t="s">
        <v>7658</v>
      </c>
      <c r="BG300" s="52" t="s">
        <v>4865</v>
      </c>
      <c r="BH300" s="52" t="s">
        <v>7909</v>
      </c>
      <c r="BI300" s="52" t="s">
        <v>7850</v>
      </c>
      <c r="BJ300" s="52" t="s">
        <v>5472</v>
      </c>
      <c r="BK300" s="52"/>
      <c r="BL300" s="52"/>
      <c r="BM300" s="52" t="s">
        <v>0</v>
      </c>
      <c r="BN300" s="52" t="s">
        <v>3862</v>
      </c>
      <c r="BO300" s="52"/>
      <c r="BP300" s="52" t="s">
        <v>2241</v>
      </c>
      <c r="BQ300" s="52" t="s">
        <v>2313</v>
      </c>
      <c r="BR300" s="52" t="s">
        <v>2710</v>
      </c>
      <c r="BS300" s="52" t="s">
        <v>2632</v>
      </c>
      <c r="BT300" s="52" t="s">
        <v>2632</v>
      </c>
      <c r="BU300" s="84" t="s">
        <v>2883</v>
      </c>
      <c r="BV300" s="84"/>
      <c r="BW300" s="52"/>
      <c r="BX300" s="52" t="s">
        <v>3826</v>
      </c>
      <c r="BY300" s="52" t="s">
        <v>3826</v>
      </c>
      <c r="BZ300" s="52" t="s">
        <v>6257</v>
      </c>
      <c r="CA300" s="52" t="s">
        <v>3128</v>
      </c>
      <c r="CB300" s="52" t="s">
        <v>3128</v>
      </c>
      <c r="CC300" s="52"/>
      <c r="CD300" s="52"/>
      <c r="CE300" s="52" t="s">
        <v>3215</v>
      </c>
      <c r="CF300" s="52" t="s">
        <v>2165</v>
      </c>
    </row>
    <row r="301" spans="1:84" ht="27">
      <c r="A301" s="62" t="s">
        <v>174</v>
      </c>
      <c r="B301" s="200"/>
      <c r="C301" s="38" t="s">
        <v>763</v>
      </c>
      <c r="D301" s="38" t="s">
        <v>763</v>
      </c>
      <c r="E301" s="38" t="s">
        <v>0</v>
      </c>
      <c r="F301" s="38" t="s">
        <v>0</v>
      </c>
      <c r="G301" s="38" t="s">
        <v>0</v>
      </c>
      <c r="H301" s="38" t="s">
        <v>0</v>
      </c>
      <c r="I301" s="38" t="s">
        <v>0</v>
      </c>
      <c r="J301" s="38" t="s">
        <v>0</v>
      </c>
      <c r="K301" s="38" t="s">
        <v>0</v>
      </c>
      <c r="L301" s="38" t="s">
        <v>0</v>
      </c>
      <c r="M301" s="38" t="s">
        <v>0</v>
      </c>
      <c r="N301" s="38" t="s">
        <v>0</v>
      </c>
      <c r="O301" s="36" t="s">
        <v>1622</v>
      </c>
      <c r="P301" s="7" t="s">
        <v>7852</v>
      </c>
      <c r="Q301" s="7" t="s">
        <v>7852</v>
      </c>
      <c r="R301" s="38" t="s">
        <v>0</v>
      </c>
      <c r="S301" s="7" t="s">
        <v>7852</v>
      </c>
      <c r="T301" s="36" t="s">
        <v>2138</v>
      </c>
      <c r="U301" s="36" t="s">
        <v>2138</v>
      </c>
      <c r="V301" s="145" t="s">
        <v>5738</v>
      </c>
      <c r="W301" s="36" t="s">
        <v>2138</v>
      </c>
      <c r="X301" s="36" t="s">
        <v>6480</v>
      </c>
      <c r="Y301" s="38" t="s">
        <v>0</v>
      </c>
      <c r="Z301" s="38" t="s">
        <v>0</v>
      </c>
      <c r="AA301" s="38" t="s">
        <v>0</v>
      </c>
      <c r="AB301" s="38" t="s">
        <v>0</v>
      </c>
      <c r="AC301" s="38" t="s">
        <v>0</v>
      </c>
      <c r="AD301" s="38" t="s">
        <v>0</v>
      </c>
      <c r="AE301" s="7" t="s">
        <v>1769</v>
      </c>
      <c r="AF301" s="7" t="s">
        <v>1769</v>
      </c>
      <c r="AG301" s="7" t="s">
        <v>7077</v>
      </c>
      <c r="AH301" s="7" t="s">
        <v>7077</v>
      </c>
      <c r="AI301" s="7" t="s">
        <v>7077</v>
      </c>
      <c r="AJ301" s="7" t="s">
        <v>0</v>
      </c>
      <c r="AK301" s="7" t="s">
        <v>0</v>
      </c>
      <c r="AL301" s="7" t="s">
        <v>0</v>
      </c>
      <c r="AM301" s="38" t="s">
        <v>763</v>
      </c>
      <c r="AN301" s="36" t="s">
        <v>3547</v>
      </c>
      <c r="AO301" s="38" t="s">
        <v>0</v>
      </c>
      <c r="AP301" s="38" t="s">
        <v>0</v>
      </c>
      <c r="AQ301" s="38" t="s">
        <v>0</v>
      </c>
      <c r="AR301" s="38" t="s">
        <v>0</v>
      </c>
      <c r="AS301" s="38" t="s">
        <v>0</v>
      </c>
      <c r="AT301" s="38" t="s">
        <v>0</v>
      </c>
      <c r="AU301" s="38" t="s">
        <v>0</v>
      </c>
      <c r="AV301" s="38" t="s">
        <v>57</v>
      </c>
      <c r="AW301" s="38" t="s">
        <v>57</v>
      </c>
      <c r="AX301" s="38" t="s">
        <v>0</v>
      </c>
      <c r="AY301" s="36" t="s">
        <v>0</v>
      </c>
      <c r="AZ301" s="38" t="s">
        <v>0</v>
      </c>
      <c r="BA301" s="38" t="s">
        <v>0</v>
      </c>
      <c r="BB301" s="36" t="s">
        <v>3547</v>
      </c>
      <c r="BC301" s="36" t="s">
        <v>3547</v>
      </c>
      <c r="BD301" s="36" t="s">
        <v>7678</v>
      </c>
      <c r="BE301" s="36" t="s">
        <v>3547</v>
      </c>
      <c r="BF301" s="36" t="s">
        <v>7678</v>
      </c>
      <c r="BG301" s="36" t="s">
        <v>3547</v>
      </c>
      <c r="BH301" s="36" t="s">
        <v>7678</v>
      </c>
      <c r="BI301" s="36" t="s">
        <v>7852</v>
      </c>
      <c r="BJ301" s="36" t="s">
        <v>3547</v>
      </c>
      <c r="BK301" s="38" t="s">
        <v>0</v>
      </c>
      <c r="BL301" s="38" t="s">
        <v>0</v>
      </c>
      <c r="BM301" s="38" t="s">
        <v>0</v>
      </c>
      <c r="BN301" s="38" t="s">
        <v>0</v>
      </c>
      <c r="BO301" s="38"/>
      <c r="BP301" s="38" t="s">
        <v>0</v>
      </c>
      <c r="BQ301" s="38" t="s">
        <v>0</v>
      </c>
      <c r="BR301" s="38" t="s">
        <v>0</v>
      </c>
      <c r="BS301" s="38" t="s">
        <v>0</v>
      </c>
      <c r="BT301" s="38" t="s">
        <v>0</v>
      </c>
      <c r="BU301" s="36" t="s">
        <v>0</v>
      </c>
      <c r="BV301" s="36" t="s">
        <v>195</v>
      </c>
      <c r="BW301" s="38" t="s">
        <v>57</v>
      </c>
      <c r="BX301" s="38" t="s">
        <v>0</v>
      </c>
      <c r="BY301" s="38" t="s">
        <v>0</v>
      </c>
      <c r="BZ301" s="38" t="s">
        <v>57</v>
      </c>
      <c r="CA301" s="38" t="s">
        <v>57</v>
      </c>
      <c r="CB301" s="38" t="s">
        <v>57</v>
      </c>
      <c r="CC301" s="38" t="s">
        <v>0</v>
      </c>
      <c r="CD301" s="38" t="s">
        <v>0</v>
      </c>
      <c r="CE301" s="38" t="s">
        <v>0</v>
      </c>
      <c r="CF301" s="36" t="s">
        <v>2138</v>
      </c>
    </row>
    <row r="302" spans="1:84">
      <c r="A302" s="51" t="s">
        <v>935</v>
      </c>
      <c r="B302" s="51"/>
      <c r="C302" s="52" t="s">
        <v>5230</v>
      </c>
      <c r="D302" s="52" t="s">
        <v>5230</v>
      </c>
      <c r="E302" s="52" t="s">
        <v>0</v>
      </c>
      <c r="F302" s="52" t="s">
        <v>0</v>
      </c>
      <c r="G302" s="52" t="s">
        <v>0</v>
      </c>
      <c r="H302" s="52" t="s">
        <v>0</v>
      </c>
      <c r="I302" s="52" t="s">
        <v>0</v>
      </c>
      <c r="J302" s="52" t="s">
        <v>0</v>
      </c>
      <c r="K302" s="52" t="s">
        <v>0</v>
      </c>
      <c r="L302" s="52" t="s">
        <v>0</v>
      </c>
      <c r="M302" s="52" t="s">
        <v>0</v>
      </c>
      <c r="N302" s="52" t="s">
        <v>0</v>
      </c>
      <c r="O302" s="52" t="s">
        <v>5790</v>
      </c>
      <c r="P302" s="52" t="s">
        <v>8610</v>
      </c>
      <c r="Q302" s="52" t="s">
        <v>8610</v>
      </c>
      <c r="R302" s="52" t="s">
        <v>0</v>
      </c>
      <c r="S302" s="52" t="s">
        <v>8558</v>
      </c>
      <c r="T302" s="52" t="s">
        <v>5619</v>
      </c>
      <c r="U302" s="52" t="s">
        <v>5619</v>
      </c>
      <c r="V302" s="84"/>
      <c r="W302" s="52" t="s">
        <v>4418</v>
      </c>
      <c r="X302" s="52" t="s">
        <v>6481</v>
      </c>
      <c r="Y302" s="52" t="s">
        <v>0</v>
      </c>
      <c r="Z302" s="52" t="s">
        <v>0</v>
      </c>
      <c r="AA302" s="52" t="s">
        <v>0</v>
      </c>
      <c r="AB302" s="52" t="s">
        <v>0</v>
      </c>
      <c r="AC302" s="52" t="s">
        <v>0</v>
      </c>
      <c r="AD302" s="52" t="s">
        <v>0</v>
      </c>
      <c r="AE302" s="52" t="s">
        <v>6050</v>
      </c>
      <c r="AF302" s="52" t="s">
        <v>6050</v>
      </c>
      <c r="AG302" s="186" t="s">
        <v>7076</v>
      </c>
      <c r="AH302" s="186" t="s">
        <v>7076</v>
      </c>
      <c r="AI302" s="186" t="s">
        <v>7076</v>
      </c>
      <c r="AJ302" s="52" t="s">
        <v>0</v>
      </c>
      <c r="AK302" s="52" t="s">
        <v>0</v>
      </c>
      <c r="AL302" s="52" t="s">
        <v>0</v>
      </c>
      <c r="AM302" s="52" t="s">
        <v>5431</v>
      </c>
      <c r="AN302" s="52" t="s">
        <v>5432</v>
      </c>
      <c r="AO302" s="52" t="s">
        <v>0</v>
      </c>
      <c r="AP302" s="52" t="s">
        <v>0</v>
      </c>
      <c r="AQ302" s="52" t="s">
        <v>0</v>
      </c>
      <c r="AR302" s="52"/>
      <c r="AS302" s="52" t="s">
        <v>0</v>
      </c>
      <c r="AT302" s="52" t="s">
        <v>0</v>
      </c>
      <c r="AU302" s="52" t="s">
        <v>0</v>
      </c>
      <c r="AV302" s="52" t="s">
        <v>4295</v>
      </c>
      <c r="AW302" s="52" t="s">
        <v>4295</v>
      </c>
      <c r="AX302" s="52" t="s">
        <v>0</v>
      </c>
      <c r="AY302" s="52" t="s">
        <v>0</v>
      </c>
      <c r="AZ302" s="52" t="s">
        <v>0</v>
      </c>
      <c r="BA302" s="52" t="s">
        <v>0</v>
      </c>
      <c r="BB302" s="52" t="s">
        <v>3546</v>
      </c>
      <c r="BC302" s="52" t="s">
        <v>4872</v>
      </c>
      <c r="BD302" s="52" t="s">
        <v>7696</v>
      </c>
      <c r="BE302" s="52" t="s">
        <v>4909</v>
      </c>
      <c r="BF302" s="52" t="s">
        <v>7676</v>
      </c>
      <c r="BG302" s="52" t="s">
        <v>4872</v>
      </c>
      <c r="BH302" s="52" t="s">
        <v>7910</v>
      </c>
      <c r="BI302" s="52" t="s">
        <v>7851</v>
      </c>
      <c r="BJ302" s="52" t="s">
        <v>5476</v>
      </c>
      <c r="BK302" s="52"/>
      <c r="BL302" s="52"/>
      <c r="BM302" s="52" t="s">
        <v>0</v>
      </c>
      <c r="BN302" s="52" t="s">
        <v>0</v>
      </c>
      <c r="BO302" s="52"/>
      <c r="BP302" s="52" t="s">
        <v>0</v>
      </c>
      <c r="BQ302" s="52" t="s">
        <v>0</v>
      </c>
      <c r="BR302" s="52" t="s">
        <v>0</v>
      </c>
      <c r="BS302" s="52" t="s">
        <v>0</v>
      </c>
      <c r="BT302" s="52" t="s">
        <v>0</v>
      </c>
      <c r="BU302" s="84" t="s">
        <v>0</v>
      </c>
      <c r="BV302" s="84"/>
      <c r="BW302" s="52"/>
      <c r="BX302" s="52" t="s">
        <v>0</v>
      </c>
      <c r="BY302" s="52" t="s">
        <v>0</v>
      </c>
      <c r="BZ302" s="52" t="s">
        <v>6248</v>
      </c>
      <c r="CA302" s="52" t="s">
        <v>3130</v>
      </c>
      <c r="CB302" s="52" t="s">
        <v>3130</v>
      </c>
      <c r="CC302" s="52"/>
      <c r="CD302" s="52"/>
      <c r="CE302" s="52" t="s">
        <v>0</v>
      </c>
      <c r="CF302" s="52" t="s">
        <v>2164</v>
      </c>
    </row>
    <row r="303" spans="1:84" ht="27">
      <c r="A303" s="6" t="s">
        <v>33</v>
      </c>
      <c r="B303" s="200" t="s">
        <v>8814</v>
      </c>
      <c r="C303" s="38" t="s">
        <v>0</v>
      </c>
      <c r="D303" s="38" t="s">
        <v>57</v>
      </c>
      <c r="E303" s="38" t="s">
        <v>159</v>
      </c>
      <c r="F303" s="38" t="s">
        <v>17</v>
      </c>
      <c r="G303" s="38" t="s">
        <v>6</v>
      </c>
      <c r="H303" s="38" t="s">
        <v>111</v>
      </c>
      <c r="I303" s="36" t="s">
        <v>0</v>
      </c>
      <c r="J303" s="38" t="s">
        <v>0</v>
      </c>
      <c r="K303" s="36" t="s">
        <v>6313</v>
      </c>
      <c r="L303" s="36" t="s">
        <v>57</v>
      </c>
      <c r="M303" s="38" t="s">
        <v>159</v>
      </c>
      <c r="N303" s="36" t="s">
        <v>6318</v>
      </c>
      <c r="O303" s="38" t="s">
        <v>57</v>
      </c>
      <c r="P303" s="36" t="s">
        <v>8607</v>
      </c>
      <c r="Q303" s="36" t="s">
        <v>8607</v>
      </c>
      <c r="R303" s="38" t="s">
        <v>57</v>
      </c>
      <c r="S303" s="36" t="s">
        <v>8608</v>
      </c>
      <c r="T303" s="38" t="s">
        <v>6</v>
      </c>
      <c r="U303" s="38" t="s">
        <v>111</v>
      </c>
      <c r="V303" s="145" t="s">
        <v>5719</v>
      </c>
      <c r="W303" s="38" t="s">
        <v>0</v>
      </c>
      <c r="X303" s="36" t="s">
        <v>6494</v>
      </c>
      <c r="Y303" s="38" t="s">
        <v>0</v>
      </c>
      <c r="Z303" s="38" t="s">
        <v>6</v>
      </c>
      <c r="AA303" s="38" t="s">
        <v>111</v>
      </c>
      <c r="AB303" s="36" t="s">
        <v>6</v>
      </c>
      <c r="AC303" s="38" t="s">
        <v>111</v>
      </c>
      <c r="AD303" s="36" t="s">
        <v>0</v>
      </c>
      <c r="AE303" s="7" t="s">
        <v>0</v>
      </c>
      <c r="AF303" s="34" t="s">
        <v>111</v>
      </c>
      <c r="AG303" s="36" t="s">
        <v>0</v>
      </c>
      <c r="AH303" s="36" t="s">
        <v>0</v>
      </c>
      <c r="AI303" s="36" t="s">
        <v>7174</v>
      </c>
      <c r="AJ303" s="37" t="s">
        <v>223</v>
      </c>
      <c r="AK303" s="7" t="s">
        <v>0</v>
      </c>
      <c r="AL303" s="7" t="s">
        <v>111</v>
      </c>
      <c r="AM303" s="36" t="s">
        <v>5399</v>
      </c>
      <c r="AN303" s="36" t="s">
        <v>5400</v>
      </c>
      <c r="AO303" s="36" t="s">
        <v>904</v>
      </c>
      <c r="AP303" s="38" t="s">
        <v>0</v>
      </c>
      <c r="AQ303" s="38" t="s">
        <v>197</v>
      </c>
      <c r="AR303" s="36" t="s">
        <v>912</v>
      </c>
      <c r="AS303" s="38" t="s">
        <v>159</v>
      </c>
      <c r="AT303" s="38" t="s">
        <v>17</v>
      </c>
      <c r="AU303" s="38" t="s">
        <v>17</v>
      </c>
      <c r="AV303" s="36" t="s">
        <v>4360</v>
      </c>
      <c r="AW303" s="36" t="s">
        <v>4360</v>
      </c>
      <c r="AX303" s="36" t="s">
        <v>223</v>
      </c>
      <c r="AY303" s="36" t="s">
        <v>366</v>
      </c>
      <c r="AZ303" s="38" t="s">
        <v>0</v>
      </c>
      <c r="BA303" s="38" t="s">
        <v>223</v>
      </c>
      <c r="BB303" s="38" t="s">
        <v>210</v>
      </c>
      <c r="BC303" s="36" t="s">
        <v>5011</v>
      </c>
      <c r="BD303" s="36" t="s">
        <v>7763</v>
      </c>
      <c r="BE303" s="36" t="s">
        <v>6</v>
      </c>
      <c r="BF303" s="36" t="s">
        <v>659</v>
      </c>
      <c r="BG303" s="36" t="s">
        <v>3272</v>
      </c>
      <c r="BH303" s="36" t="s">
        <v>7763</v>
      </c>
      <c r="BI303" s="36" t="s">
        <v>4999</v>
      </c>
      <c r="BJ303" s="36" t="s">
        <v>4999</v>
      </c>
      <c r="BK303" s="36" t="s">
        <v>0</v>
      </c>
      <c r="BL303" s="36" t="s">
        <v>567</v>
      </c>
      <c r="BM303" s="38" t="s">
        <v>0</v>
      </c>
      <c r="BN303" s="36" t="s">
        <v>3840</v>
      </c>
      <c r="BO303" s="36"/>
      <c r="BP303" s="36" t="s">
        <v>314</v>
      </c>
      <c r="BQ303" s="36" t="s">
        <v>0</v>
      </c>
      <c r="BR303" s="38" t="s">
        <v>0</v>
      </c>
      <c r="BS303" s="38" t="s">
        <v>350</v>
      </c>
      <c r="BT303" s="38" t="s">
        <v>0</v>
      </c>
      <c r="BU303" s="36" t="s">
        <v>111</v>
      </c>
      <c r="BV303" s="36" t="s">
        <v>111</v>
      </c>
      <c r="BW303" s="38" t="s">
        <v>210</v>
      </c>
      <c r="BX303" s="36" t="s">
        <v>0</v>
      </c>
      <c r="BY303" s="38" t="s">
        <v>6</v>
      </c>
      <c r="BZ303" s="36" t="s">
        <v>6253</v>
      </c>
      <c r="CA303" s="38" t="s">
        <v>6</v>
      </c>
      <c r="CB303" s="38" t="s">
        <v>6</v>
      </c>
      <c r="CC303" s="38" t="s">
        <v>0</v>
      </c>
      <c r="CD303" s="36" t="s">
        <v>314</v>
      </c>
      <c r="CE303" s="38" t="s">
        <v>3241</v>
      </c>
      <c r="CF303" s="38" t="s">
        <v>0</v>
      </c>
    </row>
    <row r="304" spans="1:84" ht="18">
      <c r="A304" s="51" t="s">
        <v>935</v>
      </c>
      <c r="B304" s="51"/>
      <c r="C304" s="52" t="s">
        <v>0</v>
      </c>
      <c r="D304" s="52" t="s">
        <v>5195</v>
      </c>
      <c r="E304" s="52" t="s">
        <v>2750</v>
      </c>
      <c r="F304" s="52" t="s">
        <v>2750</v>
      </c>
      <c r="G304" s="52" t="s">
        <v>0</v>
      </c>
      <c r="H304" s="52" t="s">
        <v>1413</v>
      </c>
      <c r="I304" s="84" t="s">
        <v>0</v>
      </c>
      <c r="J304" s="52" t="s">
        <v>0</v>
      </c>
      <c r="K304" s="84" t="s">
        <v>8363</v>
      </c>
      <c r="L304" s="52" t="s">
        <v>8417</v>
      </c>
      <c r="M304" s="52" t="s">
        <v>5847</v>
      </c>
      <c r="N304" s="52" t="s">
        <v>8295</v>
      </c>
      <c r="O304" s="52" t="s">
        <v>5789</v>
      </c>
      <c r="P304" s="52" t="s">
        <v>8609</v>
      </c>
      <c r="Q304" s="52" t="s">
        <v>8609</v>
      </c>
      <c r="R304" s="52" t="s">
        <v>5284</v>
      </c>
      <c r="S304" s="52" t="s">
        <v>8576</v>
      </c>
      <c r="T304" s="52" t="s">
        <v>5632</v>
      </c>
      <c r="U304" s="52" t="s">
        <v>5632</v>
      </c>
      <c r="V304" s="84"/>
      <c r="W304" s="52" t="s">
        <v>0</v>
      </c>
      <c r="X304" s="52" t="s">
        <v>6495</v>
      </c>
      <c r="Y304" s="52" t="s">
        <v>2359</v>
      </c>
      <c r="Z304" s="52" t="s">
        <v>2366</v>
      </c>
      <c r="AA304" s="52" t="s">
        <v>2366</v>
      </c>
      <c r="AB304" s="52" t="s">
        <v>4781</v>
      </c>
      <c r="AC304" s="52" t="s">
        <v>4781</v>
      </c>
      <c r="AD304" s="52" t="s">
        <v>4780</v>
      </c>
      <c r="AE304" s="52" t="s">
        <v>0</v>
      </c>
      <c r="AF304" s="52" t="s">
        <v>1682</v>
      </c>
      <c r="AG304" s="52" t="s">
        <v>7065</v>
      </c>
      <c r="AH304" s="52" t="s">
        <v>7065</v>
      </c>
      <c r="AI304" s="52" t="s">
        <v>7175</v>
      </c>
      <c r="AJ304" s="52" t="s">
        <v>6129</v>
      </c>
      <c r="AK304" s="52" t="s">
        <v>0</v>
      </c>
      <c r="AL304" s="52" t="s">
        <v>4180</v>
      </c>
      <c r="AM304" s="52" t="s">
        <v>5398</v>
      </c>
      <c r="AN304" s="52" t="s">
        <v>5401</v>
      </c>
      <c r="AO304" s="52" t="s">
        <v>4231</v>
      </c>
      <c r="AP304" s="52" t="s">
        <v>0</v>
      </c>
      <c r="AQ304" s="52" t="s">
        <v>1025</v>
      </c>
      <c r="AR304" s="52"/>
      <c r="AS304" s="52" t="s">
        <v>1025</v>
      </c>
      <c r="AT304" s="52" t="s">
        <v>1025</v>
      </c>
      <c r="AU304" s="52" t="s">
        <v>1025</v>
      </c>
      <c r="AV304" s="52" t="s">
        <v>4359</v>
      </c>
      <c r="AW304" s="52" t="s">
        <v>4359</v>
      </c>
      <c r="AX304" s="52" t="s">
        <v>1281</v>
      </c>
      <c r="AY304" s="52" t="s">
        <v>1320</v>
      </c>
      <c r="AZ304" s="52" t="s">
        <v>3731</v>
      </c>
      <c r="BA304" s="52" t="s">
        <v>4543</v>
      </c>
      <c r="BB304" s="52" t="s">
        <v>3545</v>
      </c>
      <c r="BC304" s="52" t="s">
        <v>5010</v>
      </c>
      <c r="BD304" s="52" t="s">
        <v>7764</v>
      </c>
      <c r="BE304" s="52" t="s">
        <v>4908</v>
      </c>
      <c r="BF304" s="52" t="s">
        <v>7675</v>
      </c>
      <c r="BG304" s="52" t="s">
        <v>4870</v>
      </c>
      <c r="BH304" s="52" t="s">
        <v>7911</v>
      </c>
      <c r="BI304" s="52" t="s">
        <v>7853</v>
      </c>
      <c r="BJ304" s="52" t="s">
        <v>2272</v>
      </c>
      <c r="BK304" s="52"/>
      <c r="BL304" s="52"/>
      <c r="BM304" s="52" t="s">
        <v>0</v>
      </c>
      <c r="BN304" s="52" t="s">
        <v>3852</v>
      </c>
      <c r="BO304" s="52"/>
      <c r="BP304" s="52" t="s">
        <v>2224</v>
      </c>
      <c r="BQ304" s="52" t="s">
        <v>0</v>
      </c>
      <c r="BR304" s="52" t="s">
        <v>2669</v>
      </c>
      <c r="BS304" s="52" t="s">
        <v>2668</v>
      </c>
      <c r="BT304" s="52" t="s">
        <v>2669</v>
      </c>
      <c r="BU304" s="84" t="s">
        <v>2886</v>
      </c>
      <c r="BV304" s="84"/>
      <c r="BW304" s="52"/>
      <c r="BX304" s="52" t="s">
        <v>0</v>
      </c>
      <c r="BY304" s="52" t="s">
        <v>3793</v>
      </c>
      <c r="BZ304" s="52" t="s">
        <v>6258</v>
      </c>
      <c r="CA304" s="52" t="s">
        <v>3129</v>
      </c>
      <c r="CB304" s="52" t="s">
        <v>3129</v>
      </c>
      <c r="CC304" s="52"/>
      <c r="CD304" s="52"/>
      <c r="CE304" s="52" t="s">
        <v>3240</v>
      </c>
      <c r="CF304" s="52" t="s">
        <v>0</v>
      </c>
    </row>
    <row r="305" spans="1:84" ht="27">
      <c r="A305" s="6" t="s">
        <v>34</v>
      </c>
      <c r="B305" s="200"/>
      <c r="C305" s="38" t="s">
        <v>0</v>
      </c>
      <c r="D305" s="38" t="s">
        <v>0</v>
      </c>
      <c r="E305" s="38" t="s">
        <v>0</v>
      </c>
      <c r="F305" s="38" t="s">
        <v>0</v>
      </c>
      <c r="G305" s="38" t="s">
        <v>0</v>
      </c>
      <c r="H305" s="38" t="s">
        <v>0</v>
      </c>
      <c r="I305" s="38" t="s">
        <v>0</v>
      </c>
      <c r="J305" s="38" t="s">
        <v>0</v>
      </c>
      <c r="K305" s="38" t="s">
        <v>0</v>
      </c>
      <c r="L305" s="36" t="s">
        <v>8425</v>
      </c>
      <c r="M305" s="38" t="s">
        <v>0</v>
      </c>
      <c r="N305" s="38" t="s">
        <v>0</v>
      </c>
      <c r="O305" s="38" t="s">
        <v>6280</v>
      </c>
      <c r="P305" s="36" t="s">
        <v>8605</v>
      </c>
      <c r="Q305" s="36" t="s">
        <v>8605</v>
      </c>
      <c r="R305" s="38" t="s">
        <v>6281</v>
      </c>
      <c r="S305" s="36" t="s">
        <v>8425</v>
      </c>
      <c r="T305" s="36" t="s">
        <v>5630</v>
      </c>
      <c r="U305" s="36" t="s">
        <v>1020</v>
      </c>
      <c r="V305" s="145" t="s">
        <v>5493</v>
      </c>
      <c r="W305" s="36" t="s">
        <v>4398</v>
      </c>
      <c r="X305" s="36" t="s">
        <v>0</v>
      </c>
      <c r="Y305" s="38" t="s">
        <v>0</v>
      </c>
      <c r="Z305" s="38" t="s">
        <v>0</v>
      </c>
      <c r="AA305" s="38" t="s">
        <v>0</v>
      </c>
      <c r="AB305" s="36" t="s">
        <v>0</v>
      </c>
      <c r="AC305" s="36" t="s">
        <v>0</v>
      </c>
      <c r="AD305" s="36" t="s">
        <v>0</v>
      </c>
      <c r="AE305" s="7" t="s">
        <v>0</v>
      </c>
      <c r="AF305" s="37" t="s">
        <v>797</v>
      </c>
      <c r="AG305" s="38" t="s">
        <v>0</v>
      </c>
      <c r="AH305" s="38" t="s">
        <v>0</v>
      </c>
      <c r="AI305" s="37" t="s">
        <v>9005</v>
      </c>
      <c r="AJ305" s="34" t="s">
        <v>0</v>
      </c>
      <c r="AK305" s="7" t="s">
        <v>0</v>
      </c>
      <c r="AL305" s="37" t="s">
        <v>3061</v>
      </c>
      <c r="AM305" s="36" t="s">
        <v>0</v>
      </c>
      <c r="AN305" s="36" t="s">
        <v>0</v>
      </c>
      <c r="AO305" s="36" t="s">
        <v>4263</v>
      </c>
      <c r="AP305" s="38" t="s">
        <v>0</v>
      </c>
      <c r="AQ305" s="38" t="s">
        <v>0</v>
      </c>
      <c r="AR305" s="36" t="s">
        <v>0</v>
      </c>
      <c r="AS305" s="36" t="s">
        <v>2045</v>
      </c>
      <c r="AT305" s="36" t="s">
        <v>2045</v>
      </c>
      <c r="AU305" s="36" t="s">
        <v>2045</v>
      </c>
      <c r="AV305" s="36" t="s">
        <v>0</v>
      </c>
      <c r="AW305" s="36" t="s">
        <v>0</v>
      </c>
      <c r="AX305" s="36" t="s">
        <v>0</v>
      </c>
      <c r="AY305" s="36" t="s">
        <v>0</v>
      </c>
      <c r="AZ305" s="38" t="s">
        <v>0</v>
      </c>
      <c r="BA305" s="38" t="s">
        <v>0</v>
      </c>
      <c r="BB305" s="38" t="s">
        <v>0</v>
      </c>
      <c r="BC305" s="36" t="s">
        <v>181</v>
      </c>
      <c r="BD305" s="36" t="s">
        <v>181</v>
      </c>
      <c r="BE305" s="36" t="s">
        <v>181</v>
      </c>
      <c r="BF305" s="36" t="s">
        <v>181</v>
      </c>
      <c r="BG305" s="36" t="s">
        <v>181</v>
      </c>
      <c r="BH305" s="36" t="s">
        <v>181</v>
      </c>
      <c r="BI305" s="36" t="s">
        <v>0</v>
      </c>
      <c r="BJ305" s="36" t="s">
        <v>0</v>
      </c>
      <c r="BK305" s="36" t="s">
        <v>548</v>
      </c>
      <c r="BL305" s="36" t="s">
        <v>568</v>
      </c>
      <c r="BM305" s="38" t="s">
        <v>0</v>
      </c>
      <c r="BN305" s="38" t="s">
        <v>0</v>
      </c>
      <c r="BO305" s="38"/>
      <c r="BP305" s="36" t="s">
        <v>0</v>
      </c>
      <c r="BQ305" s="36" t="s">
        <v>0</v>
      </c>
      <c r="BR305" s="38" t="s">
        <v>0</v>
      </c>
      <c r="BS305" s="38" t="s">
        <v>0</v>
      </c>
      <c r="BT305" s="38" t="s">
        <v>0</v>
      </c>
      <c r="BU305" s="36" t="s">
        <v>0</v>
      </c>
      <c r="BV305" s="36" t="s">
        <v>0</v>
      </c>
      <c r="BW305" s="36" t="s">
        <v>714</v>
      </c>
      <c r="BX305" s="36" t="s">
        <v>0</v>
      </c>
      <c r="BY305" s="38" t="s">
        <v>0</v>
      </c>
      <c r="BZ305" s="38" t="s">
        <v>0</v>
      </c>
      <c r="CA305" s="38" t="s">
        <v>0</v>
      </c>
      <c r="CB305" s="36" t="s">
        <v>3087</v>
      </c>
      <c r="CC305" s="38" t="s">
        <v>0</v>
      </c>
      <c r="CD305" s="38" t="s">
        <v>0</v>
      </c>
      <c r="CE305" s="36" t="s">
        <v>0</v>
      </c>
      <c r="CF305" s="38" t="s">
        <v>0</v>
      </c>
    </row>
    <row r="306" spans="1:84">
      <c r="A306" s="51" t="s">
        <v>935</v>
      </c>
      <c r="B306" s="51"/>
      <c r="C306" s="52" t="s">
        <v>0</v>
      </c>
      <c r="D306" s="52" t="s">
        <v>0</v>
      </c>
      <c r="E306" s="52" t="s">
        <v>0</v>
      </c>
      <c r="F306" s="52" t="s">
        <v>0</v>
      </c>
      <c r="G306" s="52" t="s">
        <v>0</v>
      </c>
      <c r="H306" s="52" t="s">
        <v>0</v>
      </c>
      <c r="I306" s="52" t="s">
        <v>0</v>
      </c>
      <c r="J306" s="52" t="s">
        <v>0</v>
      </c>
      <c r="K306" s="52" t="s">
        <v>0</v>
      </c>
      <c r="L306" s="52" t="s">
        <v>8426</v>
      </c>
      <c r="M306" s="52" t="s">
        <v>0</v>
      </c>
      <c r="N306" s="52" t="s">
        <v>0</v>
      </c>
      <c r="O306" s="52" t="s">
        <v>0</v>
      </c>
      <c r="P306" s="52" t="s">
        <v>8606</v>
      </c>
      <c r="Q306" s="52" t="s">
        <v>8606</v>
      </c>
      <c r="R306" s="52" t="s">
        <v>0</v>
      </c>
      <c r="S306" s="52" t="s">
        <v>8555</v>
      </c>
      <c r="T306" s="52" t="s">
        <v>5631</v>
      </c>
      <c r="U306" s="52" t="s">
        <v>5631</v>
      </c>
      <c r="V306" s="84"/>
      <c r="W306" s="52" t="s">
        <v>4418</v>
      </c>
      <c r="X306" s="52" t="s">
        <v>0</v>
      </c>
      <c r="Y306" s="52" t="s">
        <v>0</v>
      </c>
      <c r="Z306" s="52" t="s">
        <v>0</v>
      </c>
      <c r="AA306" s="52" t="s">
        <v>0</v>
      </c>
      <c r="AB306" s="52" t="s">
        <v>0</v>
      </c>
      <c r="AC306" s="52" t="s">
        <v>0</v>
      </c>
      <c r="AD306" s="52" t="s">
        <v>0</v>
      </c>
      <c r="AE306" s="52" t="s">
        <v>0</v>
      </c>
      <c r="AF306" s="52" t="s">
        <v>5980</v>
      </c>
      <c r="AG306" s="52" t="s">
        <v>0</v>
      </c>
      <c r="AH306" s="52" t="s">
        <v>0</v>
      </c>
      <c r="AI306" s="52" t="s">
        <v>7175</v>
      </c>
      <c r="AJ306" s="52" t="s">
        <v>0</v>
      </c>
      <c r="AK306" s="52" t="s">
        <v>0</v>
      </c>
      <c r="AL306" s="52" t="s">
        <v>4176</v>
      </c>
      <c r="AM306" s="52"/>
      <c r="AN306" s="52"/>
      <c r="AO306" s="52" t="s">
        <v>4257</v>
      </c>
      <c r="AP306" s="52" t="s">
        <v>0</v>
      </c>
      <c r="AQ306" s="52" t="s">
        <v>0</v>
      </c>
      <c r="AR306" s="52"/>
      <c r="AS306" s="52" t="s">
        <v>2044</v>
      </c>
      <c r="AT306" s="52" t="s">
        <v>2044</v>
      </c>
      <c r="AU306" s="52" t="s">
        <v>2044</v>
      </c>
      <c r="AV306" s="52" t="s">
        <v>0</v>
      </c>
      <c r="AW306" s="52" t="s">
        <v>0</v>
      </c>
      <c r="AX306" s="52" t="s">
        <v>0</v>
      </c>
      <c r="AY306" s="52" t="s">
        <v>0</v>
      </c>
      <c r="AZ306" s="52" t="s">
        <v>0</v>
      </c>
      <c r="BA306" s="52" t="s">
        <v>0</v>
      </c>
      <c r="BB306" s="52" t="s">
        <v>0</v>
      </c>
      <c r="BC306" s="52" t="s">
        <v>4869</v>
      </c>
      <c r="BD306" s="52" t="s">
        <v>7697</v>
      </c>
      <c r="BE306" s="52" t="s">
        <v>4907</v>
      </c>
      <c r="BF306" s="52" t="s">
        <v>7673</v>
      </c>
      <c r="BG306" s="52" t="s">
        <v>4869</v>
      </c>
      <c r="BH306" s="52" t="s">
        <v>7912</v>
      </c>
      <c r="BI306" s="52" t="s">
        <v>0</v>
      </c>
      <c r="BJ306" s="52" t="s">
        <v>0</v>
      </c>
      <c r="BK306" s="52"/>
      <c r="BL306" s="52"/>
      <c r="BM306" s="52" t="s">
        <v>0</v>
      </c>
      <c r="BN306" s="52" t="s">
        <v>0</v>
      </c>
      <c r="BO306" s="52"/>
      <c r="BP306" s="52" t="s">
        <v>0</v>
      </c>
      <c r="BQ306" s="52" t="s">
        <v>0</v>
      </c>
      <c r="BR306" s="52" t="s">
        <v>0</v>
      </c>
      <c r="BS306" s="52" t="s">
        <v>0</v>
      </c>
      <c r="BT306" s="52" t="s">
        <v>0</v>
      </c>
      <c r="BU306" s="84" t="s">
        <v>0</v>
      </c>
      <c r="BV306" s="84"/>
      <c r="BW306" s="52"/>
      <c r="BX306" s="52" t="s">
        <v>0</v>
      </c>
      <c r="BY306" s="52" t="s">
        <v>0</v>
      </c>
      <c r="BZ306" s="52" t="s">
        <v>0</v>
      </c>
      <c r="CA306" s="52" t="s">
        <v>0</v>
      </c>
      <c r="CB306" s="52" t="s">
        <v>3086</v>
      </c>
      <c r="CC306" s="52"/>
      <c r="CD306" s="52"/>
      <c r="CE306" s="52" t="s">
        <v>0</v>
      </c>
      <c r="CF306" s="52" t="s">
        <v>0</v>
      </c>
    </row>
    <row r="307" spans="1:84" ht="18">
      <c r="A307" s="62" t="s">
        <v>183</v>
      </c>
      <c r="B307" s="200"/>
      <c r="C307" s="38" t="s">
        <v>0</v>
      </c>
      <c r="D307" s="36" t="s">
        <v>750</v>
      </c>
      <c r="E307" s="38" t="s">
        <v>0</v>
      </c>
      <c r="F307" s="38" t="s">
        <v>57</v>
      </c>
      <c r="G307" s="38" t="s">
        <v>6</v>
      </c>
      <c r="H307" s="38" t="s">
        <v>111</v>
      </c>
      <c r="I307" s="36" t="s">
        <v>8294</v>
      </c>
      <c r="J307" s="38" t="s">
        <v>6</v>
      </c>
      <c r="K307" s="36" t="s">
        <v>8361</v>
      </c>
      <c r="L307" s="36" t="s">
        <v>8556</v>
      </c>
      <c r="M307" s="38" t="s">
        <v>57</v>
      </c>
      <c r="N307" s="36" t="s">
        <v>8293</v>
      </c>
      <c r="O307" s="38" t="s">
        <v>57</v>
      </c>
      <c r="P307" s="36" t="s">
        <v>8556</v>
      </c>
      <c r="Q307" s="36" t="s">
        <v>8556</v>
      </c>
      <c r="R307" s="38" t="s">
        <v>57</v>
      </c>
      <c r="S307" s="36" t="s">
        <v>8556</v>
      </c>
      <c r="T307" s="36" t="s">
        <v>687</v>
      </c>
      <c r="U307" s="36" t="s">
        <v>687</v>
      </c>
      <c r="V307" s="145" t="s">
        <v>5493</v>
      </c>
      <c r="W307" s="38" t="s">
        <v>27</v>
      </c>
      <c r="X307" s="38" t="s">
        <v>6313</v>
      </c>
      <c r="Y307" s="38" t="s">
        <v>0</v>
      </c>
      <c r="Z307" s="38" t="s">
        <v>0</v>
      </c>
      <c r="AA307" s="36" t="s">
        <v>6</v>
      </c>
      <c r="AB307" s="36" t="s">
        <v>4783</v>
      </c>
      <c r="AC307" s="36" t="s">
        <v>4784</v>
      </c>
      <c r="AD307" s="36" t="s">
        <v>0</v>
      </c>
      <c r="AE307" s="7" t="s">
        <v>0</v>
      </c>
      <c r="AF307" s="37" t="s">
        <v>5983</v>
      </c>
      <c r="AG307" s="38" t="s">
        <v>0</v>
      </c>
      <c r="AH307" s="38" t="s">
        <v>0</v>
      </c>
      <c r="AI307" s="37" t="s">
        <v>7164</v>
      </c>
      <c r="AJ307" s="36" t="s">
        <v>596</v>
      </c>
      <c r="AK307" s="7" t="s">
        <v>0</v>
      </c>
      <c r="AL307" s="7" t="s">
        <v>0</v>
      </c>
      <c r="AM307" s="36" t="s">
        <v>5353</v>
      </c>
      <c r="AN307" s="36" t="s">
        <v>5370</v>
      </c>
      <c r="AO307" s="38" t="s">
        <v>0</v>
      </c>
      <c r="AP307" s="36" t="s">
        <v>6348</v>
      </c>
      <c r="AQ307" s="36" t="s">
        <v>2563</v>
      </c>
      <c r="AR307" s="36" t="s">
        <v>0</v>
      </c>
      <c r="AS307" s="38" t="s">
        <v>57</v>
      </c>
      <c r="AT307" s="38" t="s">
        <v>57</v>
      </c>
      <c r="AU307" s="38" t="s">
        <v>57</v>
      </c>
      <c r="AV307" s="36" t="s">
        <v>57</v>
      </c>
      <c r="AW307" s="36" t="s">
        <v>57</v>
      </c>
      <c r="AX307" s="38" t="s">
        <v>57</v>
      </c>
      <c r="AY307" s="38" t="s">
        <v>57</v>
      </c>
      <c r="AZ307" s="36" t="s">
        <v>0</v>
      </c>
      <c r="BA307" s="36" t="s">
        <v>596</v>
      </c>
      <c r="BB307" s="36" t="s">
        <v>596</v>
      </c>
      <c r="BC307" s="36" t="s">
        <v>687</v>
      </c>
      <c r="BD307" s="36" t="s">
        <v>596</v>
      </c>
      <c r="BE307" s="36" t="s">
        <v>687</v>
      </c>
      <c r="BF307" s="36" t="s">
        <v>596</v>
      </c>
      <c r="BG307" s="36" t="s">
        <v>687</v>
      </c>
      <c r="BH307" s="36" t="s">
        <v>7855</v>
      </c>
      <c r="BI307" s="36" t="s">
        <v>7855</v>
      </c>
      <c r="BJ307" s="36" t="s">
        <v>4998</v>
      </c>
      <c r="BK307" s="36" t="s">
        <v>540</v>
      </c>
      <c r="BL307" s="36" t="s">
        <v>570</v>
      </c>
      <c r="BM307" s="38" t="s">
        <v>0</v>
      </c>
      <c r="BN307" s="36" t="s">
        <v>111</v>
      </c>
      <c r="BO307" s="36"/>
      <c r="BP307" s="38" t="s">
        <v>111</v>
      </c>
      <c r="BQ307" s="38" t="s">
        <v>6</v>
      </c>
      <c r="BR307" s="38" t="s">
        <v>0</v>
      </c>
      <c r="BS307" s="38" t="s">
        <v>0</v>
      </c>
      <c r="BT307" s="38" t="s">
        <v>0</v>
      </c>
      <c r="BU307" s="36" t="s">
        <v>687</v>
      </c>
      <c r="BV307" s="36" t="s">
        <v>57</v>
      </c>
      <c r="BW307" s="36" t="s">
        <v>670</v>
      </c>
      <c r="BX307" s="36" t="s">
        <v>27</v>
      </c>
      <c r="BY307" s="36" t="s">
        <v>6</v>
      </c>
      <c r="BZ307" s="36" t="s">
        <v>6216</v>
      </c>
      <c r="CA307" s="38" t="s">
        <v>111</v>
      </c>
      <c r="CB307" s="38" t="s">
        <v>111</v>
      </c>
      <c r="CC307" s="38" t="s">
        <v>6</v>
      </c>
      <c r="CD307" s="38" t="s">
        <v>111</v>
      </c>
      <c r="CE307" s="36" t="s">
        <v>6</v>
      </c>
      <c r="CF307" s="38" t="s">
        <v>27</v>
      </c>
    </row>
    <row r="308" spans="1:84">
      <c r="A308" s="51" t="s">
        <v>935</v>
      </c>
      <c r="B308" s="51"/>
      <c r="C308" s="52" t="s">
        <v>0</v>
      </c>
      <c r="D308" s="52" t="s">
        <v>5194</v>
      </c>
      <c r="E308" s="52" t="s">
        <v>0</v>
      </c>
      <c r="F308" s="52" t="s">
        <v>2756</v>
      </c>
      <c r="G308" s="52" t="s">
        <v>1413</v>
      </c>
      <c r="H308" s="52" t="s">
        <v>1413</v>
      </c>
      <c r="I308" s="52" t="s">
        <v>8240</v>
      </c>
      <c r="J308" s="52" t="s">
        <v>5315</v>
      </c>
      <c r="K308" s="52" t="s">
        <v>8362</v>
      </c>
      <c r="L308" s="52" t="s">
        <v>8416</v>
      </c>
      <c r="M308" s="52" t="s">
        <v>5846</v>
      </c>
      <c r="N308" s="52" t="s">
        <v>8292</v>
      </c>
      <c r="O308" s="52" t="s">
        <v>1632</v>
      </c>
      <c r="P308" s="52" t="s">
        <v>8604</v>
      </c>
      <c r="Q308" s="52" t="s">
        <v>8604</v>
      </c>
      <c r="R308" s="52" t="s">
        <v>5816</v>
      </c>
      <c r="S308" s="52" t="s">
        <v>8557</v>
      </c>
      <c r="T308" s="52" t="s">
        <v>5633</v>
      </c>
      <c r="U308" s="52" t="s">
        <v>5633</v>
      </c>
      <c r="V308" s="84"/>
      <c r="W308" s="52" t="s">
        <v>4430</v>
      </c>
      <c r="X308" s="52" t="s">
        <v>6496</v>
      </c>
      <c r="Y308" s="52" t="s">
        <v>2337</v>
      </c>
      <c r="Z308" s="52" t="s">
        <v>2337</v>
      </c>
      <c r="AA308" s="52" t="s">
        <v>2379</v>
      </c>
      <c r="AB308" s="52" t="s">
        <v>4786</v>
      </c>
      <c r="AC308" s="52" t="s">
        <v>4786</v>
      </c>
      <c r="AD308" s="52" t="s">
        <v>0</v>
      </c>
      <c r="AE308" s="52" t="s">
        <v>0</v>
      </c>
      <c r="AF308" s="52" t="s">
        <v>5984</v>
      </c>
      <c r="AG308" s="52" t="s">
        <v>0</v>
      </c>
      <c r="AH308" s="52" t="s">
        <v>0</v>
      </c>
      <c r="AI308" s="186" t="s">
        <v>7163</v>
      </c>
      <c r="AJ308" s="52" t="s">
        <v>6130</v>
      </c>
      <c r="AK308" s="52" t="s">
        <v>0</v>
      </c>
      <c r="AL308" s="52" t="s">
        <v>0</v>
      </c>
      <c r="AM308" s="52" t="s">
        <v>5352</v>
      </c>
      <c r="AN308" s="52" t="s">
        <v>5408</v>
      </c>
      <c r="AO308" s="52" t="s">
        <v>0</v>
      </c>
      <c r="AP308" s="52" t="s">
        <v>6334</v>
      </c>
      <c r="AQ308" s="52" t="s">
        <v>6333</v>
      </c>
      <c r="AR308" s="52"/>
      <c r="AS308" s="52" t="s">
        <v>1944</v>
      </c>
      <c r="AT308" s="52" t="s">
        <v>1944</v>
      </c>
      <c r="AU308" s="52" t="s">
        <v>1944</v>
      </c>
      <c r="AV308" s="52" t="s">
        <v>4349</v>
      </c>
      <c r="AW308" s="52" t="s">
        <v>4349</v>
      </c>
      <c r="AX308" s="52" t="s">
        <v>1315</v>
      </c>
      <c r="AY308" s="52" t="s">
        <v>1315</v>
      </c>
      <c r="AZ308" s="52" t="s">
        <v>0</v>
      </c>
      <c r="BA308" s="52" t="s">
        <v>3579</v>
      </c>
      <c r="BB308" s="52" t="s">
        <v>3484</v>
      </c>
      <c r="BC308" s="52" t="s">
        <v>4868</v>
      </c>
      <c r="BD308" s="52" t="s">
        <v>7698</v>
      </c>
      <c r="BE308" s="52" t="s">
        <v>4906</v>
      </c>
      <c r="BF308" s="52" t="s">
        <v>7672</v>
      </c>
      <c r="BG308" s="52" t="s">
        <v>4868</v>
      </c>
      <c r="BH308" s="52" t="s">
        <v>7913</v>
      </c>
      <c r="BI308" s="52" t="s">
        <v>7854</v>
      </c>
      <c r="BJ308" s="52" t="s">
        <v>5475</v>
      </c>
      <c r="BK308" s="52"/>
      <c r="BL308" s="52"/>
      <c r="BM308" s="52" t="s">
        <v>0</v>
      </c>
      <c r="BN308" s="52" t="s">
        <v>3871</v>
      </c>
      <c r="BO308" s="52"/>
      <c r="BP308" s="52" t="s">
        <v>2251</v>
      </c>
      <c r="BQ308" s="52" t="s">
        <v>2274</v>
      </c>
      <c r="BR308" s="52" t="s">
        <v>0</v>
      </c>
      <c r="BS308" s="52" t="s">
        <v>0</v>
      </c>
      <c r="BT308" s="52" t="s">
        <v>0</v>
      </c>
      <c r="BU308" s="84" t="s">
        <v>2884</v>
      </c>
      <c r="BV308" s="84"/>
      <c r="BW308" s="52"/>
      <c r="BX308" s="52" t="s">
        <v>3939</v>
      </c>
      <c r="BY308" s="52" t="s">
        <v>3772</v>
      </c>
      <c r="BZ308" s="52" t="s">
        <v>6259</v>
      </c>
      <c r="CA308" s="52" t="s">
        <v>3122</v>
      </c>
      <c r="CB308" s="52" t="s">
        <v>3122</v>
      </c>
      <c r="CC308" s="52"/>
      <c r="CD308" s="52"/>
      <c r="CE308" s="52" t="s">
        <v>3213</v>
      </c>
      <c r="CF308" s="52" t="s">
        <v>2155</v>
      </c>
    </row>
    <row r="309" spans="1:84">
      <c r="A309" s="31"/>
      <c r="B309" s="31"/>
      <c r="C309" s="65"/>
      <c r="D309" s="65"/>
      <c r="E309" s="65"/>
      <c r="F309" s="65"/>
      <c r="G309" s="65"/>
      <c r="H309" s="65"/>
      <c r="I309" s="65"/>
      <c r="J309" s="65"/>
      <c r="K309" s="65"/>
      <c r="L309" s="65"/>
      <c r="M309" s="65"/>
      <c r="N309" s="65"/>
      <c r="O309" s="65"/>
      <c r="P309" s="65"/>
      <c r="Q309" s="65"/>
      <c r="R309" s="65"/>
      <c r="S309" s="65"/>
      <c r="T309" s="65"/>
      <c r="U309" s="65"/>
      <c r="V309" s="77"/>
      <c r="W309" s="65"/>
      <c r="X309" s="65"/>
      <c r="Y309" s="65"/>
      <c r="Z309" s="65"/>
      <c r="AA309" s="65"/>
      <c r="AB309" s="65"/>
      <c r="AC309" s="65"/>
      <c r="AD309" s="65"/>
      <c r="AE309" s="65"/>
      <c r="AF309" s="65"/>
      <c r="AG309" s="65"/>
      <c r="AH309" s="65"/>
      <c r="AI309" s="65"/>
      <c r="AJ309" s="65"/>
      <c r="AK309" s="65"/>
      <c r="AL309" s="65"/>
      <c r="AM309" s="65"/>
      <c r="AN309" s="65"/>
      <c r="AO309" s="65"/>
      <c r="AP309" s="77"/>
      <c r="AQ309" s="77"/>
      <c r="AR309" s="65"/>
      <c r="AS309" s="65"/>
      <c r="AT309" s="65"/>
      <c r="AU309" s="65"/>
      <c r="AV309" s="65"/>
      <c r="AW309" s="65"/>
      <c r="AX309" s="65"/>
      <c r="AY309" s="65"/>
      <c r="AZ309" s="65"/>
      <c r="BA309" s="65"/>
      <c r="BB309" s="65"/>
      <c r="BC309" s="77"/>
      <c r="BD309" s="65"/>
      <c r="BE309" s="77"/>
      <c r="BF309" s="65"/>
      <c r="BG309" s="77"/>
      <c r="BH309" s="65"/>
      <c r="BI309" s="65"/>
      <c r="BJ309" s="77"/>
      <c r="BK309" s="77"/>
      <c r="BL309" s="77"/>
      <c r="BM309" s="77"/>
      <c r="BN309" s="77"/>
      <c r="BO309" s="77"/>
      <c r="BP309" s="65"/>
      <c r="BQ309" s="65"/>
      <c r="BR309" s="77"/>
      <c r="BS309" s="77"/>
      <c r="BT309" s="77"/>
      <c r="BU309" s="77"/>
      <c r="BV309" s="77"/>
      <c r="BW309" s="77"/>
      <c r="BX309" s="77"/>
      <c r="BY309" s="77"/>
      <c r="BZ309" s="77"/>
      <c r="CA309" s="77"/>
      <c r="CB309" s="77"/>
      <c r="CC309" s="77"/>
      <c r="CD309" s="77"/>
      <c r="CE309" s="77"/>
      <c r="CF309" s="176"/>
    </row>
    <row r="310" spans="1:84" ht="18">
      <c r="A310" s="257" t="s">
        <v>6708</v>
      </c>
      <c r="B310" s="257"/>
      <c r="C310" s="18" t="str">
        <f t="shared" ref="C310:BZ310" si="16">C1</f>
        <v>ADCURI Basis-Schutz</v>
      </c>
      <c r="D310" s="18" t="str">
        <f t="shared" si="16"/>
        <v>ADCURI Top-Schutz</v>
      </c>
      <c r="E310" s="18" t="str">
        <f t="shared" si="16"/>
        <v>Allianz</v>
      </c>
      <c r="F310" s="18" t="str">
        <f t="shared" si="16"/>
        <v>Allianz inkl. SicherheitPlus</v>
      </c>
      <c r="G310" s="18" t="str">
        <f t="shared" si="16"/>
        <v>Alte Leipziger classic</v>
      </c>
      <c r="H310" s="18" t="str">
        <f t="shared" si="16"/>
        <v>Alte Leipziger comfort</v>
      </c>
      <c r="I310" s="255" t="str">
        <f>I1</f>
        <v>Ammerländer Basic
(2019-02)</v>
      </c>
      <c r="J310" s="18" t="str">
        <f t="shared" si="16"/>
        <v>Ammerländer Classic
(2016-01)</v>
      </c>
      <c r="K310" s="255" t="str">
        <f>K1</f>
        <v>Ammerländer Classic
(2019-02)</v>
      </c>
      <c r="L310" s="255" t="str">
        <f>L1</f>
        <v>Ammerländer Comfort
(2019-02)</v>
      </c>
      <c r="M310" s="18" t="str">
        <f t="shared" si="16"/>
        <v>Ammerländer Comfort
(2016-01)</v>
      </c>
      <c r="N310" s="255" t="str">
        <f>N1</f>
        <v>Ammerländer Economic
(2019-02)</v>
      </c>
      <c r="O310" s="18" t="str">
        <f t="shared" si="16"/>
        <v>Ammerländer Excellent
(2016-01)</v>
      </c>
      <c r="P310" s="255" t="str">
        <f>P1</f>
        <v>Ammerländer Excellent
(2019-02)</v>
      </c>
      <c r="Q310" s="255" t="str">
        <f>Q1</f>
        <v>Ammerländer Excellent
(2020-02)</v>
      </c>
      <c r="R310" s="18" t="str">
        <f>R1</f>
        <v>Ammerländer Exclusiv
(2016-01)</v>
      </c>
      <c r="S310" s="255" t="str">
        <f>S1</f>
        <v>Ammerländer Exclusiv
(2019-02)</v>
      </c>
      <c r="T310" s="18" t="str">
        <f t="shared" si="16"/>
        <v>ARAG Komfort (Wohnfläche)</v>
      </c>
      <c r="U310" s="18" t="str">
        <f t="shared" si="16"/>
        <v>ARAG Premium (Wohnfläche)</v>
      </c>
      <c r="V310" s="18" t="str">
        <f t="shared" si="16"/>
        <v>AXA BOXflex</v>
      </c>
      <c r="W310" s="18" t="str">
        <f t="shared" si="16"/>
        <v>Baden Badener TOP</v>
      </c>
      <c r="X310" s="18" t="str">
        <f t="shared" si="16"/>
        <v>Concordia Sorglos</v>
      </c>
      <c r="Y310" s="18" t="str">
        <f t="shared" si="16"/>
        <v>Debeka Basis</v>
      </c>
      <c r="Z310" s="18" t="str">
        <f t="shared" si="16"/>
        <v>Debeka Standard</v>
      </c>
      <c r="AA310" s="18" t="str">
        <f t="shared" si="16"/>
        <v>Debeka Top</v>
      </c>
      <c r="AB310" s="18" t="str">
        <f t="shared" si="16"/>
        <v>die Bayerische (Komfort)</v>
      </c>
      <c r="AC310" s="18" t="str">
        <f t="shared" si="16"/>
        <v>die Bayerische (Prestige)</v>
      </c>
      <c r="AD310" s="18" t="str">
        <f t="shared" si="16"/>
        <v>die Bayerische (Smart)</v>
      </c>
      <c r="AE310" s="18" t="str">
        <f t="shared" si="16"/>
        <v>Domcura Komfort
(Stand 2014-10)</v>
      </c>
      <c r="AF310" s="18" t="str">
        <f t="shared" si="16"/>
        <v>Domcura Top
(Stand 2014-10)</v>
      </c>
      <c r="AG310" s="255" t="str">
        <f>AG1</f>
        <v>Domcura Standard
(2016-10-01)</v>
      </c>
      <c r="AH310" s="255" t="str">
        <f>AH1</f>
        <v>Domcura Komfort
(2016-10-01)</v>
      </c>
      <c r="AI310" s="255" t="str">
        <f>AI1</f>
        <v>Domcura Top
(2016-10-01)</v>
      </c>
      <c r="AJ310" s="18" t="str">
        <f t="shared" si="16"/>
        <v>ERGO Hausrat Spezial</v>
      </c>
      <c r="AK310" s="18" t="str">
        <f t="shared" si="16"/>
        <v>Generali Basis</v>
      </c>
      <c r="AL310" s="18" t="str">
        <f t="shared" si="16"/>
        <v>Generali KomfortPlus</v>
      </c>
      <c r="AM310" s="18" t="str">
        <f t="shared" si="16"/>
        <v>Gothaer Top</v>
      </c>
      <c r="AN310" s="18" t="str">
        <f t="shared" si="16"/>
        <v>Gothaer Top Plus</v>
      </c>
      <c r="AO310" s="18" t="str">
        <f t="shared" si="16"/>
        <v>HDI Privatschutz</v>
      </c>
      <c r="AP310" s="18" t="str">
        <f t="shared" si="16"/>
        <v>Helvetia Basis</v>
      </c>
      <c r="AQ310" s="18" t="str">
        <f t="shared" si="16"/>
        <v>Helvetia Komfort</v>
      </c>
      <c r="AR310" s="18" t="str">
        <f t="shared" si="16"/>
        <v>HFK Rundumschutz</v>
      </c>
      <c r="AS310" s="18" t="str">
        <f t="shared" si="16"/>
        <v>HKD Einfach Gut</v>
      </c>
      <c r="AT310" s="18" t="str">
        <f t="shared" si="16"/>
        <v>HKD Einfach Besser</v>
      </c>
      <c r="AU310" s="18" t="str">
        <f t="shared" si="16"/>
        <v>HKD Einfach Komplett</v>
      </c>
      <c r="AV310" s="18" t="str">
        <f t="shared" si="16"/>
        <v>HUK Classic</v>
      </c>
      <c r="AW310" s="18" t="str">
        <f t="shared" si="16"/>
        <v>HUK Plus</v>
      </c>
      <c r="AX310" s="18" t="str">
        <f t="shared" si="16"/>
        <v>Ideal Exklusiv</v>
      </c>
      <c r="AY310" s="18" t="str">
        <f t="shared" si="16"/>
        <v>Ideal Klassik</v>
      </c>
      <c r="AZ310" s="18" t="str">
        <f t="shared" si="16"/>
        <v>InterRisk L</v>
      </c>
      <c r="BA310" s="18" t="str">
        <f t="shared" si="16"/>
        <v>InterRisk XL</v>
      </c>
      <c r="BB310" s="18" t="str">
        <f t="shared" si="16"/>
        <v>InterRisk XXL</v>
      </c>
      <c r="BC310" s="18" t="str">
        <f t="shared" si="16"/>
        <v>ITL afm Eurosecure Plus</v>
      </c>
      <c r="BD310" s="255" t="str">
        <f>BD1</f>
        <v>ITL Eurosecure Plus afm
Stand 2013-08</v>
      </c>
      <c r="BE310" s="18" t="str">
        <f t="shared" si="16"/>
        <v>ITL afm Infinitus</v>
      </c>
      <c r="BF310" s="255" t="str">
        <f>BF1</f>
        <v>ITL Infinitus
Stand 2013-08</v>
      </c>
      <c r="BG310" s="18" t="str">
        <f t="shared" si="16"/>
        <v>ITL afm Protect Plus</v>
      </c>
      <c r="BH310" s="255" t="str">
        <f>BH1</f>
        <v>ITL Protect Plus afm
Stand 2013-08</v>
      </c>
      <c r="BI310" s="255" t="str">
        <f>BI1</f>
        <v>ITL Classic
Stand 2013-08</v>
      </c>
      <c r="BJ310" s="18" t="str">
        <f t="shared" si="16"/>
        <v>ITL Classic</v>
      </c>
      <c r="BK310" s="18" t="str">
        <f t="shared" si="16"/>
        <v>Janitos Balance</v>
      </c>
      <c r="BL310" s="18" t="str">
        <f t="shared" si="16"/>
        <v>Janitos Best Selection</v>
      </c>
      <c r="BM310" s="18" t="str">
        <f t="shared" si="16"/>
        <v>Keine</v>
      </c>
      <c r="BN310" s="18" t="str">
        <f t="shared" si="16"/>
        <v>Nürnberger KomplettSchutz</v>
      </c>
      <c r="BO310" s="18" t="str">
        <f t="shared" si="16"/>
        <v>NV Premium. 2.0</v>
      </c>
      <c r="BP310" s="18" t="str">
        <f t="shared" si="16"/>
        <v>Prokundo ExklusivPaket</v>
      </c>
      <c r="BQ310" s="18" t="str">
        <f t="shared" si="16"/>
        <v>Prokundo Komfort</v>
      </c>
      <c r="BR310" s="18" t="str">
        <f t="shared" si="16"/>
        <v>Provinzial Kompakt</v>
      </c>
      <c r="BS310" s="18" t="str">
        <f t="shared" si="16"/>
        <v>Provinzial Rundum inkl. Plus</v>
      </c>
      <c r="BT310" s="18" t="str">
        <f t="shared" si="16"/>
        <v>Provinzial Rundumschutz</v>
      </c>
      <c r="BU310" s="18" t="str">
        <f t="shared" si="16"/>
        <v>R+V PrivatPolice</v>
      </c>
      <c r="BV310" s="18" t="str">
        <f t="shared" si="16"/>
        <v>SLP Prima</v>
      </c>
      <c r="BW310" s="18" t="str">
        <f t="shared" si="16"/>
        <v>SLP Prima Plus</v>
      </c>
      <c r="BX310" s="18" t="str">
        <f t="shared" si="16"/>
        <v>VdVA Classic</v>
      </c>
      <c r="BY310" s="18" t="str">
        <f t="shared" si="16"/>
        <v>VdVA Exclusiv</v>
      </c>
      <c r="BZ310" s="18" t="str">
        <f t="shared" si="16"/>
        <v>VGH Standard</v>
      </c>
      <c r="CA310" s="18" t="str">
        <f>CA1</f>
        <v>VHV Klassik Garant
(Stand 2015-04)</v>
      </c>
      <c r="CB310" s="18" t="str">
        <f>CB1</f>
        <v>VHV Klassik Garant Exkl.
(Stand 2015-04)</v>
      </c>
      <c r="CC310" s="18" t="str">
        <f t="shared" ref="CC310:CF310" si="17">CC1</f>
        <v>VWB Komfort</v>
      </c>
      <c r="CD310" s="18" t="str">
        <f t="shared" si="17"/>
        <v>VWB Komfort Plus</v>
      </c>
      <c r="CE310" s="18" t="str">
        <f t="shared" si="17"/>
        <v>WÜBA Plus</v>
      </c>
      <c r="CF310" s="18" t="str">
        <f t="shared" si="17"/>
        <v>Zurich Maklerkonzept</v>
      </c>
    </row>
    <row r="311" spans="1:84" ht="27">
      <c r="A311" s="62" t="s">
        <v>21</v>
      </c>
      <c r="B311" s="200"/>
      <c r="C311" s="36" t="s">
        <v>1334</v>
      </c>
      <c r="D311" s="36" t="s">
        <v>1334</v>
      </c>
      <c r="E311" s="38" t="s">
        <v>0</v>
      </c>
      <c r="F311" s="38" t="s">
        <v>0</v>
      </c>
      <c r="G311" s="38" t="s">
        <v>57</v>
      </c>
      <c r="H311" s="38" t="s">
        <v>57</v>
      </c>
      <c r="I311" s="36" t="s">
        <v>57</v>
      </c>
      <c r="J311" s="38" t="s">
        <v>1507</v>
      </c>
      <c r="K311" s="36" t="s">
        <v>57</v>
      </c>
      <c r="L311" s="36" t="s">
        <v>57</v>
      </c>
      <c r="M311" s="38" t="s">
        <v>1507</v>
      </c>
      <c r="N311" s="36" t="s">
        <v>57</v>
      </c>
      <c r="O311" s="38" t="s">
        <v>57</v>
      </c>
      <c r="P311" s="36" t="s">
        <v>57</v>
      </c>
      <c r="Q311" s="36" t="s">
        <v>57</v>
      </c>
      <c r="R311" s="38" t="s">
        <v>1507</v>
      </c>
      <c r="S311" s="36" t="s">
        <v>57</v>
      </c>
      <c r="T311" s="38" t="s">
        <v>5635</v>
      </c>
      <c r="U311" s="38" t="s">
        <v>5635</v>
      </c>
      <c r="V311" s="73" t="s">
        <v>57</v>
      </c>
      <c r="W311" s="38" t="s">
        <v>2173</v>
      </c>
      <c r="X311" s="38" t="s">
        <v>57</v>
      </c>
      <c r="Y311" s="38" t="s">
        <v>57</v>
      </c>
      <c r="Z311" s="38" t="s">
        <v>57</v>
      </c>
      <c r="AA311" s="38" t="s">
        <v>57</v>
      </c>
      <c r="AB311" s="38" t="s">
        <v>57</v>
      </c>
      <c r="AC311" s="38" t="s">
        <v>57</v>
      </c>
      <c r="AD311" s="38" t="s">
        <v>57</v>
      </c>
      <c r="AE311" s="7" t="s">
        <v>441</v>
      </c>
      <c r="AF311" s="7" t="s">
        <v>441</v>
      </c>
      <c r="AG311" s="38" t="s">
        <v>57</v>
      </c>
      <c r="AH311" s="38" t="s">
        <v>57</v>
      </c>
      <c r="AI311" s="38" t="s">
        <v>57</v>
      </c>
      <c r="AJ311" s="7" t="s">
        <v>57</v>
      </c>
      <c r="AK311" s="7" t="s">
        <v>0</v>
      </c>
      <c r="AL311" s="7" t="s">
        <v>0</v>
      </c>
      <c r="AM311" s="38" t="s">
        <v>57</v>
      </c>
      <c r="AN311" s="36" t="s">
        <v>57</v>
      </c>
      <c r="AO311" s="36" t="s">
        <v>57</v>
      </c>
      <c r="AP311" s="38" t="s">
        <v>57</v>
      </c>
      <c r="AQ311" s="38" t="s">
        <v>57</v>
      </c>
      <c r="AR311" s="36" t="s">
        <v>0</v>
      </c>
      <c r="AS311" s="38" t="s">
        <v>57</v>
      </c>
      <c r="AT311" s="38" t="s">
        <v>57</v>
      </c>
      <c r="AU311" s="38" t="s">
        <v>57</v>
      </c>
      <c r="AV311" s="38" t="s">
        <v>0</v>
      </c>
      <c r="AW311" s="38" t="s">
        <v>0</v>
      </c>
      <c r="AX311" s="36" t="s">
        <v>1334</v>
      </c>
      <c r="AY311" s="36" t="s">
        <v>1334</v>
      </c>
      <c r="AZ311" s="38" t="s">
        <v>57</v>
      </c>
      <c r="BA311" s="38" t="s">
        <v>57</v>
      </c>
      <c r="BB311" s="38" t="s">
        <v>57</v>
      </c>
      <c r="BC311" s="38" t="s">
        <v>57</v>
      </c>
      <c r="BD311" s="38" t="s">
        <v>57</v>
      </c>
      <c r="BE311" s="38" t="s">
        <v>57</v>
      </c>
      <c r="BF311" s="38" t="s">
        <v>57</v>
      </c>
      <c r="BG311" s="38" t="s">
        <v>57</v>
      </c>
      <c r="BH311" s="38" t="s">
        <v>57</v>
      </c>
      <c r="BI311" s="38" t="s">
        <v>57</v>
      </c>
      <c r="BJ311" s="38" t="s">
        <v>57</v>
      </c>
      <c r="BK311" s="38" t="s">
        <v>57</v>
      </c>
      <c r="BL311" s="38" t="s">
        <v>57</v>
      </c>
      <c r="BM311" s="38" t="s">
        <v>0</v>
      </c>
      <c r="BN311" s="38" t="s">
        <v>0</v>
      </c>
      <c r="BO311" s="38"/>
      <c r="BP311" s="38" t="s">
        <v>57</v>
      </c>
      <c r="BQ311" s="38" t="s">
        <v>57</v>
      </c>
      <c r="BR311" s="38" t="s">
        <v>0</v>
      </c>
      <c r="BS311" s="38" t="s">
        <v>0</v>
      </c>
      <c r="BT311" s="38" t="s">
        <v>0</v>
      </c>
      <c r="BU311" s="36" t="s">
        <v>57</v>
      </c>
      <c r="BV311" s="36" t="s">
        <v>57</v>
      </c>
      <c r="BW311" s="38" t="s">
        <v>57</v>
      </c>
      <c r="BX311" s="38" t="s">
        <v>57</v>
      </c>
      <c r="BY311" s="38" t="s">
        <v>57</v>
      </c>
      <c r="BZ311" s="38" t="s">
        <v>0</v>
      </c>
      <c r="CA311" s="272" t="s">
        <v>57</v>
      </c>
      <c r="CB311" s="38" t="s">
        <v>57</v>
      </c>
      <c r="CC311" s="38" t="s">
        <v>57</v>
      </c>
      <c r="CD311" s="38" t="s">
        <v>57</v>
      </c>
      <c r="CE311" s="38" t="s">
        <v>0</v>
      </c>
      <c r="CF311" s="38" t="s">
        <v>2173</v>
      </c>
    </row>
    <row r="312" spans="1:84">
      <c r="A312" s="51" t="s">
        <v>935</v>
      </c>
      <c r="B312" s="51"/>
      <c r="C312" s="52" t="s">
        <v>5156</v>
      </c>
      <c r="D312" s="52" t="s">
        <v>5197</v>
      </c>
      <c r="E312" s="52" t="s">
        <v>0</v>
      </c>
      <c r="F312" s="52" t="s">
        <v>0</v>
      </c>
      <c r="G312" s="52" t="s">
        <v>5505</v>
      </c>
      <c r="H312" s="52" t="s">
        <v>5505</v>
      </c>
      <c r="I312" s="52" t="s">
        <v>8182</v>
      </c>
      <c r="J312" s="52" t="s">
        <v>5307</v>
      </c>
      <c r="K312" s="52" t="s">
        <v>8358</v>
      </c>
      <c r="L312" s="52" t="s">
        <v>8415</v>
      </c>
      <c r="M312" s="52" t="s">
        <v>3333</v>
      </c>
      <c r="N312" s="52" t="s">
        <v>8277</v>
      </c>
      <c r="O312" s="52" t="s">
        <v>5260</v>
      </c>
      <c r="P312" s="52" t="s">
        <v>8598</v>
      </c>
      <c r="Q312" s="52" t="s">
        <v>8598</v>
      </c>
      <c r="R312" s="52" t="s">
        <v>1560</v>
      </c>
      <c r="S312" s="52" t="s">
        <v>8530</v>
      </c>
      <c r="T312" s="52" t="s">
        <v>5636</v>
      </c>
      <c r="U312" s="52" t="s">
        <v>5636</v>
      </c>
      <c r="V312" s="84"/>
      <c r="W312" s="52" t="s">
        <v>4446</v>
      </c>
      <c r="X312" s="52" t="s">
        <v>6497</v>
      </c>
      <c r="Y312" s="52" t="s">
        <v>2334</v>
      </c>
      <c r="Z312" s="52" t="s">
        <v>2334</v>
      </c>
      <c r="AA312" s="52" t="s">
        <v>2334</v>
      </c>
      <c r="AB312" s="52" t="s">
        <v>4787</v>
      </c>
      <c r="AC312" s="52" t="s">
        <v>4787</v>
      </c>
      <c r="AD312" s="52" t="s">
        <v>4786</v>
      </c>
      <c r="AE312" s="52" t="s">
        <v>6074</v>
      </c>
      <c r="AF312" s="52" t="s">
        <v>6074</v>
      </c>
      <c r="AG312" s="186" t="s">
        <v>7102</v>
      </c>
      <c r="AH312" s="186" t="s">
        <v>7102</v>
      </c>
      <c r="AI312" s="186" t="s">
        <v>7102</v>
      </c>
      <c r="AJ312" s="52" t="s">
        <v>6118</v>
      </c>
      <c r="AK312" s="52" t="s">
        <v>0</v>
      </c>
      <c r="AL312" s="52" t="s">
        <v>0</v>
      </c>
      <c r="AM312" s="52" t="s">
        <v>5423</v>
      </c>
      <c r="AN312" s="52" t="s">
        <v>5423</v>
      </c>
      <c r="AO312" s="52" t="s">
        <v>4220</v>
      </c>
      <c r="AP312" s="52" t="s">
        <v>2547</v>
      </c>
      <c r="AQ312" s="52" t="s">
        <v>2556</v>
      </c>
      <c r="AR312" s="52"/>
      <c r="AS312" s="52" t="s">
        <v>1993</v>
      </c>
      <c r="AT312" s="52" t="s">
        <v>1993</v>
      </c>
      <c r="AU312" s="52" t="s">
        <v>1993</v>
      </c>
      <c r="AV312" s="52" t="s">
        <v>4365</v>
      </c>
      <c r="AW312" s="52" t="s">
        <v>4365</v>
      </c>
      <c r="AX312" s="52" t="s">
        <v>1272</v>
      </c>
      <c r="AY312" s="52" t="s">
        <v>1272</v>
      </c>
      <c r="AZ312" s="52" t="s">
        <v>3733</v>
      </c>
      <c r="BA312" s="52" t="s">
        <v>3648</v>
      </c>
      <c r="BB312" s="52" t="s">
        <v>4496</v>
      </c>
      <c r="BC312" s="52" t="s">
        <v>4874</v>
      </c>
      <c r="BD312" s="52" t="s">
        <v>7690</v>
      </c>
      <c r="BE312" s="52" t="s">
        <v>4913</v>
      </c>
      <c r="BF312" s="52" t="s">
        <v>7680</v>
      </c>
      <c r="BG312" s="52" t="s">
        <v>5018</v>
      </c>
      <c r="BH312" s="52" t="s">
        <v>7914</v>
      </c>
      <c r="BI312" s="52" t="s">
        <v>7856</v>
      </c>
      <c r="BJ312" s="52" t="s">
        <v>5477</v>
      </c>
      <c r="BK312" s="52"/>
      <c r="BL312" s="52"/>
      <c r="BM312" s="52" t="s">
        <v>0</v>
      </c>
      <c r="BN312" s="52" t="s">
        <v>0</v>
      </c>
      <c r="BO312" s="52"/>
      <c r="BP312" s="52" t="s">
        <v>2257</v>
      </c>
      <c r="BQ312" s="52" t="s">
        <v>2257</v>
      </c>
      <c r="BR312" s="52" t="s">
        <v>2728</v>
      </c>
      <c r="BS312" s="52" t="s">
        <v>2728</v>
      </c>
      <c r="BT312" s="52" t="s">
        <v>2728</v>
      </c>
      <c r="BU312" s="84" t="s">
        <v>5095</v>
      </c>
      <c r="BV312" s="84"/>
      <c r="BW312" s="52"/>
      <c r="BX312" s="52" t="s">
        <v>3941</v>
      </c>
      <c r="BY312" s="52" t="s">
        <v>3822</v>
      </c>
      <c r="BZ312" s="52" t="s">
        <v>0</v>
      </c>
      <c r="CA312" s="273" t="s">
        <v>3132</v>
      </c>
      <c r="CB312" s="52" t="s">
        <v>3132</v>
      </c>
      <c r="CC312" s="52"/>
      <c r="CD312" s="52"/>
      <c r="CE312" s="52" t="s">
        <v>0</v>
      </c>
      <c r="CF312" s="52" t="s">
        <v>2174</v>
      </c>
    </row>
    <row r="313" spans="1:84" ht="18">
      <c r="A313" s="82" t="s">
        <v>109</v>
      </c>
      <c r="B313" s="200"/>
      <c r="C313" s="113" t="s">
        <v>110</v>
      </c>
      <c r="D313" s="113" t="s">
        <v>4824</v>
      </c>
      <c r="E313" s="113" t="s">
        <v>220</v>
      </c>
      <c r="F313" s="113" t="s">
        <v>220</v>
      </c>
      <c r="G313" s="113" t="s">
        <v>221</v>
      </c>
      <c r="H313" s="113" t="s">
        <v>30</v>
      </c>
      <c r="I313" s="38" t="s">
        <v>847</v>
      </c>
      <c r="J313" s="113" t="s">
        <v>110</v>
      </c>
      <c r="K313" s="38" t="s">
        <v>847</v>
      </c>
      <c r="L313" s="38" t="s">
        <v>847</v>
      </c>
      <c r="M313" s="113" t="s">
        <v>110</v>
      </c>
      <c r="N313" s="38" t="s">
        <v>847</v>
      </c>
      <c r="O313" s="113" t="s">
        <v>110</v>
      </c>
      <c r="P313" s="38" t="s">
        <v>2135</v>
      </c>
      <c r="Q313" s="38" t="s">
        <v>8429</v>
      </c>
      <c r="R313" s="113" t="s">
        <v>110</v>
      </c>
      <c r="S313" s="38" t="s">
        <v>847</v>
      </c>
      <c r="T313" s="113" t="s">
        <v>5578</v>
      </c>
      <c r="U313" s="113" t="s">
        <v>5578</v>
      </c>
      <c r="V313" s="227" t="s">
        <v>5723</v>
      </c>
      <c r="W313" s="114" t="s">
        <v>30</v>
      </c>
      <c r="X313" s="114" t="s">
        <v>220</v>
      </c>
      <c r="Y313" s="114" t="s">
        <v>110</v>
      </c>
      <c r="Z313" s="114" t="s">
        <v>221</v>
      </c>
      <c r="AA313" s="114" t="s">
        <v>30</v>
      </c>
      <c r="AB313" s="113" t="s">
        <v>4683</v>
      </c>
      <c r="AC313" s="113" t="s">
        <v>220</v>
      </c>
      <c r="AD313" s="113" t="s">
        <v>110</v>
      </c>
      <c r="AE313" s="215" t="s">
        <v>30</v>
      </c>
      <c r="AF313" s="215" t="s">
        <v>30</v>
      </c>
      <c r="AG313" s="38" t="s">
        <v>2135</v>
      </c>
      <c r="AH313" s="38" t="s">
        <v>2135</v>
      </c>
      <c r="AI313" s="38" t="s">
        <v>2135</v>
      </c>
      <c r="AJ313" s="215" t="s">
        <v>220</v>
      </c>
      <c r="AK313" s="215" t="s">
        <v>110</v>
      </c>
      <c r="AL313" s="225" t="s">
        <v>221</v>
      </c>
      <c r="AM313" s="114" t="s">
        <v>30</v>
      </c>
      <c r="AN313" s="114" t="s">
        <v>30</v>
      </c>
      <c r="AO313" s="114" t="s">
        <v>4213</v>
      </c>
      <c r="AP313" s="113" t="s">
        <v>110</v>
      </c>
      <c r="AQ313" s="113" t="s">
        <v>30</v>
      </c>
      <c r="AR313" s="113" t="s">
        <v>110</v>
      </c>
      <c r="AS313" s="113" t="s">
        <v>220</v>
      </c>
      <c r="AT313" s="113" t="s">
        <v>275</v>
      </c>
      <c r="AU313" s="113" t="s">
        <v>275</v>
      </c>
      <c r="AV313" s="113" t="s">
        <v>110</v>
      </c>
      <c r="AW313" s="113" t="s">
        <v>110</v>
      </c>
      <c r="AX313" s="113" t="s">
        <v>220</v>
      </c>
      <c r="AY313" s="113" t="s">
        <v>220</v>
      </c>
      <c r="AZ313" s="113" t="s">
        <v>110</v>
      </c>
      <c r="BA313" s="113" t="s">
        <v>110</v>
      </c>
      <c r="BB313" s="113" t="s">
        <v>46</v>
      </c>
      <c r="BC313" s="113" t="s">
        <v>220</v>
      </c>
      <c r="BD313" s="38" t="s">
        <v>6839</v>
      </c>
      <c r="BE313" s="113" t="s">
        <v>220</v>
      </c>
      <c r="BF313" s="38" t="s">
        <v>6839</v>
      </c>
      <c r="BG313" s="113" t="s">
        <v>220</v>
      </c>
      <c r="BH313" s="38" t="s">
        <v>6839</v>
      </c>
      <c r="BI313" s="38" t="s">
        <v>6839</v>
      </c>
      <c r="BJ313" s="113" t="s">
        <v>220</v>
      </c>
      <c r="BK313" s="113" t="s">
        <v>110</v>
      </c>
      <c r="BL313" s="113" t="s">
        <v>46</v>
      </c>
      <c r="BM313" s="113" t="s">
        <v>0</v>
      </c>
      <c r="BN313" s="113" t="s">
        <v>110</v>
      </c>
      <c r="BO313" s="113"/>
      <c r="BP313" s="113" t="s">
        <v>110</v>
      </c>
      <c r="BQ313" s="113" t="s">
        <v>110</v>
      </c>
      <c r="BR313" s="113" t="s">
        <v>110</v>
      </c>
      <c r="BS313" s="113" t="s">
        <v>110</v>
      </c>
      <c r="BT313" s="113" t="s">
        <v>110</v>
      </c>
      <c r="BU313" s="114" t="s">
        <v>110</v>
      </c>
      <c r="BV313" s="114" t="s">
        <v>30</v>
      </c>
      <c r="BW313" s="113" t="s">
        <v>30</v>
      </c>
      <c r="BX313" s="113" t="s">
        <v>110</v>
      </c>
      <c r="BY313" s="113" t="s">
        <v>110</v>
      </c>
      <c r="BZ313" s="113" t="s">
        <v>221</v>
      </c>
      <c r="CA313" s="224" t="s">
        <v>30</v>
      </c>
      <c r="CB313" s="113" t="s">
        <v>30</v>
      </c>
      <c r="CC313" s="113" t="s">
        <v>110</v>
      </c>
      <c r="CD313" s="113" t="s">
        <v>110</v>
      </c>
      <c r="CE313" s="113" t="s">
        <v>110</v>
      </c>
      <c r="CF313" s="114" t="s">
        <v>2135</v>
      </c>
    </row>
    <row r="314" spans="1:84" ht="18">
      <c r="A314" s="51" t="s">
        <v>935</v>
      </c>
      <c r="B314" s="51"/>
      <c r="C314" s="52" t="s">
        <v>5212</v>
      </c>
      <c r="D314" s="52" t="s">
        <v>5155</v>
      </c>
      <c r="E314" s="52" t="s">
        <v>2607</v>
      </c>
      <c r="F314" s="52" t="s">
        <v>2607</v>
      </c>
      <c r="G314" s="52" t="s">
        <v>1483</v>
      </c>
      <c r="H314" s="52" t="s">
        <v>1407</v>
      </c>
      <c r="I314" s="52" t="s">
        <v>8239</v>
      </c>
      <c r="J314" s="52" t="s">
        <v>1655</v>
      </c>
      <c r="K314" s="52" t="s">
        <v>8239</v>
      </c>
      <c r="L314" s="52" t="s">
        <v>8239</v>
      </c>
      <c r="M314" s="52" t="s">
        <v>1655</v>
      </c>
      <c r="N314" s="52" t="s">
        <v>8239</v>
      </c>
      <c r="O314" s="52" t="s">
        <v>1655</v>
      </c>
      <c r="P314" s="52" t="s">
        <v>8603</v>
      </c>
      <c r="Q314" s="52" t="s">
        <v>8603</v>
      </c>
      <c r="R314" s="52" t="s">
        <v>1655</v>
      </c>
      <c r="S314" s="52" t="s">
        <v>8239</v>
      </c>
      <c r="T314" s="120" t="s">
        <v>5577</v>
      </c>
      <c r="U314" s="120" t="s">
        <v>5577</v>
      </c>
      <c r="V314" s="84"/>
      <c r="W314" s="52" t="s">
        <v>4445</v>
      </c>
      <c r="X314" s="84" t="s">
        <v>6423</v>
      </c>
      <c r="Y314" s="52" t="s">
        <v>2380</v>
      </c>
      <c r="Z314" s="52" t="s">
        <v>2338</v>
      </c>
      <c r="AA314" s="52" t="s">
        <v>2338</v>
      </c>
      <c r="AB314" s="52" t="s">
        <v>4686</v>
      </c>
      <c r="AC314" s="52" t="s">
        <v>4686</v>
      </c>
      <c r="AD314" s="52" t="s">
        <v>4685</v>
      </c>
      <c r="AE314" s="52" t="s">
        <v>6066</v>
      </c>
      <c r="AF314" s="52" t="s">
        <v>6066</v>
      </c>
      <c r="AG314" s="186" t="s">
        <v>7101</v>
      </c>
      <c r="AH314" s="186" t="s">
        <v>7101</v>
      </c>
      <c r="AI314" s="186" t="s">
        <v>7101</v>
      </c>
      <c r="AJ314" s="52" t="s">
        <v>6118</v>
      </c>
      <c r="AK314" s="52" t="s">
        <v>1918</v>
      </c>
      <c r="AL314" s="52" t="s">
        <v>1871</v>
      </c>
      <c r="AM314" s="52" t="s">
        <v>5424</v>
      </c>
      <c r="AN314" s="52" t="s">
        <v>5424</v>
      </c>
      <c r="AO314" s="52" t="s">
        <v>4284</v>
      </c>
      <c r="AP314" s="52" t="s">
        <v>1025</v>
      </c>
      <c r="AQ314" s="52" t="s">
        <v>1025</v>
      </c>
      <c r="AR314" s="52"/>
      <c r="AS314" s="52" t="s">
        <v>1025</v>
      </c>
      <c r="AT314" s="52" t="s">
        <v>1025</v>
      </c>
      <c r="AU314" s="52" t="s">
        <v>1025</v>
      </c>
      <c r="AV314" s="52" t="s">
        <v>4366</v>
      </c>
      <c r="AW314" s="52" t="s">
        <v>4366</v>
      </c>
      <c r="AX314" s="52" t="s">
        <v>1357</v>
      </c>
      <c r="AY314" s="52" t="s">
        <v>1357</v>
      </c>
      <c r="AZ314" s="52" t="s">
        <v>3689</v>
      </c>
      <c r="BA314" s="52" t="s">
        <v>3606</v>
      </c>
      <c r="BB314" s="52" t="s">
        <v>3554</v>
      </c>
      <c r="BC314" s="52" t="s">
        <v>4875</v>
      </c>
      <c r="BD314" s="52" t="s">
        <v>7689</v>
      </c>
      <c r="BE314" s="52" t="s">
        <v>4914</v>
      </c>
      <c r="BF314" s="52" t="s">
        <v>7681</v>
      </c>
      <c r="BG314" s="52" t="s">
        <v>5019</v>
      </c>
      <c r="BH314" s="52" t="s">
        <v>7915</v>
      </c>
      <c r="BI314" s="52" t="s">
        <v>7857</v>
      </c>
      <c r="BJ314" s="52" t="s">
        <v>5478</v>
      </c>
      <c r="BK314" s="52"/>
      <c r="BL314" s="52"/>
      <c r="BM314" s="52" t="s">
        <v>0</v>
      </c>
      <c r="BN314" s="52" t="s">
        <v>3892</v>
      </c>
      <c r="BO314" s="52"/>
      <c r="BP314" s="52" t="s">
        <v>1655</v>
      </c>
      <c r="BQ314" s="52" t="s">
        <v>1655</v>
      </c>
      <c r="BR314" s="52" t="s">
        <v>2728</v>
      </c>
      <c r="BS314" s="52" t="s">
        <v>2728</v>
      </c>
      <c r="BT314" s="52" t="s">
        <v>2728</v>
      </c>
      <c r="BU314" s="84" t="s">
        <v>5079</v>
      </c>
      <c r="BV314" s="84"/>
      <c r="BW314" s="52"/>
      <c r="BX314" s="52" t="s">
        <v>3918</v>
      </c>
      <c r="BY314" s="52" t="s">
        <v>3834</v>
      </c>
      <c r="BZ314" s="52" t="s">
        <v>6187</v>
      </c>
      <c r="CA314" s="273" t="s">
        <v>3134</v>
      </c>
      <c r="CB314" s="52" t="s">
        <v>3134</v>
      </c>
      <c r="CC314" s="52"/>
      <c r="CD314" s="52"/>
      <c r="CE314" s="52" t="s">
        <v>3265</v>
      </c>
      <c r="CF314" s="52" t="s">
        <v>2134</v>
      </c>
    </row>
    <row r="315" spans="1:84" ht="18">
      <c r="A315" s="6" t="s">
        <v>5</v>
      </c>
      <c r="B315" s="200"/>
      <c r="C315" s="38" t="s">
        <v>0</v>
      </c>
      <c r="D315" s="38" t="s">
        <v>0</v>
      </c>
      <c r="E315" s="38" t="s">
        <v>0</v>
      </c>
      <c r="F315" s="38" t="s">
        <v>0</v>
      </c>
      <c r="G315" s="38" t="s">
        <v>0</v>
      </c>
      <c r="H315" s="38" t="s">
        <v>0</v>
      </c>
      <c r="I315" s="36" t="s">
        <v>7403</v>
      </c>
      <c r="J315" s="38" t="s">
        <v>0</v>
      </c>
      <c r="K315" s="36" t="s">
        <v>7546</v>
      </c>
      <c r="L315" s="36" t="s">
        <v>7546</v>
      </c>
      <c r="M315" s="38" t="s">
        <v>0</v>
      </c>
      <c r="N315" s="36" t="s">
        <v>7403</v>
      </c>
      <c r="O315" s="38" t="s">
        <v>0</v>
      </c>
      <c r="P315" s="36" t="s">
        <v>7546</v>
      </c>
      <c r="Q315" s="36" t="s">
        <v>7546</v>
      </c>
      <c r="R315" s="38" t="s">
        <v>0</v>
      </c>
      <c r="S315" s="36" t="s">
        <v>7546</v>
      </c>
      <c r="T315" s="38" t="s">
        <v>0</v>
      </c>
      <c r="U315" s="38" t="s">
        <v>0</v>
      </c>
      <c r="V315" s="73" t="s">
        <v>5493</v>
      </c>
      <c r="W315" s="38" t="s">
        <v>0</v>
      </c>
      <c r="X315" s="36" t="s">
        <v>0</v>
      </c>
      <c r="Y315" s="38" t="s">
        <v>0</v>
      </c>
      <c r="Z315" s="38" t="s">
        <v>0</v>
      </c>
      <c r="AA315" s="38" t="s">
        <v>0</v>
      </c>
      <c r="AB315" s="68" t="s">
        <v>0</v>
      </c>
      <c r="AC315" s="68" t="s">
        <v>0</v>
      </c>
      <c r="AD315" s="68" t="s">
        <v>0</v>
      </c>
      <c r="AE315" s="36" t="s">
        <v>5434</v>
      </c>
      <c r="AF315" s="36" t="s">
        <v>5434</v>
      </c>
      <c r="AG315" s="36" t="s">
        <v>7094</v>
      </c>
      <c r="AH315" s="36" t="s">
        <v>7094</v>
      </c>
      <c r="AI315" s="36" t="s">
        <v>7094</v>
      </c>
      <c r="AJ315" s="34" t="s">
        <v>0</v>
      </c>
      <c r="AK315" s="7" t="s">
        <v>0</v>
      </c>
      <c r="AL315" s="7" t="s">
        <v>0</v>
      </c>
      <c r="AM315" s="36" t="s">
        <v>5434</v>
      </c>
      <c r="AN315" s="36" t="s">
        <v>5434</v>
      </c>
      <c r="AO315" s="36" t="s">
        <v>4211</v>
      </c>
      <c r="AP315" s="38" t="s">
        <v>2600</v>
      </c>
      <c r="AQ315" s="38" t="s">
        <v>2600</v>
      </c>
      <c r="AR315" s="38" t="s">
        <v>0</v>
      </c>
      <c r="AS315" s="38" t="s">
        <v>0</v>
      </c>
      <c r="AT315" s="38" t="s">
        <v>0</v>
      </c>
      <c r="AU315" s="38" t="s">
        <v>0</v>
      </c>
      <c r="AV315" s="36" t="s">
        <v>4372</v>
      </c>
      <c r="AW315" s="36" t="s">
        <v>4372</v>
      </c>
      <c r="AX315" s="68" t="s">
        <v>0</v>
      </c>
      <c r="AY315" s="68" t="s">
        <v>0</v>
      </c>
      <c r="AZ315" s="36" t="s">
        <v>3650</v>
      </c>
      <c r="BA315" s="36" t="s">
        <v>3650</v>
      </c>
      <c r="BB315" s="36" t="s">
        <v>3553</v>
      </c>
      <c r="BC315" s="36" t="s">
        <v>4933</v>
      </c>
      <c r="BD315" s="36" t="s">
        <v>7646</v>
      </c>
      <c r="BE315" s="36" t="s">
        <v>4933</v>
      </c>
      <c r="BF315" s="36" t="s">
        <v>7646</v>
      </c>
      <c r="BG315" s="38" t="s">
        <v>185</v>
      </c>
      <c r="BH315" s="36" t="s">
        <v>7809</v>
      </c>
      <c r="BI315" s="36" t="s">
        <v>7809</v>
      </c>
      <c r="BJ315" s="38" t="s">
        <v>185</v>
      </c>
      <c r="BK315" s="38" t="s">
        <v>57</v>
      </c>
      <c r="BL315" s="38" t="s">
        <v>57</v>
      </c>
      <c r="BM315" s="38" t="s">
        <v>0</v>
      </c>
      <c r="BN315" s="68" t="s">
        <v>0</v>
      </c>
      <c r="BO315" s="68"/>
      <c r="BP315" s="68" t="s">
        <v>0</v>
      </c>
      <c r="BQ315" s="68" t="s">
        <v>0</v>
      </c>
      <c r="BR315" s="38" t="s">
        <v>0</v>
      </c>
      <c r="BS315" s="38" t="s">
        <v>0</v>
      </c>
      <c r="BT315" s="38" t="s">
        <v>0</v>
      </c>
      <c r="BU315" s="36" t="s">
        <v>2818</v>
      </c>
      <c r="BV315" s="36" t="s">
        <v>0</v>
      </c>
      <c r="BW315" s="38" t="s">
        <v>0</v>
      </c>
      <c r="BX315" s="36" t="s">
        <v>3825</v>
      </c>
      <c r="BY315" s="36" t="s">
        <v>3825</v>
      </c>
      <c r="BZ315" s="36" t="s">
        <v>0</v>
      </c>
      <c r="CA315" s="272" t="s">
        <v>0</v>
      </c>
      <c r="CB315" s="38" t="s">
        <v>0</v>
      </c>
      <c r="CC315" s="38" t="s">
        <v>0</v>
      </c>
      <c r="CD315" s="38" t="s">
        <v>0</v>
      </c>
      <c r="CE315" s="38" t="s">
        <v>0</v>
      </c>
      <c r="CF315" s="38" t="s">
        <v>0</v>
      </c>
    </row>
    <row r="316" spans="1:84" ht="18">
      <c r="A316" s="51" t="s">
        <v>935</v>
      </c>
      <c r="B316" s="51"/>
      <c r="C316" s="52" t="s">
        <v>3897</v>
      </c>
      <c r="D316" s="52" t="s">
        <v>3897</v>
      </c>
      <c r="E316" s="52" t="s">
        <v>2789</v>
      </c>
      <c r="F316" s="52" t="s">
        <v>2789</v>
      </c>
      <c r="G316" s="52" t="s">
        <v>1475</v>
      </c>
      <c r="H316" s="52" t="s">
        <v>1475</v>
      </c>
      <c r="I316" s="52" t="s">
        <v>8223</v>
      </c>
      <c r="J316" s="52" t="s">
        <v>1680</v>
      </c>
      <c r="K316" s="84" t="s">
        <v>8564</v>
      </c>
      <c r="L316" s="84" t="s">
        <v>8563</v>
      </c>
      <c r="M316" s="52" t="s">
        <v>1680</v>
      </c>
      <c r="N316" s="52" t="s">
        <v>8223</v>
      </c>
      <c r="O316" s="52" t="s">
        <v>1680</v>
      </c>
      <c r="P316" s="84" t="s">
        <v>8602</v>
      </c>
      <c r="Q316" s="84" t="s">
        <v>8602</v>
      </c>
      <c r="R316" s="52" t="s">
        <v>1680</v>
      </c>
      <c r="S316" s="84" t="s">
        <v>8562</v>
      </c>
      <c r="T316" s="52" t="s">
        <v>5637</v>
      </c>
      <c r="U316" s="52" t="s">
        <v>5637</v>
      </c>
      <c r="V316" s="84"/>
      <c r="W316" s="52" t="s">
        <v>4441</v>
      </c>
      <c r="X316" s="52" t="s">
        <v>6498</v>
      </c>
      <c r="Y316" s="52" t="s">
        <v>2423</v>
      </c>
      <c r="Z316" s="52" t="s">
        <v>2423</v>
      </c>
      <c r="AA316" s="52" t="s">
        <v>2423</v>
      </c>
      <c r="AB316" s="52" t="s">
        <v>4788</v>
      </c>
      <c r="AC316" s="52" t="s">
        <v>4788</v>
      </c>
      <c r="AD316" s="52" t="s">
        <v>4788</v>
      </c>
      <c r="AE316" s="52" t="s">
        <v>6075</v>
      </c>
      <c r="AF316" s="52" t="s">
        <v>6075</v>
      </c>
      <c r="AG316" s="52" t="s">
        <v>7093</v>
      </c>
      <c r="AH316" s="52" t="s">
        <v>7093</v>
      </c>
      <c r="AI316" s="52" t="s">
        <v>7093</v>
      </c>
      <c r="AJ316" s="52" t="s">
        <v>6131</v>
      </c>
      <c r="AK316" s="52" t="s">
        <v>1903</v>
      </c>
      <c r="AL316" s="52" t="s">
        <v>1903</v>
      </c>
      <c r="AM316" s="52" t="s">
        <v>5435</v>
      </c>
      <c r="AN316" s="52" t="s">
        <v>5435</v>
      </c>
      <c r="AO316" s="52" t="s">
        <v>4293</v>
      </c>
      <c r="AP316" s="52" t="s">
        <v>6349</v>
      </c>
      <c r="AQ316" s="52" t="s">
        <v>6349</v>
      </c>
      <c r="AR316" s="52"/>
      <c r="AS316" s="52" t="s">
        <v>2049</v>
      </c>
      <c r="AT316" s="52" t="s">
        <v>2049</v>
      </c>
      <c r="AU316" s="52" t="s">
        <v>2049</v>
      </c>
      <c r="AV316" s="52" t="s">
        <v>4373</v>
      </c>
      <c r="AW316" s="52" t="s">
        <v>4373</v>
      </c>
      <c r="AX316" s="52" t="s">
        <v>1359</v>
      </c>
      <c r="AY316" s="52" t="s">
        <v>1359</v>
      </c>
      <c r="AZ316" s="52" t="s">
        <v>3658</v>
      </c>
      <c r="BA316" s="52" t="s">
        <v>3649</v>
      </c>
      <c r="BB316" s="52" t="s">
        <v>3552</v>
      </c>
      <c r="BC316" s="52" t="s">
        <v>4932</v>
      </c>
      <c r="BD316" s="52" t="s">
        <v>7647</v>
      </c>
      <c r="BE316" s="52" t="s">
        <v>4932</v>
      </c>
      <c r="BF316" s="52" t="s">
        <v>7647</v>
      </c>
      <c r="BG316" s="52" t="s">
        <v>5028</v>
      </c>
      <c r="BH316" s="52" t="s">
        <v>7808</v>
      </c>
      <c r="BI316" s="52" t="s">
        <v>7808</v>
      </c>
      <c r="BJ316" s="52" t="s">
        <v>5028</v>
      </c>
      <c r="BK316" s="52"/>
      <c r="BL316" s="52"/>
      <c r="BM316" s="52" t="s">
        <v>0</v>
      </c>
      <c r="BN316" s="52" t="s">
        <v>3885</v>
      </c>
      <c r="BO316" s="52"/>
      <c r="BP316" s="52" t="s">
        <v>2314</v>
      </c>
      <c r="BQ316" s="52" t="s">
        <v>2314</v>
      </c>
      <c r="BR316" s="52" t="s">
        <v>2720</v>
      </c>
      <c r="BS316" s="52" t="s">
        <v>2720</v>
      </c>
      <c r="BT316" s="52" t="s">
        <v>2720</v>
      </c>
      <c r="BU316" s="84" t="s">
        <v>2819</v>
      </c>
      <c r="BV316" s="84"/>
      <c r="BW316" s="52"/>
      <c r="BX316" s="52" t="s">
        <v>3940</v>
      </c>
      <c r="BY316" s="52" t="s">
        <v>3824</v>
      </c>
      <c r="BZ316" s="52" t="s">
        <v>0</v>
      </c>
      <c r="CA316" s="273" t="s">
        <v>3175</v>
      </c>
      <c r="CB316" s="52" t="s">
        <v>3175</v>
      </c>
      <c r="CC316" s="52"/>
      <c r="CD316" s="52"/>
      <c r="CE316" s="52" t="s">
        <v>3266</v>
      </c>
      <c r="CF316" s="52" t="s">
        <v>2204</v>
      </c>
    </row>
    <row r="317" spans="1:84" ht="27">
      <c r="A317" s="181" t="s">
        <v>6665</v>
      </c>
      <c r="B317" s="200"/>
      <c r="C317" s="214" t="s">
        <v>0</v>
      </c>
      <c r="D317" s="212" t="s">
        <v>5157</v>
      </c>
      <c r="E317" s="214" t="s">
        <v>113</v>
      </c>
      <c r="F317" s="214" t="s">
        <v>57</v>
      </c>
      <c r="G317" s="214" t="s">
        <v>57</v>
      </c>
      <c r="H317" s="212" t="s">
        <v>57</v>
      </c>
      <c r="I317" s="38" t="s">
        <v>0</v>
      </c>
      <c r="J317" s="212" t="s">
        <v>67</v>
      </c>
      <c r="K317" s="38" t="s">
        <v>7130</v>
      </c>
      <c r="L317" s="38" t="s">
        <v>57</v>
      </c>
      <c r="M317" s="212" t="s">
        <v>57</v>
      </c>
      <c r="N317" s="38" t="s">
        <v>6991</v>
      </c>
      <c r="O317" s="212" t="s">
        <v>57</v>
      </c>
      <c r="P317" s="38" t="s">
        <v>57</v>
      </c>
      <c r="Q317" s="38" t="s">
        <v>57</v>
      </c>
      <c r="R317" s="212" t="s">
        <v>57</v>
      </c>
      <c r="S317" s="38" t="s">
        <v>57</v>
      </c>
      <c r="T317" s="212" t="s">
        <v>113</v>
      </c>
      <c r="U317" s="212" t="s">
        <v>3268</v>
      </c>
      <c r="V317" s="217" t="s">
        <v>57</v>
      </c>
      <c r="W317" s="212" t="s">
        <v>57</v>
      </c>
      <c r="X317" s="212" t="s">
        <v>57</v>
      </c>
      <c r="Y317" s="212" t="s">
        <v>0</v>
      </c>
      <c r="Z317" s="212" t="s">
        <v>0</v>
      </c>
      <c r="AA317" s="212" t="s">
        <v>113</v>
      </c>
      <c r="AB317" s="212" t="s">
        <v>57</v>
      </c>
      <c r="AC317" s="212" t="s">
        <v>57</v>
      </c>
      <c r="AD317" s="212" t="s">
        <v>197</v>
      </c>
      <c r="AE317" s="213" t="s">
        <v>57</v>
      </c>
      <c r="AF317" s="219" t="s">
        <v>1686</v>
      </c>
      <c r="AG317" s="38" t="s">
        <v>113</v>
      </c>
      <c r="AH317" s="38" t="s">
        <v>57</v>
      </c>
      <c r="AI317" s="38" t="s">
        <v>57</v>
      </c>
      <c r="AJ317" s="219" t="s">
        <v>113</v>
      </c>
      <c r="AK317" s="213" t="s">
        <v>113</v>
      </c>
      <c r="AL317" s="218" t="s">
        <v>57</v>
      </c>
      <c r="AM317" s="214" t="s">
        <v>57</v>
      </c>
      <c r="AN317" s="212" t="s">
        <v>5364</v>
      </c>
      <c r="AO317" s="212" t="s">
        <v>4223</v>
      </c>
      <c r="AP317" s="214" t="s">
        <v>0</v>
      </c>
      <c r="AQ317" s="214" t="s">
        <v>57</v>
      </c>
      <c r="AR317" s="214" t="s">
        <v>917</v>
      </c>
      <c r="AS317" s="214" t="s">
        <v>57</v>
      </c>
      <c r="AT317" s="214" t="s">
        <v>57</v>
      </c>
      <c r="AU317" s="214" t="s">
        <v>57</v>
      </c>
      <c r="AV317" s="214" t="s">
        <v>57</v>
      </c>
      <c r="AW317" s="214" t="s">
        <v>57</v>
      </c>
      <c r="AX317" s="214" t="s">
        <v>57</v>
      </c>
      <c r="AY317" s="212" t="s">
        <v>113</v>
      </c>
      <c r="AZ317" s="212" t="s">
        <v>0</v>
      </c>
      <c r="BA317" s="212" t="s">
        <v>197</v>
      </c>
      <c r="BB317" s="212" t="s">
        <v>3557</v>
      </c>
      <c r="BC317" s="214" t="s">
        <v>57</v>
      </c>
      <c r="BD317" s="38" t="s">
        <v>57</v>
      </c>
      <c r="BE317" s="214" t="s">
        <v>57</v>
      </c>
      <c r="BF317" s="38" t="s">
        <v>57</v>
      </c>
      <c r="BG317" s="214" t="s">
        <v>57</v>
      </c>
      <c r="BH317" s="38" t="s">
        <v>57</v>
      </c>
      <c r="BI317" s="38" t="s">
        <v>57</v>
      </c>
      <c r="BJ317" s="214" t="s">
        <v>57</v>
      </c>
      <c r="BK317" s="214" t="s">
        <v>57</v>
      </c>
      <c r="BL317" s="214" t="s">
        <v>57</v>
      </c>
      <c r="BM317" s="214" t="s">
        <v>0</v>
      </c>
      <c r="BN317" s="214" t="s">
        <v>197</v>
      </c>
      <c r="BO317" s="214"/>
      <c r="BP317" s="214" t="s">
        <v>57</v>
      </c>
      <c r="BQ317" s="214" t="s">
        <v>197</v>
      </c>
      <c r="BR317" s="214" t="s">
        <v>0</v>
      </c>
      <c r="BS317" s="214" t="s">
        <v>2626</v>
      </c>
      <c r="BT317" s="214" t="s">
        <v>0</v>
      </c>
      <c r="BU317" s="212" t="s">
        <v>57</v>
      </c>
      <c r="BV317" s="212" t="s">
        <v>197</v>
      </c>
      <c r="BW317" s="214" t="s">
        <v>57</v>
      </c>
      <c r="BX317" s="214" t="s">
        <v>56</v>
      </c>
      <c r="BY317" s="214" t="s">
        <v>57</v>
      </c>
      <c r="BZ317" s="212" t="s">
        <v>6216</v>
      </c>
      <c r="CA317" s="277" t="s">
        <v>57</v>
      </c>
      <c r="CB317" s="214" t="s">
        <v>57</v>
      </c>
      <c r="CC317" s="214" t="s">
        <v>197</v>
      </c>
      <c r="CD317" s="214" t="s">
        <v>57</v>
      </c>
      <c r="CE317" s="214" t="s">
        <v>195</v>
      </c>
      <c r="CF317" s="212" t="s">
        <v>402</v>
      </c>
    </row>
    <row r="318" spans="1:84">
      <c r="A318" s="51" t="s">
        <v>935</v>
      </c>
      <c r="B318" s="51"/>
      <c r="C318" s="52" t="s">
        <v>5231</v>
      </c>
      <c r="D318" s="52" t="s">
        <v>5158</v>
      </c>
      <c r="E318" s="52" t="s">
        <v>2801</v>
      </c>
      <c r="F318" s="52" t="s">
        <v>2801</v>
      </c>
      <c r="G318" s="52" t="s">
        <v>1417</v>
      </c>
      <c r="H318" s="52" t="s">
        <v>1417</v>
      </c>
      <c r="I318" s="52" t="s">
        <v>8242</v>
      </c>
      <c r="J318" s="52" t="s">
        <v>5770</v>
      </c>
      <c r="K318" s="52" t="s">
        <v>8359</v>
      </c>
      <c r="L318" s="52" t="s">
        <v>8414</v>
      </c>
      <c r="M318" s="52" t="s">
        <v>5851</v>
      </c>
      <c r="N318" s="52" t="s">
        <v>8310</v>
      </c>
      <c r="O318" s="52" t="s">
        <v>5272</v>
      </c>
      <c r="P318" s="52" t="s">
        <v>8599</v>
      </c>
      <c r="Q318" s="52" t="s">
        <v>8599</v>
      </c>
      <c r="R318" s="52" t="s">
        <v>5285</v>
      </c>
      <c r="S318" s="52" t="s">
        <v>8561</v>
      </c>
      <c r="T318" s="52" t="s">
        <v>5638</v>
      </c>
      <c r="U318" s="52" t="s">
        <v>5638</v>
      </c>
      <c r="V318" s="84"/>
      <c r="W318" s="52" t="s">
        <v>4449</v>
      </c>
      <c r="X318" s="52" t="s">
        <v>6499</v>
      </c>
      <c r="Y318" s="52" t="s">
        <v>2335</v>
      </c>
      <c r="Z318" s="52" t="s">
        <v>2335</v>
      </c>
      <c r="AA318" s="52" t="s">
        <v>2335</v>
      </c>
      <c r="AB318" s="52" t="s">
        <v>4789</v>
      </c>
      <c r="AC318" s="52" t="s">
        <v>4789</v>
      </c>
      <c r="AD318" s="52" t="s">
        <v>4677</v>
      </c>
      <c r="AE318" s="52" t="s">
        <v>5999</v>
      </c>
      <c r="AF318" s="52" t="s">
        <v>5988</v>
      </c>
      <c r="AG318" s="186" t="s">
        <v>7103</v>
      </c>
      <c r="AH318" s="186" t="s">
        <v>7131</v>
      </c>
      <c r="AI318" s="186" t="s">
        <v>7182</v>
      </c>
      <c r="AJ318" s="52" t="s">
        <v>6132</v>
      </c>
      <c r="AK318" s="52" t="s">
        <v>1879</v>
      </c>
      <c r="AL318" s="52" t="s">
        <v>1879</v>
      </c>
      <c r="AM318" s="52" t="s">
        <v>5356</v>
      </c>
      <c r="AN318" s="52" t="s">
        <v>5363</v>
      </c>
      <c r="AO318" s="52" t="s">
        <v>4222</v>
      </c>
      <c r="AP318" s="52" t="s">
        <v>0</v>
      </c>
      <c r="AQ318" s="52" t="s">
        <v>6333</v>
      </c>
      <c r="AR318" s="52"/>
      <c r="AS318" s="52" t="s">
        <v>1959</v>
      </c>
      <c r="AT318" s="52" t="s">
        <v>1959</v>
      </c>
      <c r="AU318" s="52" t="s">
        <v>1959</v>
      </c>
      <c r="AV318" s="52" t="s">
        <v>4309</v>
      </c>
      <c r="AW318" s="52" t="s">
        <v>4309</v>
      </c>
      <c r="AX318" s="52" t="s">
        <v>1267</v>
      </c>
      <c r="AY318" s="52" t="s">
        <v>1336</v>
      </c>
      <c r="AZ318" s="52" t="s">
        <v>3734</v>
      </c>
      <c r="BA318" s="52" t="s">
        <v>3735</v>
      </c>
      <c r="BB318" s="52" t="s">
        <v>3556</v>
      </c>
      <c r="BC318" s="52" t="s">
        <v>4876</v>
      </c>
      <c r="BD318" s="52" t="s">
        <v>7688</v>
      </c>
      <c r="BE318" s="52" t="s">
        <v>4915</v>
      </c>
      <c r="BF318" s="52" t="s">
        <v>7682</v>
      </c>
      <c r="BG318" s="52" t="s">
        <v>5017</v>
      </c>
      <c r="BH318" s="52" t="s">
        <v>7752</v>
      </c>
      <c r="BI318" s="52" t="s">
        <v>7810</v>
      </c>
      <c r="BJ318" s="52" t="s">
        <v>4896</v>
      </c>
      <c r="BK318" s="52"/>
      <c r="BL318" s="52"/>
      <c r="BM318" s="52" t="s">
        <v>0</v>
      </c>
      <c r="BN318" s="52" t="s">
        <v>3876</v>
      </c>
      <c r="BO318" s="52"/>
      <c r="BP318" s="52" t="s">
        <v>2234</v>
      </c>
      <c r="BQ318" s="52" t="s">
        <v>2258</v>
      </c>
      <c r="BR318" s="52" t="s">
        <v>2662</v>
      </c>
      <c r="BS318" s="52" t="s">
        <v>2661</v>
      </c>
      <c r="BT318" s="52" t="s">
        <v>2662</v>
      </c>
      <c r="BU318" s="84" t="s">
        <v>5096</v>
      </c>
      <c r="BV318" s="84"/>
      <c r="BW318" s="52"/>
      <c r="BX318" s="52" t="s">
        <v>3942</v>
      </c>
      <c r="BY318" s="52" t="s">
        <v>3823</v>
      </c>
      <c r="BZ318" s="52" t="s">
        <v>6260</v>
      </c>
      <c r="CA318" s="273" t="s">
        <v>3133</v>
      </c>
      <c r="CB318" s="52" t="s">
        <v>3133</v>
      </c>
      <c r="CC318" s="52"/>
      <c r="CD318" s="52"/>
      <c r="CE318" s="52" t="s">
        <v>3222</v>
      </c>
      <c r="CF318" s="52" t="s">
        <v>2168</v>
      </c>
    </row>
    <row r="319" spans="1:84" ht="36">
      <c r="A319" s="82" t="s">
        <v>6707</v>
      </c>
      <c r="B319" s="200"/>
      <c r="C319" s="81"/>
      <c r="D319" s="114" t="s">
        <v>57</v>
      </c>
      <c r="E319" s="114" t="s">
        <v>57</v>
      </c>
      <c r="F319" s="114" t="s">
        <v>0</v>
      </c>
      <c r="G319" s="223" t="s">
        <v>113</v>
      </c>
      <c r="H319" s="221" t="s">
        <v>57</v>
      </c>
      <c r="I319" s="36" t="s">
        <v>0</v>
      </c>
      <c r="J319" s="221" t="s">
        <v>57</v>
      </c>
      <c r="K319" s="36" t="s">
        <v>0</v>
      </c>
      <c r="L319" s="36" t="s">
        <v>0</v>
      </c>
      <c r="M319" s="224" t="s">
        <v>57</v>
      </c>
      <c r="N319" s="36" t="s">
        <v>0</v>
      </c>
      <c r="O319" s="114" t="s">
        <v>6666</v>
      </c>
      <c r="P319" s="36" t="s">
        <v>8600</v>
      </c>
      <c r="Q319" s="36" t="s">
        <v>8600</v>
      </c>
      <c r="R319" s="113" t="s">
        <v>0</v>
      </c>
      <c r="S319" s="36" t="s">
        <v>0</v>
      </c>
      <c r="T319" s="113" t="s">
        <v>0</v>
      </c>
      <c r="U319" s="113" t="s">
        <v>113</v>
      </c>
      <c r="V319" s="114" t="s">
        <v>6667</v>
      </c>
      <c r="W319" s="114" t="s">
        <v>6668</v>
      </c>
      <c r="X319" s="114" t="s">
        <v>6669</v>
      </c>
      <c r="Y319" s="220" t="s">
        <v>113</v>
      </c>
      <c r="Z319" s="222" t="s">
        <v>57</v>
      </c>
      <c r="AA319" s="220" t="s">
        <v>6670</v>
      </c>
      <c r="AB319" s="220" t="s">
        <v>0</v>
      </c>
      <c r="AC319" s="220" t="s">
        <v>6671</v>
      </c>
      <c r="AD319" s="220" t="s">
        <v>196</v>
      </c>
      <c r="AE319" s="225" t="s">
        <v>57</v>
      </c>
      <c r="AF319" s="113" t="s">
        <v>0</v>
      </c>
      <c r="AG319" s="36" t="s">
        <v>0</v>
      </c>
      <c r="AH319" s="36" t="s">
        <v>0</v>
      </c>
      <c r="AI319" s="116" t="s">
        <v>113</v>
      </c>
      <c r="AJ319" s="226" t="s">
        <v>6629</v>
      </c>
      <c r="AK319" s="226" t="s">
        <v>6672</v>
      </c>
      <c r="AL319" s="114" t="s">
        <v>6673</v>
      </c>
      <c r="AM319" s="114" t="s">
        <v>57</v>
      </c>
      <c r="AN319" s="113" t="s">
        <v>57</v>
      </c>
      <c r="AO319" s="113" t="s">
        <v>0</v>
      </c>
      <c r="AP319" s="113" t="s">
        <v>1045</v>
      </c>
      <c r="AQ319" s="113" t="s">
        <v>57</v>
      </c>
      <c r="AR319" s="113" t="s">
        <v>57</v>
      </c>
      <c r="AS319" s="113" t="s">
        <v>197</v>
      </c>
      <c r="AT319" s="114" t="s">
        <v>3557</v>
      </c>
      <c r="AU319" s="113" t="s">
        <v>57</v>
      </c>
      <c r="AV319" s="113" t="s">
        <v>57</v>
      </c>
      <c r="AW319" s="113" t="s">
        <v>57</v>
      </c>
      <c r="AX319" s="113" t="s">
        <v>6674</v>
      </c>
      <c r="AY319" s="113" t="s">
        <v>57</v>
      </c>
      <c r="AZ319" s="114" t="s">
        <v>0</v>
      </c>
      <c r="BA319" s="114" t="s">
        <v>0</v>
      </c>
      <c r="BB319" s="113" t="s">
        <v>0</v>
      </c>
      <c r="BC319" s="114" t="s">
        <v>6675</v>
      </c>
      <c r="BD319" s="116" t="s">
        <v>0</v>
      </c>
      <c r="BE319" s="226" t="s">
        <v>778</v>
      </c>
      <c r="BF319" s="116" t="s">
        <v>0</v>
      </c>
      <c r="BG319" s="226" t="s">
        <v>778</v>
      </c>
      <c r="BH319" s="116" t="s">
        <v>0</v>
      </c>
      <c r="BI319" s="116" t="s">
        <v>0</v>
      </c>
      <c r="BJ319" s="113" t="s">
        <v>197</v>
      </c>
      <c r="BK319" s="113" t="s">
        <v>0</v>
      </c>
      <c r="BL319" s="113" t="s">
        <v>2626</v>
      </c>
      <c r="BM319" s="113" t="s">
        <v>0</v>
      </c>
      <c r="BN319" s="114" t="s">
        <v>1658</v>
      </c>
      <c r="BO319" s="113" t="s">
        <v>57</v>
      </c>
      <c r="BP319" s="113" t="s">
        <v>6676</v>
      </c>
      <c r="BQ319" s="113" t="s">
        <v>113</v>
      </c>
      <c r="BR319" s="113" t="s">
        <v>57</v>
      </c>
      <c r="BS319" s="113" t="s">
        <v>113</v>
      </c>
      <c r="BT319" s="114" t="s">
        <v>57</v>
      </c>
      <c r="BU319" s="113" t="s">
        <v>0</v>
      </c>
      <c r="BV319" s="216"/>
      <c r="BW319" s="216"/>
      <c r="BX319" s="216"/>
      <c r="BY319" s="216"/>
      <c r="BZ319" s="216"/>
      <c r="CA319" s="216"/>
      <c r="CB319" s="216"/>
      <c r="CC319" s="216"/>
      <c r="CD319" s="216"/>
      <c r="CE319" s="216"/>
      <c r="CF319" s="216"/>
    </row>
    <row r="320" spans="1:84" ht="18">
      <c r="A320" s="185" t="s">
        <v>935</v>
      </c>
      <c r="B320" s="185"/>
      <c r="C320" s="185"/>
      <c r="D320" s="186" t="s">
        <v>6677</v>
      </c>
      <c r="E320" s="186" t="s">
        <v>6678</v>
      </c>
      <c r="F320" s="186" t="s">
        <v>0</v>
      </c>
      <c r="G320" s="189" t="s">
        <v>6679</v>
      </c>
      <c r="H320" s="84"/>
      <c r="I320" s="52" t="s">
        <v>8243</v>
      </c>
      <c r="J320" s="84"/>
      <c r="K320" s="52" t="s">
        <v>8359</v>
      </c>
      <c r="L320" s="52" t="s">
        <v>8414</v>
      </c>
      <c r="M320" s="190" t="s">
        <v>6680</v>
      </c>
      <c r="N320" s="52" t="s">
        <v>8310</v>
      </c>
      <c r="O320" s="186" t="s">
        <v>6681</v>
      </c>
      <c r="P320" s="52" t="s">
        <v>8601</v>
      </c>
      <c r="Q320" s="52" t="s">
        <v>8601</v>
      </c>
      <c r="R320" s="186" t="s">
        <v>6682</v>
      </c>
      <c r="S320" s="52" t="s">
        <v>8561</v>
      </c>
      <c r="T320" s="186" t="s">
        <v>6682</v>
      </c>
      <c r="U320" s="186" t="s">
        <v>6682</v>
      </c>
      <c r="V320" s="186" t="s">
        <v>6683</v>
      </c>
      <c r="W320" s="186" t="s">
        <v>6684</v>
      </c>
      <c r="X320" s="186" t="s">
        <v>6685</v>
      </c>
      <c r="Y320" s="186" t="s">
        <v>6686</v>
      </c>
      <c r="Z320" s="187"/>
      <c r="AA320" s="186" t="s">
        <v>6687</v>
      </c>
      <c r="AB320" s="186"/>
      <c r="AC320" s="186"/>
      <c r="AD320" s="186" t="s">
        <v>6688</v>
      </c>
      <c r="AE320" s="186" t="s">
        <v>6688</v>
      </c>
      <c r="AF320" s="186" t="s">
        <v>0</v>
      </c>
      <c r="AG320" s="186" t="s">
        <v>0</v>
      </c>
      <c r="AH320" s="186" t="s">
        <v>0</v>
      </c>
      <c r="AI320" s="186" t="s">
        <v>7182</v>
      </c>
      <c r="AJ320" s="186" t="s">
        <v>6689</v>
      </c>
      <c r="AK320" s="186" t="s">
        <v>6690</v>
      </c>
      <c r="AL320" s="186" t="s">
        <v>6691</v>
      </c>
      <c r="AM320" s="186" t="s">
        <v>4117</v>
      </c>
      <c r="AN320" s="186" t="s">
        <v>6692</v>
      </c>
      <c r="AO320" s="186" t="s">
        <v>6693</v>
      </c>
      <c r="AP320" s="186"/>
      <c r="AQ320" s="186"/>
      <c r="AR320" s="186"/>
      <c r="AS320" s="186" t="s">
        <v>6694</v>
      </c>
      <c r="AT320" s="186" t="s">
        <v>6695</v>
      </c>
      <c r="AU320" s="186" t="s">
        <v>6696</v>
      </c>
      <c r="AV320" s="186" t="s">
        <v>6543</v>
      </c>
      <c r="AW320" s="186" t="s">
        <v>6696</v>
      </c>
      <c r="AX320" s="186" t="s">
        <v>6543</v>
      </c>
      <c r="AY320" s="186" t="s">
        <v>6543</v>
      </c>
      <c r="AZ320" s="186" t="s">
        <v>0</v>
      </c>
      <c r="BA320" s="186" t="s">
        <v>0</v>
      </c>
      <c r="BB320" s="186"/>
      <c r="BC320" s="186" t="s">
        <v>6697</v>
      </c>
      <c r="BD320" s="52" t="s">
        <v>7683</v>
      </c>
      <c r="BE320" s="186" t="s">
        <v>6698</v>
      </c>
      <c r="BF320" s="52" t="s">
        <v>7683</v>
      </c>
      <c r="BG320" s="186" t="s">
        <v>6699</v>
      </c>
      <c r="BH320" s="52" t="s">
        <v>0</v>
      </c>
      <c r="BI320" s="52" t="s">
        <v>0</v>
      </c>
      <c r="BJ320" s="186" t="s">
        <v>3876</v>
      </c>
      <c r="BK320" s="186" t="s">
        <v>6700</v>
      </c>
      <c r="BL320" s="186" t="s">
        <v>6701</v>
      </c>
      <c r="BM320" s="186" t="s">
        <v>6700</v>
      </c>
      <c r="BN320" s="191" t="s">
        <v>6702</v>
      </c>
      <c r="BO320" s="186" t="s">
        <v>6703</v>
      </c>
      <c r="BP320" s="186" t="s">
        <v>6704</v>
      </c>
      <c r="BQ320" s="186"/>
      <c r="BR320" s="186"/>
      <c r="BS320" s="186" t="s">
        <v>6705</v>
      </c>
      <c r="BT320" s="186" t="s">
        <v>6706</v>
      </c>
      <c r="BU320" s="186" t="s">
        <v>0</v>
      </c>
      <c r="BV320" s="186" t="s">
        <v>0</v>
      </c>
      <c r="BW320" s="186" t="s">
        <v>0</v>
      </c>
      <c r="BX320" s="186" t="s">
        <v>0</v>
      </c>
      <c r="BY320" s="186" t="s">
        <v>0</v>
      </c>
      <c r="BZ320" s="186" t="s">
        <v>0</v>
      </c>
      <c r="CA320" s="190" t="s">
        <v>0</v>
      </c>
      <c r="CB320" s="186" t="s">
        <v>0</v>
      </c>
      <c r="CC320" s="186" t="s">
        <v>0</v>
      </c>
      <c r="CD320" s="186" t="s">
        <v>0</v>
      </c>
      <c r="CE320" s="186" t="s">
        <v>0</v>
      </c>
      <c r="CF320" s="186" t="s">
        <v>0</v>
      </c>
    </row>
    <row r="321" spans="1:84">
      <c r="A321" s="31"/>
      <c r="B321" s="31"/>
      <c r="C321" s="53"/>
      <c r="D321" s="53"/>
      <c r="E321" s="53"/>
      <c r="F321" s="53"/>
      <c r="G321" s="53"/>
      <c r="H321" s="53"/>
      <c r="I321" s="53"/>
      <c r="J321" s="53"/>
      <c r="K321" s="53"/>
      <c r="L321" s="53"/>
      <c r="M321" s="53"/>
      <c r="N321" s="53"/>
      <c r="O321" s="53"/>
      <c r="P321" s="53"/>
      <c r="Q321" s="53"/>
      <c r="R321" s="53"/>
      <c r="S321" s="53"/>
      <c r="T321" s="53"/>
      <c r="U321" s="53"/>
      <c r="V321" s="77"/>
      <c r="W321" s="53"/>
      <c r="X321" s="53"/>
      <c r="Y321" s="53"/>
      <c r="Z321" s="53"/>
      <c r="AA321" s="53"/>
      <c r="AB321" s="53"/>
      <c r="AC321" s="53"/>
      <c r="AD321" s="53"/>
      <c r="AE321" s="53"/>
      <c r="AF321" s="53"/>
      <c r="AG321" s="53"/>
      <c r="AH321" s="53"/>
      <c r="AI321" s="53"/>
      <c r="AJ321" s="53"/>
      <c r="AK321" s="53"/>
      <c r="AL321" s="53"/>
      <c r="AM321" s="53"/>
      <c r="AN321" s="53"/>
      <c r="AO321" s="53"/>
      <c r="AP321" s="53"/>
      <c r="AQ321" s="53"/>
      <c r="AR321" s="53"/>
      <c r="AS321" s="53"/>
      <c r="AT321" s="53"/>
      <c r="AU321" s="53"/>
      <c r="AV321" s="53"/>
      <c r="AW321" s="53"/>
      <c r="AX321" s="53"/>
      <c r="AY321" s="53"/>
      <c r="AZ321" s="53"/>
      <c r="BA321" s="53"/>
      <c r="BB321" s="53"/>
      <c r="BC321" s="53"/>
      <c r="BD321" s="53"/>
      <c r="BE321" s="53"/>
      <c r="BF321" s="53"/>
      <c r="BG321" s="53"/>
      <c r="BH321" s="53"/>
      <c r="BI321" s="53"/>
      <c r="BJ321" s="53"/>
      <c r="BK321" s="53"/>
      <c r="BL321" s="53"/>
      <c r="BM321" s="53"/>
      <c r="BN321" s="53"/>
      <c r="BO321" s="53"/>
      <c r="BP321" s="53"/>
      <c r="BQ321" s="53"/>
      <c r="BR321" s="53"/>
      <c r="BS321" s="53"/>
      <c r="BT321" s="53"/>
      <c r="BU321" s="65"/>
      <c r="BV321" s="65"/>
      <c r="BW321" s="53"/>
      <c r="BX321" s="53"/>
      <c r="BY321" s="53"/>
      <c r="BZ321" s="53"/>
      <c r="CA321" s="53"/>
      <c r="CB321" s="53"/>
      <c r="CC321" s="53"/>
      <c r="CD321" s="53"/>
      <c r="CE321" s="53"/>
      <c r="CF321" s="173"/>
    </row>
    <row r="322" spans="1:84" ht="18">
      <c r="A322" s="10" t="s">
        <v>186</v>
      </c>
      <c r="B322" s="10"/>
      <c r="C322" s="18" t="str">
        <f t="shared" ref="C322:BZ322" si="18">C1</f>
        <v>ADCURI Basis-Schutz</v>
      </c>
      <c r="D322" s="18" t="str">
        <f t="shared" si="18"/>
        <v>ADCURI Top-Schutz</v>
      </c>
      <c r="E322" s="18" t="str">
        <f t="shared" si="18"/>
        <v>Allianz</v>
      </c>
      <c r="F322" s="18" t="str">
        <f t="shared" si="18"/>
        <v>Allianz inkl. SicherheitPlus</v>
      </c>
      <c r="G322" s="18" t="str">
        <f t="shared" si="18"/>
        <v>Alte Leipziger classic</v>
      </c>
      <c r="H322" s="18" t="str">
        <f t="shared" si="18"/>
        <v>Alte Leipziger comfort</v>
      </c>
      <c r="I322" s="18" t="str">
        <f>I1</f>
        <v>Ammerländer Basic
(2019-02)</v>
      </c>
      <c r="J322" s="18" t="str">
        <f t="shared" si="18"/>
        <v>Ammerländer Classic
(2016-01)</v>
      </c>
      <c r="K322" s="18" t="str">
        <f>K1</f>
        <v>Ammerländer Classic
(2019-02)</v>
      </c>
      <c r="L322" s="18" t="str">
        <f>L1</f>
        <v>Ammerländer Comfort
(2019-02)</v>
      </c>
      <c r="M322" s="18" t="str">
        <f t="shared" si="18"/>
        <v>Ammerländer Comfort
(2016-01)</v>
      </c>
      <c r="N322" s="18" t="str">
        <f>N1</f>
        <v>Ammerländer Economic
(2019-02)</v>
      </c>
      <c r="O322" s="18" t="str">
        <f t="shared" si="18"/>
        <v>Ammerländer Excellent
(2016-01)</v>
      </c>
      <c r="P322" s="18" t="str">
        <f>P1</f>
        <v>Ammerländer Excellent
(2019-02)</v>
      </c>
      <c r="Q322" s="18" t="str">
        <f>Q1</f>
        <v>Ammerländer Excellent
(2020-02)</v>
      </c>
      <c r="R322" s="18" t="str">
        <f>R1</f>
        <v>Ammerländer Exclusiv
(2016-01)</v>
      </c>
      <c r="S322" s="18" t="str">
        <f>S1</f>
        <v>Ammerländer Exclusiv
(2019-02)</v>
      </c>
      <c r="T322" s="18" t="str">
        <f t="shared" si="18"/>
        <v>ARAG Komfort (Wohnfläche)</v>
      </c>
      <c r="U322" s="18" t="str">
        <f t="shared" si="18"/>
        <v>ARAG Premium (Wohnfläche)</v>
      </c>
      <c r="V322" s="18" t="str">
        <f t="shared" si="18"/>
        <v>AXA BOXflex</v>
      </c>
      <c r="W322" s="18" t="str">
        <f t="shared" si="18"/>
        <v>Baden Badener TOP</v>
      </c>
      <c r="X322" s="18" t="str">
        <f t="shared" si="18"/>
        <v>Concordia Sorglos</v>
      </c>
      <c r="Y322" s="18" t="str">
        <f t="shared" si="18"/>
        <v>Debeka Basis</v>
      </c>
      <c r="Z322" s="18" t="str">
        <f t="shared" si="18"/>
        <v>Debeka Standard</v>
      </c>
      <c r="AA322" s="18" t="str">
        <f t="shared" si="18"/>
        <v>Debeka Top</v>
      </c>
      <c r="AB322" s="18" t="str">
        <f t="shared" si="18"/>
        <v>die Bayerische (Komfort)</v>
      </c>
      <c r="AC322" s="18" t="str">
        <f t="shared" si="18"/>
        <v>die Bayerische (Prestige)</v>
      </c>
      <c r="AD322" s="18" t="str">
        <f t="shared" si="18"/>
        <v>die Bayerische (Smart)</v>
      </c>
      <c r="AE322" s="18" t="str">
        <f t="shared" si="18"/>
        <v>Domcura Komfort
(Stand 2014-10)</v>
      </c>
      <c r="AF322" s="18" t="str">
        <f t="shared" si="18"/>
        <v>Domcura Top
(Stand 2014-10)</v>
      </c>
      <c r="AG322" s="18" t="str">
        <f>AG1</f>
        <v>Domcura Standard
(2016-10-01)</v>
      </c>
      <c r="AH322" s="18" t="str">
        <f>AH1</f>
        <v>Domcura Komfort
(2016-10-01)</v>
      </c>
      <c r="AI322" s="18" t="str">
        <f>AI1</f>
        <v>Domcura Top
(2016-10-01)</v>
      </c>
      <c r="AJ322" s="18" t="str">
        <f t="shared" si="18"/>
        <v>ERGO Hausrat Spezial</v>
      </c>
      <c r="AK322" s="18" t="str">
        <f t="shared" si="18"/>
        <v>Generali Basis</v>
      </c>
      <c r="AL322" s="18" t="str">
        <f t="shared" si="18"/>
        <v>Generali KomfortPlus</v>
      </c>
      <c r="AM322" s="18" t="str">
        <f t="shared" si="18"/>
        <v>Gothaer Top</v>
      </c>
      <c r="AN322" s="18" t="str">
        <f t="shared" si="18"/>
        <v>Gothaer Top Plus</v>
      </c>
      <c r="AO322" s="18" t="str">
        <f t="shared" si="18"/>
        <v>HDI Privatschutz</v>
      </c>
      <c r="AP322" s="18" t="str">
        <f t="shared" si="18"/>
        <v>Helvetia Basis</v>
      </c>
      <c r="AQ322" s="18" t="str">
        <f t="shared" si="18"/>
        <v>Helvetia Komfort</v>
      </c>
      <c r="AR322" s="18" t="str">
        <f t="shared" si="18"/>
        <v>HFK Rundumschutz</v>
      </c>
      <c r="AS322" s="18" t="str">
        <f t="shared" si="18"/>
        <v>HKD Einfach Gut</v>
      </c>
      <c r="AT322" s="18" t="str">
        <f t="shared" si="18"/>
        <v>HKD Einfach Besser</v>
      </c>
      <c r="AU322" s="18" t="str">
        <f t="shared" si="18"/>
        <v>HKD Einfach Komplett</v>
      </c>
      <c r="AV322" s="18" t="str">
        <f t="shared" si="18"/>
        <v>HUK Classic</v>
      </c>
      <c r="AW322" s="18" t="str">
        <f t="shared" si="18"/>
        <v>HUK Plus</v>
      </c>
      <c r="AX322" s="18" t="str">
        <f t="shared" si="18"/>
        <v>Ideal Exklusiv</v>
      </c>
      <c r="AY322" s="18" t="str">
        <f t="shared" si="18"/>
        <v>Ideal Klassik</v>
      </c>
      <c r="AZ322" s="18" t="str">
        <f t="shared" si="18"/>
        <v>InterRisk L</v>
      </c>
      <c r="BA322" s="18" t="str">
        <f t="shared" si="18"/>
        <v>InterRisk XL</v>
      </c>
      <c r="BB322" s="18" t="str">
        <f t="shared" si="18"/>
        <v>InterRisk XXL</v>
      </c>
      <c r="BC322" s="18" t="str">
        <f t="shared" si="18"/>
        <v>ITL afm Eurosecure Plus</v>
      </c>
      <c r="BD322" s="18" t="str">
        <f>BD1</f>
        <v>ITL Eurosecure Plus afm
Stand 2013-08</v>
      </c>
      <c r="BE322" s="18" t="str">
        <f t="shared" si="18"/>
        <v>ITL afm Infinitus</v>
      </c>
      <c r="BF322" s="18" t="str">
        <f>BF1</f>
        <v>ITL Infinitus
Stand 2013-08</v>
      </c>
      <c r="BG322" s="18" t="str">
        <f t="shared" si="18"/>
        <v>ITL afm Protect Plus</v>
      </c>
      <c r="BH322" s="18" t="str">
        <f>BH1</f>
        <v>ITL Protect Plus afm
Stand 2013-08</v>
      </c>
      <c r="BI322" s="18" t="str">
        <f>BI1</f>
        <v>ITL Classic
Stand 2013-08</v>
      </c>
      <c r="BJ322" s="18" t="str">
        <f t="shared" si="18"/>
        <v>ITL Classic</v>
      </c>
      <c r="BK322" s="18" t="str">
        <f t="shared" si="18"/>
        <v>Janitos Balance</v>
      </c>
      <c r="BL322" s="18" t="str">
        <f t="shared" si="18"/>
        <v>Janitos Best Selection</v>
      </c>
      <c r="BM322" s="18" t="str">
        <f t="shared" si="18"/>
        <v>Keine</v>
      </c>
      <c r="BN322" s="18" t="str">
        <f t="shared" si="18"/>
        <v>Nürnberger KomplettSchutz</v>
      </c>
      <c r="BO322" s="18" t="str">
        <f t="shared" si="18"/>
        <v>NV Premium. 2.0</v>
      </c>
      <c r="BP322" s="18" t="str">
        <f t="shared" si="18"/>
        <v>Prokundo ExklusivPaket</v>
      </c>
      <c r="BQ322" s="18" t="str">
        <f t="shared" si="18"/>
        <v>Prokundo Komfort</v>
      </c>
      <c r="BR322" s="18" t="str">
        <f t="shared" si="18"/>
        <v>Provinzial Kompakt</v>
      </c>
      <c r="BS322" s="18" t="str">
        <f t="shared" si="18"/>
        <v>Provinzial Rundum inkl. Plus</v>
      </c>
      <c r="BT322" s="18" t="str">
        <f t="shared" si="18"/>
        <v>Provinzial Rundumschutz</v>
      </c>
      <c r="BU322" s="18" t="str">
        <f t="shared" si="18"/>
        <v>R+V PrivatPolice</v>
      </c>
      <c r="BV322" s="18" t="str">
        <f t="shared" si="18"/>
        <v>SLP Prima</v>
      </c>
      <c r="BW322" s="18" t="str">
        <f t="shared" si="18"/>
        <v>SLP Prima Plus</v>
      </c>
      <c r="BX322" s="18" t="str">
        <f t="shared" si="18"/>
        <v>VdVA Classic</v>
      </c>
      <c r="BY322" s="18" t="str">
        <f t="shared" si="18"/>
        <v>VdVA Exclusiv</v>
      </c>
      <c r="BZ322" s="18" t="str">
        <f t="shared" si="18"/>
        <v>VGH Standard</v>
      </c>
      <c r="CA322" s="18" t="str">
        <f>CA1</f>
        <v>VHV Klassik Garant
(Stand 2015-04)</v>
      </c>
      <c r="CB322" s="18" t="str">
        <f>CB1</f>
        <v>VHV Klassik Garant Exkl.
(Stand 2015-04)</v>
      </c>
      <c r="CC322" s="18" t="str">
        <f t="shared" ref="CC322:CF322" si="19">CC1</f>
        <v>VWB Komfort</v>
      </c>
      <c r="CD322" s="18" t="str">
        <f t="shared" si="19"/>
        <v>VWB Komfort Plus</v>
      </c>
      <c r="CE322" s="18" t="str">
        <f t="shared" si="19"/>
        <v>WÜBA Plus</v>
      </c>
      <c r="CF322" s="18" t="str">
        <f t="shared" si="19"/>
        <v>Zurich Maklerkonzept</v>
      </c>
    </row>
    <row r="323" spans="1:84" ht="36">
      <c r="A323" s="90" t="s">
        <v>7134</v>
      </c>
      <c r="B323" s="200"/>
      <c r="C323" s="36" t="s">
        <v>317</v>
      </c>
      <c r="D323" s="36" t="s">
        <v>317</v>
      </c>
      <c r="E323" s="36" t="s">
        <v>2806</v>
      </c>
      <c r="F323" s="36" t="s">
        <v>2806</v>
      </c>
      <c r="G323" s="38" t="s">
        <v>300</v>
      </c>
      <c r="H323" s="38" t="s">
        <v>300</v>
      </c>
      <c r="I323" s="36" t="s">
        <v>8232</v>
      </c>
      <c r="J323" s="36" t="s">
        <v>484</v>
      </c>
      <c r="K323" s="36" t="s">
        <v>8232</v>
      </c>
      <c r="L323" s="36" t="s">
        <v>8232</v>
      </c>
      <c r="M323" s="36" t="s">
        <v>484</v>
      </c>
      <c r="N323" s="36" t="s">
        <v>8232</v>
      </c>
      <c r="O323" s="36" t="s">
        <v>484</v>
      </c>
      <c r="P323" s="36" t="s">
        <v>8232</v>
      </c>
      <c r="Q323" s="36" t="s">
        <v>8232</v>
      </c>
      <c r="R323" s="36" t="s">
        <v>484</v>
      </c>
      <c r="S323" s="36" t="s">
        <v>8232</v>
      </c>
      <c r="T323" s="36" t="s">
        <v>3283</v>
      </c>
      <c r="U323" s="36" t="s">
        <v>3283</v>
      </c>
      <c r="V323" s="73" t="s">
        <v>392</v>
      </c>
      <c r="W323" s="36" t="s">
        <v>4456</v>
      </c>
      <c r="X323" s="36" t="s">
        <v>6500</v>
      </c>
      <c r="Y323" s="7" t="s">
        <v>465</v>
      </c>
      <c r="Z323" s="7" t="s">
        <v>465</v>
      </c>
      <c r="AA323" s="7" t="s">
        <v>465</v>
      </c>
      <c r="AB323" s="36" t="s">
        <v>4795</v>
      </c>
      <c r="AC323" s="36" t="s">
        <v>4795</v>
      </c>
      <c r="AD323" s="36" t="s">
        <v>4795</v>
      </c>
      <c r="AE323" s="7" t="s">
        <v>317</v>
      </c>
      <c r="AF323" s="7" t="s">
        <v>317</v>
      </c>
      <c r="AG323" s="36" t="s">
        <v>7132</v>
      </c>
      <c r="AH323" s="36" t="s">
        <v>7132</v>
      </c>
      <c r="AI323" s="36" t="s">
        <v>7132</v>
      </c>
      <c r="AJ323" s="7" t="s">
        <v>456</v>
      </c>
      <c r="AK323" s="7" t="s">
        <v>416</v>
      </c>
      <c r="AL323" s="7" t="s">
        <v>416</v>
      </c>
      <c r="AM323" s="36" t="s">
        <v>5421</v>
      </c>
      <c r="AN323" s="36" t="s">
        <v>5421</v>
      </c>
      <c r="AO323" s="36" t="s">
        <v>0</v>
      </c>
      <c r="AP323" s="36" t="s">
        <v>2593</v>
      </c>
      <c r="AQ323" s="36" t="s">
        <v>2593</v>
      </c>
      <c r="AR323" s="36" t="s">
        <v>931</v>
      </c>
      <c r="AS323" s="36" t="s">
        <v>300</v>
      </c>
      <c r="AT323" s="36" t="s">
        <v>300</v>
      </c>
      <c r="AU323" s="36" t="s">
        <v>300</v>
      </c>
      <c r="AV323" s="36" t="s">
        <v>881</v>
      </c>
      <c r="AW323" s="36" t="s">
        <v>881</v>
      </c>
      <c r="AX323" s="70" t="s">
        <v>1385</v>
      </c>
      <c r="AY323" s="70" t="s">
        <v>1385</v>
      </c>
      <c r="AZ323" s="38" t="s">
        <v>246</v>
      </c>
      <c r="BA323" s="38" t="s">
        <v>246</v>
      </c>
      <c r="BB323" s="38" t="s">
        <v>246</v>
      </c>
      <c r="BC323" s="38" t="s">
        <v>4974</v>
      </c>
      <c r="BD323" s="38" t="s">
        <v>4974</v>
      </c>
      <c r="BE323" s="38" t="s">
        <v>4974</v>
      </c>
      <c r="BF323" s="38" t="s">
        <v>4974</v>
      </c>
      <c r="BG323" s="36" t="s">
        <v>4975</v>
      </c>
      <c r="BH323" s="36" t="s">
        <v>4975</v>
      </c>
      <c r="BI323" s="36" t="s">
        <v>4975</v>
      </c>
      <c r="BJ323" s="36" t="s">
        <v>4975</v>
      </c>
      <c r="BK323" s="38" t="s">
        <v>344</v>
      </c>
      <c r="BL323" s="36" t="s">
        <v>799</v>
      </c>
      <c r="BM323" s="38" t="s">
        <v>0</v>
      </c>
      <c r="BN323" s="36" t="s">
        <v>3886</v>
      </c>
      <c r="BO323" s="36"/>
      <c r="BP323" s="36" t="s">
        <v>2318</v>
      </c>
      <c r="BQ323" s="36" t="s">
        <v>2318</v>
      </c>
      <c r="BR323" s="36" t="s">
        <v>2730</v>
      </c>
      <c r="BS323" s="36" t="s">
        <v>2730</v>
      </c>
      <c r="BT323" s="36" t="s">
        <v>2730</v>
      </c>
      <c r="BU323" s="36" t="s">
        <v>5070</v>
      </c>
      <c r="BV323" s="36" t="s">
        <v>684</v>
      </c>
      <c r="BW323" s="36" t="s">
        <v>684</v>
      </c>
      <c r="BX323" s="36" t="s">
        <v>3829</v>
      </c>
      <c r="BY323" s="36" t="s">
        <v>3829</v>
      </c>
      <c r="BZ323" s="38" t="s">
        <v>300</v>
      </c>
      <c r="CA323" s="36" t="s">
        <v>231</v>
      </c>
      <c r="CB323" s="36" t="s">
        <v>231</v>
      </c>
      <c r="CC323" s="38" t="s">
        <v>317</v>
      </c>
      <c r="CD323" s="38" t="s">
        <v>317</v>
      </c>
      <c r="CE323" s="36" t="s">
        <v>3267</v>
      </c>
      <c r="CF323" s="36" t="s">
        <v>843</v>
      </c>
    </row>
    <row r="324" spans="1:84" ht="18">
      <c r="A324" s="51" t="s">
        <v>935</v>
      </c>
      <c r="B324" s="51"/>
      <c r="C324" s="52" t="s">
        <v>1442</v>
      </c>
      <c r="D324" s="52" t="s">
        <v>1442</v>
      </c>
      <c r="E324" s="52" t="s">
        <v>2805</v>
      </c>
      <c r="F324" s="52" t="s">
        <v>2805</v>
      </c>
      <c r="G324" s="52"/>
      <c r="H324" s="52"/>
      <c r="I324" s="52" t="s">
        <v>8231</v>
      </c>
      <c r="J324" s="52" t="s">
        <v>5247</v>
      </c>
      <c r="K324" s="52" t="s">
        <v>8360</v>
      </c>
      <c r="L324" s="52" t="s">
        <v>8413</v>
      </c>
      <c r="M324" s="52" t="s">
        <v>5247</v>
      </c>
      <c r="N324" s="52" t="s">
        <v>8309</v>
      </c>
      <c r="O324" s="52" t="s">
        <v>5247</v>
      </c>
      <c r="P324" s="52" t="s">
        <v>8597</v>
      </c>
      <c r="Q324" s="52" t="s">
        <v>8597</v>
      </c>
      <c r="R324" s="52" t="s">
        <v>5247</v>
      </c>
      <c r="S324" s="52" t="s">
        <v>8529</v>
      </c>
      <c r="T324" s="52" t="s">
        <v>1443</v>
      </c>
      <c r="U324" s="52" t="s">
        <v>1443</v>
      </c>
      <c r="V324" s="84"/>
      <c r="W324" s="52" t="s">
        <v>4457</v>
      </c>
      <c r="X324" s="52" t="s">
        <v>6501</v>
      </c>
      <c r="Y324" s="52" t="s">
        <v>2435</v>
      </c>
      <c r="Z324" s="52" t="s">
        <v>2435</v>
      </c>
      <c r="AA324" s="52" t="s">
        <v>2435</v>
      </c>
      <c r="AB324" s="52" t="s">
        <v>4798</v>
      </c>
      <c r="AC324" s="52" t="s">
        <v>4798</v>
      </c>
      <c r="AD324" s="52" t="s">
        <v>4798</v>
      </c>
      <c r="AE324" s="52" t="s">
        <v>1687</v>
      </c>
      <c r="AF324" s="52" t="s">
        <v>1687</v>
      </c>
      <c r="AG324" s="52" t="s">
        <v>7136</v>
      </c>
      <c r="AH324" s="52" t="s">
        <v>7136</v>
      </c>
      <c r="AI324" s="52" t="s">
        <v>7136</v>
      </c>
      <c r="AJ324" s="52" t="s">
        <v>1811</v>
      </c>
      <c r="AK324" s="52" t="s">
        <v>1443</v>
      </c>
      <c r="AL324" s="52" t="s">
        <v>1443</v>
      </c>
      <c r="AM324" s="52" t="s">
        <v>1443</v>
      </c>
      <c r="AN324" s="52" t="s">
        <v>1443</v>
      </c>
      <c r="AO324" s="52" t="s">
        <v>0</v>
      </c>
      <c r="AP324" s="52" t="s">
        <v>1443</v>
      </c>
      <c r="AQ324" s="52" t="s">
        <v>1443</v>
      </c>
      <c r="AR324" s="52"/>
      <c r="AS324" s="52" t="s">
        <v>0</v>
      </c>
      <c r="AT324" s="52" t="s">
        <v>0</v>
      </c>
      <c r="AU324" s="52" t="s">
        <v>0</v>
      </c>
      <c r="AV324" s="52" t="s">
        <v>0</v>
      </c>
      <c r="AW324" s="52" t="s">
        <v>0</v>
      </c>
      <c r="AX324" s="52" t="s">
        <v>5059</v>
      </c>
      <c r="AY324" s="52" t="s">
        <v>5059</v>
      </c>
      <c r="AZ324" s="52" t="s">
        <v>3565</v>
      </c>
      <c r="BA324" s="52" t="s">
        <v>3565</v>
      </c>
      <c r="BB324" s="52" t="s">
        <v>3565</v>
      </c>
      <c r="BC324" s="52" t="s">
        <v>4568</v>
      </c>
      <c r="BD324" s="52" t="s">
        <v>7782</v>
      </c>
      <c r="BE324" s="52" t="s">
        <v>4568</v>
      </c>
      <c r="BF324" s="52" t="s">
        <v>7782</v>
      </c>
      <c r="BG324" s="52" t="s">
        <v>4568</v>
      </c>
      <c r="BH324" s="52" t="s">
        <v>4568</v>
      </c>
      <c r="BI324" s="52" t="s">
        <v>7782</v>
      </c>
      <c r="BJ324" s="52" t="s">
        <v>4568</v>
      </c>
      <c r="BK324" s="52"/>
      <c r="BL324" s="52"/>
      <c r="BM324" s="52" t="s">
        <v>0</v>
      </c>
      <c r="BN324" s="52" t="s">
        <v>3887</v>
      </c>
      <c r="BO324" s="52"/>
      <c r="BP324" s="52" t="s">
        <v>1031</v>
      </c>
      <c r="BQ324" s="52" t="s">
        <v>1031</v>
      </c>
      <c r="BR324" s="52" t="s">
        <v>2729</v>
      </c>
      <c r="BS324" s="52" t="s">
        <v>2729</v>
      </c>
      <c r="BT324" s="52" t="s">
        <v>2729</v>
      </c>
      <c r="BU324" s="84" t="s">
        <v>5069</v>
      </c>
      <c r="BV324" s="84"/>
      <c r="BW324" s="52"/>
      <c r="BX324" s="52" t="s">
        <v>3828</v>
      </c>
      <c r="BY324" s="52" t="s">
        <v>3828</v>
      </c>
      <c r="BZ324" s="52"/>
      <c r="CA324" s="52" t="s">
        <v>0</v>
      </c>
      <c r="CB324" s="52" t="s">
        <v>0</v>
      </c>
      <c r="CC324" s="52"/>
      <c r="CD324" s="52"/>
      <c r="CE324" s="84" t="s">
        <v>6287</v>
      </c>
      <c r="CF324" s="52" t="s">
        <v>0</v>
      </c>
    </row>
    <row r="325" spans="1:84">
      <c r="A325" s="192"/>
      <c r="B325" s="196"/>
      <c r="C325" s="193"/>
      <c r="D325" s="193"/>
      <c r="E325" s="193"/>
      <c r="F325" s="193"/>
      <c r="G325" s="193"/>
      <c r="H325" s="193"/>
      <c r="I325" s="193"/>
      <c r="J325" s="193"/>
      <c r="K325" s="193"/>
      <c r="L325" s="193"/>
      <c r="M325" s="193"/>
      <c r="N325" s="193"/>
      <c r="O325" s="193"/>
      <c r="P325" s="193"/>
      <c r="Q325" s="193"/>
      <c r="R325" s="193"/>
      <c r="S325" s="193"/>
      <c r="T325" s="193"/>
      <c r="U325" s="193"/>
      <c r="V325" s="157"/>
      <c r="W325" s="193"/>
      <c r="X325" s="193"/>
      <c r="Y325" s="193"/>
      <c r="Z325" s="193"/>
      <c r="AA325" s="193"/>
      <c r="AB325" s="193"/>
      <c r="AC325" s="193"/>
      <c r="AD325" s="193"/>
      <c r="AE325" s="193"/>
      <c r="AF325" s="193"/>
      <c r="AG325" s="193"/>
      <c r="AH325" s="193"/>
      <c r="AI325" s="193"/>
      <c r="AJ325" s="193"/>
      <c r="AK325" s="193"/>
      <c r="AL325" s="193"/>
      <c r="AM325" s="193"/>
      <c r="AN325" s="193"/>
      <c r="AO325" s="193"/>
      <c r="AP325" s="193"/>
      <c r="AQ325" s="193"/>
      <c r="AR325" s="193"/>
      <c r="AS325" s="193"/>
      <c r="AT325" s="193"/>
      <c r="AU325" s="193"/>
      <c r="AV325" s="193"/>
      <c r="AW325" s="193"/>
      <c r="AX325" s="193"/>
      <c r="AY325" s="193"/>
      <c r="AZ325" s="193"/>
      <c r="BA325" s="193"/>
      <c r="BB325" s="193"/>
      <c r="BC325" s="193"/>
      <c r="BD325" s="193"/>
      <c r="BE325" s="193"/>
      <c r="BF325" s="193"/>
      <c r="BG325" s="193"/>
      <c r="BH325" s="193"/>
      <c r="BI325" s="193"/>
      <c r="BJ325" s="193"/>
      <c r="BK325" s="193"/>
      <c r="BL325" s="193"/>
      <c r="BM325" s="193"/>
      <c r="BN325" s="193"/>
      <c r="BO325" s="193"/>
      <c r="BP325" s="193"/>
      <c r="BQ325" s="193"/>
      <c r="BR325" s="193"/>
      <c r="BS325" s="193"/>
      <c r="BT325" s="193"/>
      <c r="BU325" s="157"/>
      <c r="BV325" s="157"/>
      <c r="BW325" s="193"/>
      <c r="BX325" s="193"/>
      <c r="BY325" s="193"/>
      <c r="BZ325" s="193"/>
      <c r="CA325" s="193"/>
      <c r="CB325" s="193"/>
      <c r="CC325" s="193"/>
      <c r="CD325" s="193"/>
      <c r="CE325" s="157"/>
      <c r="CF325" s="193"/>
    </row>
    <row r="326" spans="1:84" ht="18">
      <c r="A326" s="194" t="s">
        <v>6709</v>
      </c>
      <c r="B326" s="194"/>
      <c r="C326" s="18" t="str">
        <f t="shared" ref="C326:BZ326" si="20">C1</f>
        <v>ADCURI Basis-Schutz</v>
      </c>
      <c r="D326" s="18" t="str">
        <f t="shared" si="20"/>
        <v>ADCURI Top-Schutz</v>
      </c>
      <c r="E326" s="18" t="str">
        <f t="shared" si="20"/>
        <v>Allianz</v>
      </c>
      <c r="F326" s="18" t="str">
        <f t="shared" si="20"/>
        <v>Allianz inkl. SicherheitPlus</v>
      </c>
      <c r="G326" s="18" t="str">
        <f t="shared" si="20"/>
        <v>Alte Leipziger classic</v>
      </c>
      <c r="H326" s="18" t="str">
        <f t="shared" si="20"/>
        <v>Alte Leipziger comfort</v>
      </c>
      <c r="I326" s="18" t="str">
        <f>I1</f>
        <v>Ammerländer Basic
(2019-02)</v>
      </c>
      <c r="J326" s="18" t="str">
        <f t="shared" si="20"/>
        <v>Ammerländer Classic
(2016-01)</v>
      </c>
      <c r="K326" s="18" t="str">
        <f>K1</f>
        <v>Ammerländer Classic
(2019-02)</v>
      </c>
      <c r="L326" s="18" t="str">
        <f>L1</f>
        <v>Ammerländer Comfort
(2019-02)</v>
      </c>
      <c r="M326" s="18" t="str">
        <f t="shared" si="20"/>
        <v>Ammerländer Comfort
(2016-01)</v>
      </c>
      <c r="N326" s="18" t="str">
        <f>N1</f>
        <v>Ammerländer Economic
(2019-02)</v>
      </c>
      <c r="O326" s="18" t="str">
        <f t="shared" si="20"/>
        <v>Ammerländer Excellent
(2016-01)</v>
      </c>
      <c r="P326" s="18" t="str">
        <f>P1</f>
        <v>Ammerländer Excellent
(2019-02)</v>
      </c>
      <c r="Q326" s="18" t="str">
        <f>Q1</f>
        <v>Ammerländer Excellent
(2020-02)</v>
      </c>
      <c r="R326" s="18" t="str">
        <f>R1</f>
        <v>Ammerländer Exclusiv
(2016-01)</v>
      </c>
      <c r="S326" s="18" t="str">
        <f>S1</f>
        <v>Ammerländer Exclusiv
(2019-02)</v>
      </c>
      <c r="T326" s="18" t="str">
        <f t="shared" si="20"/>
        <v>ARAG Komfort (Wohnfläche)</v>
      </c>
      <c r="U326" s="18" t="str">
        <f t="shared" si="20"/>
        <v>ARAG Premium (Wohnfläche)</v>
      </c>
      <c r="V326" s="18" t="str">
        <f t="shared" si="20"/>
        <v>AXA BOXflex</v>
      </c>
      <c r="W326" s="18" t="str">
        <f t="shared" si="20"/>
        <v>Baden Badener TOP</v>
      </c>
      <c r="X326" s="18" t="str">
        <f t="shared" si="20"/>
        <v>Concordia Sorglos</v>
      </c>
      <c r="Y326" s="18" t="str">
        <f t="shared" si="20"/>
        <v>Debeka Basis</v>
      </c>
      <c r="Z326" s="18" t="str">
        <f t="shared" si="20"/>
        <v>Debeka Standard</v>
      </c>
      <c r="AA326" s="18" t="str">
        <f t="shared" si="20"/>
        <v>Debeka Top</v>
      </c>
      <c r="AB326" s="18" t="str">
        <f t="shared" si="20"/>
        <v>die Bayerische (Komfort)</v>
      </c>
      <c r="AC326" s="18" t="str">
        <f t="shared" si="20"/>
        <v>die Bayerische (Prestige)</v>
      </c>
      <c r="AD326" s="18" t="str">
        <f t="shared" si="20"/>
        <v>die Bayerische (Smart)</v>
      </c>
      <c r="AE326" s="18" t="str">
        <f t="shared" si="20"/>
        <v>Domcura Komfort
(Stand 2014-10)</v>
      </c>
      <c r="AF326" s="18" t="str">
        <f t="shared" si="20"/>
        <v>Domcura Top
(Stand 2014-10)</v>
      </c>
      <c r="AG326" s="18" t="str">
        <f>AG1</f>
        <v>Domcura Standard
(2016-10-01)</v>
      </c>
      <c r="AH326" s="18" t="str">
        <f>AH1</f>
        <v>Domcura Komfort
(2016-10-01)</v>
      </c>
      <c r="AI326" s="18" t="str">
        <f>AI1</f>
        <v>Domcura Top
(2016-10-01)</v>
      </c>
      <c r="AJ326" s="18" t="str">
        <f t="shared" si="20"/>
        <v>ERGO Hausrat Spezial</v>
      </c>
      <c r="AK326" s="18" t="str">
        <f t="shared" si="20"/>
        <v>Generali Basis</v>
      </c>
      <c r="AL326" s="18" t="str">
        <f t="shared" si="20"/>
        <v>Generali KomfortPlus</v>
      </c>
      <c r="AM326" s="18" t="str">
        <f t="shared" si="20"/>
        <v>Gothaer Top</v>
      </c>
      <c r="AN326" s="18" t="str">
        <f t="shared" si="20"/>
        <v>Gothaer Top Plus</v>
      </c>
      <c r="AO326" s="18" t="str">
        <f t="shared" si="20"/>
        <v>HDI Privatschutz</v>
      </c>
      <c r="AP326" s="18" t="str">
        <f t="shared" si="20"/>
        <v>Helvetia Basis</v>
      </c>
      <c r="AQ326" s="18" t="str">
        <f t="shared" si="20"/>
        <v>Helvetia Komfort</v>
      </c>
      <c r="AR326" s="18" t="str">
        <f t="shared" si="20"/>
        <v>HFK Rundumschutz</v>
      </c>
      <c r="AS326" s="18" t="str">
        <f t="shared" si="20"/>
        <v>HKD Einfach Gut</v>
      </c>
      <c r="AT326" s="18" t="str">
        <f t="shared" si="20"/>
        <v>HKD Einfach Besser</v>
      </c>
      <c r="AU326" s="18" t="str">
        <f t="shared" si="20"/>
        <v>HKD Einfach Komplett</v>
      </c>
      <c r="AV326" s="18" t="str">
        <f t="shared" si="20"/>
        <v>HUK Classic</v>
      </c>
      <c r="AW326" s="18" t="str">
        <f t="shared" si="20"/>
        <v>HUK Plus</v>
      </c>
      <c r="AX326" s="18" t="str">
        <f t="shared" si="20"/>
        <v>Ideal Exklusiv</v>
      </c>
      <c r="AY326" s="18" t="str">
        <f t="shared" si="20"/>
        <v>Ideal Klassik</v>
      </c>
      <c r="AZ326" s="18" t="str">
        <f t="shared" si="20"/>
        <v>InterRisk L</v>
      </c>
      <c r="BA326" s="18" t="str">
        <f t="shared" si="20"/>
        <v>InterRisk XL</v>
      </c>
      <c r="BB326" s="18" t="str">
        <f t="shared" si="20"/>
        <v>InterRisk XXL</v>
      </c>
      <c r="BC326" s="18" t="str">
        <f t="shared" si="20"/>
        <v>ITL afm Eurosecure Plus</v>
      </c>
      <c r="BD326" s="18" t="str">
        <f>BD1</f>
        <v>ITL Eurosecure Plus afm
Stand 2013-08</v>
      </c>
      <c r="BE326" s="18" t="str">
        <f t="shared" si="20"/>
        <v>ITL afm Infinitus</v>
      </c>
      <c r="BF326" s="18" t="str">
        <f>BF1</f>
        <v>ITL Infinitus
Stand 2013-08</v>
      </c>
      <c r="BG326" s="18" t="str">
        <f t="shared" si="20"/>
        <v>ITL afm Protect Plus</v>
      </c>
      <c r="BH326" s="18" t="str">
        <f>BH1</f>
        <v>ITL Protect Plus afm
Stand 2013-08</v>
      </c>
      <c r="BI326" s="18" t="str">
        <f>BI1</f>
        <v>ITL Classic
Stand 2013-08</v>
      </c>
      <c r="BJ326" s="18" t="str">
        <f t="shared" si="20"/>
        <v>ITL Classic</v>
      </c>
      <c r="BK326" s="18" t="str">
        <f t="shared" si="20"/>
        <v>Janitos Balance</v>
      </c>
      <c r="BL326" s="18" t="str">
        <f t="shared" si="20"/>
        <v>Janitos Best Selection</v>
      </c>
      <c r="BM326" s="18" t="str">
        <f t="shared" si="20"/>
        <v>Keine</v>
      </c>
      <c r="BN326" s="18" t="str">
        <f t="shared" si="20"/>
        <v>Nürnberger KomplettSchutz</v>
      </c>
      <c r="BO326" s="18" t="str">
        <f t="shared" si="20"/>
        <v>NV Premium. 2.0</v>
      </c>
      <c r="BP326" s="18" t="str">
        <f t="shared" si="20"/>
        <v>Prokundo ExklusivPaket</v>
      </c>
      <c r="BQ326" s="18" t="str">
        <f t="shared" si="20"/>
        <v>Prokundo Komfort</v>
      </c>
      <c r="BR326" s="18" t="str">
        <f t="shared" si="20"/>
        <v>Provinzial Kompakt</v>
      </c>
      <c r="BS326" s="18" t="str">
        <f t="shared" si="20"/>
        <v>Provinzial Rundum inkl. Plus</v>
      </c>
      <c r="BT326" s="18" t="str">
        <f t="shared" si="20"/>
        <v>Provinzial Rundumschutz</v>
      </c>
      <c r="BU326" s="18" t="str">
        <f t="shared" si="20"/>
        <v>R+V PrivatPolice</v>
      </c>
      <c r="BV326" s="18" t="str">
        <f t="shared" si="20"/>
        <v>SLP Prima</v>
      </c>
      <c r="BW326" s="18" t="str">
        <f t="shared" si="20"/>
        <v>SLP Prima Plus</v>
      </c>
      <c r="BX326" s="18" t="str">
        <f t="shared" si="20"/>
        <v>VdVA Classic</v>
      </c>
      <c r="BY326" s="18" t="str">
        <f t="shared" si="20"/>
        <v>VdVA Exclusiv</v>
      </c>
      <c r="BZ326" s="18" t="str">
        <f t="shared" si="20"/>
        <v>VGH Standard</v>
      </c>
      <c r="CA326" s="18" t="str">
        <f>CA1</f>
        <v>VHV Klassik Garant
(Stand 2015-04)</v>
      </c>
      <c r="CB326" s="18" t="str">
        <f>CB1</f>
        <v>VHV Klassik Garant Exkl.
(Stand 2015-04)</v>
      </c>
      <c r="CC326" s="18" t="str">
        <f t="shared" ref="CC326:CF326" si="21">CC1</f>
        <v>VWB Komfort</v>
      </c>
      <c r="CD326" s="18" t="str">
        <f t="shared" si="21"/>
        <v>VWB Komfort Plus</v>
      </c>
      <c r="CE326" s="254" t="str">
        <f t="shared" si="21"/>
        <v>WÜBA Plus</v>
      </c>
      <c r="CF326" s="255" t="str">
        <f t="shared" si="21"/>
        <v>Zurich Maklerkonzept</v>
      </c>
    </row>
    <row r="327" spans="1:84" ht="36">
      <c r="A327" s="181" t="s">
        <v>8706</v>
      </c>
      <c r="B327" s="200" t="s">
        <v>6973</v>
      </c>
      <c r="C327" s="214" t="s">
        <v>4825</v>
      </c>
      <c r="D327" s="214" t="s">
        <v>4825</v>
      </c>
      <c r="E327" s="214" t="s">
        <v>56</v>
      </c>
      <c r="F327" s="214" t="s">
        <v>56</v>
      </c>
      <c r="G327" s="214" t="s">
        <v>56</v>
      </c>
      <c r="H327" s="214" t="s">
        <v>56</v>
      </c>
      <c r="I327" s="36" t="s">
        <v>8707</v>
      </c>
      <c r="J327" s="214" t="s">
        <v>56</v>
      </c>
      <c r="K327" s="36" t="s">
        <v>8707</v>
      </c>
      <c r="L327" s="36" t="s">
        <v>8932</v>
      </c>
      <c r="M327" s="214" t="s">
        <v>56</v>
      </c>
      <c r="N327" s="36" t="s">
        <v>8707</v>
      </c>
      <c r="O327" s="214" t="s">
        <v>56</v>
      </c>
      <c r="P327" s="36" t="s">
        <v>8931</v>
      </c>
      <c r="Q327" s="36" t="s">
        <v>8931</v>
      </c>
      <c r="R327" s="214" t="s">
        <v>56</v>
      </c>
      <c r="S327" s="36" t="s">
        <v>8932</v>
      </c>
      <c r="T327" s="214" t="s">
        <v>56</v>
      </c>
      <c r="U327" s="214" t="s">
        <v>56</v>
      </c>
      <c r="V327" s="217" t="s">
        <v>5724</v>
      </c>
      <c r="W327" s="213" t="s">
        <v>56</v>
      </c>
      <c r="X327" s="213" t="s">
        <v>56</v>
      </c>
      <c r="Y327" s="213" t="s">
        <v>56</v>
      </c>
      <c r="Z327" s="213" t="s">
        <v>56</v>
      </c>
      <c r="AA327" s="213" t="s">
        <v>56</v>
      </c>
      <c r="AB327" s="214" t="s">
        <v>56</v>
      </c>
      <c r="AC327" s="214" t="s">
        <v>56</v>
      </c>
      <c r="AD327" s="214" t="s">
        <v>56</v>
      </c>
      <c r="AE327" s="213" t="s">
        <v>56</v>
      </c>
      <c r="AF327" s="213" t="s">
        <v>56</v>
      </c>
      <c r="AG327" s="116" t="s">
        <v>57</v>
      </c>
      <c r="AH327" s="116" t="s">
        <v>57</v>
      </c>
      <c r="AI327" s="116" t="s">
        <v>57</v>
      </c>
      <c r="AJ327" s="213" t="s">
        <v>56</v>
      </c>
      <c r="AK327" s="213" t="s">
        <v>56</v>
      </c>
      <c r="AL327" s="213" t="s">
        <v>56</v>
      </c>
      <c r="AM327" s="214" t="s">
        <v>56</v>
      </c>
      <c r="AN327" s="214" t="s">
        <v>56</v>
      </c>
      <c r="AO327" s="212" t="s">
        <v>4217</v>
      </c>
      <c r="AP327" s="214" t="s">
        <v>56</v>
      </c>
      <c r="AQ327" s="214" t="s">
        <v>56</v>
      </c>
      <c r="AR327" s="214" t="s">
        <v>56</v>
      </c>
      <c r="AS327" s="214" t="s">
        <v>56</v>
      </c>
      <c r="AT327" s="214" t="s">
        <v>56</v>
      </c>
      <c r="AU327" s="214" t="s">
        <v>56</v>
      </c>
      <c r="AV327" s="214" t="s">
        <v>56</v>
      </c>
      <c r="AW327" s="214" t="s">
        <v>56</v>
      </c>
      <c r="AX327" s="214" t="s">
        <v>56</v>
      </c>
      <c r="AY327" s="214" t="s">
        <v>56</v>
      </c>
      <c r="AZ327" s="214" t="s">
        <v>56</v>
      </c>
      <c r="BA327" s="214" t="s">
        <v>56</v>
      </c>
      <c r="BB327" s="214" t="s">
        <v>56</v>
      </c>
      <c r="BC327" s="214" t="s">
        <v>56</v>
      </c>
      <c r="BD327" s="116" t="s">
        <v>57</v>
      </c>
      <c r="BE327" s="214" t="s">
        <v>4912</v>
      </c>
      <c r="BF327" s="116" t="s">
        <v>8705</v>
      </c>
      <c r="BG327" s="214" t="s">
        <v>56</v>
      </c>
      <c r="BH327" s="116" t="s">
        <v>57</v>
      </c>
      <c r="BI327" s="116" t="s">
        <v>57</v>
      </c>
      <c r="BJ327" s="212" t="s">
        <v>5003</v>
      </c>
      <c r="BK327" s="214" t="s">
        <v>56</v>
      </c>
      <c r="BL327" s="214" t="s">
        <v>56</v>
      </c>
      <c r="BM327" s="214" t="s">
        <v>0</v>
      </c>
      <c r="BN327" s="212" t="s">
        <v>3888</v>
      </c>
      <c r="BO327" s="212"/>
      <c r="BP327" s="214" t="s">
        <v>56</v>
      </c>
      <c r="BQ327" s="214" t="s">
        <v>56</v>
      </c>
      <c r="BR327" s="214" t="s">
        <v>2629</v>
      </c>
      <c r="BS327" s="214" t="s">
        <v>56</v>
      </c>
      <c r="BT327" s="214" t="s">
        <v>56</v>
      </c>
      <c r="BU327" s="212" t="s">
        <v>5080</v>
      </c>
      <c r="BV327" s="212" t="s">
        <v>56</v>
      </c>
      <c r="BW327" s="214" t="s">
        <v>56</v>
      </c>
      <c r="BX327" s="212" t="s">
        <v>56</v>
      </c>
      <c r="BY327" s="212" t="s">
        <v>56</v>
      </c>
      <c r="BZ327" s="212" t="s">
        <v>6188</v>
      </c>
      <c r="CA327" s="214" t="s">
        <v>56</v>
      </c>
      <c r="CB327" s="214" t="s">
        <v>56</v>
      </c>
      <c r="CC327" s="214" t="s">
        <v>56</v>
      </c>
      <c r="CD327" s="214" t="s">
        <v>56</v>
      </c>
      <c r="CE327" s="214" t="s">
        <v>56</v>
      </c>
      <c r="CF327" s="214" t="s">
        <v>56</v>
      </c>
    </row>
    <row r="328" spans="1:84" ht="18">
      <c r="A328" s="51" t="s">
        <v>935</v>
      </c>
      <c r="B328" s="51"/>
      <c r="C328" s="52" t="s">
        <v>2473</v>
      </c>
      <c r="D328" s="52" t="s">
        <v>2473</v>
      </c>
      <c r="E328" s="52" t="s">
        <v>1442</v>
      </c>
      <c r="F328" s="52" t="s">
        <v>1442</v>
      </c>
      <c r="G328" s="52" t="s">
        <v>5499</v>
      </c>
      <c r="H328" s="52" t="s">
        <v>5500</v>
      </c>
      <c r="I328" s="52" t="s">
        <v>8700</v>
      </c>
      <c r="J328" s="52" t="s">
        <v>1442</v>
      </c>
      <c r="K328" s="52" t="s">
        <v>8700</v>
      </c>
      <c r="L328" s="186" t="s">
        <v>8702</v>
      </c>
      <c r="M328" s="52" t="s">
        <v>1442</v>
      </c>
      <c r="N328" s="52" t="s">
        <v>8700</v>
      </c>
      <c r="O328" s="52" t="s">
        <v>1442</v>
      </c>
      <c r="P328" s="186" t="s">
        <v>8704</v>
      </c>
      <c r="Q328" s="186" t="s">
        <v>8704</v>
      </c>
      <c r="R328" s="52" t="s">
        <v>1442</v>
      </c>
      <c r="S328" s="186" t="s">
        <v>8703</v>
      </c>
      <c r="T328" s="52" t="s">
        <v>5579</v>
      </c>
      <c r="U328" s="52" t="s">
        <v>5579</v>
      </c>
      <c r="V328" s="84"/>
      <c r="W328" s="52" t="s">
        <v>4410</v>
      </c>
      <c r="X328" s="52"/>
      <c r="Y328" s="52" t="s">
        <v>1025</v>
      </c>
      <c r="Z328" s="52" t="s">
        <v>1025</v>
      </c>
      <c r="AA328" s="52" t="s">
        <v>1025</v>
      </c>
      <c r="AB328" s="52" t="s">
        <v>4688</v>
      </c>
      <c r="AC328" s="52" t="s">
        <v>4688</v>
      </c>
      <c r="AD328" s="52" t="s">
        <v>4688</v>
      </c>
      <c r="AE328" s="52" t="s">
        <v>1687</v>
      </c>
      <c r="AF328" s="52" t="s">
        <v>1687</v>
      </c>
      <c r="AG328" s="52" t="s">
        <v>7092</v>
      </c>
      <c r="AH328" s="52" t="s">
        <v>7092</v>
      </c>
      <c r="AI328" s="52" t="s">
        <v>7092</v>
      </c>
      <c r="AJ328" s="52" t="s">
        <v>1443</v>
      </c>
      <c r="AK328" s="52" t="s">
        <v>1443</v>
      </c>
      <c r="AL328" s="52" t="s">
        <v>1443</v>
      </c>
      <c r="AM328" s="52" t="s">
        <v>1443</v>
      </c>
      <c r="AN328" s="52" t="s">
        <v>1443</v>
      </c>
      <c r="AO328" s="52" t="s">
        <v>4287</v>
      </c>
      <c r="AP328" s="52" t="s">
        <v>1443</v>
      </c>
      <c r="AQ328" s="52" t="s">
        <v>1443</v>
      </c>
      <c r="AR328" s="52"/>
      <c r="AS328" s="52" t="s">
        <v>1965</v>
      </c>
      <c r="AT328" s="52" t="s">
        <v>1965</v>
      </c>
      <c r="AU328" s="52" t="s">
        <v>1965</v>
      </c>
      <c r="AV328" s="52" t="s">
        <v>4343</v>
      </c>
      <c r="AW328" s="52" t="s">
        <v>4343</v>
      </c>
      <c r="AX328" s="52" t="s">
        <v>1355</v>
      </c>
      <c r="AY328" s="52" t="s">
        <v>1355</v>
      </c>
      <c r="AZ328" s="52" t="s">
        <v>1443</v>
      </c>
      <c r="BA328" s="52" t="s">
        <v>1443</v>
      </c>
      <c r="BB328" s="52" t="s">
        <v>1443</v>
      </c>
      <c r="BC328" s="52" t="s">
        <v>4568</v>
      </c>
      <c r="BD328" s="52" t="s">
        <v>7858</v>
      </c>
      <c r="BE328" s="52" t="s">
        <v>4944</v>
      </c>
      <c r="BF328" s="52" t="s">
        <v>7773</v>
      </c>
      <c r="BG328" s="52" t="s">
        <v>4568</v>
      </c>
      <c r="BH328" s="52" t="s">
        <v>7858</v>
      </c>
      <c r="BI328" s="52" t="s">
        <v>7858</v>
      </c>
      <c r="BJ328" s="52" t="s">
        <v>4568</v>
      </c>
      <c r="BK328" s="52"/>
      <c r="BL328" s="52"/>
      <c r="BM328" s="52" t="s">
        <v>0</v>
      </c>
      <c r="BN328" s="52" t="s">
        <v>3889</v>
      </c>
      <c r="BO328" s="52"/>
      <c r="BP328" s="52" t="s">
        <v>1442</v>
      </c>
      <c r="BQ328" s="52" t="s">
        <v>1442</v>
      </c>
      <c r="BR328" s="52" t="s">
        <v>1025</v>
      </c>
      <c r="BS328" s="52" t="s">
        <v>2713</v>
      </c>
      <c r="BT328" s="52" t="s">
        <v>2713</v>
      </c>
      <c r="BU328" s="84" t="s">
        <v>5081</v>
      </c>
      <c r="BV328" s="84"/>
      <c r="BW328" s="52"/>
      <c r="BX328" s="52" t="s">
        <v>3804</v>
      </c>
      <c r="BY328" s="52" t="s">
        <v>3804</v>
      </c>
      <c r="BZ328" s="52" t="s">
        <v>6189</v>
      </c>
      <c r="CA328" s="52" t="s">
        <v>1442</v>
      </c>
      <c r="CB328" s="52" t="s">
        <v>1442</v>
      </c>
      <c r="CC328" s="52"/>
      <c r="CD328" s="52"/>
      <c r="CE328" s="52" t="s">
        <v>1442</v>
      </c>
      <c r="CF328" s="52" t="s">
        <v>1442</v>
      </c>
    </row>
    <row r="329" spans="1:84" ht="27">
      <c r="A329" s="62" t="s">
        <v>8914</v>
      </c>
      <c r="B329" s="200" t="s">
        <v>8904</v>
      </c>
      <c r="C329" s="82"/>
      <c r="D329" s="220" t="s">
        <v>6523</v>
      </c>
      <c r="E329" s="220" t="s">
        <v>6523</v>
      </c>
      <c r="F329" s="220" t="s">
        <v>6523</v>
      </c>
      <c r="G329" s="220" t="s">
        <v>6523</v>
      </c>
      <c r="H329" s="221" t="s">
        <v>5724</v>
      </c>
      <c r="I329" s="116" t="s">
        <v>57</v>
      </c>
      <c r="J329" s="221" t="s">
        <v>5724</v>
      </c>
      <c r="K329" s="116" t="s">
        <v>57</v>
      </c>
      <c r="L329" s="116" t="s">
        <v>8457</v>
      </c>
      <c r="M329" s="220" t="s">
        <v>6523</v>
      </c>
      <c r="N329" s="116" t="s">
        <v>57</v>
      </c>
      <c r="O329" s="220" t="s">
        <v>6523</v>
      </c>
      <c r="P329" s="116" t="s">
        <v>8457</v>
      </c>
      <c r="Q329" s="116" t="s">
        <v>8457</v>
      </c>
      <c r="R329" s="220" t="s">
        <v>0</v>
      </c>
      <c r="S329" s="116" t="s">
        <v>8457</v>
      </c>
      <c r="T329" s="220" t="s">
        <v>6523</v>
      </c>
      <c r="U329" s="220" t="s">
        <v>6523</v>
      </c>
      <c r="V329" s="220" t="s">
        <v>6524</v>
      </c>
      <c r="W329" s="220" t="s">
        <v>6524</v>
      </c>
      <c r="X329" s="220" t="s">
        <v>6524</v>
      </c>
      <c r="Y329" s="220" t="s">
        <v>6523</v>
      </c>
      <c r="Z329" s="222" t="s">
        <v>57</v>
      </c>
      <c r="AA329" s="220" t="s">
        <v>6523</v>
      </c>
      <c r="AB329" s="220" t="s">
        <v>6523</v>
      </c>
      <c r="AC329" s="220" t="s">
        <v>6523</v>
      </c>
      <c r="AD329" s="220" t="s">
        <v>6523</v>
      </c>
      <c r="AE329" s="220" t="s">
        <v>6523</v>
      </c>
      <c r="AF329" s="220" t="s">
        <v>6523</v>
      </c>
      <c r="AG329" s="116" t="s">
        <v>0</v>
      </c>
      <c r="AH329" s="116" t="s">
        <v>0</v>
      </c>
      <c r="AI329" s="116" t="s">
        <v>0</v>
      </c>
      <c r="AJ329" s="220" t="s">
        <v>6523</v>
      </c>
      <c r="AK329" s="220" t="s">
        <v>6523</v>
      </c>
      <c r="AL329" s="220" t="s">
        <v>6525</v>
      </c>
      <c r="AM329" s="220" t="s">
        <v>6523</v>
      </c>
      <c r="AN329" s="220" t="s">
        <v>6523</v>
      </c>
      <c r="AO329" s="220" t="s">
        <v>6523</v>
      </c>
      <c r="AP329" s="220" t="s">
        <v>57</v>
      </c>
      <c r="AQ329" s="220" t="s">
        <v>6523</v>
      </c>
      <c r="AR329" s="220" t="s">
        <v>6523</v>
      </c>
      <c r="AS329" s="220" t="s">
        <v>6523</v>
      </c>
      <c r="AT329" s="220" t="s">
        <v>6523</v>
      </c>
      <c r="AU329" s="220" t="s">
        <v>6523</v>
      </c>
      <c r="AV329" s="220" t="s">
        <v>6523</v>
      </c>
      <c r="AW329" s="220" t="s">
        <v>6523</v>
      </c>
      <c r="AX329" s="220" t="s">
        <v>6523</v>
      </c>
      <c r="AY329" s="220" t="s">
        <v>6523</v>
      </c>
      <c r="AZ329" s="220" t="s">
        <v>6523</v>
      </c>
      <c r="BA329" s="220" t="s">
        <v>6523</v>
      </c>
      <c r="BB329" s="113" t="s">
        <v>0</v>
      </c>
      <c r="BC329" s="220" t="s">
        <v>6523</v>
      </c>
      <c r="BD329" s="116" t="s">
        <v>57</v>
      </c>
      <c r="BE329" s="220" t="s">
        <v>6526</v>
      </c>
      <c r="BF329" s="116" t="s">
        <v>57</v>
      </c>
      <c r="BG329" s="220" t="s">
        <v>6526</v>
      </c>
      <c r="BH329" s="116" t="s">
        <v>57</v>
      </c>
      <c r="BI329" s="116" t="s">
        <v>57</v>
      </c>
      <c r="BJ329" s="220" t="s">
        <v>6523</v>
      </c>
      <c r="BK329" s="220" t="s">
        <v>2910</v>
      </c>
      <c r="BL329" s="220" t="s">
        <v>6523</v>
      </c>
      <c r="BM329" s="220" t="s">
        <v>6523</v>
      </c>
      <c r="BN329" s="220" t="s">
        <v>6523</v>
      </c>
      <c r="BO329" s="220" t="s">
        <v>6527</v>
      </c>
      <c r="BP329" s="220" t="s">
        <v>6523</v>
      </c>
      <c r="BQ329" s="220" t="s">
        <v>6523</v>
      </c>
      <c r="BR329" s="220" t="s">
        <v>6523</v>
      </c>
      <c r="BS329" s="114" t="s">
        <v>6528</v>
      </c>
      <c r="BT329" s="114" t="s">
        <v>6528</v>
      </c>
      <c r="BU329" s="220" t="s">
        <v>6523</v>
      </c>
      <c r="BV329" s="231"/>
      <c r="BW329" s="231"/>
      <c r="BX329" s="231"/>
      <c r="BY329" s="231"/>
      <c r="BZ329" s="231"/>
      <c r="CA329" s="231"/>
      <c r="CB329" s="231"/>
      <c r="CC329" s="231"/>
      <c r="CD329" s="231"/>
      <c r="CE329" s="231"/>
      <c r="CF329" s="231"/>
    </row>
    <row r="330" spans="1:84">
      <c r="A330" s="185" t="s">
        <v>935</v>
      </c>
      <c r="B330" s="185"/>
      <c r="C330" s="185"/>
      <c r="D330" s="186" t="s">
        <v>6529</v>
      </c>
      <c r="E330" s="186" t="s">
        <v>6530</v>
      </c>
      <c r="F330" s="186" t="s">
        <v>6531</v>
      </c>
      <c r="G330" s="186" t="s">
        <v>6531</v>
      </c>
      <c r="H330" s="84"/>
      <c r="I330" s="186" t="s">
        <v>8691</v>
      </c>
      <c r="J330" s="84"/>
      <c r="K330" s="186" t="s">
        <v>8691</v>
      </c>
      <c r="L330" s="186" t="s">
        <v>8458</v>
      </c>
      <c r="M330" s="186" t="s">
        <v>6532</v>
      </c>
      <c r="N330" s="186" t="s">
        <v>8691</v>
      </c>
      <c r="O330" s="186" t="s">
        <v>6533</v>
      </c>
      <c r="P330" s="186" t="s">
        <v>8592</v>
      </c>
      <c r="Q330" s="186" t="s">
        <v>9159</v>
      </c>
      <c r="R330" s="186" t="s">
        <v>1025</v>
      </c>
      <c r="S330" s="186" t="s">
        <v>8528</v>
      </c>
      <c r="T330" s="186" t="s">
        <v>6534</v>
      </c>
      <c r="U330" s="186" t="s">
        <v>6534</v>
      </c>
      <c r="V330" s="186" t="s">
        <v>6535</v>
      </c>
      <c r="W330" s="186" t="s">
        <v>6535</v>
      </c>
      <c r="X330" s="186" t="s">
        <v>6535</v>
      </c>
      <c r="Y330" s="186" t="s">
        <v>6536</v>
      </c>
      <c r="Z330" s="187"/>
      <c r="AA330" s="186" t="s">
        <v>6536</v>
      </c>
      <c r="AB330" s="186"/>
      <c r="AC330" s="186"/>
      <c r="AD330" s="186" t="s">
        <v>6537</v>
      </c>
      <c r="AE330" s="186" t="s">
        <v>6537</v>
      </c>
      <c r="AF330" s="186" t="s">
        <v>6538</v>
      </c>
      <c r="AG330" s="186" t="s">
        <v>0</v>
      </c>
      <c r="AH330" s="186" t="s">
        <v>0</v>
      </c>
      <c r="AI330" s="186" t="s">
        <v>0</v>
      </c>
      <c r="AJ330" s="186" t="s">
        <v>6538</v>
      </c>
      <c r="AK330" s="186" t="s">
        <v>6538</v>
      </c>
      <c r="AL330" s="186" t="s">
        <v>6539</v>
      </c>
      <c r="AM330" s="186" t="s">
        <v>4421</v>
      </c>
      <c r="AN330" s="186" t="s">
        <v>6540</v>
      </c>
      <c r="AO330" s="186" t="s">
        <v>6540</v>
      </c>
      <c r="AP330" s="186"/>
      <c r="AQ330" s="186"/>
      <c r="AR330" s="186"/>
      <c r="AS330" s="186" t="s">
        <v>6541</v>
      </c>
      <c r="AT330" s="186" t="s">
        <v>6541</v>
      </c>
      <c r="AU330" s="186" t="s">
        <v>6542</v>
      </c>
      <c r="AV330" s="186" t="s">
        <v>6543</v>
      </c>
      <c r="AW330" s="186" t="s">
        <v>6543</v>
      </c>
      <c r="AX330" s="186" t="s">
        <v>6543</v>
      </c>
      <c r="AY330" s="186" t="s">
        <v>6543</v>
      </c>
      <c r="AZ330" s="186" t="s">
        <v>6544</v>
      </c>
      <c r="BA330" s="186" t="s">
        <v>6544</v>
      </c>
      <c r="BB330" s="186"/>
      <c r="BC330" s="186" t="s">
        <v>4941</v>
      </c>
      <c r="BD330" s="52" t="s">
        <v>7859</v>
      </c>
      <c r="BE330" s="186" t="s">
        <v>6545</v>
      </c>
      <c r="BF330" s="52" t="s">
        <v>7859</v>
      </c>
      <c r="BG330" s="186" t="s">
        <v>6545</v>
      </c>
      <c r="BH330" s="52" t="s">
        <v>7859</v>
      </c>
      <c r="BI330" s="52" t="s">
        <v>7859</v>
      </c>
      <c r="BJ330" s="186" t="s">
        <v>4940</v>
      </c>
      <c r="BK330" s="186" t="s">
        <v>1025</v>
      </c>
      <c r="BL330" s="186" t="s">
        <v>6546</v>
      </c>
      <c r="BM330" s="186" t="s">
        <v>6546</v>
      </c>
      <c r="BN330" s="186" t="s">
        <v>6547</v>
      </c>
      <c r="BO330" s="186" t="s">
        <v>6548</v>
      </c>
      <c r="BP330" s="186" t="s">
        <v>6549</v>
      </c>
      <c r="BQ330" s="186"/>
      <c r="BR330" s="186"/>
      <c r="BS330" s="186" t="s">
        <v>0</v>
      </c>
      <c r="BT330" s="186" t="s">
        <v>0</v>
      </c>
      <c r="BU330" s="186" t="s">
        <v>6550</v>
      </c>
      <c r="BV330" s="186"/>
      <c r="BW330" s="186"/>
      <c r="BX330" s="186"/>
      <c r="BY330" s="186"/>
      <c r="BZ330" s="186"/>
      <c r="CA330" s="186"/>
      <c r="CB330" s="186"/>
      <c r="CC330" s="186"/>
      <c r="CD330" s="186"/>
      <c r="CE330" s="186"/>
      <c r="CF330" s="186"/>
    </row>
    <row r="331" spans="1:84" ht="36">
      <c r="A331" s="181" t="s">
        <v>6711</v>
      </c>
      <c r="B331" s="200" t="s">
        <v>8906</v>
      </c>
      <c r="C331" s="214" t="s">
        <v>57</v>
      </c>
      <c r="D331" s="214" t="s">
        <v>57</v>
      </c>
      <c r="E331" s="214" t="s">
        <v>57</v>
      </c>
      <c r="F331" s="214" t="s">
        <v>57</v>
      </c>
      <c r="G331" s="214" t="s">
        <v>57</v>
      </c>
      <c r="H331" s="214" t="s">
        <v>57</v>
      </c>
      <c r="I331" s="36" t="s">
        <v>7011</v>
      </c>
      <c r="J331" s="214" t="s">
        <v>57</v>
      </c>
      <c r="K331" s="36" t="s">
        <v>7011</v>
      </c>
      <c r="L331" s="36" t="s">
        <v>7011</v>
      </c>
      <c r="M331" s="214" t="s">
        <v>57</v>
      </c>
      <c r="N331" s="36" t="s">
        <v>7011</v>
      </c>
      <c r="O331" s="212" t="s">
        <v>6279</v>
      </c>
      <c r="P331" s="36" t="s">
        <v>7011</v>
      </c>
      <c r="Q331" s="36" t="s">
        <v>7011</v>
      </c>
      <c r="R331" s="212" t="s">
        <v>6279</v>
      </c>
      <c r="S331" s="36" t="s">
        <v>7011</v>
      </c>
      <c r="T331" s="214" t="s">
        <v>57</v>
      </c>
      <c r="U331" s="214" t="s">
        <v>57</v>
      </c>
      <c r="V331" s="217" t="s">
        <v>5724</v>
      </c>
      <c r="W331" s="214" t="s">
        <v>57</v>
      </c>
      <c r="X331" s="214" t="s">
        <v>4687</v>
      </c>
      <c r="Y331" s="214" t="s">
        <v>0</v>
      </c>
      <c r="Z331" s="214" t="s">
        <v>57</v>
      </c>
      <c r="AA331" s="214" t="s">
        <v>57</v>
      </c>
      <c r="AB331" s="212" t="s">
        <v>4796</v>
      </c>
      <c r="AC331" s="212" t="s">
        <v>4796</v>
      </c>
      <c r="AD331" s="212" t="s">
        <v>4796</v>
      </c>
      <c r="AE331" s="213" t="s">
        <v>57</v>
      </c>
      <c r="AF331" s="213" t="s">
        <v>57</v>
      </c>
      <c r="AG331" s="36" t="s">
        <v>7011</v>
      </c>
      <c r="AH331" s="36" t="s">
        <v>7011</v>
      </c>
      <c r="AI331" s="36" t="s">
        <v>7011</v>
      </c>
      <c r="AJ331" s="219" t="s">
        <v>57</v>
      </c>
      <c r="AK331" s="214" t="s">
        <v>57</v>
      </c>
      <c r="AL331" s="214" t="s">
        <v>57</v>
      </c>
      <c r="AM331" s="214" t="s">
        <v>57</v>
      </c>
      <c r="AN331" s="214" t="s">
        <v>57</v>
      </c>
      <c r="AO331" s="212" t="s">
        <v>4218</v>
      </c>
      <c r="AP331" s="214" t="s">
        <v>57</v>
      </c>
      <c r="AQ331" s="214" t="s">
        <v>57</v>
      </c>
      <c r="AR331" s="214" t="s">
        <v>57</v>
      </c>
      <c r="AS331" s="214" t="s">
        <v>57</v>
      </c>
      <c r="AT331" s="214" t="s">
        <v>57</v>
      </c>
      <c r="AU331" s="214" t="s">
        <v>57</v>
      </c>
      <c r="AV331" s="214" t="s">
        <v>57</v>
      </c>
      <c r="AW331" s="214" t="s">
        <v>57</v>
      </c>
      <c r="AX331" s="212" t="s">
        <v>57</v>
      </c>
      <c r="AY331" s="212" t="s">
        <v>57</v>
      </c>
      <c r="AZ331" s="214" t="s">
        <v>57</v>
      </c>
      <c r="BA331" s="214" t="s">
        <v>57</v>
      </c>
      <c r="BB331" s="214" t="s">
        <v>57</v>
      </c>
      <c r="BC331" s="214" t="s">
        <v>57</v>
      </c>
      <c r="BD331" s="36" t="s">
        <v>7011</v>
      </c>
      <c r="BE331" s="212" t="s">
        <v>4918</v>
      </c>
      <c r="BF331" s="36" t="s">
        <v>7011</v>
      </c>
      <c r="BG331" s="214" t="s">
        <v>57</v>
      </c>
      <c r="BH331" s="36" t="s">
        <v>7011</v>
      </c>
      <c r="BI331" s="36" t="s">
        <v>7011</v>
      </c>
      <c r="BJ331" s="212" t="s">
        <v>5465</v>
      </c>
      <c r="BK331" s="214" t="s">
        <v>57</v>
      </c>
      <c r="BL331" s="212" t="s">
        <v>57</v>
      </c>
      <c r="BM331" s="214" t="s">
        <v>0</v>
      </c>
      <c r="BN331" s="212" t="s">
        <v>3888</v>
      </c>
      <c r="BO331" s="212"/>
      <c r="BP331" s="214" t="s">
        <v>57</v>
      </c>
      <c r="BQ331" s="214" t="s">
        <v>57</v>
      </c>
      <c r="BR331" s="214" t="s">
        <v>2629</v>
      </c>
      <c r="BS331" s="212" t="s">
        <v>57</v>
      </c>
      <c r="BT331" s="212" t="s">
        <v>57</v>
      </c>
      <c r="BU331" s="212" t="s">
        <v>5083</v>
      </c>
      <c r="BV331" s="212" t="s">
        <v>57</v>
      </c>
      <c r="BW331" s="214" t="s">
        <v>57</v>
      </c>
      <c r="BX331" s="212" t="s">
        <v>3832</v>
      </c>
      <c r="BY331" s="212" t="s">
        <v>3832</v>
      </c>
      <c r="BZ331" s="212" t="s">
        <v>6241</v>
      </c>
      <c r="CA331" s="212" t="s">
        <v>3159</v>
      </c>
      <c r="CB331" s="212" t="s">
        <v>3159</v>
      </c>
      <c r="CC331" s="214" t="s">
        <v>57</v>
      </c>
      <c r="CD331" s="214" t="s">
        <v>57</v>
      </c>
      <c r="CE331" s="212" t="s">
        <v>57</v>
      </c>
      <c r="CF331" s="214" t="s">
        <v>57</v>
      </c>
    </row>
    <row r="332" spans="1:84" ht="18">
      <c r="A332" s="51" t="s">
        <v>935</v>
      </c>
      <c r="B332" s="51"/>
      <c r="C332" s="52" t="s">
        <v>5203</v>
      </c>
      <c r="D332" s="52" t="s">
        <v>5203</v>
      </c>
      <c r="E332" s="52" t="s">
        <v>2803</v>
      </c>
      <c r="F332" s="52" t="s">
        <v>2803</v>
      </c>
      <c r="G332" s="52" t="s">
        <v>1434</v>
      </c>
      <c r="H332" s="52" t="s">
        <v>1434</v>
      </c>
      <c r="I332" s="84" t="s">
        <v>8690</v>
      </c>
      <c r="J332" s="52" t="s">
        <v>1670</v>
      </c>
      <c r="K332" s="84" t="s">
        <v>8690</v>
      </c>
      <c r="L332" s="84" t="s">
        <v>8690</v>
      </c>
      <c r="M332" s="52" t="s">
        <v>1670</v>
      </c>
      <c r="N332" s="84" t="s">
        <v>8690</v>
      </c>
      <c r="O332" s="52" t="s">
        <v>5257</v>
      </c>
      <c r="P332" s="84" t="s">
        <v>8690</v>
      </c>
      <c r="Q332" s="84" t="s">
        <v>8690</v>
      </c>
      <c r="R332" s="52" t="s">
        <v>5277</v>
      </c>
      <c r="S332" s="84" t="s">
        <v>8690</v>
      </c>
      <c r="T332" s="52" t="s">
        <v>5615</v>
      </c>
      <c r="U332" s="52" t="s">
        <v>5615</v>
      </c>
      <c r="V332" s="84"/>
      <c r="W332" s="52" t="s">
        <v>4437</v>
      </c>
      <c r="X332" s="52" t="s">
        <v>6474</v>
      </c>
      <c r="Y332" s="52" t="s">
        <v>0</v>
      </c>
      <c r="Z332" s="52" t="s">
        <v>2391</v>
      </c>
      <c r="AA332" s="52" t="s">
        <v>2391</v>
      </c>
      <c r="AB332" s="52" t="s">
        <v>4797</v>
      </c>
      <c r="AC332" s="52" t="s">
        <v>4797</v>
      </c>
      <c r="AD332" s="52" t="s">
        <v>4797</v>
      </c>
      <c r="AE332" s="52" t="s">
        <v>6025</v>
      </c>
      <c r="AF332" s="52" t="s">
        <v>6025</v>
      </c>
      <c r="AG332" s="186" t="s">
        <v>7091</v>
      </c>
      <c r="AH332" s="186" t="s">
        <v>7091</v>
      </c>
      <c r="AI332" s="186" t="s">
        <v>7091</v>
      </c>
      <c r="AJ332" s="52" t="s">
        <v>6114</v>
      </c>
      <c r="AK332" s="52" t="s">
        <v>1927</v>
      </c>
      <c r="AL332" s="52" t="s">
        <v>1927</v>
      </c>
      <c r="AM332" s="52" t="s">
        <v>5425</v>
      </c>
      <c r="AN332" s="52" t="s">
        <v>5425</v>
      </c>
      <c r="AO332" s="52" t="s">
        <v>4287</v>
      </c>
      <c r="AP332" s="52" t="s">
        <v>2573</v>
      </c>
      <c r="AQ332" s="52" t="s">
        <v>2573</v>
      </c>
      <c r="AR332" s="52"/>
      <c r="AS332" s="52" t="s">
        <v>1967</v>
      </c>
      <c r="AT332" s="52" t="s">
        <v>1967</v>
      </c>
      <c r="AU332" s="52" t="s">
        <v>1967</v>
      </c>
      <c r="AV332" s="52" t="s">
        <v>4343</v>
      </c>
      <c r="AW332" s="52" t="s">
        <v>4343</v>
      </c>
      <c r="AX332" s="52" t="s">
        <v>1363</v>
      </c>
      <c r="AY332" s="52" t="s">
        <v>1363</v>
      </c>
      <c r="AZ332" s="52" t="s">
        <v>3563</v>
      </c>
      <c r="BA332" s="52" t="s">
        <v>3563</v>
      </c>
      <c r="BB332" s="52" t="s">
        <v>3563</v>
      </c>
      <c r="BC332" s="52" t="s">
        <v>4940</v>
      </c>
      <c r="BD332" s="52" t="s">
        <v>7774</v>
      </c>
      <c r="BE332" s="52" t="s">
        <v>4919</v>
      </c>
      <c r="BF332" s="52" t="s">
        <v>7774</v>
      </c>
      <c r="BG332" s="52" t="s">
        <v>5005</v>
      </c>
      <c r="BH332" s="52" t="s">
        <v>7860</v>
      </c>
      <c r="BI332" s="52" t="s">
        <v>7860</v>
      </c>
      <c r="BJ332" s="52" t="s">
        <v>5005</v>
      </c>
      <c r="BK332" s="52"/>
      <c r="BL332" s="52"/>
      <c r="BM332" s="52" t="s">
        <v>0</v>
      </c>
      <c r="BN332" s="52" t="s">
        <v>3889</v>
      </c>
      <c r="BO332" s="52"/>
      <c r="BP332" s="52" t="s">
        <v>2296</v>
      </c>
      <c r="BQ332" s="52" t="s">
        <v>2296</v>
      </c>
      <c r="BR332" s="52" t="s">
        <v>1025</v>
      </c>
      <c r="BS332" s="52" t="s">
        <v>2686</v>
      </c>
      <c r="BT332" s="52" t="s">
        <v>2686</v>
      </c>
      <c r="BU332" s="84" t="s">
        <v>5084</v>
      </c>
      <c r="BV332" s="84"/>
      <c r="BW332" s="52"/>
      <c r="BX332" s="52" t="s">
        <v>3935</v>
      </c>
      <c r="BY332" s="52" t="s">
        <v>3833</v>
      </c>
      <c r="BZ332" s="52" t="s">
        <v>6242</v>
      </c>
      <c r="CA332" s="52" t="s">
        <v>3158</v>
      </c>
      <c r="CB332" s="52" t="s">
        <v>3158</v>
      </c>
      <c r="CC332" s="52"/>
      <c r="CD332" s="52"/>
      <c r="CE332" s="52" t="s">
        <v>3158</v>
      </c>
      <c r="CF332" s="52" t="s">
        <v>2198</v>
      </c>
    </row>
    <row r="333" spans="1:84" ht="39.950000000000003" customHeight="1">
      <c r="A333" s="62" t="s">
        <v>8915</v>
      </c>
      <c r="B333" s="200"/>
      <c r="C333" s="36" t="s">
        <v>2527</v>
      </c>
      <c r="D333" s="36" t="s">
        <v>2527</v>
      </c>
      <c r="E333" s="36" t="s">
        <v>2807</v>
      </c>
      <c r="F333" s="36" t="s">
        <v>2807</v>
      </c>
      <c r="G333" s="36" t="s">
        <v>2524</v>
      </c>
      <c r="H333" s="36" t="s">
        <v>2524</v>
      </c>
      <c r="I333" s="36" t="s">
        <v>8688</v>
      </c>
      <c r="J333" s="36" t="s">
        <v>3436</v>
      </c>
      <c r="K333" s="36" t="s">
        <v>8688</v>
      </c>
      <c r="L333" s="36" t="s">
        <v>8688</v>
      </c>
      <c r="M333" s="36" t="s">
        <v>3436</v>
      </c>
      <c r="N333" s="36" t="s">
        <v>8688</v>
      </c>
      <c r="O333" s="36" t="s">
        <v>3436</v>
      </c>
      <c r="P333" s="36" t="s">
        <v>8688</v>
      </c>
      <c r="Q333" s="36" t="s">
        <v>8688</v>
      </c>
      <c r="R333" s="36" t="s">
        <v>3436</v>
      </c>
      <c r="S333" s="36" t="s">
        <v>8688</v>
      </c>
      <c r="T333" s="36" t="s">
        <v>859</v>
      </c>
      <c r="U333" s="36" t="s">
        <v>859</v>
      </c>
      <c r="V333" s="143" t="s">
        <v>5736</v>
      </c>
      <c r="W333" s="36" t="s">
        <v>4391</v>
      </c>
      <c r="X333" s="143" t="s">
        <v>5736</v>
      </c>
      <c r="Y333" s="36" t="s">
        <v>0</v>
      </c>
      <c r="Z333" s="36" t="s">
        <v>2393</v>
      </c>
      <c r="AA333" s="36" t="s">
        <v>2393</v>
      </c>
      <c r="AB333" s="36" t="s">
        <v>4755</v>
      </c>
      <c r="AC333" s="36" t="s">
        <v>4756</v>
      </c>
      <c r="AD333" s="36" t="s">
        <v>4754</v>
      </c>
      <c r="AE333" s="38" t="s">
        <v>0</v>
      </c>
      <c r="AF333" s="38" t="s">
        <v>0</v>
      </c>
      <c r="AG333" s="36" t="s">
        <v>9014</v>
      </c>
      <c r="AH333" s="36" t="s">
        <v>9014</v>
      </c>
      <c r="AI333" s="36" t="s">
        <v>9014</v>
      </c>
      <c r="AJ333" s="38" t="s">
        <v>659</v>
      </c>
      <c r="AK333" s="36" t="s">
        <v>2526</v>
      </c>
      <c r="AL333" s="36" t="s">
        <v>2526</v>
      </c>
      <c r="AM333" s="36" t="s">
        <v>5381</v>
      </c>
      <c r="AN333" s="36" t="s">
        <v>5381</v>
      </c>
      <c r="AO333" s="36" t="s">
        <v>659</v>
      </c>
      <c r="AP333" s="36" t="s">
        <v>2527</v>
      </c>
      <c r="AQ333" s="36" t="s">
        <v>2527</v>
      </c>
      <c r="AR333" s="36" t="s">
        <v>2527</v>
      </c>
      <c r="AS333" s="36" t="s">
        <v>2527</v>
      </c>
      <c r="AT333" s="36" t="s">
        <v>2527</v>
      </c>
      <c r="AU333" s="36" t="s">
        <v>2527</v>
      </c>
      <c r="AV333" s="36" t="s">
        <v>859</v>
      </c>
      <c r="AW333" s="36" t="s">
        <v>859</v>
      </c>
      <c r="AX333" s="36" t="s">
        <v>5067</v>
      </c>
      <c r="AY333" s="36" t="s">
        <v>5067</v>
      </c>
      <c r="AZ333" s="38" t="s">
        <v>0</v>
      </c>
      <c r="BA333" s="38" t="s">
        <v>0</v>
      </c>
      <c r="BB333" s="38" t="s">
        <v>0</v>
      </c>
      <c r="BC333" s="36" t="s">
        <v>4920</v>
      </c>
      <c r="BD333" s="36" t="s">
        <v>8136</v>
      </c>
      <c r="BE333" s="36" t="s">
        <v>4920</v>
      </c>
      <c r="BF333" s="36" t="s">
        <v>7775</v>
      </c>
      <c r="BG333" s="36" t="s">
        <v>4920</v>
      </c>
      <c r="BH333" s="36" t="s">
        <v>7775</v>
      </c>
      <c r="BI333" s="36" t="s">
        <v>7775</v>
      </c>
      <c r="BJ333" s="36" t="s">
        <v>4920</v>
      </c>
      <c r="BK333" s="36" t="s">
        <v>2528</v>
      </c>
      <c r="BL333" s="36" t="s">
        <v>2528</v>
      </c>
      <c r="BM333" s="38" t="s">
        <v>0</v>
      </c>
      <c r="BN333" s="36" t="s">
        <v>2524</v>
      </c>
      <c r="BO333" s="36"/>
      <c r="BP333" s="36" t="s">
        <v>2300</v>
      </c>
      <c r="BQ333" s="36" t="s">
        <v>2300</v>
      </c>
      <c r="BR333" s="38" t="s">
        <v>2629</v>
      </c>
      <c r="BS333" s="36" t="s">
        <v>859</v>
      </c>
      <c r="BT333" s="36" t="s">
        <v>859</v>
      </c>
      <c r="BU333" s="36" t="s">
        <v>657</v>
      </c>
      <c r="BV333" s="36" t="s">
        <v>2522</v>
      </c>
      <c r="BW333" s="36" t="s">
        <v>2522</v>
      </c>
      <c r="BX333" s="36" t="s">
        <v>3830</v>
      </c>
      <c r="BY333" s="36" t="s">
        <v>3830</v>
      </c>
      <c r="BZ333" s="36" t="s">
        <v>6243</v>
      </c>
      <c r="CA333" s="36" t="s">
        <v>2522</v>
      </c>
      <c r="CB333" s="36" t="s">
        <v>2522</v>
      </c>
      <c r="CC333" s="36" t="s">
        <v>2523</v>
      </c>
      <c r="CD333" s="36" t="s">
        <v>2523</v>
      </c>
      <c r="CE333" s="36" t="s">
        <v>3276</v>
      </c>
      <c r="CF333" s="36" t="s">
        <v>817</v>
      </c>
    </row>
    <row r="334" spans="1:84">
      <c r="A334" s="51" t="s">
        <v>935</v>
      </c>
      <c r="B334" s="51"/>
      <c r="C334" s="52" t="s">
        <v>5204</v>
      </c>
      <c r="D334" s="52" t="s">
        <v>5204</v>
      </c>
      <c r="E334" s="52" t="s">
        <v>2804</v>
      </c>
      <c r="F334" s="52" t="s">
        <v>2804</v>
      </c>
      <c r="G334" s="52" t="s">
        <v>1433</v>
      </c>
      <c r="H334" s="52" t="s">
        <v>1433</v>
      </c>
      <c r="I334" s="84" t="s">
        <v>8689</v>
      </c>
      <c r="J334" s="52" t="s">
        <v>1674</v>
      </c>
      <c r="K334" s="84" t="s">
        <v>8689</v>
      </c>
      <c r="L334" s="84" t="s">
        <v>8689</v>
      </c>
      <c r="M334" s="52" t="s">
        <v>1674</v>
      </c>
      <c r="N334" s="84" t="s">
        <v>8689</v>
      </c>
      <c r="O334" s="52" t="s">
        <v>5259</v>
      </c>
      <c r="P334" s="84" t="s">
        <v>8689</v>
      </c>
      <c r="Q334" s="84" t="s">
        <v>8689</v>
      </c>
      <c r="R334" s="52" t="s">
        <v>1674</v>
      </c>
      <c r="S334" s="84" t="s">
        <v>8689</v>
      </c>
      <c r="T334" s="52" t="s">
        <v>5615</v>
      </c>
      <c r="U334" s="52" t="s">
        <v>5615</v>
      </c>
      <c r="V334" s="84"/>
      <c r="W334" s="52" t="s">
        <v>4455</v>
      </c>
      <c r="X334" s="52" t="s">
        <v>6475</v>
      </c>
      <c r="Y334" s="52" t="s">
        <v>0</v>
      </c>
      <c r="Z334" s="52" t="s">
        <v>2392</v>
      </c>
      <c r="AA334" s="52" t="s">
        <v>2392</v>
      </c>
      <c r="AB334" s="52" t="s">
        <v>4758</v>
      </c>
      <c r="AC334" s="52" t="s">
        <v>4759</v>
      </c>
      <c r="AD334" s="52" t="s">
        <v>4757</v>
      </c>
      <c r="AE334" s="52" t="s">
        <v>0</v>
      </c>
      <c r="AF334" s="52" t="s">
        <v>0</v>
      </c>
      <c r="AG334" s="186" t="s">
        <v>9015</v>
      </c>
      <c r="AH334" s="186" t="s">
        <v>9015</v>
      </c>
      <c r="AI334" s="186" t="s">
        <v>9015</v>
      </c>
      <c r="AJ334" s="52" t="s">
        <v>6114</v>
      </c>
      <c r="AK334" s="52" t="s">
        <v>4200</v>
      </c>
      <c r="AL334" s="52" t="s">
        <v>4200</v>
      </c>
      <c r="AM334" s="52" t="s">
        <v>1443</v>
      </c>
      <c r="AN334" s="52" t="s">
        <v>1443</v>
      </c>
      <c r="AO334" s="52" t="s">
        <v>4292</v>
      </c>
      <c r="AP334" s="52" t="s">
        <v>2574</v>
      </c>
      <c r="AQ334" s="52" t="s">
        <v>2574</v>
      </c>
      <c r="AR334" s="52"/>
      <c r="AS334" s="52" t="s">
        <v>1025</v>
      </c>
      <c r="AT334" s="52" t="s">
        <v>1025</v>
      </c>
      <c r="AU334" s="52" t="s">
        <v>1025</v>
      </c>
      <c r="AV334" s="52" t="s">
        <v>4344</v>
      </c>
      <c r="AW334" s="52" t="s">
        <v>4344</v>
      </c>
      <c r="AX334" s="52" t="s">
        <v>1364</v>
      </c>
      <c r="AY334" s="52" t="s">
        <v>1364</v>
      </c>
      <c r="AZ334" s="52" t="s">
        <v>3564</v>
      </c>
      <c r="BA334" s="52" t="s">
        <v>3564</v>
      </c>
      <c r="BB334" s="52" t="s">
        <v>3564</v>
      </c>
      <c r="BC334" s="52" t="s">
        <v>5006</v>
      </c>
      <c r="BD334" s="186" t="s">
        <v>8137</v>
      </c>
      <c r="BE334" s="52" t="s">
        <v>5007</v>
      </c>
      <c r="BF334" s="52" t="s">
        <v>7776</v>
      </c>
      <c r="BG334" s="52" t="s">
        <v>5006</v>
      </c>
      <c r="BH334" s="52" t="s">
        <v>7861</v>
      </c>
      <c r="BI334" s="52" t="s">
        <v>7861</v>
      </c>
      <c r="BJ334" s="52" t="s">
        <v>5006</v>
      </c>
      <c r="BK334" s="52"/>
      <c r="BL334" s="52"/>
      <c r="BM334" s="52" t="s">
        <v>0</v>
      </c>
      <c r="BN334" s="52" t="s">
        <v>3890</v>
      </c>
      <c r="BO334" s="52"/>
      <c r="BP334" s="52" t="s">
        <v>2299</v>
      </c>
      <c r="BQ334" s="52" t="s">
        <v>2299</v>
      </c>
      <c r="BR334" s="52" t="s">
        <v>1025</v>
      </c>
      <c r="BS334" s="52" t="s">
        <v>2701</v>
      </c>
      <c r="BT334" s="52" t="s">
        <v>2701</v>
      </c>
      <c r="BU334" s="84" t="s">
        <v>1025</v>
      </c>
      <c r="BV334" s="84"/>
      <c r="BW334" s="52"/>
      <c r="BX334" s="52" t="s">
        <v>3831</v>
      </c>
      <c r="BY334" s="52" t="s">
        <v>3831</v>
      </c>
      <c r="BZ334" s="52" t="s">
        <v>6244</v>
      </c>
      <c r="CA334" s="52" t="s">
        <v>3157</v>
      </c>
      <c r="CB334" s="52" t="s">
        <v>3157</v>
      </c>
      <c r="CC334" s="52"/>
      <c r="CD334" s="52"/>
      <c r="CE334" s="52" t="s">
        <v>3249</v>
      </c>
      <c r="CF334" s="52" t="s">
        <v>1025</v>
      </c>
    </row>
    <row r="335" spans="1:84">
      <c r="A335" s="23"/>
      <c r="B335" s="23"/>
      <c r="C335" s="53"/>
      <c r="D335" s="53"/>
      <c r="E335" s="53"/>
      <c r="F335" s="53"/>
      <c r="G335" s="53"/>
      <c r="H335" s="53"/>
      <c r="I335" s="53"/>
      <c r="J335" s="53"/>
      <c r="K335" s="53"/>
      <c r="L335" s="53"/>
      <c r="M335" s="53"/>
      <c r="N335" s="53"/>
      <c r="O335" s="53"/>
      <c r="P335" s="53"/>
      <c r="Q335" s="53"/>
      <c r="R335" s="53"/>
      <c r="S335" s="53"/>
      <c r="T335" s="53"/>
      <c r="U335" s="53"/>
      <c r="V335" s="73"/>
      <c r="W335" s="65"/>
      <c r="X335" s="65"/>
      <c r="Y335" s="65"/>
      <c r="Z335" s="65"/>
      <c r="AA335" s="65"/>
      <c r="AB335" s="65"/>
      <c r="AC335" s="65"/>
      <c r="AD335" s="65"/>
      <c r="AE335" s="65"/>
      <c r="AF335" s="65"/>
      <c r="AG335" s="65"/>
      <c r="AH335" s="65"/>
      <c r="AI335" s="65"/>
      <c r="AJ335" s="65"/>
      <c r="AK335" s="65"/>
      <c r="AL335" s="65"/>
      <c r="AM335" s="65"/>
      <c r="AN335" s="65"/>
      <c r="AO335" s="65"/>
      <c r="AP335" s="53"/>
      <c r="AQ335" s="53"/>
      <c r="AR335" s="65"/>
      <c r="AS335" s="65"/>
      <c r="AT335" s="65"/>
      <c r="AU335" s="65"/>
      <c r="AV335" s="65"/>
      <c r="AW335" s="65"/>
      <c r="AX335" s="65"/>
      <c r="AY335" s="65"/>
      <c r="AZ335" s="53"/>
      <c r="BA335" s="53"/>
      <c r="BB335" s="53"/>
      <c r="BC335" s="53"/>
      <c r="BD335" s="65"/>
      <c r="BE335" s="53"/>
      <c r="BF335" s="65"/>
      <c r="BG335" s="53"/>
      <c r="BH335" s="65"/>
      <c r="BI335" s="65"/>
      <c r="BJ335" s="53"/>
      <c r="BK335" s="53"/>
      <c r="BL335" s="53"/>
      <c r="BM335" s="53"/>
      <c r="BN335" s="53"/>
      <c r="BO335" s="53"/>
      <c r="BP335" s="65"/>
      <c r="BQ335" s="65"/>
      <c r="BR335" s="53"/>
      <c r="BS335" s="53"/>
      <c r="BT335" s="53"/>
      <c r="BU335" s="65"/>
      <c r="BV335" s="65"/>
      <c r="BW335" s="53"/>
      <c r="BX335" s="53"/>
      <c r="BY335" s="53"/>
      <c r="BZ335" s="53"/>
      <c r="CA335" s="65"/>
      <c r="CB335" s="65"/>
      <c r="CC335" s="65"/>
      <c r="CD335" s="65"/>
      <c r="CE335" s="65"/>
      <c r="CF335" s="177"/>
    </row>
    <row r="336" spans="1:84" ht="18">
      <c r="A336" s="10" t="s">
        <v>267</v>
      </c>
      <c r="B336" s="10"/>
      <c r="C336" s="253" t="str">
        <f t="shared" ref="C336:BZ336" si="22">C1</f>
        <v>ADCURI Basis-Schutz</v>
      </c>
      <c r="D336" s="253" t="str">
        <f t="shared" si="22"/>
        <v>ADCURI Top-Schutz</v>
      </c>
      <c r="E336" s="253" t="str">
        <f t="shared" si="22"/>
        <v>Allianz</v>
      </c>
      <c r="F336" s="253" t="str">
        <f t="shared" si="22"/>
        <v>Allianz inkl. SicherheitPlus</v>
      </c>
      <c r="G336" s="253" t="str">
        <f t="shared" si="22"/>
        <v>Alte Leipziger classic</v>
      </c>
      <c r="H336" s="253" t="str">
        <f t="shared" si="22"/>
        <v>Alte Leipziger comfort</v>
      </c>
      <c r="I336" s="253" t="str">
        <f>I1</f>
        <v>Ammerländer Basic
(2019-02)</v>
      </c>
      <c r="J336" s="253" t="str">
        <f t="shared" si="22"/>
        <v>Ammerländer Classic
(2016-01)</v>
      </c>
      <c r="K336" s="253" t="str">
        <f>K1</f>
        <v>Ammerländer Classic
(2019-02)</v>
      </c>
      <c r="L336" s="253" t="str">
        <f>L1</f>
        <v>Ammerländer Comfort
(2019-02)</v>
      </c>
      <c r="M336" s="253" t="str">
        <f t="shared" si="22"/>
        <v>Ammerländer Comfort
(2016-01)</v>
      </c>
      <c r="N336" s="253" t="str">
        <f>N1</f>
        <v>Ammerländer Economic
(2019-02)</v>
      </c>
      <c r="O336" s="253" t="str">
        <f t="shared" si="22"/>
        <v>Ammerländer Excellent
(2016-01)</v>
      </c>
      <c r="P336" s="253" t="str">
        <f>P1</f>
        <v>Ammerländer Excellent
(2019-02)</v>
      </c>
      <c r="Q336" s="253" t="str">
        <f>Q1</f>
        <v>Ammerländer Excellent
(2020-02)</v>
      </c>
      <c r="R336" s="253" t="str">
        <f>R1</f>
        <v>Ammerländer Exclusiv
(2016-01)</v>
      </c>
      <c r="S336" s="253" t="str">
        <f>S1</f>
        <v>Ammerländer Exclusiv
(2019-02)</v>
      </c>
      <c r="T336" s="253" t="str">
        <f t="shared" si="22"/>
        <v>ARAG Komfort (Wohnfläche)</v>
      </c>
      <c r="U336" s="253" t="str">
        <f t="shared" si="22"/>
        <v>ARAG Premium (Wohnfläche)</v>
      </c>
      <c r="V336" s="253" t="str">
        <f t="shared" si="22"/>
        <v>AXA BOXflex</v>
      </c>
      <c r="W336" s="253" t="str">
        <f t="shared" si="22"/>
        <v>Baden Badener TOP</v>
      </c>
      <c r="X336" s="253" t="str">
        <f t="shared" si="22"/>
        <v>Concordia Sorglos</v>
      </c>
      <c r="Y336" s="253" t="str">
        <f t="shared" si="22"/>
        <v>Debeka Basis</v>
      </c>
      <c r="Z336" s="253" t="str">
        <f t="shared" si="22"/>
        <v>Debeka Standard</v>
      </c>
      <c r="AA336" s="253" t="str">
        <f t="shared" si="22"/>
        <v>Debeka Top</v>
      </c>
      <c r="AB336" s="253" t="str">
        <f t="shared" si="22"/>
        <v>die Bayerische (Komfort)</v>
      </c>
      <c r="AC336" s="253" t="str">
        <f t="shared" si="22"/>
        <v>die Bayerische (Prestige)</v>
      </c>
      <c r="AD336" s="253" t="str">
        <f t="shared" si="22"/>
        <v>die Bayerische (Smart)</v>
      </c>
      <c r="AE336" s="253" t="str">
        <f t="shared" si="22"/>
        <v>Domcura Komfort
(Stand 2014-10)</v>
      </c>
      <c r="AF336" s="253" t="str">
        <f t="shared" si="22"/>
        <v>Domcura Top
(Stand 2014-10)</v>
      </c>
      <c r="AG336" s="253" t="str">
        <f>AG1</f>
        <v>Domcura Standard
(2016-10-01)</v>
      </c>
      <c r="AH336" s="253" t="str">
        <f>AH1</f>
        <v>Domcura Komfort
(2016-10-01)</v>
      </c>
      <c r="AI336" s="253" t="str">
        <f>AI1</f>
        <v>Domcura Top
(2016-10-01)</v>
      </c>
      <c r="AJ336" s="253" t="str">
        <f t="shared" si="22"/>
        <v>ERGO Hausrat Spezial</v>
      </c>
      <c r="AK336" s="253" t="str">
        <f t="shared" si="22"/>
        <v>Generali Basis</v>
      </c>
      <c r="AL336" s="253" t="str">
        <f t="shared" si="22"/>
        <v>Generali KomfortPlus</v>
      </c>
      <c r="AM336" s="253" t="str">
        <f t="shared" si="22"/>
        <v>Gothaer Top</v>
      </c>
      <c r="AN336" s="253" t="str">
        <f t="shared" si="22"/>
        <v>Gothaer Top Plus</v>
      </c>
      <c r="AO336" s="253" t="str">
        <f t="shared" si="22"/>
        <v>HDI Privatschutz</v>
      </c>
      <c r="AP336" s="253" t="str">
        <f t="shared" si="22"/>
        <v>Helvetia Basis</v>
      </c>
      <c r="AQ336" s="253" t="str">
        <f t="shared" si="22"/>
        <v>Helvetia Komfort</v>
      </c>
      <c r="AR336" s="253" t="str">
        <f t="shared" si="22"/>
        <v>HFK Rundumschutz</v>
      </c>
      <c r="AS336" s="253" t="str">
        <f t="shared" si="22"/>
        <v>HKD Einfach Gut</v>
      </c>
      <c r="AT336" s="253" t="str">
        <f t="shared" si="22"/>
        <v>HKD Einfach Besser</v>
      </c>
      <c r="AU336" s="253" t="str">
        <f t="shared" si="22"/>
        <v>HKD Einfach Komplett</v>
      </c>
      <c r="AV336" s="253" t="str">
        <f t="shared" si="22"/>
        <v>HUK Classic</v>
      </c>
      <c r="AW336" s="253" t="str">
        <f t="shared" si="22"/>
        <v>HUK Plus</v>
      </c>
      <c r="AX336" s="253" t="str">
        <f t="shared" si="22"/>
        <v>Ideal Exklusiv</v>
      </c>
      <c r="AY336" s="253" t="str">
        <f t="shared" si="22"/>
        <v>Ideal Klassik</v>
      </c>
      <c r="AZ336" s="253" t="str">
        <f t="shared" si="22"/>
        <v>InterRisk L</v>
      </c>
      <c r="BA336" s="253" t="str">
        <f t="shared" si="22"/>
        <v>InterRisk XL</v>
      </c>
      <c r="BB336" s="253" t="str">
        <f t="shared" si="22"/>
        <v>InterRisk XXL</v>
      </c>
      <c r="BC336" s="253" t="str">
        <f t="shared" si="22"/>
        <v>ITL afm Eurosecure Plus</v>
      </c>
      <c r="BD336" s="253" t="str">
        <f>BD1</f>
        <v>ITL Eurosecure Plus afm
Stand 2013-08</v>
      </c>
      <c r="BE336" s="253" t="str">
        <f t="shared" si="22"/>
        <v>ITL afm Infinitus</v>
      </c>
      <c r="BF336" s="253" t="str">
        <f>BF1</f>
        <v>ITL Infinitus
Stand 2013-08</v>
      </c>
      <c r="BG336" s="253" t="str">
        <f t="shared" si="22"/>
        <v>ITL afm Protect Plus</v>
      </c>
      <c r="BH336" s="253" t="str">
        <f>BH1</f>
        <v>ITL Protect Plus afm
Stand 2013-08</v>
      </c>
      <c r="BI336" s="253" t="str">
        <f>BI1</f>
        <v>ITL Classic
Stand 2013-08</v>
      </c>
      <c r="BJ336" s="253" t="str">
        <f t="shared" si="22"/>
        <v>ITL Classic</v>
      </c>
      <c r="BK336" s="253" t="str">
        <f t="shared" si="22"/>
        <v>Janitos Balance</v>
      </c>
      <c r="BL336" s="253" t="str">
        <f t="shared" si="22"/>
        <v>Janitos Best Selection</v>
      </c>
      <c r="BM336" s="253" t="str">
        <f t="shared" si="22"/>
        <v>Keine</v>
      </c>
      <c r="BN336" s="253" t="str">
        <f t="shared" si="22"/>
        <v>Nürnberger KomplettSchutz</v>
      </c>
      <c r="BO336" s="253" t="str">
        <f t="shared" si="22"/>
        <v>NV Premium. 2.0</v>
      </c>
      <c r="BP336" s="253" t="str">
        <f t="shared" si="22"/>
        <v>Prokundo ExklusivPaket</v>
      </c>
      <c r="BQ336" s="253" t="str">
        <f t="shared" si="22"/>
        <v>Prokundo Komfort</v>
      </c>
      <c r="BR336" s="253" t="str">
        <f t="shared" si="22"/>
        <v>Provinzial Kompakt</v>
      </c>
      <c r="BS336" s="253" t="str">
        <f t="shared" si="22"/>
        <v>Provinzial Rundum inkl. Plus</v>
      </c>
      <c r="BT336" s="253" t="str">
        <f t="shared" si="22"/>
        <v>Provinzial Rundumschutz</v>
      </c>
      <c r="BU336" s="253" t="str">
        <f t="shared" si="22"/>
        <v>R+V PrivatPolice</v>
      </c>
      <c r="BV336" s="253" t="str">
        <f t="shared" si="22"/>
        <v>SLP Prima</v>
      </c>
      <c r="BW336" s="253" t="str">
        <f t="shared" si="22"/>
        <v>SLP Prima Plus</v>
      </c>
      <c r="BX336" s="253" t="str">
        <f t="shared" si="22"/>
        <v>VdVA Classic</v>
      </c>
      <c r="BY336" s="253" t="str">
        <f t="shared" si="22"/>
        <v>VdVA Exclusiv</v>
      </c>
      <c r="BZ336" s="253" t="str">
        <f t="shared" si="22"/>
        <v>VGH Standard</v>
      </c>
      <c r="CA336" s="253" t="str">
        <f>CA1</f>
        <v>VHV Klassik Garant
(Stand 2015-04)</v>
      </c>
      <c r="CB336" s="253" t="str">
        <f>CB1</f>
        <v>VHV Klassik Garant Exkl.
(Stand 2015-04)</v>
      </c>
      <c r="CC336" s="253" t="str">
        <f t="shared" ref="CC336:CE336" si="23">CC1</f>
        <v>VWB Komfort</v>
      </c>
      <c r="CD336" s="253" t="str">
        <f t="shared" si="23"/>
        <v>VWB Komfort Plus</v>
      </c>
      <c r="CE336" s="253" t="str">
        <f t="shared" si="23"/>
        <v>WÜBA Plus</v>
      </c>
      <c r="CF336" s="253" t="str">
        <f>CF1</f>
        <v>Zurich Maklerkonzept</v>
      </c>
    </row>
    <row r="337" spans="1:84" ht="369">
      <c r="A337" s="90"/>
      <c r="B337" s="200"/>
      <c r="C337" s="116" t="s">
        <v>5207</v>
      </c>
      <c r="D337" s="44" t="s">
        <v>5206</v>
      </c>
      <c r="E337" s="100" t="s">
        <v>3746</v>
      </c>
      <c r="F337" s="44" t="s">
        <v>2809</v>
      </c>
      <c r="G337" s="70" t="s">
        <v>1431</v>
      </c>
      <c r="H337" s="70" t="s">
        <v>5755</v>
      </c>
      <c r="I337" s="44" t="s">
        <v>0</v>
      </c>
      <c r="J337" s="36" t="s">
        <v>0</v>
      </c>
      <c r="K337" s="44" t="s">
        <v>8412</v>
      </c>
      <c r="L337" s="44" t="s">
        <v>8491</v>
      </c>
      <c r="M337" s="44" t="s">
        <v>5852</v>
      </c>
      <c r="N337" s="44" t="s">
        <v>0</v>
      </c>
      <c r="O337" s="44" t="s">
        <v>5784</v>
      </c>
      <c r="P337" s="44" t="s">
        <v>9106</v>
      </c>
      <c r="Q337" s="44" t="s">
        <v>9127</v>
      </c>
      <c r="R337" s="44" t="s">
        <v>5813</v>
      </c>
      <c r="S337" s="44" t="s">
        <v>8684</v>
      </c>
      <c r="T337" s="70" t="s">
        <v>3279</v>
      </c>
      <c r="U337" s="70" t="s">
        <v>3273</v>
      </c>
      <c r="V337" s="157" t="s">
        <v>5493</v>
      </c>
      <c r="W337" s="44" t="s">
        <v>4419</v>
      </c>
      <c r="X337" s="44" t="s">
        <v>6503</v>
      </c>
      <c r="Y337" s="36" t="s">
        <v>2323</v>
      </c>
      <c r="Z337" s="36" t="s">
        <v>2355</v>
      </c>
      <c r="AA337" s="36" t="s">
        <v>2356</v>
      </c>
      <c r="AB337" s="107" t="s">
        <v>4818</v>
      </c>
      <c r="AC337" s="107" t="s">
        <v>4821</v>
      </c>
      <c r="AD337" s="74" t="s">
        <v>4790</v>
      </c>
      <c r="AE337" s="92" t="s">
        <v>1783</v>
      </c>
      <c r="AF337" s="92" t="s">
        <v>5981</v>
      </c>
      <c r="AG337" s="74" t="s">
        <v>0</v>
      </c>
      <c r="AH337" s="74" t="s">
        <v>0</v>
      </c>
      <c r="AI337" s="74" t="s">
        <v>7183</v>
      </c>
      <c r="AJ337" s="92" t="s">
        <v>3459</v>
      </c>
      <c r="AK337" s="7" t="s">
        <v>0</v>
      </c>
      <c r="AL337" s="93" t="s">
        <v>4205</v>
      </c>
      <c r="AM337" s="36" t="s">
        <v>0</v>
      </c>
      <c r="AN337" s="70" t="s">
        <v>5436</v>
      </c>
      <c r="AO337" s="44" t="s">
        <v>4233</v>
      </c>
      <c r="AP337" s="70" t="s">
        <v>0</v>
      </c>
      <c r="AQ337" s="70" t="s">
        <v>0</v>
      </c>
      <c r="AR337" s="36" t="s">
        <v>920</v>
      </c>
      <c r="AS337" s="70" t="s">
        <v>3465</v>
      </c>
      <c r="AT337" s="70" t="s">
        <v>3465</v>
      </c>
      <c r="AU337" s="70" t="s">
        <v>3465</v>
      </c>
      <c r="AV337" s="44" t="s">
        <v>4362</v>
      </c>
      <c r="AW337" s="44" t="s">
        <v>4375</v>
      </c>
      <c r="AX337" s="107" t="s">
        <v>5061</v>
      </c>
      <c r="AY337" s="107" t="s">
        <v>5062</v>
      </c>
      <c r="AZ337" s="44" t="s">
        <v>3736</v>
      </c>
      <c r="BA337" s="44" t="s">
        <v>4545</v>
      </c>
      <c r="BB337" s="44" t="s">
        <v>4525</v>
      </c>
      <c r="BC337" s="44" t="s">
        <v>5330</v>
      </c>
      <c r="BD337" s="74" t="s">
        <v>7739</v>
      </c>
      <c r="BE337" s="44" t="s">
        <v>4942</v>
      </c>
      <c r="BF337" s="74" t="s">
        <v>9656</v>
      </c>
      <c r="BG337" s="70" t="s">
        <v>5013</v>
      </c>
      <c r="BH337" s="74" t="s">
        <v>7739</v>
      </c>
      <c r="BI337" s="74" t="s">
        <v>7739</v>
      </c>
      <c r="BJ337" s="36" t="s">
        <v>4570</v>
      </c>
      <c r="BK337" s="36" t="s">
        <v>574</v>
      </c>
      <c r="BL337" s="36" t="s">
        <v>564</v>
      </c>
      <c r="BM337" s="36" t="s">
        <v>0</v>
      </c>
      <c r="BN337" s="44" t="s">
        <v>3898</v>
      </c>
      <c r="BO337" s="44"/>
      <c r="BP337" s="44" t="s">
        <v>3185</v>
      </c>
      <c r="BQ337" s="70" t="s">
        <v>3184</v>
      </c>
      <c r="BR337" s="36" t="s">
        <v>0</v>
      </c>
      <c r="BS337" s="70" t="s">
        <v>2703</v>
      </c>
      <c r="BT337" s="70" t="s">
        <v>2702</v>
      </c>
      <c r="BU337" s="70" t="s">
        <v>2864</v>
      </c>
      <c r="BV337" s="36" t="s">
        <v>683</v>
      </c>
      <c r="BW337" s="36" t="s">
        <v>713</v>
      </c>
      <c r="BX337" s="70" t="s">
        <v>3943</v>
      </c>
      <c r="BY337" s="44" t="s">
        <v>3906</v>
      </c>
      <c r="BZ337" s="116" t="s">
        <v>0</v>
      </c>
      <c r="CA337" s="36" t="s">
        <v>772</v>
      </c>
      <c r="CB337" s="44" t="s">
        <v>3177</v>
      </c>
      <c r="CC337" s="36" t="s">
        <v>0</v>
      </c>
      <c r="CD337" s="36" t="s">
        <v>0</v>
      </c>
      <c r="CE337" s="44" t="s">
        <v>3205</v>
      </c>
      <c r="CF337" s="36" t="s">
        <v>2212</v>
      </c>
    </row>
    <row r="338" spans="1:84" ht="108">
      <c r="A338" s="51" t="s">
        <v>935</v>
      </c>
      <c r="B338" s="51"/>
      <c r="C338" s="84" t="s">
        <v>5209</v>
      </c>
      <c r="D338" s="84" t="s">
        <v>5208</v>
      </c>
      <c r="E338" s="84" t="s">
        <v>1442</v>
      </c>
      <c r="F338" s="84" t="s">
        <v>2808</v>
      </c>
      <c r="G338" s="52" t="s">
        <v>1428</v>
      </c>
      <c r="H338" s="52" t="s">
        <v>5756</v>
      </c>
      <c r="I338" s="84" t="s">
        <v>0</v>
      </c>
      <c r="J338" s="52" t="s">
        <v>0</v>
      </c>
      <c r="K338" s="84" t="s">
        <v>8333</v>
      </c>
      <c r="L338" s="84" t="s">
        <v>8490</v>
      </c>
      <c r="M338" s="84" t="s">
        <v>5853</v>
      </c>
      <c r="N338" s="84" t="s">
        <v>0</v>
      </c>
      <c r="O338" s="84" t="s">
        <v>5795</v>
      </c>
      <c r="P338" s="84" t="s">
        <v>9105</v>
      </c>
      <c r="Q338" s="84" t="s">
        <v>9132</v>
      </c>
      <c r="R338" s="84" t="s">
        <v>5821</v>
      </c>
      <c r="S338" s="84" t="s">
        <v>8685</v>
      </c>
      <c r="T338" s="52" t="s">
        <v>5639</v>
      </c>
      <c r="U338" s="52" t="s">
        <v>5639</v>
      </c>
      <c r="V338" s="84"/>
      <c r="W338" s="52" t="s">
        <v>4427</v>
      </c>
      <c r="X338" s="52"/>
      <c r="Y338" s="52" t="s">
        <v>2324</v>
      </c>
      <c r="Z338" s="52" t="s">
        <v>2357</v>
      </c>
      <c r="AA338" s="52" t="s">
        <v>2357</v>
      </c>
      <c r="AB338" s="84" t="s">
        <v>4819</v>
      </c>
      <c r="AC338" s="84" t="s">
        <v>5946</v>
      </c>
      <c r="AD338" s="52" t="s">
        <v>4791</v>
      </c>
      <c r="AE338" s="52" t="s">
        <v>6076</v>
      </c>
      <c r="AF338" s="84" t="s">
        <v>6077</v>
      </c>
      <c r="AG338" s="52" t="s">
        <v>0</v>
      </c>
      <c r="AH338" s="186" t="s">
        <v>0</v>
      </c>
      <c r="AI338" s="186" t="s">
        <v>7184</v>
      </c>
      <c r="AJ338" s="84" t="s">
        <v>6095</v>
      </c>
      <c r="AK338" s="52" t="s">
        <v>0</v>
      </c>
      <c r="AL338" s="84" t="s">
        <v>4193</v>
      </c>
      <c r="AM338" s="52" t="s">
        <v>0</v>
      </c>
      <c r="AN338" s="52" t="s">
        <v>5379</v>
      </c>
      <c r="AO338" s="84" t="s">
        <v>4294</v>
      </c>
      <c r="AP338" s="52" t="s">
        <v>0</v>
      </c>
      <c r="AQ338" s="52" t="s">
        <v>0</v>
      </c>
      <c r="AR338" s="52"/>
      <c r="AS338" s="84" t="s">
        <v>3464</v>
      </c>
      <c r="AT338" s="84" t="s">
        <v>3464</v>
      </c>
      <c r="AU338" s="84" t="s">
        <v>3464</v>
      </c>
      <c r="AV338" s="84" t="s">
        <v>4363</v>
      </c>
      <c r="AW338" s="84" t="s">
        <v>4376</v>
      </c>
      <c r="AX338" s="84" t="s">
        <v>5060</v>
      </c>
      <c r="AY338" s="84" t="s">
        <v>5063</v>
      </c>
      <c r="AZ338" s="84" t="s">
        <v>3737</v>
      </c>
      <c r="BA338" s="84" t="s">
        <v>4544</v>
      </c>
      <c r="BB338" s="84" t="s">
        <v>4524</v>
      </c>
      <c r="BC338" s="84" t="s">
        <v>5328</v>
      </c>
      <c r="BD338" s="186" t="s">
        <v>7740</v>
      </c>
      <c r="BE338" s="84" t="s">
        <v>4943</v>
      </c>
      <c r="BF338" s="186" t="s">
        <v>9655</v>
      </c>
      <c r="BG338" s="84" t="s">
        <v>5014</v>
      </c>
      <c r="BH338" s="186" t="s">
        <v>7884</v>
      </c>
      <c r="BI338" s="186" t="s">
        <v>7817</v>
      </c>
      <c r="BJ338" s="52" t="s">
        <v>4884</v>
      </c>
      <c r="BK338" s="52"/>
      <c r="BL338" s="52"/>
      <c r="BM338" s="52" t="s">
        <v>0</v>
      </c>
      <c r="BN338" s="84" t="s">
        <v>3884</v>
      </c>
      <c r="BO338" s="84"/>
      <c r="BP338" s="84" t="s">
        <v>6351</v>
      </c>
      <c r="BQ338" s="52" t="s">
        <v>3188</v>
      </c>
      <c r="BR338" s="52" t="s">
        <v>0</v>
      </c>
      <c r="BS338" s="84" t="s">
        <v>2683</v>
      </c>
      <c r="BT338" s="84" t="s">
        <v>2684</v>
      </c>
      <c r="BU338" s="84" t="s">
        <v>2885</v>
      </c>
      <c r="BV338" s="84"/>
      <c r="BW338" s="52"/>
      <c r="BX338" s="84" t="s">
        <v>3944</v>
      </c>
      <c r="BY338" s="84" t="s">
        <v>3821</v>
      </c>
      <c r="BZ338" s="84"/>
      <c r="CA338" s="52" t="s">
        <v>3094</v>
      </c>
      <c r="CB338" s="84" t="s">
        <v>3176</v>
      </c>
      <c r="CC338" s="52"/>
      <c r="CD338" s="52"/>
      <c r="CE338" s="52" t="s">
        <v>3218</v>
      </c>
      <c r="CF338" s="52" t="s">
        <v>1025</v>
      </c>
    </row>
    <row r="339" spans="1:84" ht="25.5" customHeight="1">
      <c r="A339" s="90"/>
      <c r="B339" s="200"/>
      <c r="C339" s="116"/>
      <c r="D339" s="44"/>
      <c r="E339" s="100"/>
      <c r="F339" s="44"/>
      <c r="G339" s="70"/>
      <c r="H339" s="70"/>
      <c r="I339" s="44"/>
      <c r="J339" s="36"/>
      <c r="K339" s="44"/>
      <c r="L339" s="44"/>
      <c r="M339" s="44"/>
      <c r="N339" s="44"/>
      <c r="O339" s="44"/>
      <c r="P339" s="44"/>
      <c r="Q339" s="44" t="s">
        <v>0</v>
      </c>
      <c r="R339" s="44"/>
      <c r="S339" s="44"/>
      <c r="T339" s="70"/>
      <c r="U339" s="70"/>
      <c r="V339" s="157"/>
      <c r="W339" s="44"/>
      <c r="X339" s="44"/>
      <c r="Y339" s="36"/>
      <c r="Z339" s="36"/>
      <c r="AA339" s="36"/>
      <c r="AB339" s="107"/>
      <c r="AC339" s="107"/>
      <c r="AD339" s="74"/>
      <c r="AE339" s="92"/>
      <c r="AF339" s="92"/>
      <c r="AG339" s="74"/>
      <c r="AH339" s="74"/>
      <c r="AI339" s="74"/>
      <c r="AJ339" s="92"/>
      <c r="AK339" s="7"/>
      <c r="AL339" s="93"/>
      <c r="AM339" s="36"/>
      <c r="AN339" s="70"/>
      <c r="AO339" s="44"/>
      <c r="AP339" s="70"/>
      <c r="AQ339" s="70"/>
      <c r="AR339" s="36"/>
      <c r="AS339" s="70"/>
      <c r="AT339" s="70"/>
      <c r="AU339" s="70"/>
      <c r="AV339" s="44"/>
      <c r="AW339" s="44"/>
      <c r="AX339" s="107"/>
      <c r="AY339" s="107"/>
      <c r="AZ339" s="44"/>
      <c r="BA339" s="44"/>
      <c r="BB339" s="44"/>
      <c r="BC339" s="44"/>
      <c r="BD339" s="74" t="s">
        <v>0</v>
      </c>
      <c r="BE339" s="44"/>
      <c r="BF339" s="74" t="s">
        <v>9653</v>
      </c>
      <c r="BG339" s="70"/>
      <c r="BH339" s="74" t="s">
        <v>0</v>
      </c>
      <c r="BI339" s="74" t="s">
        <v>0</v>
      </c>
      <c r="BJ339" s="36"/>
      <c r="BK339" s="36"/>
      <c r="BL339" s="36"/>
      <c r="BM339" s="36"/>
      <c r="BN339" s="44"/>
      <c r="BO339" s="44"/>
      <c r="BP339" s="44"/>
      <c r="BQ339" s="70"/>
      <c r="BR339" s="36"/>
      <c r="BS339" s="70"/>
      <c r="BT339" s="70"/>
      <c r="BU339" s="70"/>
      <c r="BV339" s="36"/>
      <c r="BW339" s="36"/>
      <c r="BX339" s="70"/>
      <c r="BY339" s="44"/>
      <c r="BZ339" s="116"/>
      <c r="CA339" s="36"/>
      <c r="CB339" s="44"/>
      <c r="CC339" s="36"/>
      <c r="CD339" s="36"/>
      <c r="CE339" s="44"/>
      <c r="CF339" s="36"/>
    </row>
    <row r="340" spans="1:84" ht="25.5" customHeight="1">
      <c r="A340" s="51" t="s">
        <v>935</v>
      </c>
      <c r="B340" s="51"/>
      <c r="C340" s="84"/>
      <c r="D340" s="84"/>
      <c r="E340" s="84"/>
      <c r="F340" s="84"/>
      <c r="G340" s="52"/>
      <c r="H340" s="52"/>
      <c r="I340" s="84"/>
      <c r="J340" s="52"/>
      <c r="K340" s="84"/>
      <c r="L340" s="84"/>
      <c r="M340" s="84"/>
      <c r="N340" s="84"/>
      <c r="O340" s="84"/>
      <c r="P340" s="84"/>
      <c r="Q340" s="84"/>
      <c r="R340" s="84"/>
      <c r="S340" s="84"/>
      <c r="T340" s="52"/>
      <c r="U340" s="52"/>
      <c r="V340" s="84"/>
      <c r="W340" s="52"/>
      <c r="X340" s="52"/>
      <c r="Y340" s="52"/>
      <c r="Z340" s="52"/>
      <c r="AA340" s="52"/>
      <c r="AB340" s="84"/>
      <c r="AC340" s="84"/>
      <c r="AD340" s="52"/>
      <c r="AE340" s="52"/>
      <c r="AF340" s="84"/>
      <c r="AG340" s="52"/>
      <c r="AH340" s="186"/>
      <c r="AI340" s="186"/>
      <c r="AJ340" s="84"/>
      <c r="AK340" s="52"/>
      <c r="AL340" s="84"/>
      <c r="AM340" s="52"/>
      <c r="AN340" s="52"/>
      <c r="AO340" s="84"/>
      <c r="AP340" s="52"/>
      <c r="AQ340" s="52"/>
      <c r="AR340" s="52"/>
      <c r="AS340" s="84"/>
      <c r="AT340" s="84"/>
      <c r="AU340" s="84"/>
      <c r="AV340" s="84"/>
      <c r="AW340" s="84"/>
      <c r="AX340" s="84"/>
      <c r="AY340" s="84"/>
      <c r="AZ340" s="84"/>
      <c r="BA340" s="84"/>
      <c r="BB340" s="84"/>
      <c r="BC340" s="84"/>
      <c r="BD340" s="186"/>
      <c r="BE340" s="84"/>
      <c r="BF340" s="186" t="s">
        <v>9654</v>
      </c>
      <c r="BG340" s="84"/>
      <c r="BH340" s="186" t="s">
        <v>0</v>
      </c>
      <c r="BI340" s="186" t="s">
        <v>0</v>
      </c>
      <c r="BJ340" s="52"/>
      <c r="BK340" s="52"/>
      <c r="BL340" s="52"/>
      <c r="BM340" s="52"/>
      <c r="BN340" s="84"/>
      <c r="BO340" s="84"/>
      <c r="BP340" s="84"/>
      <c r="BQ340" s="52"/>
      <c r="BR340" s="52"/>
      <c r="BS340" s="84"/>
      <c r="BT340" s="84"/>
      <c r="BU340" s="84"/>
      <c r="BV340" s="84"/>
      <c r="BW340" s="52"/>
      <c r="BX340" s="84"/>
      <c r="BY340" s="84"/>
      <c r="BZ340" s="84"/>
      <c r="CA340" s="52"/>
      <c r="CB340" s="84"/>
      <c r="CC340" s="52"/>
      <c r="CD340" s="52"/>
      <c r="CE340" s="52"/>
      <c r="CF340" s="52"/>
    </row>
    <row r="341" spans="1:84" ht="25.5" customHeight="1">
      <c r="A341" s="90"/>
      <c r="B341" s="200"/>
      <c r="C341" s="116"/>
      <c r="D341" s="44"/>
      <c r="E341" s="100"/>
      <c r="F341" s="44"/>
      <c r="G341" s="70"/>
      <c r="H341" s="70"/>
      <c r="I341" s="44"/>
      <c r="J341" s="36"/>
      <c r="K341" s="44"/>
      <c r="L341" s="44"/>
      <c r="M341" s="44"/>
      <c r="N341" s="44"/>
      <c r="O341" s="44"/>
      <c r="P341" s="44"/>
      <c r="Q341" s="44" t="s">
        <v>0</v>
      </c>
      <c r="R341" s="44"/>
      <c r="S341" s="44"/>
      <c r="T341" s="70"/>
      <c r="U341" s="70"/>
      <c r="V341" s="157"/>
      <c r="W341" s="44"/>
      <c r="X341" s="44"/>
      <c r="Y341" s="36"/>
      <c r="Z341" s="36"/>
      <c r="AA341" s="36"/>
      <c r="AB341" s="107"/>
      <c r="AC341" s="107"/>
      <c r="AD341" s="74"/>
      <c r="AE341" s="92"/>
      <c r="AF341" s="92"/>
      <c r="AG341" s="74"/>
      <c r="AH341" s="74"/>
      <c r="AI341" s="74"/>
      <c r="AJ341" s="92"/>
      <c r="AK341" s="7"/>
      <c r="AL341" s="93"/>
      <c r="AM341" s="36"/>
      <c r="AN341" s="70"/>
      <c r="AO341" s="44"/>
      <c r="AP341" s="70"/>
      <c r="AQ341" s="70"/>
      <c r="AR341" s="36"/>
      <c r="AS341" s="70"/>
      <c r="AT341" s="70"/>
      <c r="AU341" s="70"/>
      <c r="AV341" s="44"/>
      <c r="AW341" s="44"/>
      <c r="AX341" s="107"/>
      <c r="AY341" s="107"/>
      <c r="AZ341" s="44"/>
      <c r="BA341" s="44"/>
      <c r="BB341" s="44"/>
      <c r="BC341" s="44"/>
      <c r="BD341" s="74" t="s">
        <v>0</v>
      </c>
      <c r="BE341" s="44"/>
      <c r="BF341" s="74" t="s">
        <v>0</v>
      </c>
      <c r="BG341" s="70"/>
      <c r="BH341" s="74" t="s">
        <v>0</v>
      </c>
      <c r="BI341" s="74" t="s">
        <v>0</v>
      </c>
      <c r="BJ341" s="36"/>
      <c r="BK341" s="36"/>
      <c r="BL341" s="36"/>
      <c r="BM341" s="36"/>
      <c r="BN341" s="44"/>
      <c r="BO341" s="44"/>
      <c r="BP341" s="44"/>
      <c r="BQ341" s="70"/>
      <c r="BR341" s="36"/>
      <c r="BS341" s="70"/>
      <c r="BT341" s="70"/>
      <c r="BU341" s="70"/>
      <c r="BV341" s="36"/>
      <c r="BW341" s="36"/>
      <c r="BX341" s="70"/>
      <c r="BY341" s="44"/>
      <c r="BZ341" s="116"/>
      <c r="CA341" s="36"/>
      <c r="CB341" s="44"/>
      <c r="CC341" s="36"/>
      <c r="CD341" s="36"/>
      <c r="CE341" s="44"/>
      <c r="CF341" s="36"/>
    </row>
    <row r="342" spans="1:84" ht="25.5" customHeight="1">
      <c r="A342" s="51" t="s">
        <v>935</v>
      </c>
      <c r="B342" s="51"/>
      <c r="C342" s="84"/>
      <c r="D342" s="84"/>
      <c r="E342" s="84"/>
      <c r="F342" s="84"/>
      <c r="G342" s="52"/>
      <c r="H342" s="52"/>
      <c r="I342" s="84"/>
      <c r="J342" s="52"/>
      <c r="K342" s="84"/>
      <c r="L342" s="84"/>
      <c r="M342" s="84"/>
      <c r="N342" s="84"/>
      <c r="O342" s="84"/>
      <c r="P342" s="84"/>
      <c r="Q342" s="84"/>
      <c r="R342" s="84"/>
      <c r="S342" s="84"/>
      <c r="T342" s="52"/>
      <c r="U342" s="52"/>
      <c r="V342" s="84"/>
      <c r="W342" s="52"/>
      <c r="X342" s="52"/>
      <c r="Y342" s="52"/>
      <c r="Z342" s="52"/>
      <c r="AA342" s="52"/>
      <c r="AB342" s="84"/>
      <c r="AC342" s="84"/>
      <c r="AD342" s="52"/>
      <c r="AE342" s="52"/>
      <c r="AF342" s="84"/>
      <c r="AG342" s="52"/>
      <c r="AH342" s="186"/>
      <c r="AI342" s="186"/>
      <c r="AJ342" s="84"/>
      <c r="AK342" s="52"/>
      <c r="AL342" s="84"/>
      <c r="AM342" s="52"/>
      <c r="AN342" s="52"/>
      <c r="AO342" s="84"/>
      <c r="AP342" s="52"/>
      <c r="AQ342" s="52"/>
      <c r="AR342" s="52"/>
      <c r="AS342" s="84"/>
      <c r="AT342" s="84"/>
      <c r="AU342" s="84"/>
      <c r="AV342" s="84"/>
      <c r="AW342" s="84"/>
      <c r="AX342" s="84"/>
      <c r="AY342" s="84"/>
      <c r="AZ342" s="84"/>
      <c r="BA342" s="84"/>
      <c r="BB342" s="84"/>
      <c r="BC342" s="84"/>
      <c r="BD342" s="186"/>
      <c r="BE342" s="84"/>
      <c r="BF342" s="186"/>
      <c r="BG342" s="84"/>
      <c r="BH342" s="186"/>
      <c r="BI342" s="186"/>
      <c r="BJ342" s="52"/>
      <c r="BK342" s="52"/>
      <c r="BL342" s="52"/>
      <c r="BM342" s="52"/>
      <c r="BN342" s="84"/>
      <c r="BO342" s="84"/>
      <c r="BP342" s="84"/>
      <c r="BQ342" s="52"/>
      <c r="BR342" s="52"/>
      <c r="BS342" s="84"/>
      <c r="BT342" s="84"/>
      <c r="BU342" s="84"/>
      <c r="BV342" s="84"/>
      <c r="BW342" s="52"/>
      <c r="BX342" s="84"/>
      <c r="BY342" s="84"/>
      <c r="BZ342" s="84"/>
      <c r="CA342" s="52"/>
      <c r="CB342" s="84"/>
      <c r="CC342" s="52"/>
      <c r="CD342" s="52"/>
      <c r="CE342" s="52"/>
      <c r="CF342" s="52"/>
    </row>
    <row r="343" spans="1:84">
      <c r="A343" s="31"/>
      <c r="B343" s="31"/>
      <c r="C343" s="71"/>
      <c r="D343" s="71"/>
      <c r="E343" s="71"/>
      <c r="F343" s="71"/>
      <c r="G343" s="71"/>
      <c r="H343" s="71"/>
      <c r="I343" s="71"/>
      <c r="J343" s="71"/>
      <c r="K343" s="71"/>
      <c r="L343" s="71"/>
      <c r="M343" s="71"/>
      <c r="N343" s="71"/>
      <c r="O343" s="71"/>
      <c r="P343" s="71"/>
      <c r="Q343" s="71"/>
      <c r="R343" s="71"/>
      <c r="S343" s="71"/>
      <c r="T343" s="71"/>
      <c r="U343" s="71"/>
      <c r="V343" s="77"/>
      <c r="W343" s="71"/>
      <c r="X343" s="71"/>
      <c r="Y343" s="71"/>
      <c r="Z343" s="71"/>
      <c r="AA343" s="71"/>
      <c r="AB343" s="71"/>
      <c r="AC343" s="71"/>
      <c r="AD343" s="71"/>
      <c r="AE343" s="71"/>
      <c r="AF343" s="71"/>
      <c r="AG343" s="71"/>
      <c r="AH343" s="71"/>
      <c r="AI343" s="71"/>
      <c r="AJ343" s="71"/>
      <c r="AK343" s="71"/>
      <c r="AL343" s="71"/>
      <c r="AM343" s="71"/>
      <c r="AN343" s="71"/>
      <c r="AO343" s="71"/>
      <c r="AP343" s="73"/>
      <c r="AQ343" s="73"/>
      <c r="AR343" s="71"/>
      <c r="AS343" s="71"/>
      <c r="AT343" s="71"/>
      <c r="AU343" s="71"/>
      <c r="AV343" s="71"/>
      <c r="AW343" s="71"/>
      <c r="AX343" s="71"/>
      <c r="AY343" s="71"/>
      <c r="AZ343" s="71"/>
      <c r="BA343" s="71"/>
      <c r="BB343" s="71"/>
      <c r="BC343" s="73"/>
      <c r="BD343" s="71"/>
      <c r="BE343" s="73"/>
      <c r="BF343" s="71"/>
      <c r="BG343" s="73"/>
      <c r="BH343" s="71"/>
      <c r="BI343" s="71"/>
      <c r="BJ343" s="73"/>
      <c r="BK343" s="73"/>
      <c r="BL343" s="73"/>
      <c r="BM343" s="73"/>
      <c r="BN343" s="73"/>
      <c r="BO343" s="73"/>
      <c r="BP343" s="71"/>
      <c r="BQ343" s="71"/>
      <c r="BR343" s="73"/>
      <c r="BS343" s="73"/>
      <c r="BT343" s="73"/>
      <c r="BU343" s="73"/>
      <c r="BV343" s="73"/>
      <c r="BW343" s="73"/>
      <c r="BX343" s="73"/>
      <c r="BY343" s="73"/>
      <c r="BZ343" s="73"/>
      <c r="CA343" s="73"/>
      <c r="CB343" s="73"/>
      <c r="CC343" s="73"/>
      <c r="CD343" s="73"/>
      <c r="CE343" s="73"/>
      <c r="CF343" s="178"/>
    </row>
    <row r="344" spans="1:84" ht="18">
      <c r="A344" s="22" t="s">
        <v>70</v>
      </c>
      <c r="B344" s="22"/>
      <c r="C344" s="255" t="str">
        <f t="shared" ref="C344:BZ344" si="24">C1</f>
        <v>ADCURI Basis-Schutz</v>
      </c>
      <c r="D344" s="255" t="str">
        <f t="shared" si="24"/>
        <v>ADCURI Top-Schutz</v>
      </c>
      <c r="E344" s="255" t="str">
        <f t="shared" si="24"/>
        <v>Allianz</v>
      </c>
      <c r="F344" s="255" t="str">
        <f t="shared" si="24"/>
        <v>Allianz inkl. SicherheitPlus</v>
      </c>
      <c r="G344" s="255" t="str">
        <f t="shared" si="24"/>
        <v>Alte Leipziger classic</v>
      </c>
      <c r="H344" s="255" t="str">
        <f t="shared" si="24"/>
        <v>Alte Leipziger comfort</v>
      </c>
      <c r="I344" s="255" t="str">
        <f>I1</f>
        <v>Ammerländer Basic
(2019-02)</v>
      </c>
      <c r="J344" s="255" t="str">
        <f t="shared" si="24"/>
        <v>Ammerländer Classic
(2016-01)</v>
      </c>
      <c r="K344" s="255" t="str">
        <f>K1</f>
        <v>Ammerländer Classic
(2019-02)</v>
      </c>
      <c r="L344" s="255" t="str">
        <f>L1</f>
        <v>Ammerländer Comfort
(2019-02)</v>
      </c>
      <c r="M344" s="255" t="str">
        <f t="shared" si="24"/>
        <v>Ammerländer Comfort
(2016-01)</v>
      </c>
      <c r="N344" s="255" t="str">
        <f>N1</f>
        <v>Ammerländer Economic
(2019-02)</v>
      </c>
      <c r="O344" s="255" t="str">
        <f t="shared" si="24"/>
        <v>Ammerländer Excellent
(2016-01)</v>
      </c>
      <c r="P344" s="255" t="str">
        <f>P1</f>
        <v>Ammerländer Excellent
(2019-02)</v>
      </c>
      <c r="Q344" s="255" t="str">
        <f>Q1</f>
        <v>Ammerländer Excellent
(2020-02)</v>
      </c>
      <c r="R344" s="255" t="str">
        <f>R1</f>
        <v>Ammerländer Exclusiv
(2016-01)</v>
      </c>
      <c r="S344" s="255" t="str">
        <f>S1</f>
        <v>Ammerländer Exclusiv
(2019-02)</v>
      </c>
      <c r="T344" s="255" t="str">
        <f t="shared" si="24"/>
        <v>ARAG Komfort (Wohnfläche)</v>
      </c>
      <c r="U344" s="255" t="str">
        <f t="shared" si="24"/>
        <v>ARAG Premium (Wohnfläche)</v>
      </c>
      <c r="V344" s="255" t="str">
        <f t="shared" si="24"/>
        <v>AXA BOXflex</v>
      </c>
      <c r="W344" s="255" t="str">
        <f t="shared" si="24"/>
        <v>Baden Badener TOP</v>
      </c>
      <c r="X344" s="255" t="str">
        <f t="shared" si="24"/>
        <v>Concordia Sorglos</v>
      </c>
      <c r="Y344" s="255" t="str">
        <f t="shared" si="24"/>
        <v>Debeka Basis</v>
      </c>
      <c r="Z344" s="255" t="str">
        <f t="shared" si="24"/>
        <v>Debeka Standard</v>
      </c>
      <c r="AA344" s="255" t="str">
        <f t="shared" si="24"/>
        <v>Debeka Top</v>
      </c>
      <c r="AB344" s="255" t="str">
        <f t="shared" si="24"/>
        <v>die Bayerische (Komfort)</v>
      </c>
      <c r="AC344" s="255" t="str">
        <f t="shared" si="24"/>
        <v>die Bayerische (Prestige)</v>
      </c>
      <c r="AD344" s="255" t="str">
        <f t="shared" si="24"/>
        <v>die Bayerische (Smart)</v>
      </c>
      <c r="AE344" s="255" t="str">
        <f t="shared" si="24"/>
        <v>Domcura Komfort
(Stand 2014-10)</v>
      </c>
      <c r="AF344" s="255" t="str">
        <f t="shared" si="24"/>
        <v>Domcura Top
(Stand 2014-10)</v>
      </c>
      <c r="AG344" s="255" t="str">
        <f>AG1</f>
        <v>Domcura Standard
(2016-10-01)</v>
      </c>
      <c r="AH344" s="255" t="str">
        <f>AH1</f>
        <v>Domcura Komfort
(2016-10-01)</v>
      </c>
      <c r="AI344" s="255" t="str">
        <f>AI1</f>
        <v>Domcura Top
(2016-10-01)</v>
      </c>
      <c r="AJ344" s="255" t="str">
        <f t="shared" si="24"/>
        <v>ERGO Hausrat Spezial</v>
      </c>
      <c r="AK344" s="255" t="str">
        <f t="shared" si="24"/>
        <v>Generali Basis</v>
      </c>
      <c r="AL344" s="255" t="str">
        <f t="shared" si="24"/>
        <v>Generali KomfortPlus</v>
      </c>
      <c r="AM344" s="255" t="str">
        <f t="shared" si="24"/>
        <v>Gothaer Top</v>
      </c>
      <c r="AN344" s="255" t="str">
        <f t="shared" si="24"/>
        <v>Gothaer Top Plus</v>
      </c>
      <c r="AO344" s="255" t="str">
        <f t="shared" si="24"/>
        <v>HDI Privatschutz</v>
      </c>
      <c r="AP344" s="255" t="str">
        <f t="shared" si="24"/>
        <v>Helvetia Basis</v>
      </c>
      <c r="AQ344" s="255" t="str">
        <f t="shared" si="24"/>
        <v>Helvetia Komfort</v>
      </c>
      <c r="AR344" s="255" t="str">
        <f t="shared" si="24"/>
        <v>HFK Rundumschutz</v>
      </c>
      <c r="AS344" s="255" t="str">
        <f t="shared" si="24"/>
        <v>HKD Einfach Gut</v>
      </c>
      <c r="AT344" s="255" t="str">
        <f t="shared" si="24"/>
        <v>HKD Einfach Besser</v>
      </c>
      <c r="AU344" s="255" t="str">
        <f t="shared" si="24"/>
        <v>HKD Einfach Komplett</v>
      </c>
      <c r="AV344" s="255" t="str">
        <f t="shared" si="24"/>
        <v>HUK Classic</v>
      </c>
      <c r="AW344" s="255" t="str">
        <f t="shared" si="24"/>
        <v>HUK Plus</v>
      </c>
      <c r="AX344" s="255" t="str">
        <f t="shared" si="24"/>
        <v>Ideal Exklusiv</v>
      </c>
      <c r="AY344" s="255" t="str">
        <f t="shared" si="24"/>
        <v>Ideal Klassik</v>
      </c>
      <c r="AZ344" s="255" t="str">
        <f t="shared" si="24"/>
        <v>InterRisk L</v>
      </c>
      <c r="BA344" s="255" t="str">
        <f t="shared" si="24"/>
        <v>InterRisk XL</v>
      </c>
      <c r="BB344" s="255" t="str">
        <f t="shared" si="24"/>
        <v>InterRisk XXL</v>
      </c>
      <c r="BC344" s="255" t="str">
        <f t="shared" si="24"/>
        <v>ITL afm Eurosecure Plus</v>
      </c>
      <c r="BD344" s="255" t="str">
        <f>BD1</f>
        <v>ITL Eurosecure Plus afm
Stand 2013-08</v>
      </c>
      <c r="BE344" s="255" t="str">
        <f t="shared" si="24"/>
        <v>ITL afm Infinitus</v>
      </c>
      <c r="BF344" s="255" t="str">
        <f>BF1</f>
        <v>ITL Infinitus
Stand 2013-08</v>
      </c>
      <c r="BG344" s="255" t="str">
        <f t="shared" si="24"/>
        <v>ITL afm Protect Plus</v>
      </c>
      <c r="BH344" s="255" t="str">
        <f>BH1</f>
        <v>ITL Protect Plus afm
Stand 2013-08</v>
      </c>
      <c r="BI344" s="255" t="str">
        <f>BI1</f>
        <v>ITL Classic
Stand 2013-08</v>
      </c>
      <c r="BJ344" s="255" t="str">
        <f t="shared" si="24"/>
        <v>ITL Classic</v>
      </c>
      <c r="BK344" s="255" t="str">
        <f t="shared" si="24"/>
        <v>Janitos Balance</v>
      </c>
      <c r="BL344" s="255" t="str">
        <f t="shared" si="24"/>
        <v>Janitos Best Selection</v>
      </c>
      <c r="BM344" s="255" t="str">
        <f t="shared" si="24"/>
        <v>Keine</v>
      </c>
      <c r="BN344" s="255" t="str">
        <f t="shared" si="24"/>
        <v>Nürnberger KomplettSchutz</v>
      </c>
      <c r="BO344" s="255" t="str">
        <f t="shared" si="24"/>
        <v>NV Premium. 2.0</v>
      </c>
      <c r="BP344" s="255" t="str">
        <f t="shared" si="24"/>
        <v>Prokundo ExklusivPaket</v>
      </c>
      <c r="BQ344" s="255" t="str">
        <f t="shared" si="24"/>
        <v>Prokundo Komfort</v>
      </c>
      <c r="BR344" s="255" t="str">
        <f t="shared" si="24"/>
        <v>Provinzial Kompakt</v>
      </c>
      <c r="BS344" s="255" t="str">
        <f t="shared" si="24"/>
        <v>Provinzial Rundum inkl. Plus</v>
      </c>
      <c r="BT344" s="255" t="str">
        <f t="shared" si="24"/>
        <v>Provinzial Rundumschutz</v>
      </c>
      <c r="BU344" s="255" t="str">
        <f t="shared" si="24"/>
        <v>R+V PrivatPolice</v>
      </c>
      <c r="BV344" s="255" t="str">
        <f t="shared" si="24"/>
        <v>SLP Prima</v>
      </c>
      <c r="BW344" s="255" t="str">
        <f t="shared" si="24"/>
        <v>SLP Prima Plus</v>
      </c>
      <c r="BX344" s="255" t="str">
        <f t="shared" si="24"/>
        <v>VdVA Classic</v>
      </c>
      <c r="BY344" s="255" t="str">
        <f t="shared" si="24"/>
        <v>VdVA Exclusiv</v>
      </c>
      <c r="BZ344" s="255" t="str">
        <f t="shared" si="24"/>
        <v>VGH Standard</v>
      </c>
      <c r="CA344" s="255" t="str">
        <f>CA1</f>
        <v>VHV Klassik Garant
(Stand 2015-04)</v>
      </c>
      <c r="CB344" s="255" t="str">
        <f>CB1</f>
        <v>VHV Klassik Garant Exkl.
(Stand 2015-04)</v>
      </c>
      <c r="CC344" s="255" t="str">
        <f t="shared" ref="CC344:CF344" si="25">CC1</f>
        <v>VWB Komfort</v>
      </c>
      <c r="CD344" s="255" t="str">
        <f t="shared" si="25"/>
        <v>VWB Komfort Plus</v>
      </c>
      <c r="CE344" s="255" t="str">
        <f t="shared" si="25"/>
        <v>WÜBA Plus</v>
      </c>
      <c r="CF344" s="255" t="str">
        <f t="shared" si="25"/>
        <v>Zurich Maklerkonzept</v>
      </c>
    </row>
    <row r="345" spans="1:84" ht="18">
      <c r="A345" s="6"/>
      <c r="B345" s="6"/>
      <c r="C345" s="36" t="s">
        <v>5205</v>
      </c>
      <c r="D345" s="36" t="s">
        <v>5205</v>
      </c>
      <c r="E345" s="36" t="s">
        <v>4168</v>
      </c>
      <c r="F345" s="36" t="s">
        <v>4168</v>
      </c>
      <c r="G345" s="36" t="s">
        <v>5757</v>
      </c>
      <c r="H345" s="36" t="s">
        <v>5757</v>
      </c>
      <c r="I345" s="36" t="s">
        <v>8907</v>
      </c>
      <c r="J345" s="36" t="s">
        <v>6290</v>
      </c>
      <c r="K345" s="36" t="s">
        <v>8909</v>
      </c>
      <c r="L345" s="36" t="s">
        <v>8908</v>
      </c>
      <c r="M345" s="36" t="s">
        <v>6290</v>
      </c>
      <c r="N345" s="36" t="s">
        <v>8910</v>
      </c>
      <c r="O345" s="36" t="s">
        <v>6283</v>
      </c>
      <c r="P345" s="36" t="s">
        <v>8912</v>
      </c>
      <c r="Q345" s="36" t="s">
        <v>9345</v>
      </c>
      <c r="R345" s="36" t="s">
        <v>6282</v>
      </c>
      <c r="S345" s="36" t="s">
        <v>8911</v>
      </c>
      <c r="T345" s="36" t="s">
        <v>6293</v>
      </c>
      <c r="U345" s="36" t="s">
        <v>6293</v>
      </c>
      <c r="V345" s="145" t="s">
        <v>6310</v>
      </c>
      <c r="W345" s="7" t="s">
        <v>6295</v>
      </c>
      <c r="X345" s="7" t="s">
        <v>6504</v>
      </c>
      <c r="Y345" s="7" t="s">
        <v>2424</v>
      </c>
      <c r="Z345" s="7" t="s">
        <v>2424</v>
      </c>
      <c r="AA345" s="7" t="s">
        <v>2424</v>
      </c>
      <c r="AB345" s="36" t="s">
        <v>5960</v>
      </c>
      <c r="AC345" s="69" t="s">
        <v>5961</v>
      </c>
      <c r="AD345" s="36" t="s">
        <v>5962</v>
      </c>
      <c r="AE345" s="7" t="s">
        <v>6083</v>
      </c>
      <c r="AF345" s="7" t="s">
        <v>6083</v>
      </c>
      <c r="AG345" s="36" t="s">
        <v>7203</v>
      </c>
      <c r="AH345" s="36" t="s">
        <v>7203</v>
      </c>
      <c r="AI345" s="36" t="s">
        <v>7203</v>
      </c>
      <c r="AJ345" s="7" t="s">
        <v>6133</v>
      </c>
      <c r="AK345" s="36" t="s">
        <v>6296</v>
      </c>
      <c r="AL345" s="36" t="s">
        <v>6296</v>
      </c>
      <c r="AM345" s="36" t="s">
        <v>6298</v>
      </c>
      <c r="AN345" s="36" t="s">
        <v>6298</v>
      </c>
      <c r="AO345" s="36" t="s">
        <v>4206</v>
      </c>
      <c r="AP345" s="36" t="s">
        <v>6327</v>
      </c>
      <c r="AQ345" s="36" t="s">
        <v>6326</v>
      </c>
      <c r="AR345" s="36" t="s">
        <v>4166</v>
      </c>
      <c r="AS345" s="36" t="s">
        <v>6375</v>
      </c>
      <c r="AT345" s="36" t="s">
        <v>6375</v>
      </c>
      <c r="AU345" s="36" t="s">
        <v>6375</v>
      </c>
      <c r="AV345" s="36" t="s">
        <v>6308</v>
      </c>
      <c r="AW345" s="36" t="s">
        <v>6308</v>
      </c>
      <c r="AX345" s="36" t="s">
        <v>6323</v>
      </c>
      <c r="AY345" s="36" t="s">
        <v>6323</v>
      </c>
      <c r="AZ345" s="36" t="s">
        <v>5750</v>
      </c>
      <c r="BA345" s="36" t="s">
        <v>5751</v>
      </c>
      <c r="BB345" s="36" t="s">
        <v>5752</v>
      </c>
      <c r="BC345" s="36" t="s">
        <v>4832</v>
      </c>
      <c r="BD345" s="36" t="s">
        <v>9351</v>
      </c>
      <c r="BE345" s="36" t="s">
        <v>4832</v>
      </c>
      <c r="BF345" s="36" t="s">
        <v>9352</v>
      </c>
      <c r="BG345" s="36" t="s">
        <v>4831</v>
      </c>
      <c r="BH345" s="36" t="s">
        <v>9353</v>
      </c>
      <c r="BI345" s="36" t="s">
        <v>9350</v>
      </c>
      <c r="BJ345" s="36" t="s">
        <v>4831</v>
      </c>
      <c r="BK345" s="36" t="s">
        <v>6139</v>
      </c>
      <c r="BL345" s="36" t="s">
        <v>6139</v>
      </c>
      <c r="BM345" s="38" t="s">
        <v>0</v>
      </c>
      <c r="BN345" s="36" t="s">
        <v>6352</v>
      </c>
      <c r="BO345" s="36"/>
      <c r="BP345" s="36" t="s">
        <v>6377</v>
      </c>
      <c r="BQ345" s="36" t="s">
        <v>6377</v>
      </c>
      <c r="BR345" s="36" t="s">
        <v>5033</v>
      </c>
      <c r="BS345" s="36" t="s">
        <v>5035</v>
      </c>
      <c r="BT345" s="36" t="s">
        <v>5037</v>
      </c>
      <c r="BU345" s="36" t="s">
        <v>5071</v>
      </c>
      <c r="BV345" s="36" t="s">
        <v>6148</v>
      </c>
      <c r="BW345" s="36" t="s">
        <v>6150</v>
      </c>
      <c r="BX345" s="36" t="s">
        <v>6153</v>
      </c>
      <c r="BY345" s="36" t="s">
        <v>6154</v>
      </c>
      <c r="BZ345" s="36" t="s">
        <v>6263</v>
      </c>
      <c r="CA345" s="36" t="s">
        <v>6160</v>
      </c>
      <c r="CB345" s="36" t="s">
        <v>6160</v>
      </c>
      <c r="CC345" s="36" t="s">
        <v>2079</v>
      </c>
      <c r="CD345" s="36" t="s">
        <v>2079</v>
      </c>
      <c r="CE345" s="36" t="s">
        <v>3203</v>
      </c>
      <c r="CF345" s="36" t="s">
        <v>5045</v>
      </c>
    </row>
    <row r="346" spans="1:84" ht="18">
      <c r="A346" s="31"/>
      <c r="B346" s="31"/>
      <c r="C346" s="73"/>
      <c r="D346" s="73"/>
      <c r="E346" s="73" t="s">
        <v>3294</v>
      </c>
      <c r="F346" s="73" t="s">
        <v>4167</v>
      </c>
      <c r="G346" s="73" t="s">
        <v>65</v>
      </c>
      <c r="H346" s="73" t="s">
        <v>65</v>
      </c>
      <c r="I346" s="73"/>
      <c r="J346" s="73" t="s">
        <v>5798</v>
      </c>
      <c r="K346" s="73"/>
      <c r="L346" s="73"/>
      <c r="M346" s="73" t="s">
        <v>5798</v>
      </c>
      <c r="N346" s="73"/>
      <c r="O346" s="73" t="s">
        <v>5798</v>
      </c>
      <c r="P346" s="73"/>
      <c r="Q346" s="73"/>
      <c r="R346" s="73" t="s">
        <v>5798</v>
      </c>
      <c r="S346" s="73"/>
      <c r="T346" s="73"/>
      <c r="U346" s="73"/>
      <c r="V346" s="31"/>
      <c r="W346" s="73"/>
      <c r="X346" s="73"/>
      <c r="Y346" s="73"/>
      <c r="Z346" s="73"/>
      <c r="AA346" s="73"/>
      <c r="AB346" s="73"/>
      <c r="AC346" s="73"/>
      <c r="AD346" s="73"/>
      <c r="AE346" s="73"/>
      <c r="AF346" s="73"/>
      <c r="AG346" s="73"/>
      <c r="AH346" s="73"/>
      <c r="AI346" s="73"/>
      <c r="AJ346" s="73" t="s">
        <v>6134</v>
      </c>
      <c r="AK346" s="73"/>
      <c r="AL346" s="73"/>
      <c r="AM346" s="73"/>
      <c r="AN346" s="73"/>
      <c r="AO346" s="73"/>
      <c r="AP346" s="73"/>
      <c r="AQ346" s="73"/>
      <c r="AR346" s="73"/>
      <c r="AS346" s="73"/>
      <c r="AT346" s="73"/>
      <c r="AU346" s="73"/>
      <c r="AV346" s="73"/>
      <c r="AW346" s="73"/>
      <c r="AX346" s="73"/>
      <c r="AY346" s="73"/>
      <c r="AZ346" s="73" t="s">
        <v>65</v>
      </c>
      <c r="BA346" s="73" t="s">
        <v>65</v>
      </c>
      <c r="BB346" s="73" t="s">
        <v>65</v>
      </c>
      <c r="BC346" s="73" t="s">
        <v>65</v>
      </c>
      <c r="BD346" s="73"/>
      <c r="BE346" s="73" t="s">
        <v>65</v>
      </c>
      <c r="BF346" s="73"/>
      <c r="BG346" s="73" t="s">
        <v>65</v>
      </c>
      <c r="BH346" s="73"/>
      <c r="BI346" s="73"/>
      <c r="BJ346" s="73" t="s">
        <v>65</v>
      </c>
      <c r="BK346" s="73" t="s">
        <v>65</v>
      </c>
      <c r="BL346" s="73" t="s">
        <v>65</v>
      </c>
      <c r="BM346" s="73" t="s">
        <v>65</v>
      </c>
      <c r="BN346" s="73"/>
      <c r="BO346" s="73"/>
      <c r="BP346" s="73" t="s">
        <v>6378</v>
      </c>
      <c r="BQ346" s="73" t="s">
        <v>6378</v>
      </c>
      <c r="BR346" s="73" t="s">
        <v>5032</v>
      </c>
      <c r="BS346" s="73" t="s">
        <v>5034</v>
      </c>
      <c r="BT346" s="73" t="s">
        <v>5036</v>
      </c>
      <c r="BU346" s="73" t="s">
        <v>65</v>
      </c>
      <c r="BV346" s="73"/>
      <c r="BW346" s="73"/>
      <c r="BX346" s="73"/>
      <c r="BY346" s="73"/>
      <c r="BZ346" s="73"/>
      <c r="CA346" s="73" t="s">
        <v>65</v>
      </c>
      <c r="CB346" s="73" t="s">
        <v>65</v>
      </c>
      <c r="CC346" s="73" t="s">
        <v>65</v>
      </c>
      <c r="CD346" s="73" t="s">
        <v>65</v>
      </c>
      <c r="CE346" s="73" t="s">
        <v>65</v>
      </c>
      <c r="CF346" s="178" t="s">
        <v>5044</v>
      </c>
    </row>
    <row r="347" spans="1:84" ht="18">
      <c r="A347" s="94" t="s">
        <v>3183</v>
      </c>
      <c r="B347" s="94"/>
      <c r="C347" s="99" t="s">
        <v>6288</v>
      </c>
      <c r="D347" s="99" t="s">
        <v>6288</v>
      </c>
      <c r="E347" s="99" t="s">
        <v>6288</v>
      </c>
      <c r="F347" s="99" t="s">
        <v>6288</v>
      </c>
      <c r="G347" s="99" t="s">
        <v>6289</v>
      </c>
      <c r="H347" s="99" t="s">
        <v>6289</v>
      </c>
      <c r="I347" s="99" t="s">
        <v>8520</v>
      </c>
      <c r="J347" s="99" t="s">
        <v>6289</v>
      </c>
      <c r="K347" s="99" t="s">
        <v>8520</v>
      </c>
      <c r="L347" s="99" t="s">
        <v>8520</v>
      </c>
      <c r="M347" s="99" t="s">
        <v>6289</v>
      </c>
      <c r="N347" s="99" t="s">
        <v>8520</v>
      </c>
      <c r="O347" s="99" t="s">
        <v>6289</v>
      </c>
      <c r="P347" s="99" t="s">
        <v>8701</v>
      </c>
      <c r="Q347" s="99" t="s">
        <v>9126</v>
      </c>
      <c r="R347" s="99" t="s">
        <v>6289</v>
      </c>
      <c r="S347" s="99" t="s">
        <v>8520</v>
      </c>
      <c r="T347" s="99" t="s">
        <v>6294</v>
      </c>
      <c r="U347" s="99" t="s">
        <v>6294</v>
      </c>
      <c r="V347" s="99" t="s">
        <v>6291</v>
      </c>
      <c r="W347" s="99" t="s">
        <v>6294</v>
      </c>
      <c r="X347" s="99" t="s">
        <v>6502</v>
      </c>
      <c r="Y347" s="99" t="s">
        <v>6294</v>
      </c>
      <c r="Z347" s="99" t="s">
        <v>6294</v>
      </c>
      <c r="AA347" s="99" t="s">
        <v>6294</v>
      </c>
      <c r="AB347" s="99" t="s">
        <v>6294</v>
      </c>
      <c r="AC347" s="99" t="s">
        <v>6294</v>
      </c>
      <c r="AD347" s="99" t="s">
        <v>6294</v>
      </c>
      <c r="AE347" s="99" t="s">
        <v>6294</v>
      </c>
      <c r="AF347" s="99" t="s">
        <v>6294</v>
      </c>
      <c r="AG347" s="99" t="s">
        <v>7202</v>
      </c>
      <c r="AH347" s="99" t="s">
        <v>7202</v>
      </c>
      <c r="AI347" s="99" t="s">
        <v>7202</v>
      </c>
      <c r="AJ347" s="99" t="s">
        <v>6294</v>
      </c>
      <c r="AK347" s="99" t="s">
        <v>6297</v>
      </c>
      <c r="AL347" s="99" t="s">
        <v>6297</v>
      </c>
      <c r="AM347" s="99" t="s">
        <v>6297</v>
      </c>
      <c r="AN347" s="99" t="s">
        <v>6297</v>
      </c>
      <c r="AO347" s="99" t="s">
        <v>6297</v>
      </c>
      <c r="AP347" s="99" t="s">
        <v>6350</v>
      </c>
      <c r="AQ347" s="99" t="s">
        <v>6350</v>
      </c>
      <c r="AR347" s="99" t="s">
        <v>5030</v>
      </c>
      <c r="AS347" s="99" t="s">
        <v>6376</v>
      </c>
      <c r="AT347" s="99" t="s">
        <v>6376</v>
      </c>
      <c r="AU347" s="99" t="s">
        <v>6376</v>
      </c>
      <c r="AV347" s="99" t="s">
        <v>6309</v>
      </c>
      <c r="AW347" s="99" t="s">
        <v>6309</v>
      </c>
      <c r="AX347" s="99" t="s">
        <v>6322</v>
      </c>
      <c r="AY347" s="99" t="s">
        <v>6322</v>
      </c>
      <c r="AZ347" s="99" t="s">
        <v>6322</v>
      </c>
      <c r="BA347" s="99" t="s">
        <v>6322</v>
      </c>
      <c r="BB347" s="99" t="s">
        <v>6322</v>
      </c>
      <c r="BC347" s="99" t="s">
        <v>6322</v>
      </c>
      <c r="BD347" s="99" t="s">
        <v>7684</v>
      </c>
      <c r="BE347" s="99" t="s">
        <v>6322</v>
      </c>
      <c r="BF347" s="99" t="s">
        <v>7684</v>
      </c>
      <c r="BG347" s="99" t="s">
        <v>6322</v>
      </c>
      <c r="BH347" s="99" t="s">
        <v>7916</v>
      </c>
      <c r="BI347" s="99" t="s">
        <v>7916</v>
      </c>
      <c r="BJ347" s="99" t="s">
        <v>6322</v>
      </c>
      <c r="BK347" s="99" t="s">
        <v>6324</v>
      </c>
      <c r="BL347" s="99" t="s">
        <v>6324</v>
      </c>
      <c r="BM347" s="83" t="s">
        <v>0</v>
      </c>
      <c r="BN347" s="99" t="s">
        <v>6350</v>
      </c>
      <c r="BO347" s="99"/>
      <c r="BP347" s="99" t="s">
        <v>6379</v>
      </c>
      <c r="BQ347" s="99" t="s">
        <v>6379</v>
      </c>
      <c r="BR347" s="99" t="s">
        <v>6380</v>
      </c>
      <c r="BS347" s="99" t="s">
        <v>6380</v>
      </c>
      <c r="BT347" s="99" t="s">
        <v>6380</v>
      </c>
      <c r="BU347" s="99" t="s">
        <v>6380</v>
      </c>
      <c r="BV347" s="99" t="s">
        <v>6147</v>
      </c>
      <c r="BW347" s="99" t="s">
        <v>6147</v>
      </c>
      <c r="BX347" s="99" t="s">
        <v>6155</v>
      </c>
      <c r="BY347" s="99" t="s">
        <v>6155</v>
      </c>
      <c r="BZ347" s="99" t="s">
        <v>6264</v>
      </c>
      <c r="CA347" s="99" t="s">
        <v>6155</v>
      </c>
      <c r="CB347" s="99" t="s">
        <v>6155</v>
      </c>
      <c r="CC347" s="99" t="s">
        <v>5030</v>
      </c>
      <c r="CD347" s="99" t="s">
        <v>5030</v>
      </c>
      <c r="CE347" s="99" t="s">
        <v>5030</v>
      </c>
      <c r="CF347" s="99" t="s">
        <v>5030</v>
      </c>
    </row>
    <row r="348" spans="1:84">
      <c r="A348" s="12" t="s">
        <v>6722</v>
      </c>
      <c r="B348" s="202"/>
      <c r="C348" s="202"/>
      <c r="D348" s="202"/>
      <c r="E348" s="202"/>
      <c r="F348" s="202"/>
      <c r="G348" s="202"/>
      <c r="H348" s="202"/>
      <c r="I348" s="202" t="s">
        <v>6843</v>
      </c>
      <c r="J348" s="202"/>
      <c r="K348" s="202" t="s">
        <v>6843</v>
      </c>
      <c r="L348" s="202" t="s">
        <v>6843</v>
      </c>
      <c r="M348" s="202"/>
      <c r="N348" s="202" t="s">
        <v>6843</v>
      </c>
      <c r="O348" s="202"/>
      <c r="P348" s="202" t="s">
        <v>6843</v>
      </c>
      <c r="Q348" s="202" t="s">
        <v>6843</v>
      </c>
      <c r="R348" s="202"/>
      <c r="S348" s="202" t="s">
        <v>6843</v>
      </c>
      <c r="T348" s="202"/>
      <c r="U348" s="202"/>
      <c r="V348" s="202"/>
      <c r="W348" s="202"/>
      <c r="X348" s="202"/>
      <c r="Y348" s="202"/>
      <c r="Z348" s="202"/>
      <c r="AA348" s="202"/>
      <c r="AB348" s="202"/>
      <c r="AC348" s="202"/>
      <c r="AD348" s="202"/>
      <c r="AE348" s="202"/>
      <c r="AF348" s="202"/>
      <c r="AG348" s="202" t="s">
        <v>6843</v>
      </c>
      <c r="AH348" s="202" t="s">
        <v>6843</v>
      </c>
      <c r="AI348" s="202" t="s">
        <v>6843</v>
      </c>
      <c r="AJ348" s="202"/>
      <c r="AK348" s="202"/>
      <c r="AL348" s="202"/>
      <c r="AM348" s="202"/>
      <c r="AN348" s="203"/>
      <c r="AO348" s="203"/>
      <c r="AP348" s="203"/>
      <c r="AQ348" s="204"/>
      <c r="AR348" s="203"/>
      <c r="AS348" s="203"/>
      <c r="AT348" s="203"/>
      <c r="AU348" s="203"/>
      <c r="AV348" s="203"/>
      <c r="AW348" s="203"/>
      <c r="AX348" s="203"/>
      <c r="AY348" s="203"/>
      <c r="AZ348" s="203"/>
      <c r="BA348" s="203"/>
      <c r="BB348" s="203"/>
      <c r="BC348" s="203"/>
      <c r="BD348" s="202" t="s">
        <v>6843</v>
      </c>
      <c r="BE348" s="203"/>
      <c r="BF348" s="202" t="s">
        <v>6843</v>
      </c>
      <c r="BG348" s="203"/>
      <c r="BH348" s="202" t="s">
        <v>6843</v>
      </c>
      <c r="BI348" s="202" t="s">
        <v>6843</v>
      </c>
      <c r="BJ348" s="203"/>
      <c r="BK348" s="203"/>
      <c r="BL348" s="203"/>
      <c r="BM348" s="203"/>
      <c r="BN348" s="203"/>
      <c r="BO348" s="203"/>
      <c r="BP348" s="203"/>
      <c r="BQ348" s="203"/>
      <c r="BR348" s="203"/>
      <c r="BS348" s="203"/>
      <c r="BT348" s="203"/>
      <c r="BU348" s="203"/>
      <c r="BV348" s="203"/>
      <c r="BW348" s="203"/>
      <c r="BX348" s="203"/>
      <c r="BY348" s="203"/>
      <c r="BZ348" s="203"/>
      <c r="CA348" s="203"/>
      <c r="CB348" s="203"/>
      <c r="CC348" s="203"/>
      <c r="CD348" s="203"/>
      <c r="CE348" s="203"/>
      <c r="CF348" s="203"/>
    </row>
    <row r="349" spans="1:84">
      <c r="AP349" s="78"/>
      <c r="AQ349" s="78"/>
      <c r="BC349" s="78"/>
      <c r="BE349" s="78"/>
      <c r="BG349" s="78"/>
      <c r="BJ349" s="78"/>
      <c r="BK349" s="78"/>
      <c r="BL349" s="78"/>
      <c r="BM349" s="78"/>
      <c r="BN349" s="78"/>
      <c r="BO349" s="78"/>
      <c r="BR349" s="78"/>
      <c r="BS349" s="78"/>
      <c r="BT349" s="78"/>
      <c r="BU349" s="161"/>
      <c r="BV349" s="161"/>
      <c r="BW349" s="78"/>
      <c r="BX349" s="78"/>
      <c r="BY349" s="78"/>
      <c r="BZ349" s="78"/>
      <c r="CA349" s="9"/>
      <c r="CB349" s="9"/>
      <c r="CC349" s="9"/>
      <c r="CD349" s="9"/>
      <c r="CE349" s="9"/>
      <c r="CF349" s="179"/>
    </row>
    <row r="350" spans="1:84">
      <c r="CA350" s="79"/>
      <c r="CB350" s="79"/>
      <c r="CC350" s="79"/>
      <c r="CD350" s="79"/>
      <c r="CE350" s="79"/>
      <c r="CF350" s="180"/>
    </row>
    <row r="351" spans="1:84" ht="90">
      <c r="A351" s="267" t="s">
        <v>6960</v>
      </c>
      <c r="I351" s="23" t="s">
        <v>8233</v>
      </c>
      <c r="K351" s="23" t="s">
        <v>8233</v>
      </c>
      <c r="L351" s="23" t="s">
        <v>8233</v>
      </c>
      <c r="N351" s="23" t="s">
        <v>8233</v>
      </c>
      <c r="P351" s="23" t="s">
        <v>8233</v>
      </c>
      <c r="Q351" s="73"/>
      <c r="S351" s="23" t="s">
        <v>8233</v>
      </c>
    </row>
    <row r="352" spans="1:84" ht="90">
      <c r="Q352" s="23" t="s">
        <v>8233</v>
      </c>
    </row>
    <row r="354" spans="1:61">
      <c r="A354" s="5" t="s">
        <v>8686</v>
      </c>
      <c r="BD354" s="149"/>
      <c r="BF354" s="149"/>
      <c r="BH354" s="149"/>
    </row>
    <row r="355" spans="1:61" ht="36">
      <c r="Q355" s="73" t="s">
        <v>9134</v>
      </c>
      <c r="BD355" s="324"/>
      <c r="BF355" s="324"/>
      <c r="BH355" s="324"/>
      <c r="BI355" s="149"/>
    </row>
    <row r="356" spans="1:61">
      <c r="Q356" s="324" t="s">
        <v>57</v>
      </c>
      <c r="BI356" s="324"/>
    </row>
    <row r="357" spans="1:61">
      <c r="Q357" s="84" t="s">
        <v>9773</v>
      </c>
    </row>
  </sheetData>
  <conditionalFormatting sqref="K72 K263 K241 K255 K243 K235 K91 K4 K2 K105 K167 K113 K62 K16 K259 K269 K261 K247 K265 K175 K193 K257 K237 K239 K251 K337 K253 K197 K195 K117 K68 K64 K60 K56 K50 K52 K54 K48 K46 K44 K40 K36 K32 K22 K20 K24 K28 K26 K345 K231 K223 K84 K10 K8 K6 K219 K14 K143 K217 K82 K38 K76 K227 K171 K249 K34 K211 K221 K207 K203 K189 K86 K95 K165 K162 K160 K158 K145 K139 K137 K131 K127 K133 K125 K123 K121 K119 K213 K209 K181 K179 K78 K135 K129 K183 K201 K99 K103 K101 K12 K93 K152 K97 K111 K199 K215 K70 K150 K154 K156 K141 K42 K271 K285 K281 K66 K74 K107 K109 K185 K187 K191 K205 K245 K30 K229">
    <cfRule type="containsBlanks" dxfId="28" priority="3103" stopIfTrue="1">
      <formula>LEN(TRIM(N2))=0</formula>
    </cfRule>
  </conditionalFormatting>
  <conditionalFormatting sqref="L245 L205 L191 L187 L185 L109 L107 L74 L66 L281 L285 L271 L42 L141 L156 L154 L150 L70 L215 L199 L111 L97 L152 L93 L12 L101 L103 L99 L201 L183 L129 L135 L78 L179 L181 L209 L213 L119 L121 L123 L125 L133 L127 L131 L137 L139 L145 L158 L160 L162 L165 L95 L86 L189 L203 L207 L221 L211 L34 L249 L171 L227 L76 L38 L82 L217 L143 L14 L219 L6 L8 L10 L84 L223 L231 L345 L26 L28 L24 L20 L22 L32 L36 L40 L44 L46 L48 L54 L52 L50 L56 L60 L64 L68 L117 L195 L197 L253 L337 L251 L239 L237 L257 L193 L175 L265 L247 L261 L269 L259 L16 L62 L113 L167 L105 L2 L4 L91 L235 L243 L255 L241 L263 L72 L229 L30">
    <cfRule type="containsBlanks" dxfId="27" priority="3482" stopIfTrue="1">
      <formula>LEN(TRIM(P2))=0</formula>
    </cfRule>
  </conditionalFormatting>
  <conditionalFormatting sqref="K339">
    <cfRule type="containsBlanks" dxfId="26" priority="18" stopIfTrue="1">
      <formula>LEN(TRIM(N339))=0</formula>
    </cfRule>
  </conditionalFormatting>
  <conditionalFormatting sqref="L339">
    <cfRule type="containsBlanks" dxfId="25" priority="19" stopIfTrue="1">
      <formula>LEN(TRIM(P339))=0</formula>
    </cfRule>
  </conditionalFormatting>
  <conditionalFormatting sqref="K341">
    <cfRule type="containsBlanks" dxfId="24" priority="12" stopIfTrue="1">
      <formula>LEN(TRIM(N341))=0</formula>
    </cfRule>
  </conditionalFormatting>
  <conditionalFormatting sqref="L341">
    <cfRule type="containsBlanks" dxfId="23" priority="13" stopIfTrue="1">
      <formula>LEN(TRIM(P341))=0</formula>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containsBlanks" priority="34" stopIfTrue="1" id="{C19F7873-F751-4C8B-BA46-FE3C59A33C47}">
            <xm:f>LEN(TRIM('HSR-Daten'!AA2))=0</xm:f>
            <x14:dxf>
              <fill>
                <patternFill>
                  <bgColor theme="0" tint="-4.9989318521683403E-2"/>
                </patternFill>
              </fill>
            </x14:dxf>
          </x14:cfRule>
          <xm:sqref>AH345:AI345 AH257:AI257 AH193:AI193 AH175:AI175 AH265:AI265 AH247:AI247 AH261:AI261 AH269:AI269 AH259:AI259 AH16:AI16 AH62:AI62 AH113:AI113 AH167:AI167 AH105:AI105 AH2:AI2 AH4:AI4 AH6:AI6 AH10:AI10 AH12:AI12 AH14:AI14 AH24:AI24 AH20:AI20 AH22:AI22 AH32:AI32 AH36:AI36 AH38:AI38 AH40:AI40 AH42:AI42 AH44:AI44 AH46:AI46 AH48:AI48 AH54:AI54 AH52:AI52 AH50:AI50 AH56:AI56 AH60:AI60 AH64:AI64 AH68:AI68 AH70:AI70 AH74:AI74 AH78:AI78 AH76:AI76 AH82:AI82 AH84:AI84 AH86:AI86 AH91:AI91 AH93:AI93 AH95:AI95 AH97:AI97 AH99:AI99 AH101:AI101 AH103:AI103 AH107:AI107 AH109:AI109 AH111:AI111 AH117:AI117 AH139:AI139 AH137:AI137 AH131:AI131 AH127:AI127 AH133:AI133 AH125:AI125 AH123:AI123 AH121:AI121 AH119:AI119 AH135:AI135 AH129:AI129 AH141:AI141 AH165:AI165 AH162:AI162 AH160:AI160 AH158:AI158 AH145:AI145 AH152:AI152 AH150:AI150 AH154:AI154 AH156:AI156 AH30:AI30 AH189:AI189 AH181:AI181 AH179:AI179 AH183:AI183 AH185:AI185 AH187:AI187 AH195:AI195 AH197:AI197 AH199:AI199 AH201:AI201 AH207:AI207 AH209:AI209 AH211:AI211 AH213:AI213 AH215:AI215 AH217:AI217 AH219:AI219 AH221:AI221 AH227:AI227 AH235:AI235 AH239:AI239 AH237:AI237 AH337:AI337 AH245:AI245 AH243:AI243 AH249:AI249 AH251:AI251 AH253:AI253 AH255:AI255 AH241:AI241 AH263:AI263 AH271:AI271 AH281:AI281 AH285:AI285 AH34:AI34 AH8:AI8 AH28:AI28 AH26:AI26 AH143:AI143 AH171:AI171 AH223:AI223 AH231:AI231 AH229:AI229 AH205:AI205 AH203:AI203 AH66:AI66 AH191:AI191 AH72:AI72</xm:sqref>
        </x14:conditionalFormatting>
        <x14:conditionalFormatting xmlns:xm="http://schemas.microsoft.com/office/excel/2006/main">
          <x14:cfRule type="containsBlanks" priority="2724" stopIfTrue="1" id="{C19F7873-F751-4C8B-BA46-FE3C59A33C47}">
            <xm:f>LEN(TRIM('HSR-Daten'!P2))=0</xm:f>
            <x14:dxf>
              <fill>
                <patternFill>
                  <bgColor theme="0" tint="-4.9989318521683403E-2"/>
                </patternFill>
              </fill>
            </x14:dxf>
          </x14:cfRule>
          <xm:sqref>AG345 AG257 AG193 AG175 AG265 AG247 AG261 AG269 AG259 AG16 AG62 AG113 AG167 AG105 AG2 AG4 AG6 AG10 AG12 AG14 AG24 AG20 AG22 AG32 AG36 AG38 AG40 AG42 AG44 AG46 AG48 AG54 AG52 AG50 AG56 AG60 AG64 AG68 AG70 AG74 AG78 AG76 AG82 AG84 AG86 AG91 AG93 AG95 AG97 AG99 AG101 AG103 AG107 AG109 AG111 AG117 AG139 AG137 AG131 AG127 AG133 AG125 AG123 AG121 AG119 AG135 AG129 AG141 AG165 AG162 AG160 AG158 AG145 AG152 AG150 AG154 AG156 AG30 AG189 AG181 AG179 AG183 AG185 AG187 AG195 AG197 AG199 AG201 AG207 AG209 AG211 AG213 AG215 AG217 AG219 AG221 AG227 AG235 AG239 AG237 AG337 AG245 AG243 AG249 AG251 AG253 AG255 AG241 AG263 AG271 AG281 AG285 AG34 AG8 AG28 AG26 AG143 AG171 AG223 AG231 AG229 AG205 AG203 AG66 AG191 AG72</xm:sqref>
        </x14:conditionalFormatting>
        <x14:conditionalFormatting xmlns:xm="http://schemas.microsoft.com/office/excel/2006/main">
          <x14:cfRule type="containsBlanks" priority="16" stopIfTrue="1" id="{F6622949-81D6-4201-8FFD-5BAB4ABB765B}">
            <xm:f>LEN(TRIM('HSR-Daten'!AA341))=0</xm:f>
            <x14:dxf>
              <fill>
                <patternFill>
                  <bgColor theme="0" tint="-4.9989318521683403E-2"/>
                </patternFill>
              </fill>
            </x14:dxf>
          </x14:cfRule>
          <xm:sqref>AH339:AI339 AH341:AI341</xm:sqref>
        </x14:conditionalFormatting>
        <x14:conditionalFormatting xmlns:xm="http://schemas.microsoft.com/office/excel/2006/main">
          <x14:cfRule type="containsBlanks" priority="17" stopIfTrue="1" id="{166FFB8B-2DDB-4EE1-A75C-205EBFCE07C3}">
            <xm:f>LEN(TRIM('HSR-Daten'!P341))=0</xm:f>
            <x14:dxf>
              <fill>
                <patternFill>
                  <bgColor theme="0" tint="-4.9989318521683403E-2"/>
                </patternFill>
              </fill>
            </x14:dxf>
          </x14:cfRule>
          <xm:sqref>AG339 AG341</xm:sqref>
        </x14:conditionalFormatting>
        <x14:conditionalFormatting xmlns:xm="http://schemas.microsoft.com/office/excel/2006/main">
          <x14:cfRule type="containsBlanks" priority="8" stopIfTrue="1" id="{3A135F36-AAF3-4572-B278-B791FAA781B2}">
            <xm:f>LEN(TRIM('HSR-Daten'!K2))=0</xm:f>
            <x14:dxf>
              <fill>
                <patternFill>
                  <bgColor theme="0" tint="-4.9989318521683403E-2"/>
                </patternFill>
              </fill>
            </x14:dxf>
          </x14:cfRule>
          <xm:sqref>BF257 BF259 BF78 BF10 BF12 BF281 BF285 BF86 BF84 BF76 BF237 BF235 BF223 BF227 BF229 BF221 BF219 BF213 BF215 BF211 BF203 BF205 BF199 BF195 BF197 BF191 BF181 BF183 BF189 BF185 BF187 BF179 BF154 BF28 BF24 BF22 BF20 BF103 BF60 BF44 BF48 BF50 BF56 BF66 BF54 BF52 BF42 BF46 BF150 BF105 BF160 BF162 BF165 BF34 BF64 BF345 BF111 BF249 BF74 BF209 BF70 BF82 BF339 BF341 BF72 BF243 BF241 BF201 BF231 BF253 BF337 BF217 BF265 BF263 BF26 BF239 BF14 BF16 BF8 BF6 BF207 BF251 BF156 BF152 BF171 BF141 BF101 BF4 BF30 BF32 BF36 BF38 BF40 BF68 BF271 BF93 BF97 BF95 BF99 BF131 BF117 BF129 BF123 BF121 BF119 BF127 BF125 BF133 BF137 BF139 BF135 BF145 BF158 BF62 BF193 BF143 BF175 BF247 BF269 BF113 BF167 BF109 BF2 BF245 BF255 BF261 BF107 BH107 BH181 BH183 BH189 BH185 BH187 BH213 BH215 BH223 BH227 BH229 BH150 BH154 BH24 BH46 BH42 BH52 BH54 BH38 BH4 BH339 BH97 BH99 BH109 BH179 BH199 BH203 BH205 BH191 BH211 BH221 BH219 BH235 BH195 BH197 BH237 BH133 BH131 BH117 BH137 BH129 BH123 BH121 BH119 BH139 BH127 BH135 BH125 BH158 BH145 BH95 BH93 BH32 BH66 BH68 BH12 BH10 BH2 BH22 BH20 BH30 BH28 BH36 BH40 BH56 BH50 BH48 BH44 BH60 BH76 BH78 BH86 BH103 BH255 BH271 BH281 BH285 BH245 BH84 BH257 BH259 BH261 BH101 BH105 BH141 BH171 BH152 BH156 BH160 BH162 BH165 BH34 BH64 BH345 BH111 BH249 BH74 BH251 BH209 BH207 BH70 BH82 BH6 BH8 BH16 BH341 BH14 BH72 BH243 BH241 BH239 BH26 BH201 BH231 BH253 BH337 BH263 BH265 BH217 BH62 BH193 BH91 BH167 BH113 BH269 BH247 BH175 BH143 S345 S229 S72 S263 S241 S255 S243 S235 S91 S4 S2 S105 S167 S113 S62 S16 S259 S269 S261 S247 S265 S175 S193 S257 S237 S239 S251 S337 S253 S197 S195 S117 S68 S64 S60 S56 S50 S52 S54 S48 S46 S44 S40 S36 S32 S22 S20 S24 S28 S26 S231 S223 S84 S10 S8 S6 S219 S14 S143 S217 S82 S38 S76 S227 S171 S249 S34 S211 S221 S207 S203 S189 S86 S95 S165 S162 S160 S158 S145 S139 S137 S131 S127 S133 S125 S123 S121 S119 S213 S209 S181 S179 S78 S135 S129 S183 S201 S99 S103 S101 S12 S93 S152 S97 S111 S199 S215 S70 S150 S154 S156 S141 S42 S271 S285 S281 S66 S74 S107 S109 S185 S187 S191 S205 S245 S30 N345 N30 N245 N205 N191 N187 N185 N109 N107 N74 N66 N281 N285 N271 N42 N141 N156 N154 N150 N70 N215 N199 N111 N97 N152 N93 N12 N101 N103 N99 N201 N183 N129 N135 N78 N179 N181 N209 N213 N119 N121 N123 N125 N133 N127 N131 N137 N139 N145 N158 N160 N162 N165 N95 N86 N189 N203 N207 N221 N211 N34 N249 N171 N227 N76 N38 N82 N217 N143 N14 N219 N6 N8 N10 N84 N223 N231 N26 N28 N24 N20 N22 N32 N36 N40 N44 N46 N48 N54 N52 N50 N56 N60 N64 N68 N117 N195 N197 N253 N337 N251 N239 N237 N257 N193 N175 N265 N247 N261 N269 N259 N16 N62 N113 N167 N105 N2 N4 N91 N235 N243 N255 N241 N263 N72 N229</xm:sqref>
        </x14:conditionalFormatting>
        <x14:conditionalFormatting xmlns:xm="http://schemas.microsoft.com/office/excel/2006/main">
          <x14:cfRule type="containsBlanks" priority="5009" stopIfTrue="1" id="{3A135F36-AAF3-4572-B278-B791FAA781B2}">
            <xm:f>LEN(TRIM('HSR-Daten'!G2))=0</xm:f>
            <x14:dxf>
              <fill>
                <patternFill>
                  <bgColor theme="0" tint="-4.9989318521683403E-2"/>
                </patternFill>
              </fill>
            </x14:dxf>
          </x14:cfRule>
          <xm:sqref>BD257 P345 P30 P245 P205 P191 P187 P185 P109 P107 P74 P66 P281 P285 P271 P42 P141 P156 P154 P150 P70 P215 P199 P111 P97 P152 P93 P12 P101 P103 P99 P201 P183 P129 P135 P78 P179 P181 P209 P213 P119 P121 P123 P125 P133 P127 P131 P137 P139 P145 P158 P160 P162 P165 P95 P86 P189 P203 P207 P221 P211 P34 P249 P171 P227 P76 P38 P82 P217 P143 P14 P219 P6 P8 P10 P84 P223 P231 P26 P28 P24 P20 P22 P32 P36 P40 P44 P46 P48 P54 P52 P50 P56 P60 P64 P68 P117 P195 P197 P253 P337 P251 P239 P237 P257 P193 P175 P265 P247 P261 P269 P259 P16 P62 P113 P167 P105 P2 P4 P91 P235 P243 P255 P241 P263 P72 P229 I345 I72 I263 I241 I255 I243 I235 I91 I4 I2 I105 I167 I113 I62 I16 I259 I269 I261 I247 I265 I175 I193 I257 I237 I239 I251 I337 I253 I197 I195 I117 I68 I64 I60 I56 I50 I52 I54 I48 I46 I44 I40 I36 I32 I22 I20 I24 I28 I26 I231 I223 I84 I10 I8 I6 I219 I14 I143 I217 I82 I38 I76 I227 I171 I249 I34 I211 I221 I207 I203 I189 I86 I95 I165 I162 I160 I158 I145 I139 I137 I131 I127 I133 I125 I123 I121 I119 I213 I209 I181 I179 I78 I135 I129 I183 I201 I99 I103 I101 I12 I93 I152 I97 I111 I199 I215 I70 I150 I154 I156 I141 I42 I271 I285 I281 I66 I74 I107 I109 I185 I187 I191 I205 I245 I30 I229 BD259 BD78 BD10 BD12 BD281 BD285 BD86 BD84 BD76 BD237 BD235 BD223 BD227 BD229 BD221 BD219 BD213 BD215 BD211 BD203 BD205 BD199 BD195 BD197 BD191 BD181 BD183 BD189 BD185 BD187 BD179 BD154 BD28 BD24 BD22 BD20 BD103 BD60 BD44 BD48 BD50 BD56 BD66 BD54 BD52 BD42 BD46 BD150 BD105 BD160 BD162 BD165 BD34 BD64 BD345 BD111 BD249 BD74 BD209 BD70 BD82 BD339 BD341 BD72 BD243 BD241 BD201 BD231 BD253 BD337 BD217 BD265 BD263 BD26 BD239 BD14 BD16 BD8 BD6 BD207 BD251 BD156 BD152 BD171 BD141 BD101 BD4 BD30 BD32 BD36 BD38 BD40 BD68 BD271 BD93 BD97 BD95 BD99 BD131 BD117 BD129 BD123 BD121 BD119 BD127 BD125 BD133 BD137 BD139 BD135 BD145 BD158 BD62 BD193 BD143 BD175 BD247 BD269 BD113 BD167 BD109 BD2 BD245 BD255 BD261 BD107</xm:sqref>
        </x14:conditionalFormatting>
        <x14:conditionalFormatting xmlns:xm="http://schemas.microsoft.com/office/excel/2006/main">
          <x14:cfRule type="containsBlanks" priority="5640" stopIfTrue="1" id="{F6622949-81D6-4201-8FFD-5BAB4ABB765B}">
            <xm:f>LEN(TRIM('HSR-Daten'!K341))=0</xm:f>
            <x14:dxf>
              <fill>
                <patternFill>
                  <bgColor theme="0" tint="-4.9989318521683403E-2"/>
                </patternFill>
              </fill>
            </x14:dxf>
          </x14:cfRule>
          <xm:sqref>S339 S341 N339 N341</xm:sqref>
        </x14:conditionalFormatting>
        <x14:conditionalFormatting xmlns:xm="http://schemas.microsoft.com/office/excel/2006/main">
          <x14:cfRule type="containsBlanks" priority="6903" stopIfTrue="1" id="{F6622949-81D6-4201-8FFD-5BAB4ABB765B}">
            <xm:f>LEN(TRIM('HSR-Daten'!G341))=0</xm:f>
            <x14:dxf>
              <fill>
                <patternFill>
                  <bgColor theme="0" tint="-4.9989318521683403E-2"/>
                </patternFill>
              </fill>
            </x14:dxf>
          </x14:cfRule>
          <xm:sqref>P339 I339 I341 P341</xm:sqref>
        </x14:conditionalFormatting>
        <x14:conditionalFormatting xmlns:xm="http://schemas.microsoft.com/office/excel/2006/main">
          <x14:cfRule type="containsBlanks" priority="1" stopIfTrue="1" id="{DAD7D895-C809-47A1-9E41-D88A9ED399AB}">
            <xm:f>LEN(TRIM('HSR-Daten'!P2))=0</xm:f>
            <x14:dxf>
              <fill>
                <patternFill>
                  <bgColor theme="0" tint="-4.9989318521683403E-2"/>
                </patternFill>
              </fill>
            </x14:dxf>
          </x14:cfRule>
          <xm:sqref>BI107 Q72 Q263 Q241 Q243 Q235 Q91 Q4 Q2 Q105 Q167 Q113 Q62 Q16 Q269 Q261 Q247 Q265 Q175 Q193 Q237 Q239 Q251 Q337 Q253 Q197 Q195 Q117 Q68 Q64 Q60 Q56 Q50 Q52 Q54 Q48 Q46 Q44 Q40 Q36 Q32 Q22 Q20 Q24 Q28 Q26 Q345 Q231 Q223 Q84 Q10 Q8 Q6 Q219 Q14 Q143 Q217 Q82 Q38 Q76 Q227 Q171 Q249 Q34 Q211 Q221 Q207 Q203 Q189 Q86 Q95 Q165 Q162 Q160 Q158 Q145 Q139 Q137 Q131 Q127 Q133 Q125 Q123 Q121 Q119 Q213 Q209 Q181 Q179 Q78 Q135 Q129 Q183 Q201 Q99 Q103 Q101 Q12 Q93 Q152 Q97 Q111 Q199 Q215 Q70 Q150 Q154 Q156 Q141 Q42 Q271 Q285 Q281 Q66 Q74 Q107 Q109 Q185 Q187 Q191 Q205 Q245 Q30 Q341 Q229 Q339 Q257 Q259 Q255 BI181 BI183 BI189 BI185 BI187 BI213 BI215 BI223 BI227 BI229 BI150 BI154 BI24 BI46 BI42 BI52 BI54 BI38 BI4 BI339 BI84 BI82 BI70 BI209 BI74 BI249 BI111 BI345 BI64 BI34 BI165 BI162 BI160 BI105 BI261 BI259 BI257 BI245 BI285 BI281 BI271 BI103 BI86 BI78 BI76 BI60 BI44 BI48 BI50 BI56 BI40 BI36 BI28 BI30 BI20 BI22 BI10 BI12 BI68 BI66 BI32 BI93 BI95 BI145 BI158 BI125 BI135 BI127 BI139 BI119 BI121 BI123 BI129 BI137 BI117 BI131 BI133 BI197 BI195 BI235 BI219 BI221 BI191 BI205 BI203 BI199 BI179 BI109 BI99 BI97 BI341 BI72 BI243 BI241 BI201 BI231 BI253 BI337 BI62 BI193 BI237 BI211 BI101 BI141 BI171 BI152 BI156 BI251 BI207 BI6 BI8 BI16 BI217 BI265 BI263 BI26 BI239 BI14 BI255 BI2 BI91 BI167 BI113 BI269 BI247 BI175 BI143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290"/>
  <sheetViews>
    <sheetView topLeftCell="A241" zoomScaleNormal="100" workbookViewId="0">
      <pane xSplit="1" topLeftCell="B1" activePane="topRight" state="frozen"/>
      <selection activeCell="A4" sqref="A4"/>
      <selection pane="topRight" activeCell="B277" sqref="B277"/>
    </sheetView>
  </sheetViews>
  <sheetFormatPr baseColWidth="10" defaultRowHeight="12.75"/>
  <cols>
    <col min="1" max="1" width="42.28515625" style="5" customWidth="1"/>
    <col min="2" max="30" width="21.7109375" style="5" customWidth="1"/>
    <col min="31" max="31" width="27.85546875" customWidth="1"/>
    <col min="32" max="32" width="21.7109375" style="5" customWidth="1"/>
    <col min="33" max="33" width="21.42578125" style="5" customWidth="1"/>
    <col min="34" max="87" width="21.7109375" style="5" customWidth="1"/>
    <col min="88" max="88" width="21.7109375" style="40" customWidth="1"/>
    <col min="89" max="102" width="21.7109375" style="5" customWidth="1"/>
    <col min="103" max="16384" width="11.42578125" style="5"/>
  </cols>
  <sheetData>
    <row r="1" spans="1:102" ht="22.5" customHeight="1">
      <c r="A1" s="47"/>
      <c r="B1" s="50" t="s">
        <v>4016</v>
      </c>
      <c r="C1" s="80" t="s">
        <v>2732</v>
      </c>
      <c r="D1" s="75" t="s">
        <v>1387</v>
      </c>
      <c r="E1" s="75" t="s">
        <v>1391</v>
      </c>
      <c r="F1" s="75" t="s">
        <v>3295</v>
      </c>
      <c r="G1" s="75" t="s">
        <v>3296</v>
      </c>
      <c r="H1" s="101" t="s">
        <v>5753</v>
      </c>
      <c r="I1" s="101" t="s">
        <v>5754</v>
      </c>
      <c r="J1" s="75" t="s">
        <v>1388</v>
      </c>
      <c r="K1" s="75" t="s">
        <v>1389</v>
      </c>
      <c r="L1" s="75" t="s">
        <v>1390</v>
      </c>
      <c r="M1" s="75" t="s">
        <v>3297</v>
      </c>
      <c r="N1" s="75" t="s">
        <v>3298</v>
      </c>
      <c r="O1" s="75" t="s">
        <v>3299</v>
      </c>
      <c r="P1" s="75" t="s">
        <v>4384</v>
      </c>
      <c r="Q1" s="75" t="s">
        <v>4385</v>
      </c>
      <c r="R1" s="75" t="s">
        <v>4386</v>
      </c>
      <c r="S1" s="75" t="s">
        <v>5244</v>
      </c>
      <c r="T1" s="75" t="s">
        <v>5245</v>
      </c>
      <c r="U1" s="75" t="s">
        <v>5246</v>
      </c>
      <c r="V1" s="75" t="s">
        <v>5906</v>
      </c>
      <c r="W1" s="75" t="s">
        <v>5907</v>
      </c>
      <c r="X1" s="75" t="s">
        <v>5908</v>
      </c>
      <c r="Y1" s="75" t="s">
        <v>5909</v>
      </c>
      <c r="Z1" s="75" t="s">
        <v>805</v>
      </c>
      <c r="AA1" s="75" t="s">
        <v>6507</v>
      </c>
      <c r="AB1" s="49" t="s">
        <v>393</v>
      </c>
      <c r="AC1" s="49" t="s">
        <v>5744</v>
      </c>
      <c r="AD1" s="75" t="s">
        <v>6508</v>
      </c>
      <c r="AE1" s="121" t="s">
        <v>5644</v>
      </c>
      <c r="AF1" s="50" t="s">
        <v>5910</v>
      </c>
      <c r="AG1" s="50" t="s">
        <v>5911</v>
      </c>
      <c r="AH1" s="50" t="s">
        <v>5912</v>
      </c>
      <c r="AI1" s="75" t="s">
        <v>1392</v>
      </c>
      <c r="AJ1" s="75" t="s">
        <v>1393</v>
      </c>
      <c r="AK1" s="75" t="s">
        <v>5963</v>
      </c>
      <c r="AL1" s="101" t="s">
        <v>5964</v>
      </c>
      <c r="AM1" s="75" t="s">
        <v>1394</v>
      </c>
      <c r="AN1" s="75" t="s">
        <v>3300</v>
      </c>
      <c r="AO1" s="75" t="s">
        <v>1395</v>
      </c>
      <c r="AP1" s="75" t="s">
        <v>1396</v>
      </c>
      <c r="AQ1" s="75" t="s">
        <v>3181</v>
      </c>
      <c r="AR1" s="75" t="s">
        <v>3182</v>
      </c>
      <c r="AS1" s="75" t="s">
        <v>4169</v>
      </c>
      <c r="AT1" s="75" t="s">
        <v>4170</v>
      </c>
      <c r="AU1" s="75" t="s">
        <v>5041</v>
      </c>
      <c r="AV1" s="75" t="s">
        <v>5042</v>
      </c>
      <c r="AW1" s="75" t="s">
        <v>3059</v>
      </c>
      <c r="AX1" s="75" t="s">
        <v>3058</v>
      </c>
      <c r="AY1" s="75" t="s">
        <v>3060</v>
      </c>
      <c r="AZ1" s="75" t="s">
        <v>4208</v>
      </c>
      <c r="BA1" s="75" t="s">
        <v>6512</v>
      </c>
      <c r="BB1" s="75" t="s">
        <v>1397</v>
      </c>
      <c r="BC1" s="75" t="s">
        <v>1398</v>
      </c>
      <c r="BD1" s="75" t="s">
        <v>3461</v>
      </c>
      <c r="BE1" s="75" t="s">
        <v>1399</v>
      </c>
      <c r="BF1" s="75" t="s">
        <v>3460</v>
      </c>
      <c r="BG1" s="50" t="s">
        <v>4112</v>
      </c>
      <c r="BH1" s="75" t="s">
        <v>808</v>
      </c>
      <c r="BI1" s="75" t="s">
        <v>4265</v>
      </c>
      <c r="BJ1" s="75" t="s">
        <v>4266</v>
      </c>
      <c r="BK1" s="50" t="s">
        <v>5039</v>
      </c>
      <c r="BL1" s="50" t="s">
        <v>5040</v>
      </c>
      <c r="BM1" s="101" t="s">
        <v>6509</v>
      </c>
      <c r="BN1" s="75" t="s">
        <v>806</v>
      </c>
      <c r="BO1" s="101" t="s">
        <v>6511</v>
      </c>
      <c r="BP1" s="75" t="s">
        <v>807</v>
      </c>
      <c r="BQ1" s="101" t="s">
        <v>6510</v>
      </c>
      <c r="BR1" s="75" t="s">
        <v>809</v>
      </c>
      <c r="BS1" s="75" t="s">
        <v>3303</v>
      </c>
      <c r="BT1" s="75" t="s">
        <v>4478</v>
      </c>
      <c r="BU1" s="101" t="s">
        <v>4479</v>
      </c>
      <c r="BV1" s="75" t="s">
        <v>4480</v>
      </c>
      <c r="BW1" s="75" t="s">
        <v>2438</v>
      </c>
      <c r="BX1" s="75" t="s">
        <v>2437</v>
      </c>
      <c r="BY1" s="75" t="s">
        <v>2436</v>
      </c>
      <c r="BZ1" s="75" t="s">
        <v>4581</v>
      </c>
      <c r="CA1" s="75" t="s">
        <v>810</v>
      </c>
      <c r="CB1" s="75" t="s">
        <v>811</v>
      </c>
      <c r="CC1" s="50" t="s">
        <v>812</v>
      </c>
      <c r="CD1" s="101" t="s">
        <v>5321</v>
      </c>
      <c r="CE1" s="101" t="s">
        <v>5320</v>
      </c>
      <c r="CF1" s="75" t="s">
        <v>2541</v>
      </c>
      <c r="CG1" s="50" t="s">
        <v>3189</v>
      </c>
      <c r="CH1" s="50" t="s">
        <v>3190</v>
      </c>
      <c r="CI1" s="75" t="s">
        <v>4018</v>
      </c>
      <c r="CJ1" s="75" t="s">
        <v>2614</v>
      </c>
      <c r="CK1" s="75" t="s">
        <v>4822</v>
      </c>
      <c r="CL1" s="80" t="s">
        <v>815</v>
      </c>
      <c r="CM1" s="80" t="s">
        <v>816</v>
      </c>
      <c r="CN1" s="75" t="s">
        <v>1400</v>
      </c>
      <c r="CO1" s="75" t="s">
        <v>2812</v>
      </c>
      <c r="CP1" s="75" t="s">
        <v>5038</v>
      </c>
      <c r="CQ1" s="75" t="s">
        <v>663</v>
      </c>
      <c r="CR1" s="75" t="s">
        <v>664</v>
      </c>
      <c r="CS1" s="75" t="s">
        <v>813</v>
      </c>
      <c r="CT1" s="75" t="s">
        <v>814</v>
      </c>
      <c r="CU1" s="75" t="s">
        <v>3077</v>
      </c>
      <c r="CV1" s="75" t="s">
        <v>3078</v>
      </c>
      <c r="CW1" s="50" t="s">
        <v>5043</v>
      </c>
      <c r="CX1" s="50" t="s">
        <v>1401</v>
      </c>
    </row>
    <row r="2" spans="1:102" ht="30" customHeight="1">
      <c r="A2" s="6" t="s">
        <v>72</v>
      </c>
      <c r="B2" s="36" t="s">
        <v>1349</v>
      </c>
      <c r="C2" s="36" t="s">
        <v>1349</v>
      </c>
      <c r="D2" s="38" t="s">
        <v>1349</v>
      </c>
      <c r="E2" s="38" t="s">
        <v>1349</v>
      </c>
      <c r="F2" s="36" t="s">
        <v>1349</v>
      </c>
      <c r="G2" s="36" t="s">
        <v>1349</v>
      </c>
      <c r="H2" s="36" t="s">
        <v>1349</v>
      </c>
      <c r="I2" s="36" t="s">
        <v>1349</v>
      </c>
      <c r="J2" s="38" t="s">
        <v>1349</v>
      </c>
      <c r="K2" s="38" t="s">
        <v>1349</v>
      </c>
      <c r="L2" s="38" t="s">
        <v>1349</v>
      </c>
      <c r="M2" s="36" t="s">
        <v>1349</v>
      </c>
      <c r="N2" s="36" t="s">
        <v>1349</v>
      </c>
      <c r="O2" s="36" t="s">
        <v>1349</v>
      </c>
      <c r="P2" s="36" t="s">
        <v>1349</v>
      </c>
      <c r="Q2" s="36" t="s">
        <v>1349</v>
      </c>
      <c r="R2" s="36" t="s">
        <v>1349</v>
      </c>
      <c r="S2" s="36" t="s">
        <v>1349</v>
      </c>
      <c r="T2" s="36" t="s">
        <v>1349</v>
      </c>
      <c r="U2" s="36" t="s">
        <v>1349</v>
      </c>
      <c r="V2" s="36" t="s">
        <v>1349</v>
      </c>
      <c r="W2" s="36" t="s">
        <v>1349</v>
      </c>
      <c r="X2" s="36" t="s">
        <v>1349</v>
      </c>
      <c r="Y2" s="36" t="s">
        <v>1349</v>
      </c>
      <c r="Z2" s="36" t="s">
        <v>1349</v>
      </c>
      <c r="AA2" s="36" t="s">
        <v>3432</v>
      </c>
      <c r="AB2" s="36" t="s">
        <v>3432</v>
      </c>
      <c r="AC2" s="36" t="s">
        <v>3432</v>
      </c>
      <c r="AD2" s="36" t="s">
        <v>1349</v>
      </c>
      <c r="AE2" s="122" t="s">
        <v>1349</v>
      </c>
      <c r="AF2" s="36" t="s">
        <v>1349</v>
      </c>
      <c r="AG2" s="36" t="s">
        <v>1349</v>
      </c>
      <c r="AH2" s="36" t="s">
        <v>1349</v>
      </c>
      <c r="AI2" s="38" t="s">
        <v>1349</v>
      </c>
      <c r="AJ2" s="38" t="s">
        <v>1349</v>
      </c>
      <c r="AK2" s="36" t="s">
        <v>1349</v>
      </c>
      <c r="AL2" s="36" t="s">
        <v>1349</v>
      </c>
      <c r="AM2" s="38" t="s">
        <v>1349</v>
      </c>
      <c r="AN2" s="36" t="s">
        <v>1349</v>
      </c>
      <c r="AO2" s="38" t="s">
        <v>1349</v>
      </c>
      <c r="AP2" s="38" t="s">
        <v>1349</v>
      </c>
      <c r="AQ2" s="36" t="s">
        <v>1349</v>
      </c>
      <c r="AR2" s="36" t="s">
        <v>1349</v>
      </c>
      <c r="AS2" s="36" t="s">
        <v>1349</v>
      </c>
      <c r="AT2" s="36" t="s">
        <v>1349</v>
      </c>
      <c r="AU2" s="36" t="s">
        <v>1349</v>
      </c>
      <c r="AV2" s="36" t="s">
        <v>1349</v>
      </c>
      <c r="AW2" s="36" t="s">
        <v>1349</v>
      </c>
      <c r="AX2" s="36" t="s">
        <v>1349</v>
      </c>
      <c r="AY2" s="36" t="s">
        <v>1349</v>
      </c>
      <c r="AZ2" s="36" t="s">
        <v>2899</v>
      </c>
      <c r="BA2" s="36" t="s">
        <v>1349</v>
      </c>
      <c r="BB2" s="36" t="s">
        <v>1349</v>
      </c>
      <c r="BC2" s="38" t="s">
        <v>1349</v>
      </c>
      <c r="BD2" s="36" t="s">
        <v>1349</v>
      </c>
      <c r="BE2" s="38" t="s">
        <v>1349</v>
      </c>
      <c r="BF2" s="36" t="s">
        <v>1349</v>
      </c>
      <c r="BG2" s="36" t="s">
        <v>4097</v>
      </c>
      <c r="BH2" s="36" t="s">
        <v>1349</v>
      </c>
      <c r="BI2" s="36" t="s">
        <v>1349</v>
      </c>
      <c r="BJ2" s="36" t="s">
        <v>1349</v>
      </c>
      <c r="BK2" s="36" t="s">
        <v>1350</v>
      </c>
      <c r="BL2" s="36" t="s">
        <v>1350</v>
      </c>
      <c r="BM2" s="36" t="s">
        <v>1349</v>
      </c>
      <c r="BN2" s="36" t="s">
        <v>73</v>
      </c>
      <c r="BO2" s="36" t="s">
        <v>73</v>
      </c>
      <c r="BP2" s="36" t="s">
        <v>1349</v>
      </c>
      <c r="BQ2" s="36" t="s">
        <v>1349</v>
      </c>
      <c r="BR2" s="36" t="s">
        <v>1349</v>
      </c>
      <c r="BS2" s="36" t="s">
        <v>1349</v>
      </c>
      <c r="BT2" s="36" t="s">
        <v>1349</v>
      </c>
      <c r="BU2" s="36" t="s">
        <v>1349</v>
      </c>
      <c r="BV2" s="36" t="s">
        <v>1349</v>
      </c>
      <c r="BW2" s="36" t="s">
        <v>1349</v>
      </c>
      <c r="BX2" s="36" t="s">
        <v>1349</v>
      </c>
      <c r="BY2" s="36" t="s">
        <v>1349</v>
      </c>
      <c r="BZ2" s="36" t="s">
        <v>1349</v>
      </c>
      <c r="CA2" s="36" t="s">
        <v>1349</v>
      </c>
      <c r="CB2" s="36" t="s">
        <v>1349</v>
      </c>
      <c r="CC2" s="36" t="s">
        <v>1349</v>
      </c>
      <c r="CD2" s="36" t="s">
        <v>2596</v>
      </c>
      <c r="CE2" s="36" t="s">
        <v>2596</v>
      </c>
      <c r="CF2" s="36" t="s">
        <v>1349</v>
      </c>
      <c r="CG2" s="36" t="s">
        <v>1349</v>
      </c>
      <c r="CH2" s="36" t="s">
        <v>1349</v>
      </c>
      <c r="CI2" s="36" t="s">
        <v>1349</v>
      </c>
      <c r="CJ2" s="36" t="s">
        <v>1349</v>
      </c>
      <c r="CK2" s="36" t="s">
        <v>1349</v>
      </c>
      <c r="CL2" s="36" t="s">
        <v>607</v>
      </c>
      <c r="CM2" s="36" t="s">
        <v>607</v>
      </c>
      <c r="CN2" s="36" t="s">
        <v>536</v>
      </c>
      <c r="CO2" s="36" t="s">
        <v>1402</v>
      </c>
      <c r="CP2" s="36" t="s">
        <v>1402</v>
      </c>
      <c r="CQ2" s="36" t="s">
        <v>1349</v>
      </c>
      <c r="CR2" s="36" t="s">
        <v>1349</v>
      </c>
      <c r="CS2" s="36" t="s">
        <v>1349</v>
      </c>
      <c r="CT2" s="36" t="s">
        <v>1349</v>
      </c>
      <c r="CU2" s="36" t="s">
        <v>1349</v>
      </c>
      <c r="CV2" s="36" t="s">
        <v>1349</v>
      </c>
      <c r="CW2" s="36" t="s">
        <v>1349</v>
      </c>
      <c r="CX2" s="38" t="s">
        <v>402</v>
      </c>
    </row>
    <row r="3" spans="1:102" ht="12" customHeight="1">
      <c r="A3" s="51" t="s">
        <v>935</v>
      </c>
      <c r="B3" s="52" t="s">
        <v>4017</v>
      </c>
      <c r="C3" s="52"/>
      <c r="D3" s="52"/>
      <c r="E3" s="52"/>
      <c r="F3" s="52" t="s">
        <v>1476</v>
      </c>
      <c r="G3" s="52" t="s">
        <v>1476</v>
      </c>
      <c r="H3" s="52" t="s">
        <v>1476</v>
      </c>
      <c r="I3" s="52" t="s">
        <v>1476</v>
      </c>
      <c r="J3" s="52"/>
      <c r="K3" s="52"/>
      <c r="L3" s="52"/>
      <c r="M3" s="52" t="s">
        <v>1633</v>
      </c>
      <c r="N3" s="52" t="s">
        <v>1633</v>
      </c>
      <c r="O3" s="52" t="s">
        <v>1633</v>
      </c>
      <c r="P3" s="52" t="s">
        <v>1633</v>
      </c>
      <c r="Q3" s="52" t="s">
        <v>1633</v>
      </c>
      <c r="R3" s="52" t="s">
        <v>1633</v>
      </c>
      <c r="S3" s="52" t="s">
        <v>1633</v>
      </c>
      <c r="T3" s="52" t="s">
        <v>1633</v>
      </c>
      <c r="U3" s="52" t="s">
        <v>1633</v>
      </c>
      <c r="V3" s="52" t="s">
        <v>1633</v>
      </c>
      <c r="W3" s="52" t="s">
        <v>1633</v>
      </c>
      <c r="X3" s="52" t="s">
        <v>1633</v>
      </c>
      <c r="Y3" s="52" t="s">
        <v>1633</v>
      </c>
      <c r="Z3" s="52"/>
      <c r="AA3" s="52"/>
      <c r="AB3" s="52"/>
      <c r="AC3" s="52"/>
      <c r="AD3" s="52"/>
      <c r="AE3" s="123" t="s">
        <v>3144</v>
      </c>
      <c r="AF3" s="52" t="s">
        <v>4630</v>
      </c>
      <c r="AG3" s="52" t="s">
        <v>4630</v>
      </c>
      <c r="AH3" s="52" t="s">
        <v>4630</v>
      </c>
      <c r="AI3" s="52"/>
      <c r="AJ3" s="52"/>
      <c r="AK3" s="52" t="s">
        <v>1778</v>
      </c>
      <c r="AL3" s="52" t="s">
        <v>1778</v>
      </c>
      <c r="AM3" s="52"/>
      <c r="AN3" s="52" t="s">
        <v>1826</v>
      </c>
      <c r="AO3" s="52"/>
      <c r="AP3" s="52"/>
      <c r="AQ3" s="52" t="s">
        <v>1926</v>
      </c>
      <c r="AR3" s="52" t="s">
        <v>1926</v>
      </c>
      <c r="AS3" s="52" t="s">
        <v>1926</v>
      </c>
      <c r="AT3" s="52" t="s">
        <v>1926</v>
      </c>
      <c r="AU3" s="52"/>
      <c r="AV3" s="52"/>
      <c r="AW3" s="52" t="s">
        <v>3054</v>
      </c>
      <c r="AX3" s="52" t="s">
        <v>3054</v>
      </c>
      <c r="AY3" s="52" t="s">
        <v>3054</v>
      </c>
      <c r="AZ3" s="52"/>
      <c r="BA3" s="52" t="s">
        <v>2055</v>
      </c>
      <c r="BB3" s="52"/>
      <c r="BC3" s="52"/>
      <c r="BD3" s="52" t="s">
        <v>2055</v>
      </c>
      <c r="BE3" s="52"/>
      <c r="BF3" s="52" t="s">
        <v>2055</v>
      </c>
      <c r="BG3" s="52" t="s">
        <v>4098</v>
      </c>
      <c r="BH3" s="52"/>
      <c r="BI3" s="52"/>
      <c r="BJ3" s="52"/>
      <c r="BK3" s="52" t="s">
        <v>1356</v>
      </c>
      <c r="BL3" s="52" t="s">
        <v>1356</v>
      </c>
      <c r="BM3" s="52"/>
      <c r="BN3" s="52"/>
      <c r="BO3" s="52"/>
      <c r="BP3" s="52"/>
      <c r="BQ3" s="52"/>
      <c r="BR3" s="52"/>
      <c r="BS3" s="52"/>
      <c r="BT3" s="52" t="s">
        <v>3655</v>
      </c>
      <c r="BU3" s="52" t="s">
        <v>3570</v>
      </c>
      <c r="BV3" s="52" t="s">
        <v>3548</v>
      </c>
      <c r="BW3" s="52" t="s">
        <v>2500</v>
      </c>
      <c r="BX3" s="52" t="s">
        <v>2500</v>
      </c>
      <c r="BY3" s="52" t="s">
        <v>2500</v>
      </c>
      <c r="BZ3" s="52" t="s">
        <v>4626</v>
      </c>
      <c r="CA3" s="52"/>
      <c r="CB3" s="52"/>
      <c r="CC3" s="52"/>
      <c r="CD3" s="52" t="s">
        <v>2597</v>
      </c>
      <c r="CE3" s="52" t="s">
        <v>2597</v>
      </c>
      <c r="CF3" s="52"/>
      <c r="CG3" s="52" t="s">
        <v>2317</v>
      </c>
      <c r="CH3" s="52" t="s">
        <v>2317</v>
      </c>
      <c r="CI3" s="52" t="s">
        <v>4032</v>
      </c>
      <c r="CJ3" s="52" t="s">
        <v>4032</v>
      </c>
      <c r="CK3" s="52" t="s">
        <v>2722</v>
      </c>
      <c r="CL3" s="52"/>
      <c r="CM3" s="52"/>
      <c r="CN3" s="52"/>
      <c r="CO3" s="52" t="s">
        <v>2127</v>
      </c>
      <c r="CP3" s="52" t="s">
        <v>2817</v>
      </c>
      <c r="CQ3" s="52"/>
      <c r="CR3" s="52"/>
      <c r="CS3" s="52"/>
      <c r="CT3" s="52"/>
      <c r="CU3" s="52"/>
      <c r="CV3" s="52"/>
      <c r="CW3" s="52" t="s">
        <v>1216</v>
      </c>
      <c r="CX3" s="52"/>
    </row>
    <row r="4" spans="1:102" ht="30" customHeight="1">
      <c r="A4" s="6" t="s">
        <v>71</v>
      </c>
      <c r="B4" s="36" t="s">
        <v>74</v>
      </c>
      <c r="C4" s="36" t="s">
        <v>74</v>
      </c>
      <c r="D4" s="38" t="s">
        <v>1349</v>
      </c>
      <c r="E4" s="38" t="s">
        <v>1349</v>
      </c>
      <c r="F4" s="36" t="s">
        <v>74</v>
      </c>
      <c r="G4" s="36" t="s">
        <v>693</v>
      </c>
      <c r="H4" s="36" t="s">
        <v>74</v>
      </c>
      <c r="I4" s="36" t="s">
        <v>693</v>
      </c>
      <c r="J4" s="38" t="s">
        <v>402</v>
      </c>
      <c r="K4" s="38" t="s">
        <v>402</v>
      </c>
      <c r="L4" s="38" t="s">
        <v>402</v>
      </c>
      <c r="M4" s="36" t="s">
        <v>1635</v>
      </c>
      <c r="N4" s="36" t="s">
        <v>1635</v>
      </c>
      <c r="O4" s="36" t="s">
        <v>1635</v>
      </c>
      <c r="P4" s="36" t="s">
        <v>1635</v>
      </c>
      <c r="Q4" s="36" t="s">
        <v>1635</v>
      </c>
      <c r="R4" s="36" t="s">
        <v>1635</v>
      </c>
      <c r="S4" s="36" t="s">
        <v>1635</v>
      </c>
      <c r="T4" s="36" t="s">
        <v>1635</v>
      </c>
      <c r="U4" s="36" t="s">
        <v>1635</v>
      </c>
      <c r="V4" s="36" t="s">
        <v>1635</v>
      </c>
      <c r="W4" s="36" t="s">
        <v>1635</v>
      </c>
      <c r="X4" s="36" t="s">
        <v>1635</v>
      </c>
      <c r="Y4" s="36" t="s">
        <v>1635</v>
      </c>
      <c r="Z4" s="36" t="s">
        <v>769</v>
      </c>
      <c r="AA4" s="38" t="s">
        <v>402</v>
      </c>
      <c r="AB4" s="38" t="s">
        <v>402</v>
      </c>
      <c r="AC4" s="38" t="s">
        <v>402</v>
      </c>
      <c r="AD4" s="36" t="s">
        <v>74</v>
      </c>
      <c r="AE4" s="122" t="s">
        <v>74</v>
      </c>
      <c r="AF4" s="36" t="s">
        <v>74</v>
      </c>
      <c r="AG4" s="36" t="s">
        <v>74</v>
      </c>
      <c r="AH4" s="36" t="s">
        <v>74</v>
      </c>
      <c r="AI4" s="7" t="s">
        <v>419</v>
      </c>
      <c r="AJ4" s="7" t="s">
        <v>419</v>
      </c>
      <c r="AK4" s="7" t="s">
        <v>1782</v>
      </c>
      <c r="AL4" s="7" t="s">
        <v>1782</v>
      </c>
      <c r="AM4" s="7" t="s">
        <v>74</v>
      </c>
      <c r="AN4" s="7" t="s">
        <v>251</v>
      </c>
      <c r="AO4" s="7" t="s">
        <v>74</v>
      </c>
      <c r="AP4" s="7" t="s">
        <v>74</v>
      </c>
      <c r="AQ4" s="7" t="s">
        <v>74</v>
      </c>
      <c r="AR4" s="7" t="s">
        <v>74</v>
      </c>
      <c r="AS4" s="7" t="s">
        <v>74</v>
      </c>
      <c r="AT4" s="7" t="s">
        <v>74</v>
      </c>
      <c r="AU4" s="36" t="s">
        <v>74</v>
      </c>
      <c r="AV4" s="36" t="s">
        <v>74</v>
      </c>
      <c r="AW4" s="36" t="s">
        <v>74</v>
      </c>
      <c r="AX4" s="36" t="s">
        <v>74</v>
      </c>
      <c r="AY4" s="36" t="s">
        <v>74</v>
      </c>
      <c r="AZ4" s="36" t="s">
        <v>905</v>
      </c>
      <c r="BA4" s="36" t="s">
        <v>3902</v>
      </c>
      <c r="BB4" s="36" t="s">
        <v>74</v>
      </c>
      <c r="BC4" s="36" t="s">
        <v>74</v>
      </c>
      <c r="BD4" s="36" t="s">
        <v>74</v>
      </c>
      <c r="BE4" s="36" t="s">
        <v>74</v>
      </c>
      <c r="BF4" s="36" t="s">
        <v>74</v>
      </c>
      <c r="BG4" s="38" t="s">
        <v>0</v>
      </c>
      <c r="BH4" s="36" t="s">
        <v>74</v>
      </c>
      <c r="BI4" s="36" t="s">
        <v>74</v>
      </c>
      <c r="BJ4" s="36" t="s">
        <v>74</v>
      </c>
      <c r="BK4" s="36" t="s">
        <v>74</v>
      </c>
      <c r="BL4" s="36" t="s">
        <v>74</v>
      </c>
      <c r="BM4" s="36" t="s">
        <v>74</v>
      </c>
      <c r="BN4" s="36" t="s">
        <v>80</v>
      </c>
      <c r="BO4" s="36" t="s">
        <v>3290</v>
      </c>
      <c r="BP4" s="36" t="s">
        <v>81</v>
      </c>
      <c r="BQ4" s="36" t="s">
        <v>74</v>
      </c>
      <c r="BR4" s="36" t="s">
        <v>249</v>
      </c>
      <c r="BS4" s="36" t="s">
        <v>598</v>
      </c>
      <c r="BT4" s="36" t="s">
        <v>74</v>
      </c>
      <c r="BU4" s="36" t="s">
        <v>74</v>
      </c>
      <c r="BV4" s="36" t="s">
        <v>598</v>
      </c>
      <c r="BW4" s="36" t="s">
        <v>74</v>
      </c>
      <c r="BX4" s="36" t="s">
        <v>74</v>
      </c>
      <c r="BY4" s="36" t="s">
        <v>74</v>
      </c>
      <c r="BZ4" s="36" t="s">
        <v>74</v>
      </c>
      <c r="CA4" s="36" t="s">
        <v>74</v>
      </c>
      <c r="CB4" s="36" t="s">
        <v>74</v>
      </c>
      <c r="CC4" s="36" t="s">
        <v>74</v>
      </c>
      <c r="CD4" s="36" t="s">
        <v>521</v>
      </c>
      <c r="CE4" s="36" t="s">
        <v>521</v>
      </c>
      <c r="CF4" s="36" t="s">
        <v>521</v>
      </c>
      <c r="CG4" s="36" t="s">
        <v>74</v>
      </c>
      <c r="CH4" s="36" t="s">
        <v>74</v>
      </c>
      <c r="CI4" s="36" t="s">
        <v>74</v>
      </c>
      <c r="CJ4" s="36" t="s">
        <v>74</v>
      </c>
      <c r="CK4" s="36" t="s">
        <v>74</v>
      </c>
      <c r="CL4" s="36" t="s">
        <v>804</v>
      </c>
      <c r="CM4" s="36" t="s">
        <v>804</v>
      </c>
      <c r="CN4" s="36" t="s">
        <v>641</v>
      </c>
      <c r="CO4" s="36" t="s">
        <v>641</v>
      </c>
      <c r="CP4" s="36" t="s">
        <v>641</v>
      </c>
      <c r="CQ4" s="36" t="s">
        <v>74</v>
      </c>
      <c r="CR4" s="36" t="s">
        <v>693</v>
      </c>
      <c r="CS4" s="36" t="s">
        <v>74</v>
      </c>
      <c r="CT4" s="36" t="s">
        <v>74</v>
      </c>
      <c r="CU4" s="36" t="s">
        <v>74</v>
      </c>
      <c r="CV4" s="36" t="s">
        <v>74</v>
      </c>
      <c r="CW4" s="36" t="s">
        <v>693</v>
      </c>
      <c r="CX4" s="36" t="s">
        <v>845</v>
      </c>
    </row>
    <row r="5" spans="1:102" ht="12" customHeight="1">
      <c r="A5" s="51" t="s">
        <v>935</v>
      </c>
      <c r="B5" s="52" t="s">
        <v>4014</v>
      </c>
      <c r="C5" s="52"/>
      <c r="D5" s="52"/>
      <c r="E5" s="52"/>
      <c r="F5" s="52" t="s">
        <v>1419</v>
      </c>
      <c r="G5" s="52" t="s">
        <v>1407</v>
      </c>
      <c r="H5" s="52" t="s">
        <v>1419</v>
      </c>
      <c r="I5" s="52" t="s">
        <v>1407</v>
      </c>
      <c r="J5" s="52"/>
      <c r="K5" s="52"/>
      <c r="L5" s="52"/>
      <c r="M5" s="52" t="s">
        <v>1634</v>
      </c>
      <c r="N5" s="52" t="s">
        <v>1634</v>
      </c>
      <c r="O5" s="52" t="s">
        <v>1634</v>
      </c>
      <c r="P5" s="52" t="s">
        <v>1634</v>
      </c>
      <c r="Q5" s="52" t="s">
        <v>1634</v>
      </c>
      <c r="R5" s="52" t="s">
        <v>1634</v>
      </c>
      <c r="S5" s="52" t="s">
        <v>1634</v>
      </c>
      <c r="T5" s="52" t="s">
        <v>1634</v>
      </c>
      <c r="U5" s="52" t="s">
        <v>1634</v>
      </c>
      <c r="V5" s="52" t="s">
        <v>1634</v>
      </c>
      <c r="W5" s="52" t="s">
        <v>1634</v>
      </c>
      <c r="X5" s="52" t="s">
        <v>1634</v>
      </c>
      <c r="Y5" s="52" t="s">
        <v>1634</v>
      </c>
      <c r="Z5" s="52"/>
      <c r="AA5" s="52"/>
      <c r="AB5" s="52"/>
      <c r="AC5" s="52"/>
      <c r="AD5" s="52"/>
      <c r="AE5" s="123" t="s">
        <v>3144</v>
      </c>
      <c r="AF5" s="52" t="s">
        <v>4631</v>
      </c>
      <c r="AG5" s="52" t="s">
        <v>4631</v>
      </c>
      <c r="AH5" s="52" t="s">
        <v>4631</v>
      </c>
      <c r="AI5" s="52"/>
      <c r="AJ5" s="52"/>
      <c r="AK5" s="52" t="s">
        <v>1779</v>
      </c>
      <c r="AL5" s="52" t="s">
        <v>1779</v>
      </c>
      <c r="AM5" s="52"/>
      <c r="AN5" s="52" t="s">
        <v>1836</v>
      </c>
      <c r="AO5" s="52"/>
      <c r="AP5" s="52"/>
      <c r="AQ5" s="52" t="s">
        <v>1924</v>
      </c>
      <c r="AR5" s="52" t="s">
        <v>1924</v>
      </c>
      <c r="AS5" s="52" t="s">
        <v>1924</v>
      </c>
      <c r="AT5" s="52" t="s">
        <v>1924</v>
      </c>
      <c r="AU5" s="52"/>
      <c r="AV5" s="52"/>
      <c r="AW5" s="52" t="s">
        <v>3055</v>
      </c>
      <c r="AX5" s="52" t="s">
        <v>3055</v>
      </c>
      <c r="AY5" s="52" t="s">
        <v>3055</v>
      </c>
      <c r="AZ5" s="52"/>
      <c r="BA5" s="52" t="s">
        <v>4117</v>
      </c>
      <c r="BB5" s="52"/>
      <c r="BC5" s="52"/>
      <c r="BD5" s="52" t="s">
        <v>2054</v>
      </c>
      <c r="BE5" s="52"/>
      <c r="BF5" s="52" t="s">
        <v>2054</v>
      </c>
      <c r="BG5" s="52" t="s">
        <v>0</v>
      </c>
      <c r="BH5" s="52"/>
      <c r="BI5" s="52"/>
      <c r="BJ5" s="52"/>
      <c r="BK5" s="52" t="s">
        <v>1351</v>
      </c>
      <c r="BL5" s="52" t="s">
        <v>1351</v>
      </c>
      <c r="BM5" s="52"/>
      <c r="BN5" s="52"/>
      <c r="BO5" s="52"/>
      <c r="BP5" s="52"/>
      <c r="BQ5" s="52"/>
      <c r="BR5" s="52"/>
      <c r="BS5" s="52"/>
      <c r="BT5" s="52" t="s">
        <v>3657</v>
      </c>
      <c r="BU5" s="52" t="s">
        <v>3582</v>
      </c>
      <c r="BV5" s="52" t="s">
        <v>3489</v>
      </c>
      <c r="BW5" s="52" t="s">
        <v>2502</v>
      </c>
      <c r="BX5" s="52" t="s">
        <v>2502</v>
      </c>
      <c r="BY5" s="52" t="s">
        <v>2502</v>
      </c>
      <c r="BZ5" s="52" t="s">
        <v>4628</v>
      </c>
      <c r="CA5" s="52"/>
      <c r="CB5" s="52"/>
      <c r="CC5" s="52"/>
      <c r="CD5" s="52" t="s">
        <v>2598</v>
      </c>
      <c r="CE5" s="52" t="s">
        <v>2598</v>
      </c>
      <c r="CF5" s="52"/>
      <c r="CG5" s="52" t="s">
        <v>2316</v>
      </c>
      <c r="CH5" s="52" t="s">
        <v>2316</v>
      </c>
      <c r="CI5" s="52" t="s">
        <v>4030</v>
      </c>
      <c r="CJ5" s="52" t="s">
        <v>4030</v>
      </c>
      <c r="CK5" s="52" t="s">
        <v>2700</v>
      </c>
      <c r="CL5" s="52"/>
      <c r="CM5" s="52"/>
      <c r="CN5" s="52"/>
      <c r="CO5" s="52" t="s">
        <v>2130</v>
      </c>
      <c r="CP5" s="52" t="s">
        <v>2892</v>
      </c>
      <c r="CQ5" s="52"/>
      <c r="CR5" s="52"/>
      <c r="CS5" s="52"/>
      <c r="CT5" s="52"/>
      <c r="CU5" s="52"/>
      <c r="CV5" s="52"/>
      <c r="CW5" s="52" t="s">
        <v>1150</v>
      </c>
      <c r="CX5" s="52"/>
    </row>
    <row r="6" spans="1:102" ht="30" customHeight="1">
      <c r="A6" s="6" t="s">
        <v>77</v>
      </c>
      <c r="B6" s="38" t="s">
        <v>214</v>
      </c>
      <c r="C6" s="38" t="s">
        <v>214</v>
      </c>
      <c r="D6" s="38" t="s">
        <v>214</v>
      </c>
      <c r="E6" s="38" t="s">
        <v>215</v>
      </c>
      <c r="F6" s="38" t="s">
        <v>214</v>
      </c>
      <c r="G6" s="38" t="s">
        <v>215</v>
      </c>
      <c r="H6" s="38" t="s">
        <v>214</v>
      </c>
      <c r="I6" s="38" t="s">
        <v>215</v>
      </c>
      <c r="J6" s="38" t="s">
        <v>214</v>
      </c>
      <c r="K6" s="38" t="s">
        <v>67</v>
      </c>
      <c r="L6" s="38" t="s">
        <v>67</v>
      </c>
      <c r="M6" s="38" t="s">
        <v>214</v>
      </c>
      <c r="N6" s="38" t="s">
        <v>67</v>
      </c>
      <c r="O6" s="38" t="s">
        <v>67</v>
      </c>
      <c r="P6" s="38" t="s">
        <v>214</v>
      </c>
      <c r="Q6" s="38" t="s">
        <v>67</v>
      </c>
      <c r="R6" s="38" t="s">
        <v>67</v>
      </c>
      <c r="S6" s="38" t="s">
        <v>214</v>
      </c>
      <c r="T6" s="38" t="s">
        <v>67</v>
      </c>
      <c r="U6" s="38" t="s">
        <v>67</v>
      </c>
      <c r="V6" s="38" t="s">
        <v>214</v>
      </c>
      <c r="W6" s="38" t="s">
        <v>214</v>
      </c>
      <c r="X6" s="38" t="s">
        <v>198</v>
      </c>
      <c r="Y6" s="38" t="s">
        <v>67</v>
      </c>
      <c r="Z6" s="36" t="s">
        <v>768</v>
      </c>
      <c r="AA6" s="36" t="s">
        <v>394</v>
      </c>
      <c r="AB6" s="36" t="s">
        <v>394</v>
      </c>
      <c r="AC6" s="36" t="s">
        <v>394</v>
      </c>
      <c r="AD6" s="38" t="s">
        <v>13</v>
      </c>
      <c r="AE6" s="124" t="s">
        <v>5645</v>
      </c>
      <c r="AF6" s="38" t="s">
        <v>192</v>
      </c>
      <c r="AG6" s="36" t="s">
        <v>201</v>
      </c>
      <c r="AH6" s="36" t="s">
        <v>13</v>
      </c>
      <c r="AI6" s="7" t="s">
        <v>67</v>
      </c>
      <c r="AJ6" s="7" t="s">
        <v>67</v>
      </c>
      <c r="AK6" s="7" t="s">
        <v>67</v>
      </c>
      <c r="AL6" s="7" t="s">
        <v>67</v>
      </c>
      <c r="AM6" s="7" t="s">
        <v>13</v>
      </c>
      <c r="AN6" s="7" t="s">
        <v>13</v>
      </c>
      <c r="AO6" s="7" t="s">
        <v>13</v>
      </c>
      <c r="AP6" s="32" t="s">
        <v>406</v>
      </c>
      <c r="AQ6" s="7" t="s">
        <v>13</v>
      </c>
      <c r="AR6" s="37" t="s">
        <v>406</v>
      </c>
      <c r="AS6" s="7" t="s">
        <v>13</v>
      </c>
      <c r="AT6" s="37" t="s">
        <v>406</v>
      </c>
      <c r="AU6" s="36" t="s">
        <v>214</v>
      </c>
      <c r="AV6" s="36" t="s">
        <v>214</v>
      </c>
      <c r="AW6" s="37" t="s">
        <v>26</v>
      </c>
      <c r="AX6" s="37" t="s">
        <v>510</v>
      </c>
      <c r="AY6" s="37" t="s">
        <v>67</v>
      </c>
      <c r="AZ6" s="36" t="s">
        <v>889</v>
      </c>
      <c r="BA6" s="38" t="s">
        <v>13</v>
      </c>
      <c r="BB6" s="38" t="s">
        <v>192</v>
      </c>
      <c r="BC6" s="38" t="s">
        <v>192</v>
      </c>
      <c r="BD6" s="38" t="s">
        <v>192</v>
      </c>
      <c r="BE6" s="38" t="s">
        <v>13</v>
      </c>
      <c r="BF6" s="38" t="s">
        <v>13</v>
      </c>
      <c r="BG6" s="38" t="s">
        <v>0</v>
      </c>
      <c r="BH6" s="38" t="s">
        <v>13</v>
      </c>
      <c r="BI6" s="38" t="s">
        <v>13</v>
      </c>
      <c r="BJ6" s="38" t="s">
        <v>13</v>
      </c>
      <c r="BK6" s="38" t="s">
        <v>214</v>
      </c>
      <c r="BL6" s="38" t="s">
        <v>214</v>
      </c>
      <c r="BM6" s="38" t="s">
        <v>13</v>
      </c>
      <c r="BN6" s="38" t="s">
        <v>58</v>
      </c>
      <c r="BO6" s="38" t="s">
        <v>58</v>
      </c>
      <c r="BP6" s="38" t="s">
        <v>13</v>
      </c>
      <c r="BQ6" s="38" t="s">
        <v>13</v>
      </c>
      <c r="BR6" s="36" t="s">
        <v>205</v>
      </c>
      <c r="BS6" s="36" t="s">
        <v>3073</v>
      </c>
      <c r="BT6" s="36" t="s">
        <v>13</v>
      </c>
      <c r="BU6" s="36" t="s">
        <v>13</v>
      </c>
      <c r="BV6" s="36" t="s">
        <v>3550</v>
      </c>
      <c r="BW6" s="38" t="s">
        <v>214</v>
      </c>
      <c r="BX6" s="38" t="s">
        <v>214</v>
      </c>
      <c r="BY6" s="38" t="s">
        <v>214</v>
      </c>
      <c r="BZ6" s="38" t="s">
        <v>192</v>
      </c>
      <c r="CA6" s="38" t="s">
        <v>192</v>
      </c>
      <c r="CB6" s="38" t="s">
        <v>201</v>
      </c>
      <c r="CC6" s="38" t="s">
        <v>215</v>
      </c>
      <c r="CD6" s="38" t="s">
        <v>58</v>
      </c>
      <c r="CE6" s="38" t="s">
        <v>58</v>
      </c>
      <c r="CF6" s="38" t="s">
        <v>214</v>
      </c>
      <c r="CG6" s="38" t="s">
        <v>214</v>
      </c>
      <c r="CH6" s="38" t="s">
        <v>214</v>
      </c>
      <c r="CI6" s="38" t="s">
        <v>214</v>
      </c>
      <c r="CJ6" s="38" t="s">
        <v>214</v>
      </c>
      <c r="CK6" s="38" t="s">
        <v>214</v>
      </c>
      <c r="CL6" s="38" t="s">
        <v>192</v>
      </c>
      <c r="CM6" s="38" t="s">
        <v>192</v>
      </c>
      <c r="CN6" s="36" t="s">
        <v>633</v>
      </c>
      <c r="CO6" s="36" t="s">
        <v>633</v>
      </c>
      <c r="CP6" s="36" t="s">
        <v>2818</v>
      </c>
      <c r="CQ6" s="38" t="s">
        <v>192</v>
      </c>
      <c r="CR6" s="38" t="s">
        <v>701</v>
      </c>
      <c r="CS6" s="38" t="s">
        <v>200</v>
      </c>
      <c r="CT6" s="38" t="s">
        <v>201</v>
      </c>
      <c r="CU6" s="38" t="s">
        <v>200</v>
      </c>
      <c r="CV6" s="38" t="s">
        <v>201</v>
      </c>
      <c r="CW6" s="36" t="s">
        <v>1217</v>
      </c>
      <c r="CX6" s="38" t="s">
        <v>58</v>
      </c>
    </row>
    <row r="7" spans="1:102" ht="12" customHeight="1">
      <c r="A7" s="51" t="s">
        <v>935</v>
      </c>
      <c r="B7" s="52" t="s">
        <v>4015</v>
      </c>
      <c r="C7" s="52"/>
      <c r="D7" s="52"/>
      <c r="E7" s="52"/>
      <c r="F7" s="52" t="s">
        <v>1427</v>
      </c>
      <c r="G7" s="52" t="s">
        <v>1413</v>
      </c>
      <c r="H7" s="52" t="s">
        <v>1427</v>
      </c>
      <c r="I7" s="52" t="s">
        <v>1413</v>
      </c>
      <c r="J7" s="52"/>
      <c r="K7" s="52"/>
      <c r="L7" s="52"/>
      <c r="M7" s="52" t="s">
        <v>1636</v>
      </c>
      <c r="N7" s="52" t="s">
        <v>1629</v>
      </c>
      <c r="O7" s="52" t="s">
        <v>1630</v>
      </c>
      <c r="P7" s="52" t="s">
        <v>1636</v>
      </c>
      <c r="Q7" s="52" t="s">
        <v>3388</v>
      </c>
      <c r="R7" s="52" t="s">
        <v>3427</v>
      </c>
      <c r="S7" s="52" t="s">
        <v>1636</v>
      </c>
      <c r="T7" s="52" t="s">
        <v>3388</v>
      </c>
      <c r="U7" s="52" t="s">
        <v>3427</v>
      </c>
      <c r="V7" s="52" t="s">
        <v>1636</v>
      </c>
      <c r="W7" s="52" t="s">
        <v>1636</v>
      </c>
      <c r="X7" s="52" t="s">
        <v>5269</v>
      </c>
      <c r="Y7" s="52" t="s">
        <v>5284</v>
      </c>
      <c r="Z7" s="52"/>
      <c r="AA7" s="52"/>
      <c r="AB7" s="52"/>
      <c r="AC7" s="52"/>
      <c r="AD7" s="52"/>
      <c r="AE7" s="123" t="s">
        <v>5646</v>
      </c>
      <c r="AF7" s="52" t="s">
        <v>4633</v>
      </c>
      <c r="AG7" s="52" t="s">
        <v>4633</v>
      </c>
      <c r="AH7" s="52" t="s">
        <v>4632</v>
      </c>
      <c r="AI7" s="52"/>
      <c r="AJ7" s="52"/>
      <c r="AK7" s="52" t="s">
        <v>1777</v>
      </c>
      <c r="AL7" s="52" t="s">
        <v>1777</v>
      </c>
      <c r="AM7" s="52"/>
      <c r="AN7" s="52" t="s">
        <v>1827</v>
      </c>
      <c r="AO7" s="52"/>
      <c r="AP7" s="52"/>
      <c r="AQ7" s="52" t="s">
        <v>1923</v>
      </c>
      <c r="AR7" s="52" t="s">
        <v>1925</v>
      </c>
      <c r="AS7" s="52" t="s">
        <v>1923</v>
      </c>
      <c r="AT7" s="52" t="s">
        <v>1925</v>
      </c>
      <c r="AU7" s="52"/>
      <c r="AV7" s="52"/>
      <c r="AW7" s="52" t="s">
        <v>3006</v>
      </c>
      <c r="AX7" s="52" t="s">
        <v>2941</v>
      </c>
      <c r="AY7" s="52" t="s">
        <v>2954</v>
      </c>
      <c r="AZ7" s="52"/>
      <c r="BA7" s="52" t="s">
        <v>2053</v>
      </c>
      <c r="BB7" s="52"/>
      <c r="BC7" s="52"/>
      <c r="BD7" s="52" t="s">
        <v>1949</v>
      </c>
      <c r="BE7" s="52"/>
      <c r="BF7" s="52" t="s">
        <v>2053</v>
      </c>
      <c r="BG7" s="52" t="s">
        <v>0</v>
      </c>
      <c r="BH7" s="52"/>
      <c r="BI7" s="52"/>
      <c r="BJ7" s="52"/>
      <c r="BK7" s="52" t="s">
        <v>1352</v>
      </c>
      <c r="BL7" s="52" t="s">
        <v>1352</v>
      </c>
      <c r="BM7" s="52"/>
      <c r="BN7" s="52"/>
      <c r="BO7" s="52"/>
      <c r="BP7" s="52"/>
      <c r="BQ7" s="52"/>
      <c r="BR7" s="52"/>
      <c r="BS7" s="52"/>
      <c r="BT7" s="52" t="s">
        <v>3656</v>
      </c>
      <c r="BU7" s="52" t="s">
        <v>3571</v>
      </c>
      <c r="BV7" s="52" t="s">
        <v>3549</v>
      </c>
      <c r="BW7" s="52" t="s">
        <v>2499</v>
      </c>
      <c r="BX7" s="52" t="s">
        <v>2499</v>
      </c>
      <c r="BY7" s="52" t="s">
        <v>2499</v>
      </c>
      <c r="BZ7" s="52" t="s">
        <v>4600</v>
      </c>
      <c r="CA7" s="52"/>
      <c r="CB7" s="52"/>
      <c r="CC7" s="52"/>
      <c r="CD7" s="52" t="s">
        <v>0</v>
      </c>
      <c r="CE7" s="52" t="s">
        <v>0</v>
      </c>
      <c r="CF7" s="52"/>
      <c r="CG7" s="52" t="s">
        <v>2315</v>
      </c>
      <c r="CH7" s="52" t="s">
        <v>2315</v>
      </c>
      <c r="CI7" s="52" t="s">
        <v>4031</v>
      </c>
      <c r="CJ7" s="52" t="s">
        <v>4031</v>
      </c>
      <c r="CK7" s="52" t="s">
        <v>2721</v>
      </c>
      <c r="CL7" s="52"/>
      <c r="CM7" s="52"/>
      <c r="CN7" s="52"/>
      <c r="CO7" s="52" t="s">
        <v>2128</v>
      </c>
      <c r="CP7" s="52" t="s">
        <v>2819</v>
      </c>
      <c r="CQ7" s="52"/>
      <c r="CR7" s="52"/>
      <c r="CS7" s="52"/>
      <c r="CT7" s="52"/>
      <c r="CU7" s="52"/>
      <c r="CV7" s="52"/>
      <c r="CW7" s="52" t="s">
        <v>1218</v>
      </c>
      <c r="CX7" s="52"/>
    </row>
    <row r="8" spans="1:102" ht="30" customHeight="1">
      <c r="A8" s="6" t="s">
        <v>78</v>
      </c>
      <c r="B8" s="38" t="s">
        <v>0</v>
      </c>
      <c r="C8" s="38" t="s">
        <v>0</v>
      </c>
      <c r="D8" s="38" t="s">
        <v>0</v>
      </c>
      <c r="E8" s="36" t="s">
        <v>224</v>
      </c>
      <c r="F8" s="38" t="s">
        <v>0</v>
      </c>
      <c r="G8" s="36" t="s">
        <v>224</v>
      </c>
      <c r="H8" s="36" t="s">
        <v>5492</v>
      </c>
      <c r="I8" s="36" t="s">
        <v>224</v>
      </c>
      <c r="J8" s="36" t="s">
        <v>0</v>
      </c>
      <c r="K8" s="36" t="s">
        <v>0</v>
      </c>
      <c r="L8" s="36" t="s">
        <v>0</v>
      </c>
      <c r="M8" s="36" t="s">
        <v>0</v>
      </c>
      <c r="N8" s="36" t="s">
        <v>0</v>
      </c>
      <c r="O8" s="36" t="s">
        <v>0</v>
      </c>
      <c r="P8" s="36" t="s">
        <v>0</v>
      </c>
      <c r="Q8" s="36" t="s">
        <v>0</v>
      </c>
      <c r="R8" s="36" t="s">
        <v>0</v>
      </c>
      <c r="S8" s="36" t="s">
        <v>0</v>
      </c>
      <c r="T8" s="36" t="s">
        <v>0</v>
      </c>
      <c r="U8" s="36" t="s">
        <v>0</v>
      </c>
      <c r="V8" s="36" t="s">
        <v>0</v>
      </c>
      <c r="W8" s="36" t="s">
        <v>0</v>
      </c>
      <c r="X8" s="36" t="s">
        <v>5270</v>
      </c>
      <c r="Y8" s="36" t="s">
        <v>0</v>
      </c>
      <c r="Z8" s="36" t="s">
        <v>770</v>
      </c>
      <c r="AA8" s="36" t="s">
        <v>786</v>
      </c>
      <c r="AB8" s="36" t="s">
        <v>0</v>
      </c>
      <c r="AC8" s="36" t="s">
        <v>0</v>
      </c>
      <c r="AD8" s="36" t="s">
        <v>258</v>
      </c>
      <c r="AE8" s="122" t="s">
        <v>5647</v>
      </c>
      <c r="AF8" s="36" t="s">
        <v>4634</v>
      </c>
      <c r="AG8" s="36" t="s">
        <v>1861</v>
      </c>
      <c r="AH8" s="36" t="s">
        <v>0</v>
      </c>
      <c r="AI8" s="7" t="s">
        <v>0</v>
      </c>
      <c r="AJ8" s="32" t="s">
        <v>420</v>
      </c>
      <c r="AK8" s="7" t="s">
        <v>0</v>
      </c>
      <c r="AL8" s="37" t="s">
        <v>420</v>
      </c>
      <c r="AM8" s="37" t="s">
        <v>0</v>
      </c>
      <c r="AN8" s="37" t="s">
        <v>0</v>
      </c>
      <c r="AO8" s="7" t="s">
        <v>0</v>
      </c>
      <c r="AP8" s="32" t="s">
        <v>407</v>
      </c>
      <c r="AQ8" s="7" t="s">
        <v>0</v>
      </c>
      <c r="AR8" s="37" t="s">
        <v>1861</v>
      </c>
      <c r="AS8" s="7" t="s">
        <v>0</v>
      </c>
      <c r="AT8" s="37" t="s">
        <v>1861</v>
      </c>
      <c r="AU8" s="36" t="s">
        <v>0</v>
      </c>
      <c r="AV8" s="36" t="s">
        <v>359</v>
      </c>
      <c r="AW8" s="37" t="s">
        <v>0</v>
      </c>
      <c r="AX8" s="37" t="s">
        <v>3057</v>
      </c>
      <c r="AY8" s="37" t="s">
        <v>3057</v>
      </c>
      <c r="AZ8" s="36" t="s">
        <v>0</v>
      </c>
      <c r="BA8" s="36" t="s">
        <v>4132</v>
      </c>
      <c r="BB8" s="36" t="s">
        <v>273</v>
      </c>
      <c r="BC8" s="36" t="s">
        <v>273</v>
      </c>
      <c r="BD8" s="36" t="s">
        <v>273</v>
      </c>
      <c r="BE8" s="36" t="s">
        <v>0</v>
      </c>
      <c r="BF8" s="36" t="s">
        <v>0</v>
      </c>
      <c r="BG8" s="38" t="s">
        <v>0</v>
      </c>
      <c r="BH8" s="36" t="s">
        <v>0</v>
      </c>
      <c r="BI8" s="36" t="s">
        <v>883</v>
      </c>
      <c r="BJ8" s="36" t="s">
        <v>883</v>
      </c>
      <c r="BK8" s="36" t="s">
        <v>0</v>
      </c>
      <c r="BL8" s="36" t="s">
        <v>0</v>
      </c>
      <c r="BM8" s="36" t="s">
        <v>0</v>
      </c>
      <c r="BN8" s="38" t="s">
        <v>0</v>
      </c>
      <c r="BO8" s="36" t="s">
        <v>79</v>
      </c>
      <c r="BP8" s="38" t="s">
        <v>0</v>
      </c>
      <c r="BQ8" s="36" t="s">
        <v>79</v>
      </c>
      <c r="BR8" s="36" t="s">
        <v>274</v>
      </c>
      <c r="BS8" s="36" t="s">
        <v>591</v>
      </c>
      <c r="BT8" s="36" t="s">
        <v>0</v>
      </c>
      <c r="BU8" s="36" t="s">
        <v>0</v>
      </c>
      <c r="BV8" s="36" t="s">
        <v>591</v>
      </c>
      <c r="BW8" s="36" t="s">
        <v>0</v>
      </c>
      <c r="BX8" s="36" t="s">
        <v>0</v>
      </c>
      <c r="BY8" s="36" t="s">
        <v>0</v>
      </c>
      <c r="BZ8" s="36" t="s">
        <v>0</v>
      </c>
      <c r="CA8" s="36" t="s">
        <v>0</v>
      </c>
      <c r="CB8" s="36" t="s">
        <v>0</v>
      </c>
      <c r="CC8" s="36" t="s">
        <v>737</v>
      </c>
      <c r="CD8" s="38" t="s">
        <v>0</v>
      </c>
      <c r="CE8" s="38" t="s">
        <v>0</v>
      </c>
      <c r="CF8" s="38" t="s">
        <v>0</v>
      </c>
      <c r="CG8" s="36" t="s">
        <v>2220</v>
      </c>
      <c r="CH8" s="36" t="s">
        <v>0</v>
      </c>
      <c r="CI8" s="38" t="s">
        <v>0</v>
      </c>
      <c r="CJ8" s="38" t="s">
        <v>0</v>
      </c>
      <c r="CK8" s="36" t="s">
        <v>2672</v>
      </c>
      <c r="CL8" s="36" t="s">
        <v>631</v>
      </c>
      <c r="CM8" s="36" t="s">
        <v>631</v>
      </c>
      <c r="CN8" s="38" t="s">
        <v>0</v>
      </c>
      <c r="CO8" s="38" t="s">
        <v>0</v>
      </c>
      <c r="CP8" s="36" t="s">
        <v>2889</v>
      </c>
      <c r="CQ8" s="36" t="s">
        <v>702</v>
      </c>
      <c r="CR8" s="36" t="s">
        <v>682</v>
      </c>
      <c r="CS8" s="38" t="s">
        <v>0</v>
      </c>
      <c r="CT8" s="36" t="s">
        <v>202</v>
      </c>
      <c r="CU8" s="38" t="s">
        <v>0</v>
      </c>
      <c r="CV8" s="36" t="s">
        <v>202</v>
      </c>
      <c r="CW8" s="36" t="s">
        <v>0</v>
      </c>
      <c r="CX8" s="36" t="s">
        <v>0</v>
      </c>
    </row>
    <row r="9" spans="1:102" ht="12" customHeight="1">
      <c r="A9" s="51" t="s">
        <v>935</v>
      </c>
      <c r="B9" s="52" t="s">
        <v>0</v>
      </c>
      <c r="C9" s="52"/>
      <c r="D9" s="52"/>
      <c r="E9" s="52"/>
      <c r="F9" s="52" t="s">
        <v>0</v>
      </c>
      <c r="G9" s="52" t="s">
        <v>1408</v>
      </c>
      <c r="H9" s="52" t="s">
        <v>0</v>
      </c>
      <c r="I9" s="52" t="s">
        <v>1408</v>
      </c>
      <c r="J9" s="52"/>
      <c r="K9" s="52"/>
      <c r="L9" s="52"/>
      <c r="M9" s="52" t="s">
        <v>0</v>
      </c>
      <c r="N9" s="52" t="s">
        <v>0</v>
      </c>
      <c r="O9" s="52" t="s">
        <v>0</v>
      </c>
      <c r="P9" s="52" t="s">
        <v>0</v>
      </c>
      <c r="Q9" s="52" t="s">
        <v>0</v>
      </c>
      <c r="R9" s="52" t="s">
        <v>0</v>
      </c>
      <c r="S9" s="52" t="s">
        <v>0</v>
      </c>
      <c r="T9" s="52" t="s">
        <v>0</v>
      </c>
      <c r="U9" s="52" t="s">
        <v>0</v>
      </c>
      <c r="V9" s="52" t="s">
        <v>0</v>
      </c>
      <c r="W9" s="52" t="s">
        <v>0</v>
      </c>
      <c r="X9" s="52" t="s">
        <v>3392</v>
      </c>
      <c r="Y9" s="52" t="s">
        <v>0</v>
      </c>
      <c r="Z9" s="52"/>
      <c r="AA9" s="52"/>
      <c r="AB9" s="52"/>
      <c r="AC9" s="52"/>
      <c r="AD9" s="52"/>
      <c r="AE9" s="123" t="s">
        <v>5648</v>
      </c>
      <c r="AF9" s="52" t="s">
        <v>4635</v>
      </c>
      <c r="AG9" s="52" t="s">
        <v>4635</v>
      </c>
      <c r="AH9" s="52" t="s">
        <v>0</v>
      </c>
      <c r="AI9" s="52"/>
      <c r="AJ9" s="52"/>
      <c r="AK9" s="52" t="s">
        <v>0</v>
      </c>
      <c r="AL9" s="52" t="s">
        <v>1682</v>
      </c>
      <c r="AM9" s="52"/>
      <c r="AN9" s="52" t="s">
        <v>0</v>
      </c>
      <c r="AO9" s="52"/>
      <c r="AP9" s="52"/>
      <c r="AQ9" s="52" t="s">
        <v>0</v>
      </c>
      <c r="AR9" s="52" t="s">
        <v>1860</v>
      </c>
      <c r="AS9" s="52" t="s">
        <v>0</v>
      </c>
      <c r="AT9" s="52" t="s">
        <v>1860</v>
      </c>
      <c r="AU9" s="52"/>
      <c r="AV9" s="52"/>
      <c r="AW9" s="52" t="s">
        <v>0</v>
      </c>
      <c r="AX9" s="52" t="s">
        <v>3056</v>
      </c>
      <c r="AY9" s="52" t="s">
        <v>3056</v>
      </c>
      <c r="AZ9" s="52"/>
      <c r="BA9" s="52" t="s">
        <v>4117</v>
      </c>
      <c r="BB9" s="52"/>
      <c r="BC9" s="52"/>
      <c r="BD9" s="52" t="s">
        <v>1948</v>
      </c>
      <c r="BE9" s="52"/>
      <c r="BF9" s="52" t="s">
        <v>0</v>
      </c>
      <c r="BG9" s="52" t="s">
        <v>0</v>
      </c>
      <c r="BH9" s="52"/>
      <c r="BI9" s="52"/>
      <c r="BJ9" s="52"/>
      <c r="BK9" s="52" t="s">
        <v>0</v>
      </c>
      <c r="BL9" s="52" t="s">
        <v>0</v>
      </c>
      <c r="BM9" s="52"/>
      <c r="BN9" s="52"/>
      <c r="BO9" s="52"/>
      <c r="BP9" s="52"/>
      <c r="BQ9" s="52"/>
      <c r="BR9" s="52"/>
      <c r="BS9" s="52"/>
      <c r="BT9" s="52" t="s">
        <v>0</v>
      </c>
      <c r="BU9" s="52" t="s">
        <v>0</v>
      </c>
      <c r="BV9" s="52" t="s">
        <v>3551</v>
      </c>
      <c r="BW9" s="52" t="s">
        <v>0</v>
      </c>
      <c r="BX9" s="52" t="s">
        <v>0</v>
      </c>
      <c r="BY9" s="52" t="s">
        <v>0</v>
      </c>
      <c r="BZ9" s="52" t="s">
        <v>0</v>
      </c>
      <c r="CA9" s="52"/>
      <c r="CB9" s="52"/>
      <c r="CC9" s="52"/>
      <c r="CD9" s="52" t="s">
        <v>0</v>
      </c>
      <c r="CE9" s="52" t="s">
        <v>0</v>
      </c>
      <c r="CF9" s="52"/>
      <c r="CG9" s="52" t="s">
        <v>2219</v>
      </c>
      <c r="CH9" s="52" t="s">
        <v>0</v>
      </c>
      <c r="CI9" s="52" t="s">
        <v>0</v>
      </c>
      <c r="CJ9" s="52" t="s">
        <v>0</v>
      </c>
      <c r="CK9" s="52" t="s">
        <v>2671</v>
      </c>
      <c r="CL9" s="52"/>
      <c r="CM9" s="52"/>
      <c r="CN9" s="52"/>
      <c r="CO9" s="52" t="s">
        <v>0</v>
      </c>
      <c r="CP9" s="52" t="s">
        <v>2888</v>
      </c>
      <c r="CQ9" s="52"/>
      <c r="CR9" s="52"/>
      <c r="CS9" s="52"/>
      <c r="CT9" s="52"/>
      <c r="CU9" s="52"/>
      <c r="CV9" s="52"/>
      <c r="CW9" s="52" t="s">
        <v>0</v>
      </c>
      <c r="CX9" s="52"/>
    </row>
    <row r="10" spans="1:102" ht="30" customHeight="1">
      <c r="A10" s="6" t="s">
        <v>76</v>
      </c>
      <c r="B10" s="38" t="s">
        <v>22</v>
      </c>
      <c r="C10" s="38" t="s">
        <v>22</v>
      </c>
      <c r="D10" s="38" t="s">
        <v>22</v>
      </c>
      <c r="E10" s="38" t="s">
        <v>22</v>
      </c>
      <c r="F10" s="36" t="s">
        <v>1482</v>
      </c>
      <c r="G10" s="36" t="s">
        <v>1482</v>
      </c>
      <c r="H10" s="36" t="s">
        <v>1482</v>
      </c>
      <c r="I10" s="36" t="s">
        <v>1482</v>
      </c>
      <c r="J10" s="38" t="s">
        <v>22</v>
      </c>
      <c r="K10" s="38" t="s">
        <v>22</v>
      </c>
      <c r="L10" s="38" t="s">
        <v>22</v>
      </c>
      <c r="M10" s="38" t="s">
        <v>22</v>
      </c>
      <c r="N10" s="38" t="s">
        <v>22</v>
      </c>
      <c r="O10" s="38" t="s">
        <v>22</v>
      </c>
      <c r="P10" s="38" t="s">
        <v>22</v>
      </c>
      <c r="Q10" s="38" t="s">
        <v>22</v>
      </c>
      <c r="R10" s="38" t="s">
        <v>22</v>
      </c>
      <c r="S10" s="38" t="s">
        <v>22</v>
      </c>
      <c r="T10" s="38" t="s">
        <v>22</v>
      </c>
      <c r="U10" s="38" t="s">
        <v>22</v>
      </c>
      <c r="V10" s="38" t="s">
        <v>22</v>
      </c>
      <c r="W10" s="38" t="s">
        <v>22</v>
      </c>
      <c r="X10" s="36" t="s">
        <v>5268</v>
      </c>
      <c r="Y10" s="36" t="s">
        <v>5282</v>
      </c>
      <c r="Z10" s="38" t="s">
        <v>22</v>
      </c>
      <c r="AA10" s="36" t="s">
        <v>401</v>
      </c>
      <c r="AB10" s="36" t="s">
        <v>401</v>
      </c>
      <c r="AC10" s="36" t="s">
        <v>401</v>
      </c>
      <c r="AD10" s="38" t="s">
        <v>22</v>
      </c>
      <c r="AE10" s="124" t="s">
        <v>22</v>
      </c>
      <c r="AF10" s="36" t="s">
        <v>4636</v>
      </c>
      <c r="AG10" s="38" t="s">
        <v>22</v>
      </c>
      <c r="AH10" s="36" t="s">
        <v>4636</v>
      </c>
      <c r="AI10" s="7" t="s">
        <v>22</v>
      </c>
      <c r="AJ10" s="7" t="s">
        <v>22</v>
      </c>
      <c r="AK10" s="7" t="s">
        <v>22</v>
      </c>
      <c r="AL10" s="7" t="s">
        <v>22</v>
      </c>
      <c r="AM10" s="7" t="s">
        <v>22</v>
      </c>
      <c r="AN10" s="7" t="s">
        <v>22</v>
      </c>
      <c r="AO10" s="7" t="s">
        <v>22</v>
      </c>
      <c r="AP10" s="7" t="s">
        <v>22</v>
      </c>
      <c r="AQ10" s="7" t="s">
        <v>22</v>
      </c>
      <c r="AR10" s="7" t="s">
        <v>22</v>
      </c>
      <c r="AS10" s="7" t="s">
        <v>22</v>
      </c>
      <c r="AT10" s="7" t="s">
        <v>22</v>
      </c>
      <c r="AU10" s="38" t="s">
        <v>22</v>
      </c>
      <c r="AV10" s="38" t="s">
        <v>22</v>
      </c>
      <c r="AW10" s="38" t="s">
        <v>22</v>
      </c>
      <c r="AX10" s="38" t="s">
        <v>22</v>
      </c>
      <c r="AY10" s="38" t="s">
        <v>681</v>
      </c>
      <c r="AZ10" s="38" t="s">
        <v>401</v>
      </c>
      <c r="BA10" s="38" t="s">
        <v>681</v>
      </c>
      <c r="BB10" s="38" t="s">
        <v>22</v>
      </c>
      <c r="BC10" s="38" t="s">
        <v>22</v>
      </c>
      <c r="BD10" s="38" t="s">
        <v>22</v>
      </c>
      <c r="BE10" s="38" t="s">
        <v>22</v>
      </c>
      <c r="BF10" s="38" t="s">
        <v>22</v>
      </c>
      <c r="BG10" s="36" t="s">
        <v>4000</v>
      </c>
      <c r="BH10" s="38" t="s">
        <v>22</v>
      </c>
      <c r="BI10" s="38" t="s">
        <v>22</v>
      </c>
      <c r="BJ10" s="38" t="s">
        <v>22</v>
      </c>
      <c r="BK10" s="38" t="s">
        <v>263</v>
      </c>
      <c r="BL10" s="38" t="s">
        <v>263</v>
      </c>
      <c r="BM10" s="38" t="s">
        <v>22</v>
      </c>
      <c r="BN10" s="36" t="s">
        <v>84</v>
      </c>
      <c r="BO10" s="36" t="s">
        <v>84</v>
      </c>
      <c r="BP10" s="38" t="s">
        <v>22</v>
      </c>
      <c r="BQ10" s="38" t="s">
        <v>22</v>
      </c>
      <c r="BR10" s="38" t="s">
        <v>263</v>
      </c>
      <c r="BS10" s="38" t="s">
        <v>263</v>
      </c>
      <c r="BT10" s="38" t="s">
        <v>263</v>
      </c>
      <c r="BU10" s="38" t="s">
        <v>263</v>
      </c>
      <c r="BV10" s="38" t="s">
        <v>263</v>
      </c>
      <c r="BW10" s="36" t="s">
        <v>2529</v>
      </c>
      <c r="BX10" s="36" t="s">
        <v>2529</v>
      </c>
      <c r="BY10" s="36" t="s">
        <v>2529</v>
      </c>
      <c r="BZ10" s="38" t="s">
        <v>22</v>
      </c>
      <c r="CA10" s="38" t="s">
        <v>22</v>
      </c>
      <c r="CB10" s="38" t="s">
        <v>22</v>
      </c>
      <c r="CC10" s="38" t="s">
        <v>22</v>
      </c>
      <c r="CD10" s="36" t="s">
        <v>401</v>
      </c>
      <c r="CE10" s="36" t="s">
        <v>401</v>
      </c>
      <c r="CF10" s="38" t="s">
        <v>22</v>
      </c>
      <c r="CG10" s="38" t="s">
        <v>22</v>
      </c>
      <c r="CH10" s="38" t="s">
        <v>22</v>
      </c>
      <c r="CI10" s="38" t="s">
        <v>22</v>
      </c>
      <c r="CJ10" s="38" t="s">
        <v>22</v>
      </c>
      <c r="CK10" s="38" t="s">
        <v>22</v>
      </c>
      <c r="CL10" s="36" t="s">
        <v>642</v>
      </c>
      <c r="CM10" s="38" t="s">
        <v>22</v>
      </c>
      <c r="CN10" s="36" t="s">
        <v>401</v>
      </c>
      <c r="CO10" s="36" t="s">
        <v>401</v>
      </c>
      <c r="CP10" s="36" t="s">
        <v>401</v>
      </c>
      <c r="CQ10" s="38" t="s">
        <v>681</v>
      </c>
      <c r="CR10" s="38" t="s">
        <v>681</v>
      </c>
      <c r="CS10" s="38" t="s">
        <v>22</v>
      </c>
      <c r="CT10" s="38" t="s">
        <v>22</v>
      </c>
      <c r="CU10" s="38" t="s">
        <v>22</v>
      </c>
      <c r="CV10" s="38" t="s">
        <v>22</v>
      </c>
      <c r="CW10" s="38" t="s">
        <v>22</v>
      </c>
      <c r="CX10" s="36" t="s">
        <v>842</v>
      </c>
    </row>
    <row r="11" spans="1:102" ht="12" customHeight="1">
      <c r="A11" s="51" t="s">
        <v>935</v>
      </c>
      <c r="B11" s="52" t="s">
        <v>3192</v>
      </c>
      <c r="C11" s="52"/>
      <c r="D11" s="52"/>
      <c r="E11" s="52"/>
      <c r="F11" s="52" t="s">
        <v>1479</v>
      </c>
      <c r="G11" s="52" t="s">
        <v>1479</v>
      </c>
      <c r="H11" s="52" t="s">
        <v>1479</v>
      </c>
      <c r="I11" s="52" t="s">
        <v>1479</v>
      </c>
      <c r="J11" s="52"/>
      <c r="K11" s="52"/>
      <c r="L11" s="52"/>
      <c r="M11" s="52" t="s">
        <v>1442</v>
      </c>
      <c r="N11" s="52" t="s">
        <v>1442</v>
      </c>
      <c r="O11" s="52" t="s">
        <v>1442</v>
      </c>
      <c r="P11" s="52" t="s">
        <v>1442</v>
      </c>
      <c r="Q11" s="52" t="s">
        <v>1442</v>
      </c>
      <c r="R11" s="52" t="s">
        <v>1442</v>
      </c>
      <c r="S11" s="52" t="s">
        <v>1442</v>
      </c>
      <c r="T11" s="52" t="s">
        <v>1442</v>
      </c>
      <c r="U11" s="52" t="s">
        <v>1442</v>
      </c>
      <c r="V11" s="52" t="s">
        <v>1442</v>
      </c>
      <c r="W11" s="52" t="s">
        <v>1442</v>
      </c>
      <c r="X11" s="52" t="s">
        <v>5266</v>
      </c>
      <c r="Y11" s="52" t="s">
        <v>5281</v>
      </c>
      <c r="Z11" s="52"/>
      <c r="AA11" s="52"/>
      <c r="AB11" s="52"/>
      <c r="AC11" s="52"/>
      <c r="AD11" s="52"/>
      <c r="AE11" s="123" t="s">
        <v>5649</v>
      </c>
      <c r="AF11" s="52" t="s">
        <v>4638</v>
      </c>
      <c r="AG11" s="52" t="s">
        <v>4638</v>
      </c>
      <c r="AH11" s="52" t="s">
        <v>4637</v>
      </c>
      <c r="AI11" s="52"/>
      <c r="AJ11" s="52"/>
      <c r="AK11" s="52" t="s">
        <v>1687</v>
      </c>
      <c r="AL11" s="52" t="s">
        <v>1687</v>
      </c>
      <c r="AM11" s="52"/>
      <c r="AN11" s="52" t="s">
        <v>1687</v>
      </c>
      <c r="AO11" s="52"/>
      <c r="AP11" s="52"/>
      <c r="AQ11" s="52" t="s">
        <v>1443</v>
      </c>
      <c r="AR11" s="52" t="s">
        <v>1443</v>
      </c>
      <c r="AS11" s="52" t="s">
        <v>1443</v>
      </c>
      <c r="AT11" s="52" t="s">
        <v>1443</v>
      </c>
      <c r="AU11" s="52"/>
      <c r="AV11" s="52"/>
      <c r="AW11" s="52" t="s">
        <v>1442</v>
      </c>
      <c r="AX11" s="52" t="s">
        <v>1442</v>
      </c>
      <c r="AY11" s="52" t="s">
        <v>1442</v>
      </c>
      <c r="AZ11" s="52"/>
      <c r="BA11" s="52" t="s">
        <v>1443</v>
      </c>
      <c r="BB11" s="52"/>
      <c r="BC11" s="52"/>
      <c r="BD11" s="52" t="s">
        <v>1963</v>
      </c>
      <c r="BE11" s="52"/>
      <c r="BF11" s="52" t="s">
        <v>1963</v>
      </c>
      <c r="BG11" s="52" t="s">
        <v>0</v>
      </c>
      <c r="BH11" s="52"/>
      <c r="BI11" s="52"/>
      <c r="BJ11" s="52"/>
      <c r="BK11" s="52" t="s">
        <v>1355</v>
      </c>
      <c r="BL11" s="52" t="s">
        <v>1355</v>
      </c>
      <c r="BM11" s="52"/>
      <c r="BN11" s="52"/>
      <c r="BO11" s="52"/>
      <c r="BP11" s="52"/>
      <c r="BQ11" s="52"/>
      <c r="BR11" s="52"/>
      <c r="BS11" s="52"/>
      <c r="BT11" s="52" t="s">
        <v>3659</v>
      </c>
      <c r="BU11" s="52" t="s">
        <v>3583</v>
      </c>
      <c r="BV11" s="52" t="s">
        <v>3558</v>
      </c>
      <c r="BW11" s="52" t="s">
        <v>2530</v>
      </c>
      <c r="BX11" s="52" t="s">
        <v>2530</v>
      </c>
      <c r="BY11" s="52" t="s">
        <v>2530</v>
      </c>
      <c r="BZ11" s="52" t="s">
        <v>4627</v>
      </c>
      <c r="CA11" s="52"/>
      <c r="CB11" s="52"/>
      <c r="CC11" s="52"/>
      <c r="CD11" s="52" t="s">
        <v>2599</v>
      </c>
      <c r="CE11" s="52" t="s">
        <v>2599</v>
      </c>
      <c r="CF11" s="52"/>
      <c r="CG11" s="52" t="s">
        <v>1442</v>
      </c>
      <c r="CH11" s="52" t="s">
        <v>1442</v>
      </c>
      <c r="CI11" s="52" t="s">
        <v>0</v>
      </c>
      <c r="CJ11" s="52" t="s">
        <v>0</v>
      </c>
      <c r="CK11" s="52" t="s">
        <v>2729</v>
      </c>
      <c r="CL11" s="52"/>
      <c r="CM11" s="52"/>
      <c r="CN11" s="52"/>
      <c r="CO11" s="52" t="s">
        <v>0</v>
      </c>
      <c r="CP11" s="52" t="s">
        <v>2891</v>
      </c>
      <c r="CQ11" s="52"/>
      <c r="CR11" s="52"/>
      <c r="CS11" s="52"/>
      <c r="CT11" s="52"/>
      <c r="CU11" s="52"/>
      <c r="CV11" s="52"/>
      <c r="CW11" s="52" t="s">
        <v>0</v>
      </c>
      <c r="CX11" s="52"/>
    </row>
    <row r="12" spans="1:102" ht="30" customHeight="1">
      <c r="A12" s="6" t="s">
        <v>54</v>
      </c>
      <c r="B12" s="38" t="s">
        <v>0</v>
      </c>
      <c r="C12" s="38" t="s">
        <v>0</v>
      </c>
      <c r="D12" s="38" t="s">
        <v>0</v>
      </c>
      <c r="E12" s="38" t="s">
        <v>0</v>
      </c>
      <c r="F12" s="38" t="s">
        <v>0</v>
      </c>
      <c r="G12" s="38" t="s">
        <v>0</v>
      </c>
      <c r="H12" s="38" t="s">
        <v>57</v>
      </c>
      <c r="I12" s="38" t="s">
        <v>57</v>
      </c>
      <c r="J12" s="38" t="s">
        <v>57</v>
      </c>
      <c r="K12" s="38" t="s">
        <v>57</v>
      </c>
      <c r="L12" s="38" t="s">
        <v>57</v>
      </c>
      <c r="M12" s="38" t="s">
        <v>57</v>
      </c>
      <c r="N12" s="38" t="s">
        <v>57</v>
      </c>
      <c r="O12" s="38" t="s">
        <v>57</v>
      </c>
      <c r="P12" s="38" t="s">
        <v>57</v>
      </c>
      <c r="Q12" s="38" t="s">
        <v>57</v>
      </c>
      <c r="R12" s="38" t="s">
        <v>57</v>
      </c>
      <c r="S12" s="38" t="s">
        <v>57</v>
      </c>
      <c r="T12" s="38" t="s">
        <v>57</v>
      </c>
      <c r="U12" s="38" t="s">
        <v>57</v>
      </c>
      <c r="V12" s="38" t="s">
        <v>57</v>
      </c>
      <c r="W12" s="38" t="s">
        <v>57</v>
      </c>
      <c r="X12" s="38" t="s">
        <v>57</v>
      </c>
      <c r="Y12" s="38" t="s">
        <v>57</v>
      </c>
      <c r="Z12" s="38" t="s">
        <v>57</v>
      </c>
      <c r="AA12" s="38" t="s">
        <v>0</v>
      </c>
      <c r="AB12" s="38" t="s">
        <v>0</v>
      </c>
      <c r="AC12" s="38" t="s">
        <v>0</v>
      </c>
      <c r="AD12" s="38" t="s">
        <v>0</v>
      </c>
      <c r="AE12" s="124" t="s">
        <v>0</v>
      </c>
      <c r="AF12" s="38" t="s">
        <v>57</v>
      </c>
      <c r="AG12" s="38" t="s">
        <v>57</v>
      </c>
      <c r="AH12" s="38" t="s">
        <v>57</v>
      </c>
      <c r="AI12" s="7" t="s">
        <v>0</v>
      </c>
      <c r="AJ12" s="33" t="s">
        <v>0</v>
      </c>
      <c r="AK12" s="7" t="s">
        <v>0</v>
      </c>
      <c r="AL12" s="7" t="s">
        <v>0</v>
      </c>
      <c r="AM12" s="34" t="s">
        <v>0</v>
      </c>
      <c r="AN12" s="34" t="s">
        <v>0</v>
      </c>
      <c r="AO12" s="7" t="s">
        <v>0</v>
      </c>
      <c r="AP12" s="33" t="s">
        <v>0</v>
      </c>
      <c r="AQ12" s="7" t="s">
        <v>0</v>
      </c>
      <c r="AR12" s="34" t="s">
        <v>0</v>
      </c>
      <c r="AS12" s="7" t="s">
        <v>0</v>
      </c>
      <c r="AT12" s="34" t="s">
        <v>0</v>
      </c>
      <c r="AU12" s="38" t="s">
        <v>0</v>
      </c>
      <c r="AV12" s="38" t="s">
        <v>0</v>
      </c>
      <c r="AW12" s="34" t="s">
        <v>57</v>
      </c>
      <c r="AX12" s="34" t="s">
        <v>57</v>
      </c>
      <c r="AY12" s="34" t="s">
        <v>57</v>
      </c>
      <c r="AZ12" s="38" t="s">
        <v>0</v>
      </c>
      <c r="BA12" s="38" t="s">
        <v>57</v>
      </c>
      <c r="BB12" s="38" t="s">
        <v>57</v>
      </c>
      <c r="BC12" s="38" t="s">
        <v>57</v>
      </c>
      <c r="BD12" s="38" t="s">
        <v>57</v>
      </c>
      <c r="BE12" s="38" t="s">
        <v>57</v>
      </c>
      <c r="BF12" s="38" t="s">
        <v>57</v>
      </c>
      <c r="BG12" s="38" t="s">
        <v>0</v>
      </c>
      <c r="BH12" s="38" t="s">
        <v>0</v>
      </c>
      <c r="BI12" s="38" t="s">
        <v>0</v>
      </c>
      <c r="BJ12" s="38" t="s">
        <v>0</v>
      </c>
      <c r="BK12" s="38" t="s">
        <v>57</v>
      </c>
      <c r="BL12" s="38" t="s">
        <v>57</v>
      </c>
      <c r="BM12" s="38" t="s">
        <v>0</v>
      </c>
      <c r="BN12" s="38" t="s">
        <v>57</v>
      </c>
      <c r="BO12" s="38" t="s">
        <v>57</v>
      </c>
      <c r="BP12" s="38" t="s">
        <v>57</v>
      </c>
      <c r="BQ12" s="38" t="s">
        <v>57</v>
      </c>
      <c r="BR12" s="38" t="s">
        <v>57</v>
      </c>
      <c r="BS12" s="38" t="s">
        <v>57</v>
      </c>
      <c r="BT12" s="38" t="s">
        <v>57</v>
      </c>
      <c r="BU12" s="38" t="s">
        <v>57</v>
      </c>
      <c r="BV12" s="38" t="s">
        <v>57</v>
      </c>
      <c r="BW12" s="38" t="s">
        <v>0</v>
      </c>
      <c r="BX12" s="38" t="s">
        <v>0</v>
      </c>
      <c r="BY12" s="38" t="s">
        <v>0</v>
      </c>
      <c r="BZ12" s="36" t="s">
        <v>57</v>
      </c>
      <c r="CA12" s="38" t="s">
        <v>57</v>
      </c>
      <c r="CB12" s="38" t="s">
        <v>57</v>
      </c>
      <c r="CC12" s="38" t="s">
        <v>57</v>
      </c>
      <c r="CD12" s="38" t="s">
        <v>0</v>
      </c>
      <c r="CE12" s="38" t="s">
        <v>0</v>
      </c>
      <c r="CF12" s="38" t="s">
        <v>0</v>
      </c>
      <c r="CG12" s="38" t="s">
        <v>57</v>
      </c>
      <c r="CH12" s="38" t="s">
        <v>57</v>
      </c>
      <c r="CI12" s="38" t="s">
        <v>0</v>
      </c>
      <c r="CJ12" s="38" t="s">
        <v>0</v>
      </c>
      <c r="CK12" s="38" t="s">
        <v>0</v>
      </c>
      <c r="CL12" s="38" t="s">
        <v>57</v>
      </c>
      <c r="CM12" s="38" t="s">
        <v>0</v>
      </c>
      <c r="CN12" s="38" t="s">
        <v>0</v>
      </c>
      <c r="CO12" s="38" t="s">
        <v>0</v>
      </c>
      <c r="CP12" s="38" t="s">
        <v>0</v>
      </c>
      <c r="CQ12" s="38" t="s">
        <v>57</v>
      </c>
      <c r="CR12" s="38" t="s">
        <v>57</v>
      </c>
      <c r="CS12" s="38" t="s">
        <v>57</v>
      </c>
      <c r="CT12" s="38" t="s">
        <v>57</v>
      </c>
      <c r="CU12" s="38" t="s">
        <v>57</v>
      </c>
      <c r="CV12" s="38" t="s">
        <v>57</v>
      </c>
      <c r="CW12" s="38" t="s">
        <v>0</v>
      </c>
      <c r="CX12" s="38" t="s">
        <v>0</v>
      </c>
    </row>
    <row r="13" spans="1:102" ht="12" customHeight="1">
      <c r="A13" s="51" t="s">
        <v>935</v>
      </c>
      <c r="B13" s="52" t="s">
        <v>0</v>
      </c>
      <c r="C13" s="52"/>
      <c r="D13" s="52"/>
      <c r="E13" s="52"/>
      <c r="F13" s="52" t="s">
        <v>0</v>
      </c>
      <c r="G13" s="52" t="s">
        <v>0</v>
      </c>
      <c r="H13" s="52" t="s">
        <v>5507</v>
      </c>
      <c r="I13" s="52" t="s">
        <v>5507</v>
      </c>
      <c r="J13" s="52"/>
      <c r="K13" s="52"/>
      <c r="L13" s="52"/>
      <c r="M13" s="52" t="s">
        <v>1528</v>
      </c>
      <c r="N13" s="52" t="s">
        <v>1631</v>
      </c>
      <c r="O13" s="52" t="s">
        <v>1569</v>
      </c>
      <c r="P13" s="52" t="s">
        <v>3335</v>
      </c>
      <c r="Q13" s="52" t="s">
        <v>3391</v>
      </c>
      <c r="R13" s="52" t="s">
        <v>3430</v>
      </c>
      <c r="S13" s="52" t="s">
        <v>3335</v>
      </c>
      <c r="T13" s="52" t="s">
        <v>3391</v>
      </c>
      <c r="U13" s="52" t="s">
        <v>3430</v>
      </c>
      <c r="V13" s="52" t="s">
        <v>5315</v>
      </c>
      <c r="W13" s="52" t="s">
        <v>3335</v>
      </c>
      <c r="X13" s="52" t="s">
        <v>5856</v>
      </c>
      <c r="Y13" s="52" t="s">
        <v>5285</v>
      </c>
      <c r="Z13" s="52"/>
      <c r="AA13" s="52"/>
      <c r="AB13" s="52"/>
      <c r="AC13" s="52"/>
      <c r="AD13" s="52"/>
      <c r="AE13" s="123" t="s">
        <v>0</v>
      </c>
      <c r="AF13" s="52" t="s">
        <v>4640</v>
      </c>
      <c r="AG13" s="52" t="s">
        <v>4641</v>
      </c>
      <c r="AH13" s="52" t="s">
        <v>4639</v>
      </c>
      <c r="AI13" s="52"/>
      <c r="AJ13" s="52"/>
      <c r="AK13" s="52" t="s">
        <v>0</v>
      </c>
      <c r="AL13" s="52" t="s">
        <v>0</v>
      </c>
      <c r="AM13" s="52"/>
      <c r="AN13" s="52" t="s">
        <v>0</v>
      </c>
      <c r="AO13" s="52"/>
      <c r="AP13" s="52"/>
      <c r="AQ13" s="52" t="s">
        <v>0</v>
      </c>
      <c r="AR13" s="52" t="s">
        <v>0</v>
      </c>
      <c r="AS13" s="52" t="s">
        <v>0</v>
      </c>
      <c r="AT13" s="52" t="s">
        <v>0</v>
      </c>
      <c r="AU13" s="52"/>
      <c r="AV13" s="52"/>
      <c r="AW13" s="52" t="s">
        <v>2998</v>
      </c>
      <c r="AX13" s="52" t="s">
        <v>2993</v>
      </c>
      <c r="AY13" s="52" t="s">
        <v>2963</v>
      </c>
      <c r="AZ13" s="52"/>
      <c r="BA13" s="52" t="s">
        <v>4117</v>
      </c>
      <c r="BB13" s="52"/>
      <c r="BC13" s="52"/>
      <c r="BD13" s="52" t="s">
        <v>2010</v>
      </c>
      <c r="BE13" s="52"/>
      <c r="BF13" s="52" t="s">
        <v>2010</v>
      </c>
      <c r="BG13" s="52" t="s">
        <v>0</v>
      </c>
      <c r="BH13" s="52"/>
      <c r="BI13" s="52"/>
      <c r="BJ13" s="52"/>
      <c r="BK13" s="52" t="s">
        <v>1354</v>
      </c>
      <c r="BL13" s="52" t="s">
        <v>1354</v>
      </c>
      <c r="BM13" s="52"/>
      <c r="BN13" s="52"/>
      <c r="BO13" s="52"/>
      <c r="BP13" s="52"/>
      <c r="BQ13" s="52"/>
      <c r="BR13" s="52"/>
      <c r="BS13" s="52"/>
      <c r="BT13" s="52" t="s">
        <v>3568</v>
      </c>
      <c r="BU13" s="52" t="s">
        <v>3568</v>
      </c>
      <c r="BV13" s="52" t="s">
        <v>3568</v>
      </c>
      <c r="BW13" s="52" t="s">
        <v>0</v>
      </c>
      <c r="BX13" s="52" t="s">
        <v>0</v>
      </c>
      <c r="BY13" s="52" t="s">
        <v>0</v>
      </c>
      <c r="BZ13" s="52" t="s">
        <v>4615</v>
      </c>
      <c r="CA13" s="52"/>
      <c r="CB13" s="52"/>
      <c r="CC13" s="52"/>
      <c r="CD13" s="52" t="s">
        <v>0</v>
      </c>
      <c r="CE13" s="52" t="s">
        <v>0</v>
      </c>
      <c r="CF13" s="52"/>
      <c r="CG13" s="52" t="s">
        <v>2253</v>
      </c>
      <c r="CH13" s="52" t="s">
        <v>2253</v>
      </c>
      <c r="CI13" s="52" t="s">
        <v>0</v>
      </c>
      <c r="CJ13" s="52" t="s">
        <v>0</v>
      </c>
      <c r="CK13" s="52" t="s">
        <v>0</v>
      </c>
      <c r="CL13" s="52"/>
      <c r="CM13" s="52"/>
      <c r="CN13" s="52"/>
      <c r="CO13" s="52" t="s">
        <v>0</v>
      </c>
      <c r="CP13" s="52" t="s">
        <v>0</v>
      </c>
      <c r="CQ13" s="52"/>
      <c r="CR13" s="52"/>
      <c r="CS13" s="52"/>
      <c r="CT13" s="52"/>
      <c r="CU13" s="52"/>
      <c r="CV13" s="52"/>
      <c r="CW13" s="52" t="s">
        <v>0</v>
      </c>
      <c r="CX13" s="52"/>
    </row>
    <row r="14" spans="1:102" s="152" customFormat="1" ht="30" customHeight="1">
      <c r="A14" s="62" t="s">
        <v>5488</v>
      </c>
      <c r="B14" s="150"/>
      <c r="C14" s="150"/>
      <c r="D14" s="150"/>
      <c r="E14" s="150"/>
      <c r="F14" s="150"/>
      <c r="G14" s="150"/>
      <c r="H14" s="38" t="s">
        <v>5493</v>
      </c>
      <c r="I14" s="38" t="s">
        <v>5493</v>
      </c>
      <c r="J14" s="150"/>
      <c r="K14" s="150"/>
      <c r="L14" s="150"/>
      <c r="M14" s="150"/>
      <c r="N14" s="150"/>
      <c r="O14" s="150"/>
      <c r="P14" s="150"/>
      <c r="Q14" s="150"/>
      <c r="R14" s="150"/>
      <c r="S14" s="150"/>
      <c r="T14" s="150"/>
      <c r="U14" s="150"/>
      <c r="V14" s="38"/>
      <c r="W14" s="38"/>
      <c r="X14" s="38"/>
      <c r="Y14" s="38"/>
      <c r="Z14" s="150"/>
      <c r="AA14" s="38"/>
      <c r="AB14" s="38"/>
      <c r="AC14" s="38" t="s">
        <v>5493</v>
      </c>
      <c r="AD14" s="38" t="s">
        <v>5493</v>
      </c>
      <c r="AE14" s="151"/>
      <c r="AF14" s="38"/>
      <c r="AG14" s="38"/>
      <c r="AH14" s="38"/>
      <c r="AI14" s="150"/>
      <c r="AJ14" s="150"/>
      <c r="AK14" s="7"/>
      <c r="AL14" s="7"/>
      <c r="AM14" s="150"/>
      <c r="AN14" s="150"/>
      <c r="AO14" s="150"/>
      <c r="AP14" s="150"/>
      <c r="AQ14" s="150"/>
      <c r="AR14" s="150"/>
      <c r="AS14" s="150"/>
      <c r="AT14" s="150"/>
      <c r="AU14" s="150"/>
      <c r="AV14" s="150"/>
      <c r="AW14" s="150"/>
      <c r="AX14" s="150"/>
      <c r="AY14" s="150"/>
      <c r="AZ14" s="150"/>
      <c r="BA14" s="38" t="s">
        <v>0</v>
      </c>
      <c r="BB14" s="150"/>
      <c r="BC14" s="150"/>
      <c r="BD14" s="150"/>
      <c r="BE14" s="150"/>
      <c r="BF14" s="150"/>
      <c r="BG14" s="150"/>
      <c r="BH14" s="150"/>
      <c r="BI14" s="150"/>
      <c r="BJ14" s="150"/>
      <c r="BK14" s="150"/>
      <c r="BL14" s="150"/>
      <c r="BM14" s="38" t="s">
        <v>5493</v>
      </c>
      <c r="BN14" s="150"/>
      <c r="BO14" s="150"/>
      <c r="BP14" s="150"/>
      <c r="BQ14" s="150"/>
      <c r="BR14" s="150"/>
      <c r="BS14" s="150"/>
      <c r="BT14" s="150"/>
      <c r="BU14" s="150"/>
      <c r="BV14" s="150"/>
      <c r="BW14" s="38" t="s">
        <v>0</v>
      </c>
      <c r="BX14" s="38" t="s">
        <v>0</v>
      </c>
      <c r="BY14" s="38" t="s">
        <v>0</v>
      </c>
      <c r="BZ14" s="150"/>
      <c r="CA14" s="150"/>
      <c r="CB14" s="150"/>
      <c r="CC14" s="150"/>
      <c r="CD14" s="38" t="s">
        <v>0</v>
      </c>
      <c r="CE14" s="38" t="s">
        <v>0</v>
      </c>
      <c r="CF14" s="150"/>
      <c r="CG14" s="150"/>
      <c r="CH14" s="150"/>
      <c r="CI14" s="150"/>
      <c r="CJ14" s="150"/>
      <c r="CK14" s="150"/>
      <c r="CL14" s="150"/>
      <c r="CM14" s="150"/>
      <c r="CN14" s="150"/>
      <c r="CO14" s="150"/>
      <c r="CP14" s="150"/>
      <c r="CQ14" s="38" t="s">
        <v>0</v>
      </c>
      <c r="CR14" s="38" t="s">
        <v>0</v>
      </c>
      <c r="CS14" s="150"/>
      <c r="CT14" s="150"/>
      <c r="CU14" s="150"/>
      <c r="CV14" s="150"/>
      <c r="CW14" s="150"/>
      <c r="CX14" s="150"/>
    </row>
    <row r="15" spans="1:102" ht="12" customHeight="1">
      <c r="A15" s="51"/>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123"/>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row>
    <row r="16" spans="1:102" ht="30" customHeight="1">
      <c r="A16" s="6" t="s">
        <v>75</v>
      </c>
      <c r="B16" s="38" t="s">
        <v>0</v>
      </c>
      <c r="C16" s="38" t="s">
        <v>0</v>
      </c>
      <c r="D16" s="38" t="s">
        <v>0</v>
      </c>
      <c r="E16" s="38" t="s">
        <v>0</v>
      </c>
      <c r="F16" s="38" t="s">
        <v>0</v>
      </c>
      <c r="G16" s="38" t="s">
        <v>0</v>
      </c>
      <c r="H16" s="38" t="s">
        <v>57</v>
      </c>
      <c r="I16" s="38" t="s">
        <v>57</v>
      </c>
      <c r="J16" s="38" t="s">
        <v>57</v>
      </c>
      <c r="K16" s="38" t="s">
        <v>57</v>
      </c>
      <c r="L16" s="38" t="s">
        <v>57</v>
      </c>
      <c r="M16" s="38" t="s">
        <v>57</v>
      </c>
      <c r="N16" s="38" t="s">
        <v>57</v>
      </c>
      <c r="O16" s="38" t="s">
        <v>57</v>
      </c>
      <c r="P16" s="38" t="s">
        <v>57</v>
      </c>
      <c r="Q16" s="38" t="s">
        <v>57</v>
      </c>
      <c r="R16" s="38" t="s">
        <v>57</v>
      </c>
      <c r="S16" s="38" t="s">
        <v>57</v>
      </c>
      <c r="T16" s="38" t="s">
        <v>57</v>
      </c>
      <c r="U16" s="38" t="s">
        <v>57</v>
      </c>
      <c r="V16" s="38" t="s">
        <v>57</v>
      </c>
      <c r="W16" s="38" t="s">
        <v>57</v>
      </c>
      <c r="X16" s="38" t="s">
        <v>57</v>
      </c>
      <c r="Y16" s="38" t="s">
        <v>57</v>
      </c>
      <c r="Z16" s="38" t="s">
        <v>57</v>
      </c>
      <c r="AA16" s="38" t="s">
        <v>0</v>
      </c>
      <c r="AB16" s="38" t="s">
        <v>0</v>
      </c>
      <c r="AC16" s="38" t="s">
        <v>0</v>
      </c>
      <c r="AD16" s="38" t="s">
        <v>0</v>
      </c>
      <c r="AE16" s="124" t="s">
        <v>0</v>
      </c>
      <c r="AF16" s="38" t="s">
        <v>57</v>
      </c>
      <c r="AG16" s="38" t="s">
        <v>57</v>
      </c>
      <c r="AH16" s="38" t="s">
        <v>57</v>
      </c>
      <c r="AI16" s="7" t="s">
        <v>0</v>
      </c>
      <c r="AJ16" s="33" t="s">
        <v>0</v>
      </c>
      <c r="AK16" s="7" t="s">
        <v>0</v>
      </c>
      <c r="AL16" s="7" t="s">
        <v>0</v>
      </c>
      <c r="AM16" s="34" t="s">
        <v>0</v>
      </c>
      <c r="AN16" s="34" t="s">
        <v>57</v>
      </c>
      <c r="AO16" s="7" t="s">
        <v>0</v>
      </c>
      <c r="AP16" s="33" t="s">
        <v>0</v>
      </c>
      <c r="AQ16" s="7" t="s">
        <v>0</v>
      </c>
      <c r="AR16" s="7" t="s">
        <v>0</v>
      </c>
      <c r="AS16" s="7" t="s">
        <v>0</v>
      </c>
      <c r="AT16" s="7" t="s">
        <v>0</v>
      </c>
      <c r="AU16" s="38" t="s">
        <v>0</v>
      </c>
      <c r="AV16" s="38" t="s">
        <v>0</v>
      </c>
      <c r="AW16" s="34" t="s">
        <v>57</v>
      </c>
      <c r="AX16" s="34" t="s">
        <v>57</v>
      </c>
      <c r="AY16" s="34" t="s">
        <v>57</v>
      </c>
      <c r="AZ16" s="38" t="s">
        <v>906</v>
      </c>
      <c r="BA16" s="38" t="s">
        <v>57</v>
      </c>
      <c r="BB16" s="38" t="s">
        <v>57</v>
      </c>
      <c r="BC16" s="38" t="s">
        <v>57</v>
      </c>
      <c r="BD16" s="38" t="s">
        <v>57</v>
      </c>
      <c r="BE16" s="38" t="s">
        <v>57</v>
      </c>
      <c r="BF16" s="38" t="s">
        <v>57</v>
      </c>
      <c r="BG16" s="38" t="s">
        <v>0</v>
      </c>
      <c r="BH16" s="38" t="s">
        <v>0</v>
      </c>
      <c r="BI16" s="38" t="s">
        <v>0</v>
      </c>
      <c r="BJ16" s="38" t="s">
        <v>0</v>
      </c>
      <c r="BK16" s="38" t="s">
        <v>57</v>
      </c>
      <c r="BL16" s="38" t="s">
        <v>57</v>
      </c>
      <c r="BM16" s="38" t="s">
        <v>0</v>
      </c>
      <c r="BN16" s="38" t="s">
        <v>0</v>
      </c>
      <c r="BO16" s="38" t="s">
        <v>57</v>
      </c>
      <c r="BP16" s="38" t="s">
        <v>0</v>
      </c>
      <c r="BQ16" s="38" t="s">
        <v>57</v>
      </c>
      <c r="BR16" s="38" t="s">
        <v>57</v>
      </c>
      <c r="BS16" s="38" t="s">
        <v>57</v>
      </c>
      <c r="BT16" s="38" t="s">
        <v>57</v>
      </c>
      <c r="BU16" s="38" t="s">
        <v>57</v>
      </c>
      <c r="BV16" s="38" t="s">
        <v>57</v>
      </c>
      <c r="BW16" s="38" t="s">
        <v>0</v>
      </c>
      <c r="BX16" s="38" t="s">
        <v>0</v>
      </c>
      <c r="BY16" s="38" t="s">
        <v>0</v>
      </c>
      <c r="BZ16" s="36" t="s">
        <v>0</v>
      </c>
      <c r="CA16" s="38" t="s">
        <v>0</v>
      </c>
      <c r="CB16" s="38" t="s">
        <v>0</v>
      </c>
      <c r="CC16" s="38" t="s">
        <v>0</v>
      </c>
      <c r="CD16" s="36" t="s">
        <v>1658</v>
      </c>
      <c r="CE16" s="36" t="s">
        <v>1658</v>
      </c>
      <c r="CF16" s="38" t="s">
        <v>0</v>
      </c>
      <c r="CG16" s="38" t="s">
        <v>0</v>
      </c>
      <c r="CH16" s="38" t="s">
        <v>0</v>
      </c>
      <c r="CI16" s="38" t="s">
        <v>0</v>
      </c>
      <c r="CJ16" s="38" t="s">
        <v>0</v>
      </c>
      <c r="CK16" s="38" t="s">
        <v>0</v>
      </c>
      <c r="CL16" s="38" t="s">
        <v>57</v>
      </c>
      <c r="CM16" s="38" t="s">
        <v>0</v>
      </c>
      <c r="CN16" s="38" t="s">
        <v>0</v>
      </c>
      <c r="CO16" s="38" t="s">
        <v>0</v>
      </c>
      <c r="CP16" s="38" t="s">
        <v>0</v>
      </c>
      <c r="CQ16" s="38" t="s">
        <v>57</v>
      </c>
      <c r="CR16" s="38" t="s">
        <v>57</v>
      </c>
      <c r="CS16" s="38" t="s">
        <v>57</v>
      </c>
      <c r="CT16" s="38" t="s">
        <v>57</v>
      </c>
      <c r="CU16" s="38" t="s">
        <v>57</v>
      </c>
      <c r="CV16" s="38" t="s">
        <v>57</v>
      </c>
      <c r="CW16" s="38" t="s">
        <v>0</v>
      </c>
      <c r="CX16" s="38" t="s">
        <v>0</v>
      </c>
    </row>
    <row r="17" spans="1:102" ht="12" customHeight="1">
      <c r="A17" s="51" t="s">
        <v>935</v>
      </c>
      <c r="B17" s="52" t="s">
        <v>0</v>
      </c>
      <c r="C17" s="52"/>
      <c r="D17" s="52"/>
      <c r="E17" s="52"/>
      <c r="F17" s="52" t="s">
        <v>0</v>
      </c>
      <c r="G17" s="52" t="s">
        <v>0</v>
      </c>
      <c r="H17" s="52" t="s">
        <v>1159</v>
      </c>
      <c r="I17" s="52" t="s">
        <v>1159</v>
      </c>
      <c r="J17" s="52"/>
      <c r="K17" s="52"/>
      <c r="L17" s="52"/>
      <c r="M17" s="52" t="s">
        <v>1527</v>
      </c>
      <c r="N17" s="52" t="s">
        <v>1632</v>
      </c>
      <c r="O17" s="52" t="s">
        <v>1570</v>
      </c>
      <c r="P17" s="52" t="s">
        <v>3336</v>
      </c>
      <c r="Q17" s="52" t="s">
        <v>3392</v>
      </c>
      <c r="R17" s="52" t="s">
        <v>3431</v>
      </c>
      <c r="S17" s="52" t="s">
        <v>3336</v>
      </c>
      <c r="T17" s="52" t="s">
        <v>3392</v>
      </c>
      <c r="U17" s="52" t="s">
        <v>3431</v>
      </c>
      <c r="V17" s="52" t="s">
        <v>5316</v>
      </c>
      <c r="W17" s="52" t="s">
        <v>3336</v>
      </c>
      <c r="X17" s="52" t="s">
        <v>5272</v>
      </c>
      <c r="Y17" s="52" t="s">
        <v>3430</v>
      </c>
      <c r="Z17" s="52"/>
      <c r="AA17" s="52"/>
      <c r="AB17" s="52"/>
      <c r="AC17" s="52"/>
      <c r="AD17" s="52"/>
      <c r="AE17" s="123" t="s">
        <v>0</v>
      </c>
      <c r="AF17" s="52" t="s">
        <v>4643</v>
      </c>
      <c r="AG17" s="52" t="s">
        <v>4644</v>
      </c>
      <c r="AH17" s="52" t="s">
        <v>4642</v>
      </c>
      <c r="AI17" s="52"/>
      <c r="AJ17" s="52"/>
      <c r="AK17" s="52" t="s">
        <v>0</v>
      </c>
      <c r="AL17" s="52" t="s">
        <v>0</v>
      </c>
      <c r="AM17" s="52"/>
      <c r="AN17" s="52" t="s">
        <v>1846</v>
      </c>
      <c r="AO17" s="52"/>
      <c r="AP17" s="52"/>
      <c r="AQ17" s="52" t="s">
        <v>0</v>
      </c>
      <c r="AR17" s="52" t="s">
        <v>0</v>
      </c>
      <c r="AS17" s="52" t="s">
        <v>0</v>
      </c>
      <c r="AT17" s="52" t="s">
        <v>0</v>
      </c>
      <c r="AU17" s="52"/>
      <c r="AV17" s="52"/>
      <c r="AW17" s="52" t="s">
        <v>2930</v>
      </c>
      <c r="AX17" s="52" t="s">
        <v>2994</v>
      </c>
      <c r="AY17" s="52" t="s">
        <v>2964</v>
      </c>
      <c r="AZ17" s="52"/>
      <c r="BA17" s="52" t="s">
        <v>4040</v>
      </c>
      <c r="BB17" s="52"/>
      <c r="BC17" s="52"/>
      <c r="BD17" s="52" t="s">
        <v>2011</v>
      </c>
      <c r="BE17" s="52"/>
      <c r="BF17" s="52" t="s">
        <v>2011</v>
      </c>
      <c r="BG17" s="52" t="s">
        <v>0</v>
      </c>
      <c r="BH17" s="52"/>
      <c r="BI17" s="52"/>
      <c r="BJ17" s="52"/>
      <c r="BK17" s="52" t="s">
        <v>1353</v>
      </c>
      <c r="BL17" s="52" t="s">
        <v>1353</v>
      </c>
      <c r="BM17" s="52"/>
      <c r="BN17" s="52"/>
      <c r="BO17" s="52"/>
      <c r="BP17" s="52"/>
      <c r="BQ17" s="52"/>
      <c r="BR17" s="52"/>
      <c r="BS17" s="52"/>
      <c r="BT17" s="52" t="s">
        <v>3569</v>
      </c>
      <c r="BU17" s="52" t="s">
        <v>3569</v>
      </c>
      <c r="BV17" s="52" t="s">
        <v>3569</v>
      </c>
      <c r="BW17" s="52" t="s">
        <v>0</v>
      </c>
      <c r="BX17" s="52" t="s">
        <v>0</v>
      </c>
      <c r="BY17" s="52" t="s">
        <v>0</v>
      </c>
      <c r="BZ17" s="52" t="s">
        <v>0</v>
      </c>
      <c r="CA17" s="52"/>
      <c r="CB17" s="52"/>
      <c r="CC17" s="52"/>
      <c r="CD17" s="52" t="s">
        <v>1025</v>
      </c>
      <c r="CE17" s="52" t="s">
        <v>1025</v>
      </c>
      <c r="CF17" s="52"/>
      <c r="CG17" s="52" t="s">
        <v>0</v>
      </c>
      <c r="CH17" s="52" t="s">
        <v>0</v>
      </c>
      <c r="CI17" s="52" t="s">
        <v>0</v>
      </c>
      <c r="CJ17" s="52" t="s">
        <v>0</v>
      </c>
      <c r="CK17" s="52" t="s">
        <v>0</v>
      </c>
      <c r="CL17" s="52"/>
      <c r="CM17" s="52"/>
      <c r="CN17" s="52"/>
      <c r="CO17" s="52" t="s">
        <v>0</v>
      </c>
      <c r="CP17" s="52" t="s">
        <v>0</v>
      </c>
      <c r="CQ17" s="52"/>
      <c r="CR17" s="52"/>
      <c r="CS17" s="52"/>
      <c r="CT17" s="52"/>
      <c r="CU17" s="52"/>
      <c r="CV17" s="52"/>
      <c r="CW17" s="52" t="s">
        <v>0</v>
      </c>
      <c r="CX17" s="52"/>
    </row>
    <row r="18" spans="1:102" ht="15" customHeight="1">
      <c r="A18" s="20"/>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125"/>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row>
    <row r="19" spans="1:102" ht="22.5" customHeight="1">
      <c r="A19" s="10" t="s">
        <v>1</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126"/>
      <c r="AF19" s="48"/>
      <c r="AG19" s="54"/>
      <c r="AH19" s="48"/>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48"/>
      <c r="BH19" s="54"/>
      <c r="BI19" s="48"/>
      <c r="BJ19" s="48"/>
      <c r="BK19" s="48"/>
      <c r="BL19" s="48"/>
      <c r="BM19" s="54"/>
      <c r="BN19" s="54"/>
      <c r="BO19" s="54"/>
      <c r="BP19" s="54"/>
      <c r="BQ19" s="54"/>
      <c r="BR19" s="54"/>
      <c r="BS19" s="54"/>
      <c r="BT19" s="54"/>
      <c r="BU19" s="54"/>
      <c r="BV19" s="54"/>
      <c r="BW19" s="54"/>
      <c r="BX19" s="54"/>
      <c r="BY19" s="54"/>
      <c r="BZ19" s="54"/>
      <c r="CA19" s="54"/>
      <c r="CB19" s="54"/>
      <c r="CC19" s="48"/>
      <c r="CD19" s="54"/>
      <c r="CE19" s="54"/>
      <c r="CF19" s="54"/>
      <c r="CG19" s="48"/>
      <c r="CH19" s="48"/>
      <c r="CI19" s="54"/>
      <c r="CJ19" s="54"/>
      <c r="CK19" s="54"/>
      <c r="CL19" s="54"/>
      <c r="CM19" s="54"/>
      <c r="CN19" s="54"/>
      <c r="CO19" s="54"/>
      <c r="CP19" s="54"/>
      <c r="CQ19" s="54"/>
      <c r="CR19" s="54"/>
      <c r="CS19" s="54"/>
      <c r="CT19" s="54"/>
      <c r="CU19" s="54"/>
      <c r="CV19" s="54"/>
      <c r="CW19" s="48"/>
      <c r="CX19" s="48"/>
    </row>
    <row r="20" spans="1:102" ht="30" customHeight="1">
      <c r="A20" s="11" t="s">
        <v>85</v>
      </c>
      <c r="B20" s="36" t="s">
        <v>57</v>
      </c>
      <c r="C20" s="36" t="s">
        <v>57</v>
      </c>
      <c r="D20" s="36" t="s">
        <v>57</v>
      </c>
      <c r="E20" s="36" t="s">
        <v>57</v>
      </c>
      <c r="F20" s="36" t="s">
        <v>57</v>
      </c>
      <c r="G20" s="36" t="s">
        <v>57</v>
      </c>
      <c r="H20" s="36" t="s">
        <v>57</v>
      </c>
      <c r="I20" s="36" t="s">
        <v>57</v>
      </c>
      <c r="J20" s="36" t="s">
        <v>57</v>
      </c>
      <c r="K20" s="36" t="s">
        <v>57</v>
      </c>
      <c r="L20" s="36" t="s">
        <v>57</v>
      </c>
      <c r="M20" s="36" t="s">
        <v>57</v>
      </c>
      <c r="N20" s="36" t="s">
        <v>57</v>
      </c>
      <c r="O20" s="36" t="s">
        <v>57</v>
      </c>
      <c r="P20" s="36" t="s">
        <v>57</v>
      </c>
      <c r="Q20" s="36" t="s">
        <v>57</v>
      </c>
      <c r="R20" s="36" t="s">
        <v>57</v>
      </c>
      <c r="S20" s="36" t="s">
        <v>57</v>
      </c>
      <c r="T20" s="36" t="s">
        <v>57</v>
      </c>
      <c r="U20" s="36" t="s">
        <v>57</v>
      </c>
      <c r="V20" s="36" t="s">
        <v>57</v>
      </c>
      <c r="W20" s="36" t="s">
        <v>57</v>
      </c>
      <c r="X20" s="36" t="s">
        <v>57</v>
      </c>
      <c r="Y20" s="36" t="s">
        <v>57</v>
      </c>
      <c r="Z20" s="36" t="s">
        <v>57</v>
      </c>
      <c r="AA20" s="36" t="s">
        <v>57</v>
      </c>
      <c r="AB20" s="36" t="s">
        <v>57</v>
      </c>
      <c r="AC20" s="36" t="s">
        <v>57</v>
      </c>
      <c r="AD20" s="36" t="s">
        <v>57</v>
      </c>
      <c r="AE20" s="122" t="s">
        <v>57</v>
      </c>
      <c r="AF20" s="36" t="s">
        <v>57</v>
      </c>
      <c r="AG20" s="36" t="s">
        <v>57</v>
      </c>
      <c r="AH20" s="36" t="s">
        <v>57</v>
      </c>
      <c r="AI20" s="7" t="s">
        <v>57</v>
      </c>
      <c r="AJ20" s="33" t="s">
        <v>57</v>
      </c>
      <c r="AK20" s="7" t="s">
        <v>57</v>
      </c>
      <c r="AL20" s="7" t="s">
        <v>57</v>
      </c>
      <c r="AM20" s="34" t="s">
        <v>57</v>
      </c>
      <c r="AN20" s="34" t="s">
        <v>57</v>
      </c>
      <c r="AO20" s="7" t="s">
        <v>57</v>
      </c>
      <c r="AP20" s="33" t="s">
        <v>57</v>
      </c>
      <c r="AQ20" s="7" t="s">
        <v>57</v>
      </c>
      <c r="AR20" s="7" t="s">
        <v>57</v>
      </c>
      <c r="AS20" s="7" t="s">
        <v>57</v>
      </c>
      <c r="AT20" s="7" t="s">
        <v>57</v>
      </c>
      <c r="AU20" s="36" t="s">
        <v>57</v>
      </c>
      <c r="AV20" s="36" t="s">
        <v>57</v>
      </c>
      <c r="AW20" s="34" t="s">
        <v>57</v>
      </c>
      <c r="AX20" s="34" t="s">
        <v>57</v>
      </c>
      <c r="AY20" s="34" t="s">
        <v>57</v>
      </c>
      <c r="AZ20" s="36" t="s">
        <v>57</v>
      </c>
      <c r="BA20" s="36" t="s">
        <v>57</v>
      </c>
      <c r="BB20" s="36" t="s">
        <v>57</v>
      </c>
      <c r="BC20" s="36" t="s">
        <v>57</v>
      </c>
      <c r="BD20" s="36" t="s">
        <v>57</v>
      </c>
      <c r="BE20" s="36" t="s">
        <v>57</v>
      </c>
      <c r="BF20" s="36" t="s">
        <v>57</v>
      </c>
      <c r="BG20" s="36" t="s">
        <v>57</v>
      </c>
      <c r="BH20" s="36" t="s">
        <v>57</v>
      </c>
      <c r="BI20" s="36" t="s">
        <v>57</v>
      </c>
      <c r="BJ20" s="36" t="s">
        <v>57</v>
      </c>
      <c r="BK20" s="36" t="s">
        <v>57</v>
      </c>
      <c r="BL20" s="36" t="s">
        <v>57</v>
      </c>
      <c r="BM20" s="36" t="s">
        <v>57</v>
      </c>
      <c r="BN20" s="36" t="s">
        <v>57</v>
      </c>
      <c r="BO20" s="36" t="s">
        <v>57</v>
      </c>
      <c r="BP20" s="36" t="s">
        <v>57</v>
      </c>
      <c r="BQ20" s="36" t="s">
        <v>57</v>
      </c>
      <c r="BR20" s="36" t="s">
        <v>57</v>
      </c>
      <c r="BS20" s="36" t="s">
        <v>57</v>
      </c>
      <c r="BT20" s="36" t="s">
        <v>57</v>
      </c>
      <c r="BU20" s="36" t="s">
        <v>57</v>
      </c>
      <c r="BV20" s="36" t="s">
        <v>57</v>
      </c>
      <c r="BW20" s="36" t="s">
        <v>57</v>
      </c>
      <c r="BX20" s="36" t="s">
        <v>57</v>
      </c>
      <c r="BY20" s="36" t="s">
        <v>57</v>
      </c>
      <c r="BZ20" s="36" t="s">
        <v>57</v>
      </c>
      <c r="CA20" s="36" t="s">
        <v>57</v>
      </c>
      <c r="CB20" s="36" t="s">
        <v>57</v>
      </c>
      <c r="CC20" s="36" t="s">
        <v>57</v>
      </c>
      <c r="CD20" s="36" t="s">
        <v>57</v>
      </c>
      <c r="CE20" s="36" t="s">
        <v>57</v>
      </c>
      <c r="CF20" s="36" t="s">
        <v>57</v>
      </c>
      <c r="CG20" s="36" t="s">
        <v>57</v>
      </c>
      <c r="CH20" s="36" t="s">
        <v>57</v>
      </c>
      <c r="CI20" s="36" t="s">
        <v>57</v>
      </c>
      <c r="CJ20" s="36" t="s">
        <v>57</v>
      </c>
      <c r="CK20" s="36" t="s">
        <v>57</v>
      </c>
      <c r="CL20" s="36" t="s">
        <v>57</v>
      </c>
      <c r="CM20" s="36" t="s">
        <v>57</v>
      </c>
      <c r="CN20" s="36" t="s">
        <v>57</v>
      </c>
      <c r="CO20" s="36" t="s">
        <v>57</v>
      </c>
      <c r="CP20" s="36" t="s">
        <v>57</v>
      </c>
      <c r="CQ20" s="36" t="s">
        <v>57</v>
      </c>
      <c r="CR20" s="36" t="s">
        <v>57</v>
      </c>
      <c r="CS20" s="36" t="s">
        <v>57</v>
      </c>
      <c r="CT20" s="36" t="s">
        <v>57</v>
      </c>
      <c r="CU20" s="36" t="s">
        <v>57</v>
      </c>
      <c r="CV20" s="36" t="s">
        <v>57</v>
      </c>
      <c r="CW20" s="36" t="s">
        <v>57</v>
      </c>
      <c r="CX20" s="36" t="s">
        <v>57</v>
      </c>
    </row>
    <row r="21" spans="1:102" ht="12" customHeight="1">
      <c r="A21" s="51" t="s">
        <v>935</v>
      </c>
      <c r="B21" s="52" t="s">
        <v>2012</v>
      </c>
      <c r="C21" s="52"/>
      <c r="D21" s="52"/>
      <c r="E21" s="52"/>
      <c r="F21" s="52" t="s">
        <v>1455</v>
      </c>
      <c r="G21" s="52" t="s">
        <v>1455</v>
      </c>
      <c r="H21" s="52" t="s">
        <v>1455</v>
      </c>
      <c r="I21" s="52" t="s">
        <v>1455</v>
      </c>
      <c r="J21" s="52"/>
      <c r="K21" s="52"/>
      <c r="L21" s="52"/>
      <c r="M21" s="52" t="s">
        <v>1637</v>
      </c>
      <c r="N21" s="52" t="s">
        <v>1637</v>
      </c>
      <c r="O21" s="52" t="s">
        <v>1637</v>
      </c>
      <c r="P21" s="52" t="s">
        <v>1637</v>
      </c>
      <c r="Q21" s="52" t="s">
        <v>1637</v>
      </c>
      <c r="R21" s="52" t="s">
        <v>1637</v>
      </c>
      <c r="S21" s="52" t="s">
        <v>1637</v>
      </c>
      <c r="T21" s="52" t="s">
        <v>1637</v>
      </c>
      <c r="U21" s="52" t="s">
        <v>1637</v>
      </c>
      <c r="V21" s="52" t="s">
        <v>1637</v>
      </c>
      <c r="W21" s="52" t="s">
        <v>1637</v>
      </c>
      <c r="X21" s="52" t="s">
        <v>1637</v>
      </c>
      <c r="Y21" s="52" t="s">
        <v>1637</v>
      </c>
      <c r="Z21" s="52"/>
      <c r="AA21" s="52"/>
      <c r="AB21" s="52"/>
      <c r="AC21" s="52"/>
      <c r="AD21" s="52"/>
      <c r="AE21" s="123" t="s">
        <v>5650</v>
      </c>
      <c r="AF21" s="52" t="s">
        <v>4645</v>
      </c>
      <c r="AG21" s="52" t="s">
        <v>4645</v>
      </c>
      <c r="AH21" s="52" t="s">
        <v>4645</v>
      </c>
      <c r="AI21" s="52"/>
      <c r="AJ21" s="52"/>
      <c r="AK21" s="52" t="s">
        <v>1738</v>
      </c>
      <c r="AL21" s="52" t="s">
        <v>1738</v>
      </c>
      <c r="AM21" s="52"/>
      <c r="AN21" s="52" t="s">
        <v>1786</v>
      </c>
      <c r="AO21" s="52"/>
      <c r="AP21" s="52"/>
      <c r="AQ21" s="52" t="s">
        <v>1881</v>
      </c>
      <c r="AR21" s="52" t="s">
        <v>1881</v>
      </c>
      <c r="AS21" s="52" t="s">
        <v>1881</v>
      </c>
      <c r="AT21" s="52" t="s">
        <v>1881</v>
      </c>
      <c r="AU21" s="52"/>
      <c r="AV21" s="52"/>
      <c r="AW21" s="52" t="s">
        <v>3022</v>
      </c>
      <c r="AX21" s="52" t="s">
        <v>3022</v>
      </c>
      <c r="AY21" s="52" t="s">
        <v>3022</v>
      </c>
      <c r="AZ21" s="52"/>
      <c r="BA21" s="52" t="s">
        <v>2026</v>
      </c>
      <c r="BB21" s="52"/>
      <c r="BC21" s="52"/>
      <c r="BD21" s="52" t="s">
        <v>2026</v>
      </c>
      <c r="BE21" s="52"/>
      <c r="BF21" s="52" t="s">
        <v>2026</v>
      </c>
      <c r="BG21" s="52" t="s">
        <v>4058</v>
      </c>
      <c r="BH21" s="52"/>
      <c r="BI21" s="52"/>
      <c r="BJ21" s="52"/>
      <c r="BK21" s="52" t="s">
        <v>1377</v>
      </c>
      <c r="BL21" s="52" t="s">
        <v>1377</v>
      </c>
      <c r="BM21" s="52"/>
      <c r="BN21" s="52"/>
      <c r="BO21" s="52"/>
      <c r="BP21" s="52"/>
      <c r="BQ21" s="52"/>
      <c r="BR21" s="52"/>
      <c r="BS21" s="52"/>
      <c r="BT21" s="52" t="s">
        <v>3670</v>
      </c>
      <c r="BU21" s="52" t="s">
        <v>3584</v>
      </c>
      <c r="BV21" s="52" t="s">
        <v>3518</v>
      </c>
      <c r="BW21" s="52" t="s">
        <v>2487</v>
      </c>
      <c r="BX21" s="52" t="s">
        <v>2487</v>
      </c>
      <c r="BY21" s="52" t="s">
        <v>2487</v>
      </c>
      <c r="BZ21" s="52" t="s">
        <v>2012</v>
      </c>
      <c r="CA21" s="52"/>
      <c r="CB21" s="52"/>
      <c r="CC21" s="52"/>
      <c r="CD21" s="52" t="s">
        <v>2583</v>
      </c>
      <c r="CE21" s="52" t="s">
        <v>2583</v>
      </c>
      <c r="CF21" s="52"/>
      <c r="CG21" s="52" t="s">
        <v>1637</v>
      </c>
      <c r="CH21" s="52" t="s">
        <v>1637</v>
      </c>
      <c r="CI21" s="52" t="s">
        <v>2012</v>
      </c>
      <c r="CJ21" s="52" t="s">
        <v>2012</v>
      </c>
      <c r="CK21" s="52" t="s">
        <v>1881</v>
      </c>
      <c r="CL21" s="52"/>
      <c r="CM21" s="52"/>
      <c r="CN21" s="52"/>
      <c r="CO21" s="52" t="s">
        <v>2081</v>
      </c>
      <c r="CP21" s="52" t="s">
        <v>2858</v>
      </c>
      <c r="CQ21" s="52"/>
      <c r="CR21" s="52"/>
      <c r="CS21" s="52"/>
      <c r="CT21" s="52"/>
      <c r="CU21" s="52"/>
      <c r="CV21" s="52"/>
      <c r="CW21" s="52" t="s">
        <v>1171</v>
      </c>
      <c r="CX21" s="52"/>
    </row>
    <row r="22" spans="1:102" s="41" customFormat="1" ht="30" customHeight="1">
      <c r="A22" s="55" t="s">
        <v>86</v>
      </c>
      <c r="B22" s="36" t="s">
        <v>57</v>
      </c>
      <c r="C22" s="36" t="s">
        <v>57</v>
      </c>
      <c r="D22" s="36" t="s">
        <v>57</v>
      </c>
      <c r="E22" s="36" t="s">
        <v>57</v>
      </c>
      <c r="F22" s="36" t="s">
        <v>57</v>
      </c>
      <c r="G22" s="36" t="s">
        <v>57</v>
      </c>
      <c r="H22" s="36" t="s">
        <v>57</v>
      </c>
      <c r="I22" s="36" t="s">
        <v>57</v>
      </c>
      <c r="J22" s="36" t="s">
        <v>57</v>
      </c>
      <c r="K22" s="36" t="s">
        <v>57</v>
      </c>
      <c r="L22" s="36" t="s">
        <v>57</v>
      </c>
      <c r="M22" s="36" t="s">
        <v>57</v>
      </c>
      <c r="N22" s="36" t="s">
        <v>57</v>
      </c>
      <c r="O22" s="36" t="s">
        <v>57</v>
      </c>
      <c r="P22" s="36" t="s">
        <v>57</v>
      </c>
      <c r="Q22" s="36" t="s">
        <v>57</v>
      </c>
      <c r="R22" s="36" t="s">
        <v>57</v>
      </c>
      <c r="S22" s="36" t="s">
        <v>57</v>
      </c>
      <c r="T22" s="36" t="s">
        <v>57</v>
      </c>
      <c r="U22" s="36" t="s">
        <v>57</v>
      </c>
      <c r="V22" s="36" t="s">
        <v>57</v>
      </c>
      <c r="W22" s="36" t="s">
        <v>57</v>
      </c>
      <c r="X22" s="36" t="s">
        <v>57</v>
      </c>
      <c r="Y22" s="36" t="s">
        <v>57</v>
      </c>
      <c r="Z22" s="36" t="s">
        <v>57</v>
      </c>
      <c r="AA22" s="36" t="s">
        <v>57</v>
      </c>
      <c r="AB22" s="36" t="s">
        <v>57</v>
      </c>
      <c r="AC22" s="36" t="s">
        <v>57</v>
      </c>
      <c r="AD22" s="36" t="s">
        <v>57</v>
      </c>
      <c r="AE22" s="122" t="s">
        <v>57</v>
      </c>
      <c r="AF22" s="36" t="s">
        <v>57</v>
      </c>
      <c r="AG22" s="36" t="s">
        <v>57</v>
      </c>
      <c r="AH22" s="36" t="s">
        <v>57</v>
      </c>
      <c r="AI22" s="7" t="s">
        <v>57</v>
      </c>
      <c r="AJ22" s="33" t="s">
        <v>57</v>
      </c>
      <c r="AK22" s="7" t="s">
        <v>57</v>
      </c>
      <c r="AL22" s="7" t="s">
        <v>57</v>
      </c>
      <c r="AM22" s="34" t="s">
        <v>57</v>
      </c>
      <c r="AN22" s="34" t="s">
        <v>57</v>
      </c>
      <c r="AO22" s="7" t="s">
        <v>57</v>
      </c>
      <c r="AP22" s="34" t="s">
        <v>57</v>
      </c>
      <c r="AQ22" s="7" t="s">
        <v>57</v>
      </c>
      <c r="AR22" s="7" t="s">
        <v>57</v>
      </c>
      <c r="AS22" s="7" t="s">
        <v>57</v>
      </c>
      <c r="AT22" s="7" t="s">
        <v>57</v>
      </c>
      <c r="AU22" s="36" t="s">
        <v>57</v>
      </c>
      <c r="AV22" s="36" t="s">
        <v>57</v>
      </c>
      <c r="AW22" s="34" t="s">
        <v>57</v>
      </c>
      <c r="AX22" s="34" t="s">
        <v>57</v>
      </c>
      <c r="AY22" s="34" t="s">
        <v>57</v>
      </c>
      <c r="AZ22" s="36" t="s">
        <v>57</v>
      </c>
      <c r="BA22" s="36" t="s">
        <v>57</v>
      </c>
      <c r="BB22" s="36" t="s">
        <v>57</v>
      </c>
      <c r="BC22" s="36" t="s">
        <v>57</v>
      </c>
      <c r="BD22" s="36" t="s">
        <v>57</v>
      </c>
      <c r="BE22" s="36" t="s">
        <v>57</v>
      </c>
      <c r="BF22" s="36" t="s">
        <v>57</v>
      </c>
      <c r="BG22" s="36" t="s">
        <v>57</v>
      </c>
      <c r="BH22" s="36" t="s">
        <v>57</v>
      </c>
      <c r="BI22" s="36" t="s">
        <v>57</v>
      </c>
      <c r="BJ22" s="36" t="s">
        <v>57</v>
      </c>
      <c r="BK22" s="36" t="s">
        <v>57</v>
      </c>
      <c r="BL22" s="36" t="s">
        <v>57</v>
      </c>
      <c r="BM22" s="36" t="s">
        <v>57</v>
      </c>
      <c r="BN22" s="36" t="s">
        <v>57</v>
      </c>
      <c r="BO22" s="36" t="s">
        <v>57</v>
      </c>
      <c r="BP22" s="36" t="s">
        <v>57</v>
      </c>
      <c r="BQ22" s="36" t="s">
        <v>57</v>
      </c>
      <c r="BR22" s="36" t="s">
        <v>57</v>
      </c>
      <c r="BS22" s="36" t="s">
        <v>57</v>
      </c>
      <c r="BT22" s="36" t="s">
        <v>57</v>
      </c>
      <c r="BU22" s="36" t="s">
        <v>57</v>
      </c>
      <c r="BV22" s="36" t="s">
        <v>57</v>
      </c>
      <c r="BW22" s="36" t="s">
        <v>57</v>
      </c>
      <c r="BX22" s="36" t="s">
        <v>57</v>
      </c>
      <c r="BY22" s="36" t="s">
        <v>57</v>
      </c>
      <c r="BZ22" s="36" t="s">
        <v>57</v>
      </c>
      <c r="CA22" s="36" t="s">
        <v>57</v>
      </c>
      <c r="CB22" s="36" t="s">
        <v>57</v>
      </c>
      <c r="CC22" s="36" t="s">
        <v>57</v>
      </c>
      <c r="CD22" s="36" t="s">
        <v>57</v>
      </c>
      <c r="CE22" s="36" t="s">
        <v>57</v>
      </c>
      <c r="CF22" s="36" t="s">
        <v>57</v>
      </c>
      <c r="CG22" s="36" t="s">
        <v>57</v>
      </c>
      <c r="CH22" s="36" t="s">
        <v>57</v>
      </c>
      <c r="CI22" s="36" t="s">
        <v>4024</v>
      </c>
      <c r="CJ22" s="36" t="s">
        <v>4024</v>
      </c>
      <c r="CK22" s="36" t="s">
        <v>57</v>
      </c>
      <c r="CL22" s="36" t="s">
        <v>57</v>
      </c>
      <c r="CM22" s="36" t="s">
        <v>57</v>
      </c>
      <c r="CN22" s="36" t="s">
        <v>537</v>
      </c>
      <c r="CO22" s="36" t="s">
        <v>57</v>
      </c>
      <c r="CP22" s="36" t="s">
        <v>57</v>
      </c>
      <c r="CQ22" s="36" t="s">
        <v>57</v>
      </c>
      <c r="CR22" s="36" t="s">
        <v>57</v>
      </c>
      <c r="CS22" s="36" t="s">
        <v>57</v>
      </c>
      <c r="CT22" s="36" t="s">
        <v>57</v>
      </c>
      <c r="CU22" s="36" t="s">
        <v>57</v>
      </c>
      <c r="CV22" s="36" t="s">
        <v>57</v>
      </c>
      <c r="CW22" s="36" t="s">
        <v>57</v>
      </c>
      <c r="CX22" s="36" t="s">
        <v>57</v>
      </c>
    </row>
    <row r="23" spans="1:102" ht="12" customHeight="1">
      <c r="A23" s="51" t="s">
        <v>935</v>
      </c>
      <c r="B23" s="52" t="s">
        <v>3947</v>
      </c>
      <c r="C23" s="52"/>
      <c r="D23" s="52"/>
      <c r="E23" s="52"/>
      <c r="F23" s="52" t="s">
        <v>1456</v>
      </c>
      <c r="G23" s="52" t="s">
        <v>1456</v>
      </c>
      <c r="H23" s="52" t="s">
        <v>1456</v>
      </c>
      <c r="I23" s="52" t="s">
        <v>1456</v>
      </c>
      <c r="J23" s="52"/>
      <c r="K23" s="52"/>
      <c r="L23" s="52"/>
      <c r="M23" s="52" t="s">
        <v>1638</v>
      </c>
      <c r="N23" s="52" t="s">
        <v>1638</v>
      </c>
      <c r="O23" s="52" t="s">
        <v>1638</v>
      </c>
      <c r="P23" s="52" t="s">
        <v>1638</v>
      </c>
      <c r="Q23" s="52" t="s">
        <v>1638</v>
      </c>
      <c r="R23" s="52" t="s">
        <v>1638</v>
      </c>
      <c r="S23" s="52" t="s">
        <v>1638</v>
      </c>
      <c r="T23" s="52" t="s">
        <v>1638</v>
      </c>
      <c r="U23" s="52" t="s">
        <v>1638</v>
      </c>
      <c r="V23" s="52" t="s">
        <v>1638</v>
      </c>
      <c r="W23" s="52" t="s">
        <v>1638</v>
      </c>
      <c r="X23" s="52" t="s">
        <v>1638</v>
      </c>
      <c r="Y23" s="52" t="s">
        <v>1638</v>
      </c>
      <c r="Z23" s="52"/>
      <c r="AA23" s="52"/>
      <c r="AB23" s="52"/>
      <c r="AC23" s="52"/>
      <c r="AD23" s="52"/>
      <c r="AE23" s="123" t="s">
        <v>5651</v>
      </c>
      <c r="AF23" s="52" t="s">
        <v>4646</v>
      </c>
      <c r="AG23" s="52" t="s">
        <v>4646</v>
      </c>
      <c r="AH23" s="52" t="s">
        <v>4646</v>
      </c>
      <c r="AI23" s="52"/>
      <c r="AJ23" s="52"/>
      <c r="AK23" s="52" t="s">
        <v>1739</v>
      </c>
      <c r="AL23" s="52" t="s">
        <v>1739</v>
      </c>
      <c r="AM23" s="52"/>
      <c r="AN23" s="52" t="s">
        <v>1790</v>
      </c>
      <c r="AO23" s="52"/>
      <c r="AP23" s="52"/>
      <c r="AQ23" s="52" t="s">
        <v>1884</v>
      </c>
      <c r="AR23" s="52" t="s">
        <v>1884</v>
      </c>
      <c r="AS23" s="52" t="s">
        <v>1884</v>
      </c>
      <c r="AT23" s="52" t="s">
        <v>1884</v>
      </c>
      <c r="AU23" s="52"/>
      <c r="AV23" s="52"/>
      <c r="AW23" s="52" t="s">
        <v>3023</v>
      </c>
      <c r="AX23" s="52" t="s">
        <v>3023</v>
      </c>
      <c r="AY23" s="52" t="s">
        <v>3023</v>
      </c>
      <c r="AZ23" s="52"/>
      <c r="BA23" s="52" t="s">
        <v>4138</v>
      </c>
      <c r="BB23" s="52"/>
      <c r="BC23" s="52"/>
      <c r="BD23" s="52" t="s">
        <v>2027</v>
      </c>
      <c r="BE23" s="52"/>
      <c r="BF23" s="52" t="s">
        <v>2027</v>
      </c>
      <c r="BG23" s="52" t="s">
        <v>4058</v>
      </c>
      <c r="BH23" s="52"/>
      <c r="BI23" s="52"/>
      <c r="BJ23" s="52"/>
      <c r="BK23" s="52" t="s">
        <v>1378</v>
      </c>
      <c r="BL23" s="52" t="s">
        <v>1378</v>
      </c>
      <c r="BM23" s="52"/>
      <c r="BN23" s="52"/>
      <c r="BO23" s="52"/>
      <c r="BP23" s="52"/>
      <c r="BQ23" s="52"/>
      <c r="BR23" s="52"/>
      <c r="BS23" s="52"/>
      <c r="BT23" s="52" t="s">
        <v>3671</v>
      </c>
      <c r="BU23" s="52" t="s">
        <v>3585</v>
      </c>
      <c r="BV23" s="52" t="s">
        <v>3519</v>
      </c>
      <c r="BW23" s="52" t="s">
        <v>2488</v>
      </c>
      <c r="BX23" s="52" t="s">
        <v>2488</v>
      </c>
      <c r="BY23" s="52" t="s">
        <v>2488</v>
      </c>
      <c r="BZ23" s="52" t="s">
        <v>4618</v>
      </c>
      <c r="CA23" s="52"/>
      <c r="CB23" s="52"/>
      <c r="CC23" s="52"/>
      <c r="CD23" s="52" t="s">
        <v>2584</v>
      </c>
      <c r="CE23" s="52" t="s">
        <v>2584</v>
      </c>
      <c r="CF23" s="52"/>
      <c r="CG23" s="52" t="s">
        <v>1638</v>
      </c>
      <c r="CH23" s="52" t="s">
        <v>1638</v>
      </c>
      <c r="CI23" s="52" t="s">
        <v>4023</v>
      </c>
      <c r="CJ23" s="52" t="s">
        <v>4023</v>
      </c>
      <c r="CK23" s="52" t="s">
        <v>2692</v>
      </c>
      <c r="CL23" s="52"/>
      <c r="CM23" s="52"/>
      <c r="CN23" s="52"/>
      <c r="CO23" s="52" t="s">
        <v>2088</v>
      </c>
      <c r="CP23" s="52" t="s">
        <v>2859</v>
      </c>
      <c r="CQ23" s="52"/>
      <c r="CR23" s="52"/>
      <c r="CS23" s="52"/>
      <c r="CT23" s="52"/>
      <c r="CU23" s="52"/>
      <c r="CV23" s="52"/>
      <c r="CW23" s="52" t="s">
        <v>1172</v>
      </c>
      <c r="CX23" s="52"/>
    </row>
    <row r="24" spans="1:102" ht="30" customHeight="1">
      <c r="A24" s="12" t="s">
        <v>87</v>
      </c>
      <c r="B24" s="36" t="s">
        <v>57</v>
      </c>
      <c r="C24" s="36" t="s">
        <v>57</v>
      </c>
      <c r="D24" s="36" t="s">
        <v>57</v>
      </c>
      <c r="E24" s="36" t="s">
        <v>57</v>
      </c>
      <c r="F24" s="36" t="s">
        <v>57</v>
      </c>
      <c r="G24" s="36" t="s">
        <v>57</v>
      </c>
      <c r="H24" s="36" t="s">
        <v>57</v>
      </c>
      <c r="I24" s="36" t="s">
        <v>57</v>
      </c>
      <c r="J24" s="36" t="s">
        <v>57</v>
      </c>
      <c r="K24" s="36" t="s">
        <v>57</v>
      </c>
      <c r="L24" s="36" t="s">
        <v>57</v>
      </c>
      <c r="M24" s="36" t="s">
        <v>57</v>
      </c>
      <c r="N24" s="36" t="s">
        <v>57</v>
      </c>
      <c r="O24" s="36" t="s">
        <v>57</v>
      </c>
      <c r="P24" s="36" t="s">
        <v>57</v>
      </c>
      <c r="Q24" s="36" t="s">
        <v>57</v>
      </c>
      <c r="R24" s="36" t="s">
        <v>57</v>
      </c>
      <c r="S24" s="36" t="s">
        <v>57</v>
      </c>
      <c r="T24" s="36" t="s">
        <v>57</v>
      </c>
      <c r="U24" s="36" t="s">
        <v>57</v>
      </c>
      <c r="V24" s="36" t="s">
        <v>57</v>
      </c>
      <c r="W24" s="36" t="s">
        <v>57</v>
      </c>
      <c r="X24" s="36" t="s">
        <v>57</v>
      </c>
      <c r="Y24" s="36" t="s">
        <v>57</v>
      </c>
      <c r="Z24" s="36" t="s">
        <v>57</v>
      </c>
      <c r="AA24" s="36" t="s">
        <v>57</v>
      </c>
      <c r="AB24" s="36" t="s">
        <v>57</v>
      </c>
      <c r="AC24" s="36" t="s">
        <v>57</v>
      </c>
      <c r="AD24" s="36" t="s">
        <v>57</v>
      </c>
      <c r="AE24" s="122" t="s">
        <v>57</v>
      </c>
      <c r="AF24" s="36" t="s">
        <v>57</v>
      </c>
      <c r="AG24" s="36" t="s">
        <v>57</v>
      </c>
      <c r="AH24" s="36" t="s">
        <v>57</v>
      </c>
      <c r="AI24" s="7" t="s">
        <v>57</v>
      </c>
      <c r="AJ24" s="33" t="s">
        <v>57</v>
      </c>
      <c r="AK24" s="7" t="s">
        <v>57</v>
      </c>
      <c r="AL24" s="7" t="s">
        <v>57</v>
      </c>
      <c r="AM24" s="34" t="s">
        <v>57</v>
      </c>
      <c r="AN24" s="34" t="s">
        <v>57</v>
      </c>
      <c r="AO24" s="7" t="s">
        <v>57</v>
      </c>
      <c r="AP24" s="33" t="s">
        <v>57</v>
      </c>
      <c r="AQ24" s="7" t="s">
        <v>57</v>
      </c>
      <c r="AR24" s="7" t="s">
        <v>57</v>
      </c>
      <c r="AS24" s="7" t="s">
        <v>57</v>
      </c>
      <c r="AT24" s="7" t="s">
        <v>57</v>
      </c>
      <c r="AU24" s="36" t="s">
        <v>57</v>
      </c>
      <c r="AV24" s="36" t="s">
        <v>57</v>
      </c>
      <c r="AW24" s="34" t="s">
        <v>57</v>
      </c>
      <c r="AX24" s="34" t="s">
        <v>57</v>
      </c>
      <c r="AY24" s="34" t="s">
        <v>57</v>
      </c>
      <c r="AZ24" s="36" t="s">
        <v>57</v>
      </c>
      <c r="BA24" s="36" t="s">
        <v>57</v>
      </c>
      <c r="BB24" s="36" t="s">
        <v>57</v>
      </c>
      <c r="BC24" s="36" t="s">
        <v>57</v>
      </c>
      <c r="BD24" s="36" t="s">
        <v>57</v>
      </c>
      <c r="BE24" s="36" t="s">
        <v>57</v>
      </c>
      <c r="BF24" s="36" t="s">
        <v>57</v>
      </c>
      <c r="BG24" s="36" t="s">
        <v>57</v>
      </c>
      <c r="BH24" s="36" t="s">
        <v>57</v>
      </c>
      <c r="BI24" s="36" t="s">
        <v>57</v>
      </c>
      <c r="BJ24" s="36" t="s">
        <v>57</v>
      </c>
      <c r="BK24" s="36" t="s">
        <v>57</v>
      </c>
      <c r="BL24" s="36" t="s">
        <v>57</v>
      </c>
      <c r="BM24" s="36" t="s">
        <v>57</v>
      </c>
      <c r="BN24" s="36" t="s">
        <v>57</v>
      </c>
      <c r="BO24" s="36" t="s">
        <v>57</v>
      </c>
      <c r="BP24" s="36" t="s">
        <v>57</v>
      </c>
      <c r="BQ24" s="36" t="s">
        <v>57</v>
      </c>
      <c r="BR24" s="36" t="s">
        <v>57</v>
      </c>
      <c r="BS24" s="36" t="s">
        <v>57</v>
      </c>
      <c r="BT24" s="36" t="s">
        <v>57</v>
      </c>
      <c r="BU24" s="36" t="s">
        <v>57</v>
      </c>
      <c r="BV24" s="36" t="s">
        <v>57</v>
      </c>
      <c r="BW24" s="36" t="s">
        <v>57</v>
      </c>
      <c r="BX24" s="36" t="s">
        <v>57</v>
      </c>
      <c r="BY24" s="36" t="s">
        <v>57</v>
      </c>
      <c r="BZ24" s="36" t="s">
        <v>57</v>
      </c>
      <c r="CA24" s="36" t="s">
        <v>57</v>
      </c>
      <c r="CB24" s="36" t="s">
        <v>57</v>
      </c>
      <c r="CC24" s="36" t="s">
        <v>57</v>
      </c>
      <c r="CD24" s="36" t="s">
        <v>57</v>
      </c>
      <c r="CE24" s="36" t="s">
        <v>57</v>
      </c>
      <c r="CF24" s="36" t="s">
        <v>57</v>
      </c>
      <c r="CG24" s="36" t="s">
        <v>57</v>
      </c>
      <c r="CH24" s="36" t="s">
        <v>57</v>
      </c>
      <c r="CI24" s="36" t="s">
        <v>4024</v>
      </c>
      <c r="CJ24" s="36" t="s">
        <v>4024</v>
      </c>
      <c r="CK24" s="36" t="s">
        <v>57</v>
      </c>
      <c r="CL24" s="36" t="s">
        <v>57</v>
      </c>
      <c r="CM24" s="36" t="s">
        <v>57</v>
      </c>
      <c r="CN24" s="36" t="s">
        <v>57</v>
      </c>
      <c r="CO24" s="36" t="s">
        <v>57</v>
      </c>
      <c r="CP24" s="36" t="s">
        <v>57</v>
      </c>
      <c r="CQ24" s="36" t="s">
        <v>57</v>
      </c>
      <c r="CR24" s="36" t="s">
        <v>57</v>
      </c>
      <c r="CS24" s="36" t="s">
        <v>57</v>
      </c>
      <c r="CT24" s="36" t="s">
        <v>57</v>
      </c>
      <c r="CU24" s="36" t="s">
        <v>57</v>
      </c>
      <c r="CV24" s="36" t="s">
        <v>57</v>
      </c>
      <c r="CW24" s="36" t="s">
        <v>57</v>
      </c>
      <c r="CX24" s="36" t="s">
        <v>57</v>
      </c>
    </row>
    <row r="25" spans="1:102" ht="12" customHeight="1">
      <c r="A25" s="51" t="s">
        <v>935</v>
      </c>
      <c r="B25" s="52" t="s">
        <v>3947</v>
      </c>
      <c r="C25" s="52"/>
      <c r="D25" s="52"/>
      <c r="E25" s="52"/>
      <c r="F25" s="52" t="s">
        <v>1457</v>
      </c>
      <c r="G25" s="52" t="s">
        <v>1457</v>
      </c>
      <c r="H25" s="52" t="s">
        <v>1457</v>
      </c>
      <c r="I25" s="52" t="s">
        <v>1457</v>
      </c>
      <c r="J25" s="52"/>
      <c r="K25" s="52"/>
      <c r="L25" s="52"/>
      <c r="M25" s="52" t="s">
        <v>1639</v>
      </c>
      <c r="N25" s="52" t="s">
        <v>1639</v>
      </c>
      <c r="O25" s="52" t="s">
        <v>1639</v>
      </c>
      <c r="P25" s="52" t="s">
        <v>1639</v>
      </c>
      <c r="Q25" s="52" t="s">
        <v>1639</v>
      </c>
      <c r="R25" s="52" t="s">
        <v>1639</v>
      </c>
      <c r="S25" s="52" t="s">
        <v>1639</v>
      </c>
      <c r="T25" s="52" t="s">
        <v>1639</v>
      </c>
      <c r="U25" s="52" t="s">
        <v>1639</v>
      </c>
      <c r="V25" s="52" t="s">
        <v>1639</v>
      </c>
      <c r="W25" s="52" t="s">
        <v>1639</v>
      </c>
      <c r="X25" s="52" t="s">
        <v>1639</v>
      </c>
      <c r="Y25" s="52" t="s">
        <v>1639</v>
      </c>
      <c r="Z25" s="52"/>
      <c r="AA25" s="52"/>
      <c r="AB25" s="52"/>
      <c r="AC25" s="52"/>
      <c r="AD25" s="52"/>
      <c r="AE25" s="123" t="s">
        <v>5652</v>
      </c>
      <c r="AF25" s="52" t="s">
        <v>4647</v>
      </c>
      <c r="AG25" s="52" t="s">
        <v>4647</v>
      </c>
      <c r="AH25" s="52" t="s">
        <v>4647</v>
      </c>
      <c r="AI25" s="52"/>
      <c r="AJ25" s="52"/>
      <c r="AK25" s="52" t="s">
        <v>1739</v>
      </c>
      <c r="AL25" s="52" t="s">
        <v>1739</v>
      </c>
      <c r="AM25" s="52"/>
      <c r="AN25" s="52" t="s">
        <v>1790</v>
      </c>
      <c r="AO25" s="52"/>
      <c r="AP25" s="52"/>
      <c r="AQ25" s="52" t="s">
        <v>1883</v>
      </c>
      <c r="AR25" s="52" t="s">
        <v>1883</v>
      </c>
      <c r="AS25" s="52" t="s">
        <v>1883</v>
      </c>
      <c r="AT25" s="52" t="s">
        <v>1883</v>
      </c>
      <c r="AU25" s="52"/>
      <c r="AV25" s="52"/>
      <c r="AW25" s="52" t="s">
        <v>3024</v>
      </c>
      <c r="AX25" s="52" t="s">
        <v>3024</v>
      </c>
      <c r="AY25" s="52" t="s">
        <v>3024</v>
      </c>
      <c r="AZ25" s="52"/>
      <c r="BA25" s="52" t="s">
        <v>4139</v>
      </c>
      <c r="BB25" s="52"/>
      <c r="BC25" s="52"/>
      <c r="BD25" s="52" t="s">
        <v>2028</v>
      </c>
      <c r="BE25" s="52"/>
      <c r="BF25" s="52" t="s">
        <v>2028</v>
      </c>
      <c r="BG25" s="52" t="s">
        <v>4058</v>
      </c>
      <c r="BH25" s="52"/>
      <c r="BI25" s="52"/>
      <c r="BJ25" s="52"/>
      <c r="BK25" s="52" t="s">
        <v>1379</v>
      </c>
      <c r="BL25" s="52" t="s">
        <v>1379</v>
      </c>
      <c r="BM25" s="52"/>
      <c r="BN25" s="52"/>
      <c r="BO25" s="52"/>
      <c r="BP25" s="52"/>
      <c r="BQ25" s="52"/>
      <c r="BR25" s="52"/>
      <c r="BS25" s="52"/>
      <c r="BT25" s="52" t="s">
        <v>3672</v>
      </c>
      <c r="BU25" s="52" t="s">
        <v>3586</v>
      </c>
      <c r="BV25" s="52" t="s">
        <v>3520</v>
      </c>
      <c r="BW25" s="52" t="s">
        <v>2489</v>
      </c>
      <c r="BX25" s="52" t="s">
        <v>2489</v>
      </c>
      <c r="BY25" s="52" t="s">
        <v>2489</v>
      </c>
      <c r="BZ25" s="52" t="s">
        <v>4021</v>
      </c>
      <c r="CA25" s="52"/>
      <c r="CB25" s="52"/>
      <c r="CC25" s="52"/>
      <c r="CD25" s="52" t="s">
        <v>2585</v>
      </c>
      <c r="CE25" s="52" t="s">
        <v>2585</v>
      </c>
      <c r="CF25" s="52"/>
      <c r="CG25" s="52" t="s">
        <v>1639</v>
      </c>
      <c r="CH25" s="52" t="s">
        <v>1639</v>
      </c>
      <c r="CI25" s="52" t="s">
        <v>4023</v>
      </c>
      <c r="CJ25" s="52" t="s">
        <v>4023</v>
      </c>
      <c r="CK25" s="52" t="s">
        <v>2693</v>
      </c>
      <c r="CL25" s="52"/>
      <c r="CM25" s="52"/>
      <c r="CN25" s="52"/>
      <c r="CO25" s="52" t="s">
        <v>2082</v>
      </c>
      <c r="CP25" s="52" t="s">
        <v>2860</v>
      </c>
      <c r="CQ25" s="52"/>
      <c r="CR25" s="52"/>
      <c r="CS25" s="52"/>
      <c r="CT25" s="52"/>
      <c r="CU25" s="52"/>
      <c r="CV25" s="52"/>
      <c r="CW25" s="52" t="s">
        <v>1173</v>
      </c>
      <c r="CX25" s="52"/>
    </row>
    <row r="26" spans="1:102" ht="30" customHeight="1">
      <c r="A26" s="11" t="s">
        <v>403</v>
      </c>
      <c r="B26" s="36" t="s">
        <v>204</v>
      </c>
      <c r="C26" s="36" t="s">
        <v>204</v>
      </c>
      <c r="D26" s="36" t="s">
        <v>204</v>
      </c>
      <c r="E26" s="36" t="s">
        <v>225</v>
      </c>
      <c r="F26" s="36" t="s">
        <v>204</v>
      </c>
      <c r="G26" s="36" t="s">
        <v>1480</v>
      </c>
      <c r="H26" s="36" t="s">
        <v>3740</v>
      </c>
      <c r="I26" s="36" t="s">
        <v>225</v>
      </c>
      <c r="J26" s="36" t="s">
        <v>269</v>
      </c>
      <c r="K26" s="36" t="s">
        <v>473</v>
      </c>
      <c r="L26" s="36" t="s">
        <v>198</v>
      </c>
      <c r="M26" s="36" t="s">
        <v>269</v>
      </c>
      <c r="N26" s="36" t="s">
        <v>1624</v>
      </c>
      <c r="O26" s="36" t="s">
        <v>198</v>
      </c>
      <c r="P26" s="36" t="s">
        <v>4377</v>
      </c>
      <c r="Q26" s="36" t="s">
        <v>3380</v>
      </c>
      <c r="R26" s="36" t="s">
        <v>3380</v>
      </c>
      <c r="S26" s="36" t="s">
        <v>4379</v>
      </c>
      <c r="T26" s="36" t="s">
        <v>4380</v>
      </c>
      <c r="U26" s="36" t="s">
        <v>4380</v>
      </c>
      <c r="V26" s="36" t="s">
        <v>269</v>
      </c>
      <c r="W26" s="36" t="s">
        <v>4379</v>
      </c>
      <c r="X26" s="36" t="s">
        <v>698</v>
      </c>
      <c r="Y26" s="36" t="s">
        <v>698</v>
      </c>
      <c r="Z26" s="36" t="s">
        <v>752</v>
      </c>
      <c r="AA26" s="36" t="s">
        <v>649</v>
      </c>
      <c r="AB26" s="36" t="s">
        <v>650</v>
      </c>
      <c r="AC26" s="36" t="s">
        <v>650</v>
      </c>
      <c r="AD26" s="36" t="s">
        <v>371</v>
      </c>
      <c r="AE26" s="122" t="s">
        <v>5653</v>
      </c>
      <c r="AF26" s="36" t="s">
        <v>4649</v>
      </c>
      <c r="AG26" s="36" t="s">
        <v>4650</v>
      </c>
      <c r="AH26" s="36" t="s">
        <v>4648</v>
      </c>
      <c r="AI26" s="7" t="s">
        <v>67</v>
      </c>
      <c r="AJ26" s="33" t="s">
        <v>198</v>
      </c>
      <c r="AK26" s="7" t="s">
        <v>67</v>
      </c>
      <c r="AL26" s="34" t="s">
        <v>198</v>
      </c>
      <c r="AM26" s="32" t="s">
        <v>457</v>
      </c>
      <c r="AN26" s="37" t="s">
        <v>67</v>
      </c>
      <c r="AO26" s="7" t="s">
        <v>408</v>
      </c>
      <c r="AP26" s="33" t="s">
        <v>198</v>
      </c>
      <c r="AQ26" s="7" t="s">
        <v>408</v>
      </c>
      <c r="AR26" s="34" t="s">
        <v>198</v>
      </c>
      <c r="AS26" s="7" t="s">
        <v>408</v>
      </c>
      <c r="AT26" s="34" t="s">
        <v>198</v>
      </c>
      <c r="AU26" s="36" t="s">
        <v>198</v>
      </c>
      <c r="AV26" s="36" t="s">
        <v>198</v>
      </c>
      <c r="AW26" s="34" t="s">
        <v>67</v>
      </c>
      <c r="AX26" s="34" t="s">
        <v>269</v>
      </c>
      <c r="AY26" s="34" t="s">
        <v>198</v>
      </c>
      <c r="AZ26" s="36" t="s">
        <v>887</v>
      </c>
      <c r="BA26" s="36" t="s">
        <v>269</v>
      </c>
      <c r="BB26" s="36" t="s">
        <v>57</v>
      </c>
      <c r="BC26" s="36" t="s">
        <v>57</v>
      </c>
      <c r="BD26" s="36" t="s">
        <v>57</v>
      </c>
      <c r="BE26" s="36" t="s">
        <v>269</v>
      </c>
      <c r="BF26" s="36" t="s">
        <v>269</v>
      </c>
      <c r="BG26" s="36" t="s">
        <v>4065</v>
      </c>
      <c r="BH26" s="36" t="s">
        <v>198</v>
      </c>
      <c r="BI26" s="36" t="s">
        <v>199</v>
      </c>
      <c r="BJ26" s="36" t="s">
        <v>199</v>
      </c>
      <c r="BK26" s="36" t="s">
        <v>225</v>
      </c>
      <c r="BL26" s="36" t="s">
        <v>225</v>
      </c>
      <c r="BM26" s="36" t="s">
        <v>67</v>
      </c>
      <c r="BN26" s="36" t="s">
        <v>62</v>
      </c>
      <c r="BO26" s="36" t="s">
        <v>62</v>
      </c>
      <c r="BP26" s="36" t="s">
        <v>88</v>
      </c>
      <c r="BQ26" s="36" t="s">
        <v>88</v>
      </c>
      <c r="BR26" s="36" t="s">
        <v>199</v>
      </c>
      <c r="BS26" s="36" t="s">
        <v>199</v>
      </c>
      <c r="BT26" s="36" t="s">
        <v>67</v>
      </c>
      <c r="BU26" s="36" t="s">
        <v>198</v>
      </c>
      <c r="BV26" s="36" t="s">
        <v>3529</v>
      </c>
      <c r="BW26" s="36" t="s">
        <v>2534</v>
      </c>
      <c r="BX26" s="36" t="s">
        <v>67</v>
      </c>
      <c r="BY26" s="36" t="s">
        <v>67</v>
      </c>
      <c r="BZ26" s="36" t="s">
        <v>198</v>
      </c>
      <c r="CA26" s="36" t="s">
        <v>67</v>
      </c>
      <c r="CB26" s="36" t="s">
        <v>198</v>
      </c>
      <c r="CC26" s="36" t="s">
        <v>198</v>
      </c>
      <c r="CD26" s="36" t="s">
        <v>2595</v>
      </c>
      <c r="CE26" s="36" t="s">
        <v>2595</v>
      </c>
      <c r="CF26" s="36" t="s">
        <v>269</v>
      </c>
      <c r="CG26" s="36" t="s">
        <v>225</v>
      </c>
      <c r="CH26" s="36" t="s">
        <v>67</v>
      </c>
      <c r="CI26" s="36" t="s">
        <v>67</v>
      </c>
      <c r="CJ26" s="36" t="s">
        <v>67</v>
      </c>
      <c r="CK26" s="36" t="s">
        <v>67</v>
      </c>
      <c r="CL26" s="36" t="s">
        <v>630</v>
      </c>
      <c r="CM26" s="36" t="s">
        <v>67</v>
      </c>
      <c r="CN26" s="36" t="s">
        <v>531</v>
      </c>
      <c r="CO26" s="36" t="s">
        <v>531</v>
      </c>
      <c r="CP26" s="36" t="s">
        <v>2815</v>
      </c>
      <c r="CQ26" s="36" t="s">
        <v>697</v>
      </c>
      <c r="CR26" s="36" t="s">
        <v>698</v>
      </c>
      <c r="CS26" s="36" t="s">
        <v>198</v>
      </c>
      <c r="CT26" s="36" t="s">
        <v>199</v>
      </c>
      <c r="CU26" s="36" t="s">
        <v>198</v>
      </c>
      <c r="CV26" s="36" t="s">
        <v>199</v>
      </c>
      <c r="CW26" s="36" t="s">
        <v>204</v>
      </c>
      <c r="CX26" s="36" t="s">
        <v>844</v>
      </c>
    </row>
    <row r="27" spans="1:102" ht="12" customHeight="1">
      <c r="A27" s="51" t="s">
        <v>935</v>
      </c>
      <c r="B27" s="52" t="s">
        <v>4012</v>
      </c>
      <c r="C27" s="52"/>
      <c r="D27" s="52"/>
      <c r="E27" s="52"/>
      <c r="F27" s="52" t="s">
        <v>1478</v>
      </c>
      <c r="G27" s="52" t="s">
        <v>1025</v>
      </c>
      <c r="H27" s="52" t="s">
        <v>1478</v>
      </c>
      <c r="I27" s="52" t="s">
        <v>3309</v>
      </c>
      <c r="J27" s="52"/>
      <c r="K27" s="52"/>
      <c r="L27" s="52"/>
      <c r="M27" s="52" t="s">
        <v>1522</v>
      </c>
      <c r="N27" s="52" t="s">
        <v>1623</v>
      </c>
      <c r="O27" s="52" t="s">
        <v>1563</v>
      </c>
      <c r="P27" s="52" t="s">
        <v>4378</v>
      </c>
      <c r="Q27" s="52" t="s">
        <v>3379</v>
      </c>
      <c r="R27" s="52" t="s">
        <v>3421</v>
      </c>
      <c r="S27" s="52" t="s">
        <v>4378</v>
      </c>
      <c r="T27" s="52" t="s">
        <v>3379</v>
      </c>
      <c r="U27" s="52" t="s">
        <v>3421</v>
      </c>
      <c r="V27" s="52" t="s">
        <v>5857</v>
      </c>
      <c r="W27" s="52" t="s">
        <v>5858</v>
      </c>
      <c r="X27" s="52" t="s">
        <v>5859</v>
      </c>
      <c r="Y27" s="52" t="s">
        <v>5860</v>
      </c>
      <c r="Z27" s="52"/>
      <c r="AA27" s="52"/>
      <c r="AB27" s="52"/>
      <c r="AC27" s="52"/>
      <c r="AD27" s="52"/>
      <c r="AE27" s="123" t="s">
        <v>5654</v>
      </c>
      <c r="AF27" s="52" t="s">
        <v>4652</v>
      </c>
      <c r="AG27" s="52" t="s">
        <v>4652</v>
      </c>
      <c r="AH27" s="52" t="s">
        <v>4651</v>
      </c>
      <c r="AI27" s="52"/>
      <c r="AJ27" s="52"/>
      <c r="AK27" s="52" t="s">
        <v>1780</v>
      </c>
      <c r="AL27" s="52" t="s">
        <v>1682</v>
      </c>
      <c r="AM27" s="52"/>
      <c r="AN27" s="52" t="s">
        <v>1793</v>
      </c>
      <c r="AO27" s="52"/>
      <c r="AP27" s="52"/>
      <c r="AQ27" s="52" t="s">
        <v>1891</v>
      </c>
      <c r="AR27" s="52" t="s">
        <v>1891</v>
      </c>
      <c r="AS27" s="52" t="s">
        <v>1891</v>
      </c>
      <c r="AT27" s="52" t="s">
        <v>1891</v>
      </c>
      <c r="AU27" s="52"/>
      <c r="AV27" s="52"/>
      <c r="AW27" s="52" t="s">
        <v>3032</v>
      </c>
      <c r="AX27" s="52" t="s">
        <v>2938</v>
      </c>
      <c r="AY27" s="52" t="s">
        <v>2946</v>
      </c>
      <c r="AZ27" s="52"/>
      <c r="BA27" s="52" t="s">
        <v>4117</v>
      </c>
      <c r="BB27" s="52"/>
      <c r="BC27" s="52"/>
      <c r="BD27" s="52" t="s">
        <v>1957</v>
      </c>
      <c r="BE27" s="52"/>
      <c r="BF27" s="52" t="s">
        <v>2007</v>
      </c>
      <c r="BG27" s="52" t="s">
        <v>4062</v>
      </c>
      <c r="BH27" s="52" t="s">
        <v>3192</v>
      </c>
      <c r="BI27" s="52"/>
      <c r="BJ27" s="52"/>
      <c r="BK27" s="52" t="s">
        <v>1331</v>
      </c>
      <c r="BL27" s="52" t="s">
        <v>1331</v>
      </c>
      <c r="BM27" s="52"/>
      <c r="BN27" s="52"/>
      <c r="BO27" s="52"/>
      <c r="BP27" s="52"/>
      <c r="BQ27" s="52"/>
      <c r="BR27" s="52"/>
      <c r="BS27" s="52"/>
      <c r="BT27" s="52" t="s">
        <v>3680</v>
      </c>
      <c r="BU27" s="52" t="s">
        <v>3594</v>
      </c>
      <c r="BV27" s="52" t="s">
        <v>3528</v>
      </c>
      <c r="BW27" s="52" t="s">
        <v>2533</v>
      </c>
      <c r="BX27" s="52" t="s">
        <v>2496</v>
      </c>
      <c r="BY27" s="52" t="s">
        <v>2496</v>
      </c>
      <c r="BZ27" s="52" t="s">
        <v>4603</v>
      </c>
      <c r="CA27" s="52"/>
      <c r="CB27" s="52"/>
      <c r="CC27" s="52"/>
      <c r="CD27" s="52" t="s">
        <v>2594</v>
      </c>
      <c r="CE27" s="52" t="s">
        <v>2594</v>
      </c>
      <c r="CF27" s="52"/>
      <c r="CG27" s="52" t="s">
        <v>2252</v>
      </c>
      <c r="CH27" s="52" t="s">
        <v>2284</v>
      </c>
      <c r="CI27" s="52" t="s">
        <v>4020</v>
      </c>
      <c r="CJ27" s="52" t="s">
        <v>4020</v>
      </c>
      <c r="CK27" s="52" t="s">
        <v>2716</v>
      </c>
      <c r="CL27" s="52"/>
      <c r="CM27" s="52"/>
      <c r="CN27" s="52"/>
      <c r="CO27" s="52" t="s">
        <v>2126</v>
      </c>
      <c r="CP27" s="52" t="s">
        <v>2893</v>
      </c>
      <c r="CQ27" s="52"/>
      <c r="CR27" s="52"/>
      <c r="CS27" s="52"/>
      <c r="CT27" s="52"/>
      <c r="CU27" s="52"/>
      <c r="CV27" s="52"/>
      <c r="CW27" s="52" t="s">
        <v>1220</v>
      </c>
      <c r="CX27" s="52"/>
    </row>
    <row r="28" spans="1:102" ht="50.25" customHeight="1">
      <c r="A28" s="56" t="s">
        <v>52</v>
      </c>
      <c r="B28" s="13" t="s">
        <v>51</v>
      </c>
      <c r="C28" s="13" t="s">
        <v>461</v>
      </c>
      <c r="D28" s="13" t="s">
        <v>51</v>
      </c>
      <c r="E28" s="13" t="s">
        <v>226</v>
      </c>
      <c r="F28" s="13" t="s">
        <v>51</v>
      </c>
      <c r="G28" s="13" t="s">
        <v>1481</v>
      </c>
      <c r="H28" s="13" t="s">
        <v>5494</v>
      </c>
      <c r="I28" s="13" t="s">
        <v>5495</v>
      </c>
      <c r="J28" s="13" t="s">
        <v>505</v>
      </c>
      <c r="K28" s="13" t="s">
        <v>474</v>
      </c>
      <c r="L28" s="13" t="s">
        <v>493</v>
      </c>
      <c r="M28" s="13" t="s">
        <v>3382</v>
      </c>
      <c r="N28" s="13" t="s">
        <v>3383</v>
      </c>
      <c r="O28" s="13" t="s">
        <v>3384</v>
      </c>
      <c r="P28" s="13" t="s">
        <v>3382</v>
      </c>
      <c r="Q28" s="13" t="s">
        <v>3383</v>
      </c>
      <c r="R28" s="13" t="s">
        <v>3423</v>
      </c>
      <c r="S28" s="13" t="s">
        <v>4381</v>
      </c>
      <c r="T28" s="13" t="s">
        <v>4382</v>
      </c>
      <c r="U28" s="13" t="s">
        <v>4383</v>
      </c>
      <c r="V28" s="13" t="s">
        <v>5861</v>
      </c>
      <c r="W28" s="13" t="s">
        <v>5862</v>
      </c>
      <c r="X28" s="13" t="s">
        <v>5863</v>
      </c>
      <c r="Y28" s="13" t="s">
        <v>5864</v>
      </c>
      <c r="Z28" s="13" t="s">
        <v>753</v>
      </c>
      <c r="AA28" s="13" t="s">
        <v>5640</v>
      </c>
      <c r="AB28" s="13" t="s">
        <v>3440</v>
      </c>
      <c r="AC28" s="13" t="s">
        <v>3440</v>
      </c>
      <c r="AD28" s="13" t="s">
        <v>372</v>
      </c>
      <c r="AE28" s="127" t="s">
        <v>5655</v>
      </c>
      <c r="AF28" s="13" t="s">
        <v>4653</v>
      </c>
      <c r="AG28" s="13" t="s">
        <v>271</v>
      </c>
      <c r="AH28" s="13" t="s">
        <v>544</v>
      </c>
      <c r="AI28" s="7" t="s">
        <v>421</v>
      </c>
      <c r="AJ28" s="7" t="s">
        <v>421</v>
      </c>
      <c r="AK28" s="7" t="s">
        <v>421</v>
      </c>
      <c r="AL28" s="7" t="s">
        <v>421</v>
      </c>
      <c r="AM28" s="7" t="s">
        <v>450</v>
      </c>
      <c r="AN28" s="7" t="s">
        <v>450</v>
      </c>
      <c r="AO28" s="7" t="s">
        <v>51</v>
      </c>
      <c r="AP28" s="7" t="s">
        <v>51</v>
      </c>
      <c r="AQ28" s="7" t="s">
        <v>51</v>
      </c>
      <c r="AR28" s="7" t="s">
        <v>51</v>
      </c>
      <c r="AS28" s="7" t="s">
        <v>51</v>
      </c>
      <c r="AT28" s="7" t="s">
        <v>51</v>
      </c>
      <c r="AU28" s="13" t="s">
        <v>360</v>
      </c>
      <c r="AV28" s="13" t="s">
        <v>360</v>
      </c>
      <c r="AW28" s="13" t="s">
        <v>2949</v>
      </c>
      <c r="AX28" s="13" t="s">
        <v>2948</v>
      </c>
      <c r="AY28" s="13" t="s">
        <v>2947</v>
      </c>
      <c r="AZ28" s="13" t="s">
        <v>888</v>
      </c>
      <c r="BA28" s="13" t="s">
        <v>679</v>
      </c>
      <c r="BB28" s="13" t="s">
        <v>271</v>
      </c>
      <c r="BC28" s="13" t="s">
        <v>271</v>
      </c>
      <c r="BD28" s="13" t="s">
        <v>271</v>
      </c>
      <c r="BE28" s="13" t="s">
        <v>270</v>
      </c>
      <c r="BF28" s="13" t="s">
        <v>270</v>
      </c>
      <c r="BG28" s="13" t="s">
        <v>4064</v>
      </c>
      <c r="BH28" s="13" t="s">
        <v>589</v>
      </c>
      <c r="BI28" s="13" t="s">
        <v>589</v>
      </c>
      <c r="BJ28" s="13" t="s">
        <v>589</v>
      </c>
      <c r="BK28" s="13" t="s">
        <v>1332</v>
      </c>
      <c r="BL28" s="13" t="s">
        <v>1332</v>
      </c>
      <c r="BM28" s="13" t="s">
        <v>53</v>
      </c>
      <c r="BN28" s="13" t="s">
        <v>53</v>
      </c>
      <c r="BO28" s="13" t="s">
        <v>360</v>
      </c>
      <c r="BP28" s="13" t="s">
        <v>53</v>
      </c>
      <c r="BQ28" s="13" t="s">
        <v>53</v>
      </c>
      <c r="BR28" s="13" t="s">
        <v>248</v>
      </c>
      <c r="BS28" s="13" t="s">
        <v>248</v>
      </c>
      <c r="BT28" s="13" t="s">
        <v>3682</v>
      </c>
      <c r="BU28" s="13" t="s">
        <v>3596</v>
      </c>
      <c r="BV28" s="13" t="s">
        <v>248</v>
      </c>
      <c r="BW28" s="13" t="s">
        <v>2498</v>
      </c>
      <c r="BX28" s="13" t="s">
        <v>2498</v>
      </c>
      <c r="BY28" s="13" t="s">
        <v>2498</v>
      </c>
      <c r="BZ28" s="13" t="s">
        <v>51</v>
      </c>
      <c r="CA28" s="13" t="s">
        <v>51</v>
      </c>
      <c r="CB28" s="13" t="s">
        <v>51</v>
      </c>
      <c r="CC28" s="13" t="s">
        <v>589</v>
      </c>
      <c r="CD28" s="13" t="s">
        <v>53</v>
      </c>
      <c r="CE28" s="13" t="s">
        <v>53</v>
      </c>
      <c r="CF28" s="13" t="s">
        <v>53</v>
      </c>
      <c r="CG28" s="13" t="s">
        <v>53</v>
      </c>
      <c r="CH28" s="13" t="s">
        <v>53</v>
      </c>
      <c r="CI28" s="13" t="s">
        <v>348</v>
      </c>
      <c r="CJ28" s="13" t="s">
        <v>348</v>
      </c>
      <c r="CK28" s="13" t="s">
        <v>2622</v>
      </c>
      <c r="CL28" s="13" t="s">
        <v>621</v>
      </c>
      <c r="CM28" s="13" t="s">
        <v>625</v>
      </c>
      <c r="CN28" s="13" t="s">
        <v>530</v>
      </c>
      <c r="CO28" s="13" t="s">
        <v>530</v>
      </c>
      <c r="CP28" s="13" t="s">
        <v>530</v>
      </c>
      <c r="CQ28" s="13" t="s">
        <v>699</v>
      </c>
      <c r="CR28" s="13" t="s">
        <v>700</v>
      </c>
      <c r="CS28" s="13" t="s">
        <v>51</v>
      </c>
      <c r="CT28" s="13" t="s">
        <v>51</v>
      </c>
      <c r="CU28" s="13" t="s">
        <v>679</v>
      </c>
      <c r="CV28" s="13" t="s">
        <v>679</v>
      </c>
      <c r="CW28" s="13" t="s">
        <v>1156</v>
      </c>
      <c r="CX28" s="36" t="s">
        <v>846</v>
      </c>
    </row>
    <row r="29" spans="1:102" ht="12" customHeight="1">
      <c r="A29" s="51" t="s">
        <v>935</v>
      </c>
      <c r="B29" s="52" t="s">
        <v>4013</v>
      </c>
      <c r="C29" s="52"/>
      <c r="D29" s="52"/>
      <c r="E29" s="52"/>
      <c r="F29" s="52" t="s">
        <v>1477</v>
      </c>
      <c r="G29" s="52" t="s">
        <v>1025</v>
      </c>
      <c r="H29" s="52" t="s">
        <v>1477</v>
      </c>
      <c r="I29" s="52" t="s">
        <v>3309</v>
      </c>
      <c r="J29" s="52"/>
      <c r="K29" s="52"/>
      <c r="L29" s="52"/>
      <c r="M29" s="52" t="s">
        <v>1523</v>
      </c>
      <c r="N29" s="52" t="s">
        <v>1625</v>
      </c>
      <c r="O29" s="52" t="s">
        <v>1564</v>
      </c>
      <c r="P29" s="52" t="s">
        <v>3332</v>
      </c>
      <c r="Q29" s="52" t="s">
        <v>3381</v>
      </c>
      <c r="R29" s="52" t="s">
        <v>3422</v>
      </c>
      <c r="S29" s="52" t="s">
        <v>3332</v>
      </c>
      <c r="T29" s="52" t="s">
        <v>3381</v>
      </c>
      <c r="U29" s="52" t="s">
        <v>3422</v>
      </c>
      <c r="V29" s="52" t="s">
        <v>5865</v>
      </c>
      <c r="W29" s="52" t="s">
        <v>5866</v>
      </c>
      <c r="X29" s="52" t="s">
        <v>5867</v>
      </c>
      <c r="Y29" s="52" t="s">
        <v>5868</v>
      </c>
      <c r="Z29" s="52"/>
      <c r="AA29" s="52"/>
      <c r="AB29" s="52"/>
      <c r="AC29" s="52"/>
      <c r="AD29" s="52"/>
      <c r="AE29" s="123" t="s">
        <v>5654</v>
      </c>
      <c r="AF29" s="52" t="s">
        <v>4655</v>
      </c>
      <c r="AG29" s="52" t="s">
        <v>4655</v>
      </c>
      <c r="AH29" s="52" t="s">
        <v>4654</v>
      </c>
      <c r="AI29" s="52"/>
      <c r="AJ29" s="52"/>
      <c r="AK29" s="52" t="s">
        <v>1781</v>
      </c>
      <c r="AL29" s="52" t="s">
        <v>1781</v>
      </c>
      <c r="AM29" s="52"/>
      <c r="AN29" s="52" t="s">
        <v>1794</v>
      </c>
      <c r="AO29" s="52"/>
      <c r="AP29" s="52"/>
      <c r="AQ29" s="52" t="s">
        <v>1890</v>
      </c>
      <c r="AR29" s="52" t="s">
        <v>1890</v>
      </c>
      <c r="AS29" s="52" t="s">
        <v>1890</v>
      </c>
      <c r="AT29" s="52" t="s">
        <v>1890</v>
      </c>
      <c r="AU29" s="52"/>
      <c r="AV29" s="52"/>
      <c r="AW29" s="52" t="s">
        <v>3033</v>
      </c>
      <c r="AX29" s="52" t="s">
        <v>2938</v>
      </c>
      <c r="AY29" s="52" t="s">
        <v>2946</v>
      </c>
      <c r="AZ29" s="52"/>
      <c r="BA29" s="52" t="s">
        <v>4130</v>
      </c>
      <c r="BB29" s="52"/>
      <c r="BC29" s="52"/>
      <c r="BD29" s="52" t="s">
        <v>1958</v>
      </c>
      <c r="BE29" s="52"/>
      <c r="BF29" s="52" t="s">
        <v>2008</v>
      </c>
      <c r="BG29" s="52" t="s">
        <v>4063</v>
      </c>
      <c r="BH29" s="52"/>
      <c r="BI29" s="52"/>
      <c r="BJ29" s="52"/>
      <c r="BK29" s="52" t="s">
        <v>1333</v>
      </c>
      <c r="BL29" s="52" t="s">
        <v>1333</v>
      </c>
      <c r="BM29" s="52"/>
      <c r="BN29" s="52"/>
      <c r="BO29" s="52" t="s">
        <v>4986</v>
      </c>
      <c r="BP29" s="52"/>
      <c r="BQ29" s="52"/>
      <c r="BR29" s="52"/>
      <c r="BS29" s="52"/>
      <c r="BT29" s="52" t="s">
        <v>3681</v>
      </c>
      <c r="BU29" s="52" t="s">
        <v>3595</v>
      </c>
      <c r="BV29" s="52" t="s">
        <v>3527</v>
      </c>
      <c r="BW29" s="52" t="s">
        <v>2497</v>
      </c>
      <c r="BX29" s="52" t="s">
        <v>2497</v>
      </c>
      <c r="BY29" s="52" t="s">
        <v>2497</v>
      </c>
      <c r="BZ29" s="52" t="s">
        <v>4629</v>
      </c>
      <c r="CA29" s="52"/>
      <c r="CB29" s="52"/>
      <c r="CC29" s="52"/>
      <c r="CD29" s="52" t="s">
        <v>2592</v>
      </c>
      <c r="CE29" s="52" t="s">
        <v>2592</v>
      </c>
      <c r="CF29" s="52"/>
      <c r="CG29" s="52" t="s">
        <v>2285</v>
      </c>
      <c r="CH29" s="52" t="s">
        <v>2285</v>
      </c>
      <c r="CI29" s="52" t="s">
        <v>4020</v>
      </c>
      <c r="CJ29" s="52" t="s">
        <v>4020</v>
      </c>
      <c r="CK29" s="52" t="s">
        <v>2666</v>
      </c>
      <c r="CL29" s="52"/>
      <c r="CM29" s="52"/>
      <c r="CN29" s="52"/>
      <c r="CO29" s="52" t="s">
        <v>2126</v>
      </c>
      <c r="CP29" s="52" t="s">
        <v>2894</v>
      </c>
      <c r="CQ29" s="52"/>
      <c r="CR29" s="52"/>
      <c r="CS29" s="52"/>
      <c r="CT29" s="52"/>
      <c r="CU29" s="52"/>
      <c r="CV29" s="52"/>
      <c r="CW29" s="52" t="s">
        <v>1150</v>
      </c>
      <c r="CX29" s="52"/>
    </row>
    <row r="30" spans="1:102" ht="45" customHeight="1">
      <c r="A30" s="12" t="s">
        <v>89</v>
      </c>
      <c r="B30" s="36" t="s">
        <v>841</v>
      </c>
      <c r="C30" s="36" t="s">
        <v>841</v>
      </c>
      <c r="D30" s="36" t="s">
        <v>299</v>
      </c>
      <c r="E30" s="36" t="s">
        <v>387</v>
      </c>
      <c r="F30" s="36" t="s">
        <v>1421</v>
      </c>
      <c r="G30" s="36" t="s">
        <v>1424</v>
      </c>
      <c r="H30" s="36" t="s">
        <v>1421</v>
      </c>
      <c r="I30" s="36" t="s">
        <v>1424</v>
      </c>
      <c r="J30" s="36" t="s">
        <v>492</v>
      </c>
      <c r="K30" s="36" t="s">
        <v>472</v>
      </c>
      <c r="L30" s="36" t="s">
        <v>492</v>
      </c>
      <c r="M30" s="36" t="s">
        <v>1648</v>
      </c>
      <c r="N30" s="36" t="s">
        <v>1649</v>
      </c>
      <c r="O30" s="36" t="s">
        <v>1648</v>
      </c>
      <c r="P30" s="36" t="s">
        <v>1648</v>
      </c>
      <c r="Q30" s="36" t="s">
        <v>1649</v>
      </c>
      <c r="R30" s="36" t="s">
        <v>1648</v>
      </c>
      <c r="S30" s="36" t="s">
        <v>1648</v>
      </c>
      <c r="T30" s="36" t="s">
        <v>1649</v>
      </c>
      <c r="U30" s="36" t="s">
        <v>1648</v>
      </c>
      <c r="V30" s="36" t="s">
        <v>5318</v>
      </c>
      <c r="W30" s="36" t="s">
        <v>1649</v>
      </c>
      <c r="X30" s="36" t="s">
        <v>1649</v>
      </c>
      <c r="Y30" s="36" t="s">
        <v>1649</v>
      </c>
      <c r="Z30" s="36" t="s">
        <v>767</v>
      </c>
      <c r="AA30" s="36" t="s">
        <v>1421</v>
      </c>
      <c r="AB30" s="36" t="s">
        <v>1421</v>
      </c>
      <c r="AC30" s="36" t="s">
        <v>1421</v>
      </c>
      <c r="AD30" s="36" t="s">
        <v>1421</v>
      </c>
      <c r="AE30" s="122" t="s">
        <v>5656</v>
      </c>
      <c r="AF30" s="36" t="s">
        <v>4656</v>
      </c>
      <c r="AG30" s="36" t="s">
        <v>4656</v>
      </c>
      <c r="AH30" s="36" t="s">
        <v>4656</v>
      </c>
      <c r="AI30" s="7" t="s">
        <v>422</v>
      </c>
      <c r="AJ30" s="7" t="s">
        <v>422</v>
      </c>
      <c r="AK30" s="7" t="s">
        <v>1740</v>
      </c>
      <c r="AL30" s="7" t="s">
        <v>1740</v>
      </c>
      <c r="AM30" s="7" t="s">
        <v>409</v>
      </c>
      <c r="AN30" s="7" t="s">
        <v>409</v>
      </c>
      <c r="AO30" s="7" t="s">
        <v>409</v>
      </c>
      <c r="AP30" s="7" t="s">
        <v>409</v>
      </c>
      <c r="AQ30" s="7" t="s">
        <v>409</v>
      </c>
      <c r="AR30" s="7" t="s">
        <v>409</v>
      </c>
      <c r="AS30" s="7" t="s">
        <v>409</v>
      </c>
      <c r="AT30" s="7" t="s">
        <v>409</v>
      </c>
      <c r="AU30" s="36" t="s">
        <v>1421</v>
      </c>
      <c r="AV30" s="36" t="s">
        <v>1421</v>
      </c>
      <c r="AW30" s="36" t="s">
        <v>299</v>
      </c>
      <c r="AX30" s="36" t="s">
        <v>299</v>
      </c>
      <c r="AY30" s="36" t="s">
        <v>299</v>
      </c>
      <c r="AZ30" s="36" t="s">
        <v>1422</v>
      </c>
      <c r="BA30" s="36" t="s">
        <v>4140</v>
      </c>
      <c r="BB30" s="36" t="s">
        <v>112</v>
      </c>
      <c r="BC30" s="36" t="s">
        <v>112</v>
      </c>
      <c r="BD30" s="36" t="s">
        <v>1422</v>
      </c>
      <c r="BE30" s="36" t="s">
        <v>299</v>
      </c>
      <c r="BF30" s="36" t="s">
        <v>1421</v>
      </c>
      <c r="BG30" s="36" t="s">
        <v>4096</v>
      </c>
      <c r="BH30" s="36" t="s">
        <v>299</v>
      </c>
      <c r="BI30" s="36" t="s">
        <v>1421</v>
      </c>
      <c r="BJ30" s="36" t="s">
        <v>1421</v>
      </c>
      <c r="BK30" s="36" t="s">
        <v>1422</v>
      </c>
      <c r="BL30" s="36" t="s">
        <v>1422</v>
      </c>
      <c r="BM30" s="36" t="s">
        <v>1421</v>
      </c>
      <c r="BN30" s="36" t="s">
        <v>112</v>
      </c>
      <c r="BO30" s="36" t="s">
        <v>1422</v>
      </c>
      <c r="BP30" s="36" t="s">
        <v>112</v>
      </c>
      <c r="BQ30" s="36" t="s">
        <v>1422</v>
      </c>
      <c r="BR30" s="36" t="s">
        <v>112</v>
      </c>
      <c r="BS30" s="36" t="s">
        <v>1422</v>
      </c>
      <c r="BT30" s="36" t="s">
        <v>1421</v>
      </c>
      <c r="BU30" s="36" t="s">
        <v>1422</v>
      </c>
      <c r="BV30" s="36" t="s">
        <v>1422</v>
      </c>
      <c r="BW30" s="36" t="s">
        <v>1304</v>
      </c>
      <c r="BX30" s="36" t="s">
        <v>1304</v>
      </c>
      <c r="BY30" s="36" t="s">
        <v>1304</v>
      </c>
      <c r="BZ30" s="36" t="s">
        <v>841</v>
      </c>
      <c r="CA30" s="36" t="s">
        <v>299</v>
      </c>
      <c r="CB30" s="36" t="s">
        <v>299</v>
      </c>
      <c r="CC30" s="36" t="s">
        <v>112</v>
      </c>
      <c r="CD30" s="36" t="s">
        <v>1422</v>
      </c>
      <c r="CE30" s="36" t="s">
        <v>1422</v>
      </c>
      <c r="CF30" s="36" t="s">
        <v>1421</v>
      </c>
      <c r="CG30" s="36" t="s">
        <v>1304</v>
      </c>
      <c r="CH30" s="36" t="s">
        <v>1304</v>
      </c>
      <c r="CI30" s="36" t="s">
        <v>1421</v>
      </c>
      <c r="CJ30" s="36" t="s">
        <v>1421</v>
      </c>
      <c r="CK30" s="36" t="s">
        <v>1422</v>
      </c>
      <c r="CL30" s="36" t="s">
        <v>112</v>
      </c>
      <c r="CM30" s="36" t="s">
        <v>112</v>
      </c>
      <c r="CN30" s="36" t="s">
        <v>299</v>
      </c>
      <c r="CO30" s="36" t="s">
        <v>1421</v>
      </c>
      <c r="CP30" s="36" t="s">
        <v>1422</v>
      </c>
      <c r="CQ30" s="36" t="s">
        <v>1422</v>
      </c>
      <c r="CR30" s="36" t="s">
        <v>1422</v>
      </c>
      <c r="CS30" s="36" t="s">
        <v>112</v>
      </c>
      <c r="CT30" s="36" t="s">
        <v>112</v>
      </c>
      <c r="CU30" s="36" t="s">
        <v>1422</v>
      </c>
      <c r="CV30" s="36" t="s">
        <v>1422</v>
      </c>
      <c r="CW30" s="36" t="s">
        <v>1422</v>
      </c>
      <c r="CX30" s="36" t="s">
        <v>841</v>
      </c>
    </row>
    <row r="31" spans="1:102" ht="12" customHeight="1">
      <c r="A31" s="51" t="s">
        <v>935</v>
      </c>
      <c r="B31" s="52" t="s">
        <v>4006</v>
      </c>
      <c r="C31" s="52"/>
      <c r="D31" s="52"/>
      <c r="E31" s="52"/>
      <c r="F31" s="52" t="s">
        <v>1425</v>
      </c>
      <c r="G31" s="52" t="s">
        <v>1426</v>
      </c>
      <c r="H31" s="52" t="s">
        <v>1425</v>
      </c>
      <c r="I31" s="52" t="s">
        <v>1426</v>
      </c>
      <c r="J31" s="52"/>
      <c r="K31" s="52"/>
      <c r="L31" s="52"/>
      <c r="M31" s="52" t="s">
        <v>1645</v>
      </c>
      <c r="N31" s="52" t="s">
        <v>1646</v>
      </c>
      <c r="O31" s="52" t="s">
        <v>1647</v>
      </c>
      <c r="P31" s="52" t="s">
        <v>3334</v>
      </c>
      <c r="Q31" s="52" t="s">
        <v>3387</v>
      </c>
      <c r="R31" s="52" t="s">
        <v>3426</v>
      </c>
      <c r="S31" s="52" t="s">
        <v>3334</v>
      </c>
      <c r="T31" s="52" t="s">
        <v>3387</v>
      </c>
      <c r="U31" s="52" t="s">
        <v>3426</v>
      </c>
      <c r="V31" s="52" t="s">
        <v>5317</v>
      </c>
      <c r="W31" s="52" t="s">
        <v>3334</v>
      </c>
      <c r="X31" s="52" t="s">
        <v>5267</v>
      </c>
      <c r="Y31" s="52" t="s">
        <v>5283</v>
      </c>
      <c r="Z31" s="52"/>
      <c r="AA31" s="52"/>
      <c r="AB31" s="52"/>
      <c r="AC31" s="52"/>
      <c r="AD31" s="52"/>
      <c r="AE31" s="123" t="s">
        <v>5657</v>
      </c>
      <c r="AF31" s="52" t="s">
        <v>4657</v>
      </c>
      <c r="AG31" s="52" t="s">
        <v>4657</v>
      </c>
      <c r="AH31" s="52" t="s">
        <v>4657</v>
      </c>
      <c r="AI31" s="52"/>
      <c r="AJ31" s="52"/>
      <c r="AK31" s="52" t="s">
        <v>1741</v>
      </c>
      <c r="AL31" s="52" t="s">
        <v>1741</v>
      </c>
      <c r="AM31" s="52"/>
      <c r="AN31" s="52" t="s">
        <v>1787</v>
      </c>
      <c r="AO31" s="52"/>
      <c r="AP31" s="52"/>
      <c r="AQ31" s="52" t="s">
        <v>1882</v>
      </c>
      <c r="AR31" s="52" t="s">
        <v>1882</v>
      </c>
      <c r="AS31" s="52" t="s">
        <v>1882</v>
      </c>
      <c r="AT31" s="52" t="s">
        <v>1882</v>
      </c>
      <c r="AU31" s="52"/>
      <c r="AV31" s="52"/>
      <c r="AW31" s="52" t="s">
        <v>3025</v>
      </c>
      <c r="AX31" s="52" t="s">
        <v>3025</v>
      </c>
      <c r="AY31" s="52" t="s">
        <v>3025</v>
      </c>
      <c r="AZ31" s="52"/>
      <c r="BA31" s="52" t="s">
        <v>4141</v>
      </c>
      <c r="BB31" s="52"/>
      <c r="BC31" s="52"/>
      <c r="BD31" s="52" t="s">
        <v>2029</v>
      </c>
      <c r="BE31" s="52"/>
      <c r="BF31" s="52" t="s">
        <v>2030</v>
      </c>
      <c r="BG31" s="52" t="s">
        <v>4095</v>
      </c>
      <c r="BH31" s="52"/>
      <c r="BI31" s="52"/>
      <c r="BJ31" s="52"/>
      <c r="BK31" s="52" t="s">
        <v>1303</v>
      </c>
      <c r="BL31" s="52" t="s">
        <v>1303</v>
      </c>
      <c r="BM31" s="52"/>
      <c r="BN31" s="52"/>
      <c r="BO31" s="52"/>
      <c r="BP31" s="52"/>
      <c r="BQ31" s="52"/>
      <c r="BR31" s="52"/>
      <c r="BS31" s="52"/>
      <c r="BT31" s="52" t="s">
        <v>3673</v>
      </c>
      <c r="BU31" s="52" t="s">
        <v>3587</v>
      </c>
      <c r="BV31" s="52" t="s">
        <v>3521</v>
      </c>
      <c r="BW31" s="52" t="s">
        <v>2495</v>
      </c>
      <c r="BX31" s="52" t="s">
        <v>2495</v>
      </c>
      <c r="BY31" s="52" t="s">
        <v>2495</v>
      </c>
      <c r="BZ31" s="52" t="s">
        <v>4022</v>
      </c>
      <c r="CA31" s="52"/>
      <c r="CB31" s="52"/>
      <c r="CC31" s="52"/>
      <c r="CD31" s="52" t="s">
        <v>2562</v>
      </c>
      <c r="CE31" s="52" t="s">
        <v>2553</v>
      </c>
      <c r="CF31" s="52"/>
      <c r="CG31" s="52" t="s">
        <v>2283</v>
      </c>
      <c r="CH31" s="52" t="s">
        <v>2283</v>
      </c>
      <c r="CI31" s="52" t="s">
        <v>4022</v>
      </c>
      <c r="CJ31" s="52" t="s">
        <v>4022</v>
      </c>
      <c r="CK31" s="52" t="s">
        <v>2691</v>
      </c>
      <c r="CL31" s="52"/>
      <c r="CM31" s="52"/>
      <c r="CN31" s="52"/>
      <c r="CO31" s="52" t="s">
        <v>2087</v>
      </c>
      <c r="CP31" s="52" t="s">
        <v>2860</v>
      </c>
      <c r="CQ31" s="52"/>
      <c r="CR31" s="52"/>
      <c r="CS31" s="52"/>
      <c r="CT31" s="52"/>
      <c r="CU31" s="52"/>
      <c r="CV31" s="52"/>
      <c r="CW31" s="52" t="s">
        <v>1157</v>
      </c>
      <c r="CX31" s="52"/>
    </row>
    <row r="32" spans="1:102" ht="22.5" customHeight="1">
      <c r="A32" s="12" t="s">
        <v>90</v>
      </c>
      <c r="B32" s="36" t="s">
        <v>57</v>
      </c>
      <c r="C32" s="36" t="s">
        <v>57</v>
      </c>
      <c r="D32" s="36" t="s">
        <v>57</v>
      </c>
      <c r="E32" s="36" t="s">
        <v>57</v>
      </c>
      <c r="F32" s="36" t="s">
        <v>57</v>
      </c>
      <c r="G32" s="36" t="s">
        <v>57</v>
      </c>
      <c r="H32" s="36" t="s">
        <v>57</v>
      </c>
      <c r="I32" s="36" t="s">
        <v>57</v>
      </c>
      <c r="J32" s="36" t="s">
        <v>57</v>
      </c>
      <c r="K32" s="36" t="s">
        <v>57</v>
      </c>
      <c r="L32" s="36" t="s">
        <v>57</v>
      </c>
      <c r="M32" s="36" t="s">
        <v>57</v>
      </c>
      <c r="N32" s="36" t="s">
        <v>57</v>
      </c>
      <c r="O32" s="36" t="s">
        <v>57</v>
      </c>
      <c r="P32" s="36" t="s">
        <v>57</v>
      </c>
      <c r="Q32" s="36" t="s">
        <v>57</v>
      </c>
      <c r="R32" s="36" t="s">
        <v>57</v>
      </c>
      <c r="S32" s="36" t="s">
        <v>57</v>
      </c>
      <c r="T32" s="36" t="s">
        <v>57</v>
      </c>
      <c r="U32" s="36" t="s">
        <v>57</v>
      </c>
      <c r="V32" s="36" t="s">
        <v>57</v>
      </c>
      <c r="W32" s="36" t="s">
        <v>57</v>
      </c>
      <c r="X32" s="36" t="s">
        <v>57</v>
      </c>
      <c r="Y32" s="36" t="s">
        <v>57</v>
      </c>
      <c r="Z32" s="36" t="s">
        <v>57</v>
      </c>
      <c r="AA32" s="36" t="s">
        <v>57</v>
      </c>
      <c r="AB32" s="36" t="s">
        <v>57</v>
      </c>
      <c r="AC32" s="36" t="s">
        <v>57</v>
      </c>
      <c r="AD32" s="36" t="s">
        <v>57</v>
      </c>
      <c r="AE32" s="122" t="s">
        <v>57</v>
      </c>
      <c r="AF32" s="36" t="s">
        <v>57</v>
      </c>
      <c r="AG32" s="36" t="s">
        <v>57</v>
      </c>
      <c r="AH32" s="36" t="s">
        <v>57</v>
      </c>
      <c r="AI32" s="7" t="s">
        <v>57</v>
      </c>
      <c r="AJ32" s="33" t="s">
        <v>57</v>
      </c>
      <c r="AK32" s="7" t="s">
        <v>57</v>
      </c>
      <c r="AL32" s="7" t="s">
        <v>57</v>
      </c>
      <c r="AM32" s="34" t="s">
        <v>57</v>
      </c>
      <c r="AN32" s="34" t="s">
        <v>57</v>
      </c>
      <c r="AO32" s="7" t="s">
        <v>57</v>
      </c>
      <c r="AP32" s="33" t="s">
        <v>57</v>
      </c>
      <c r="AQ32" s="7" t="s">
        <v>57</v>
      </c>
      <c r="AR32" s="7" t="s">
        <v>57</v>
      </c>
      <c r="AS32" s="7" t="s">
        <v>57</v>
      </c>
      <c r="AT32" s="7" t="s">
        <v>57</v>
      </c>
      <c r="AU32" s="36" t="s">
        <v>57</v>
      </c>
      <c r="AV32" s="36" t="s">
        <v>57</v>
      </c>
      <c r="AW32" s="34" t="s">
        <v>57</v>
      </c>
      <c r="AX32" s="34" t="s">
        <v>57</v>
      </c>
      <c r="AY32" s="34" t="s">
        <v>57</v>
      </c>
      <c r="AZ32" s="36" t="s">
        <v>57</v>
      </c>
      <c r="BA32" s="36" t="s">
        <v>57</v>
      </c>
      <c r="BB32" s="36" t="s">
        <v>57</v>
      </c>
      <c r="BC32" s="36" t="s">
        <v>57</v>
      </c>
      <c r="BD32" s="36" t="s">
        <v>57</v>
      </c>
      <c r="BE32" s="36" t="s">
        <v>57</v>
      </c>
      <c r="BF32" s="36" t="s">
        <v>57</v>
      </c>
      <c r="BG32" s="36" t="s">
        <v>57</v>
      </c>
      <c r="BH32" s="36" t="s">
        <v>57</v>
      </c>
      <c r="BI32" s="36" t="s">
        <v>0</v>
      </c>
      <c r="BJ32" s="36" t="s">
        <v>858</v>
      </c>
      <c r="BK32" s="36" t="s">
        <v>57</v>
      </c>
      <c r="BL32" s="36" t="s">
        <v>57</v>
      </c>
      <c r="BM32" s="36" t="s">
        <v>57</v>
      </c>
      <c r="BN32" s="36" t="s">
        <v>57</v>
      </c>
      <c r="BO32" s="36" t="s">
        <v>57</v>
      </c>
      <c r="BP32" s="36" t="s">
        <v>57</v>
      </c>
      <c r="BQ32" s="36" t="s">
        <v>57</v>
      </c>
      <c r="BR32" s="36" t="s">
        <v>57</v>
      </c>
      <c r="BS32" s="36" t="s">
        <v>57</v>
      </c>
      <c r="BT32" s="36" t="s">
        <v>57</v>
      </c>
      <c r="BU32" s="36" t="s">
        <v>57</v>
      </c>
      <c r="BV32" s="36" t="s">
        <v>57</v>
      </c>
      <c r="BW32" s="36" t="s">
        <v>57</v>
      </c>
      <c r="BX32" s="36" t="s">
        <v>57</v>
      </c>
      <c r="BY32" s="36" t="s">
        <v>57</v>
      </c>
      <c r="BZ32" s="36" t="s">
        <v>57</v>
      </c>
      <c r="CA32" s="36" t="s">
        <v>57</v>
      </c>
      <c r="CB32" s="36" t="s">
        <v>57</v>
      </c>
      <c r="CC32" s="36" t="s">
        <v>723</v>
      </c>
      <c r="CD32" s="36" t="s">
        <v>57</v>
      </c>
      <c r="CE32" s="36" t="s">
        <v>57</v>
      </c>
      <c r="CF32" s="36" t="s">
        <v>64</v>
      </c>
      <c r="CG32" s="36" t="s">
        <v>57</v>
      </c>
      <c r="CH32" s="36" t="s">
        <v>57</v>
      </c>
      <c r="CI32" s="36" t="s">
        <v>57</v>
      </c>
      <c r="CJ32" s="36" t="s">
        <v>57</v>
      </c>
      <c r="CK32" s="36" t="s">
        <v>57</v>
      </c>
      <c r="CL32" s="36" t="s">
        <v>0</v>
      </c>
      <c r="CM32" s="36" t="s">
        <v>0</v>
      </c>
      <c r="CN32" s="36" t="s">
        <v>57</v>
      </c>
      <c r="CO32" s="36" t="s">
        <v>57</v>
      </c>
      <c r="CP32" s="36" t="s">
        <v>57</v>
      </c>
      <c r="CQ32" s="36" t="s">
        <v>688</v>
      </c>
      <c r="CR32" s="36" t="s">
        <v>689</v>
      </c>
      <c r="CS32" s="36" t="s">
        <v>3115</v>
      </c>
      <c r="CT32" s="36" t="s">
        <v>3115</v>
      </c>
      <c r="CU32" s="36" t="s">
        <v>3115</v>
      </c>
      <c r="CV32" s="36" t="s">
        <v>3115</v>
      </c>
      <c r="CW32" s="36" t="s">
        <v>57</v>
      </c>
      <c r="CX32" s="36" t="s">
        <v>57</v>
      </c>
    </row>
    <row r="33" spans="1:102" ht="12" customHeight="1">
      <c r="A33" s="51" t="s">
        <v>935</v>
      </c>
      <c r="B33" s="52" t="s">
        <v>3950</v>
      </c>
      <c r="C33" s="52"/>
      <c r="D33" s="52"/>
      <c r="E33" s="52"/>
      <c r="F33" s="52" t="s">
        <v>1459</v>
      </c>
      <c r="G33" s="52" t="s">
        <v>1459</v>
      </c>
      <c r="H33" s="52" t="s">
        <v>1459</v>
      </c>
      <c r="I33" s="52" t="s">
        <v>1459</v>
      </c>
      <c r="J33" s="52"/>
      <c r="K33" s="52"/>
      <c r="L33" s="52"/>
      <c r="M33" s="52" t="s">
        <v>1644</v>
      </c>
      <c r="N33" s="52" t="s">
        <v>1644</v>
      </c>
      <c r="O33" s="52" t="s">
        <v>1644</v>
      </c>
      <c r="P33" s="52" t="s">
        <v>1644</v>
      </c>
      <c r="Q33" s="52" t="s">
        <v>1644</v>
      </c>
      <c r="R33" s="52" t="s">
        <v>1644</v>
      </c>
      <c r="S33" s="52" t="s">
        <v>1644</v>
      </c>
      <c r="T33" s="52" t="s">
        <v>1644</v>
      </c>
      <c r="U33" s="52" t="s">
        <v>1644</v>
      </c>
      <c r="V33" s="52" t="s">
        <v>5304</v>
      </c>
      <c r="W33" s="52" t="s">
        <v>5288</v>
      </c>
      <c r="X33" s="52" t="s">
        <v>5289</v>
      </c>
      <c r="Y33" s="52" t="s">
        <v>5290</v>
      </c>
      <c r="Z33" s="52"/>
      <c r="AA33" s="52"/>
      <c r="AB33" s="52"/>
      <c r="AC33" s="52"/>
      <c r="AD33" s="52"/>
      <c r="AE33" s="123" t="s">
        <v>5658</v>
      </c>
      <c r="AF33" s="52" t="s">
        <v>4658</v>
      </c>
      <c r="AG33" s="52" t="s">
        <v>4658</v>
      </c>
      <c r="AH33" s="52" t="s">
        <v>4658</v>
      </c>
      <c r="AI33" s="52"/>
      <c r="AJ33" s="52"/>
      <c r="AK33" s="52" t="s">
        <v>1746</v>
      </c>
      <c r="AL33" s="52" t="s">
        <v>1746</v>
      </c>
      <c r="AM33" s="52"/>
      <c r="AN33" s="52" t="s">
        <v>1791</v>
      </c>
      <c r="AO33" s="52"/>
      <c r="AP33" s="52"/>
      <c r="AQ33" s="52" t="s">
        <v>1888</v>
      </c>
      <c r="AR33" s="52" t="s">
        <v>1888</v>
      </c>
      <c r="AS33" s="52" t="s">
        <v>1888</v>
      </c>
      <c r="AT33" s="52" t="s">
        <v>1888</v>
      </c>
      <c r="AU33" s="52"/>
      <c r="AV33" s="52"/>
      <c r="AW33" s="52" t="s">
        <v>3029</v>
      </c>
      <c r="AX33" s="52" t="s">
        <v>3029</v>
      </c>
      <c r="AY33" s="52" t="s">
        <v>3029</v>
      </c>
      <c r="AZ33" s="52"/>
      <c r="BA33" s="52" t="s">
        <v>4146</v>
      </c>
      <c r="BB33" s="52"/>
      <c r="BC33" s="52"/>
      <c r="BD33" s="52" t="s">
        <v>2034</v>
      </c>
      <c r="BE33" s="52"/>
      <c r="BF33" s="52" t="s">
        <v>2034</v>
      </c>
      <c r="BG33" s="52" t="s">
        <v>4059</v>
      </c>
      <c r="BH33" s="52"/>
      <c r="BI33" s="52"/>
      <c r="BJ33" s="52"/>
      <c r="BK33" s="52" t="s">
        <v>1380</v>
      </c>
      <c r="BL33" s="52" t="s">
        <v>1380</v>
      </c>
      <c r="BM33" s="52"/>
      <c r="BN33" s="52"/>
      <c r="BO33" s="52"/>
      <c r="BP33" s="52"/>
      <c r="BQ33" s="52"/>
      <c r="BR33" s="52"/>
      <c r="BS33" s="52"/>
      <c r="BT33" s="52" t="s">
        <v>3674</v>
      </c>
      <c r="BU33" s="52" t="s">
        <v>3588</v>
      </c>
      <c r="BV33" s="52" t="s">
        <v>3522</v>
      </c>
      <c r="BW33" s="52" t="s">
        <v>2494</v>
      </c>
      <c r="BX33" s="52" t="s">
        <v>2494</v>
      </c>
      <c r="BY33" s="52" t="s">
        <v>2494</v>
      </c>
      <c r="BZ33" s="52" t="s">
        <v>3949</v>
      </c>
      <c r="CA33" s="52"/>
      <c r="CB33" s="52"/>
      <c r="CC33" s="52"/>
      <c r="CD33" s="52" t="s">
        <v>2590</v>
      </c>
      <c r="CE33" s="52" t="s">
        <v>2590</v>
      </c>
      <c r="CF33" s="52"/>
      <c r="CG33" s="52" t="s">
        <v>1644</v>
      </c>
      <c r="CH33" s="52" t="s">
        <v>1644</v>
      </c>
      <c r="CI33" s="52" t="s">
        <v>3948</v>
      </c>
      <c r="CJ33" s="52" t="s">
        <v>3948</v>
      </c>
      <c r="CK33" s="52" t="s">
        <v>2690</v>
      </c>
      <c r="CL33" s="52"/>
      <c r="CM33" s="52"/>
      <c r="CN33" s="52"/>
      <c r="CO33" s="52" t="s">
        <v>2085</v>
      </c>
      <c r="CP33" s="52" t="s">
        <v>2865</v>
      </c>
      <c r="CQ33" s="52"/>
      <c r="CR33" s="52"/>
      <c r="CS33" s="52"/>
      <c r="CT33" s="52"/>
      <c r="CU33" s="52"/>
      <c r="CV33" s="52"/>
      <c r="CW33" s="52" t="s">
        <v>1224</v>
      </c>
      <c r="CX33" s="52"/>
    </row>
    <row r="34" spans="1:102" ht="22.5" customHeight="1">
      <c r="A34" s="12" t="s">
        <v>91</v>
      </c>
      <c r="B34" s="36" t="s">
        <v>0</v>
      </c>
      <c r="C34" s="36" t="s">
        <v>0</v>
      </c>
      <c r="D34" s="36" t="s">
        <v>0</v>
      </c>
      <c r="E34" s="36" t="s">
        <v>113</v>
      </c>
      <c r="F34" s="36" t="s">
        <v>0</v>
      </c>
      <c r="G34" s="36" t="s">
        <v>113</v>
      </c>
      <c r="H34" s="36" t="s">
        <v>0</v>
      </c>
      <c r="I34" s="36" t="s">
        <v>113</v>
      </c>
      <c r="J34" s="36" t="s">
        <v>0</v>
      </c>
      <c r="K34" s="36" t="s">
        <v>0</v>
      </c>
      <c r="L34" s="36" t="s">
        <v>0</v>
      </c>
      <c r="M34" s="36" t="s">
        <v>0</v>
      </c>
      <c r="N34" s="36" t="s">
        <v>113</v>
      </c>
      <c r="O34" s="36" t="s">
        <v>197</v>
      </c>
      <c r="P34" s="36" t="s">
        <v>0</v>
      </c>
      <c r="Q34" s="36" t="s">
        <v>113</v>
      </c>
      <c r="R34" s="36" t="s">
        <v>197</v>
      </c>
      <c r="S34" s="36" t="s">
        <v>0</v>
      </c>
      <c r="T34" s="36" t="s">
        <v>113</v>
      </c>
      <c r="U34" s="36" t="s">
        <v>197</v>
      </c>
      <c r="V34" s="36" t="s">
        <v>0</v>
      </c>
      <c r="W34" s="36" t="s">
        <v>0</v>
      </c>
      <c r="X34" s="36" t="s">
        <v>113</v>
      </c>
      <c r="Y34" s="36" t="s">
        <v>197</v>
      </c>
      <c r="Z34" s="36" t="s">
        <v>113</v>
      </c>
      <c r="AA34" s="36" t="s">
        <v>787</v>
      </c>
      <c r="AB34" s="36" t="s">
        <v>0</v>
      </c>
      <c r="AC34" s="36" t="s">
        <v>0</v>
      </c>
      <c r="AD34" s="36" t="s">
        <v>0</v>
      </c>
      <c r="AE34" s="122" t="s">
        <v>0</v>
      </c>
      <c r="AF34" s="36" t="s">
        <v>0</v>
      </c>
      <c r="AG34" s="36" t="s">
        <v>0</v>
      </c>
      <c r="AH34" s="36" t="s">
        <v>0</v>
      </c>
      <c r="AI34" s="7" t="s">
        <v>197</v>
      </c>
      <c r="AJ34" s="7" t="s">
        <v>197</v>
      </c>
      <c r="AK34" s="7" t="s">
        <v>197</v>
      </c>
      <c r="AL34" s="7" t="s">
        <v>197</v>
      </c>
      <c r="AM34" s="7" t="s">
        <v>111</v>
      </c>
      <c r="AN34" s="34" t="s">
        <v>111</v>
      </c>
      <c r="AO34" s="7" t="s">
        <v>0</v>
      </c>
      <c r="AP34" s="33" t="s">
        <v>0</v>
      </c>
      <c r="AQ34" s="7" t="s">
        <v>0</v>
      </c>
      <c r="AR34" s="7" t="s">
        <v>0</v>
      </c>
      <c r="AS34" s="7" t="s">
        <v>0</v>
      </c>
      <c r="AT34" s="7" t="s">
        <v>0</v>
      </c>
      <c r="AU34" s="36" t="s">
        <v>0</v>
      </c>
      <c r="AV34" s="36" t="s">
        <v>26</v>
      </c>
      <c r="AW34" s="34" t="s">
        <v>0</v>
      </c>
      <c r="AX34" s="34" t="s">
        <v>0</v>
      </c>
      <c r="AY34" s="34" t="s">
        <v>0</v>
      </c>
      <c r="AZ34" s="36" t="s">
        <v>0</v>
      </c>
      <c r="BA34" s="36" t="s">
        <v>4123</v>
      </c>
      <c r="BB34" s="36" t="s">
        <v>0</v>
      </c>
      <c r="BC34" s="36" t="s">
        <v>0</v>
      </c>
      <c r="BD34" s="36" t="s">
        <v>0</v>
      </c>
      <c r="BE34" s="36" t="s">
        <v>0</v>
      </c>
      <c r="BF34" s="36" t="s">
        <v>0</v>
      </c>
      <c r="BG34" s="36" t="s">
        <v>0</v>
      </c>
      <c r="BH34" s="36" t="s">
        <v>56</v>
      </c>
      <c r="BI34" s="36" t="s">
        <v>0</v>
      </c>
      <c r="BJ34" s="36" t="s">
        <v>858</v>
      </c>
      <c r="BK34" s="36" t="s">
        <v>0</v>
      </c>
      <c r="BL34" s="36" t="s">
        <v>223</v>
      </c>
      <c r="BM34" s="36" t="s">
        <v>0</v>
      </c>
      <c r="BN34" s="36" t="s">
        <v>0</v>
      </c>
      <c r="BO34" s="36" t="s">
        <v>113</v>
      </c>
      <c r="BP34" s="36" t="s">
        <v>0</v>
      </c>
      <c r="BQ34" s="36" t="s">
        <v>113</v>
      </c>
      <c r="BR34" s="36" t="s">
        <v>57</v>
      </c>
      <c r="BS34" s="36" t="s">
        <v>57</v>
      </c>
      <c r="BT34" s="36" t="s">
        <v>0</v>
      </c>
      <c r="BU34" s="36" t="s">
        <v>0</v>
      </c>
      <c r="BV34" s="36" t="s">
        <v>57</v>
      </c>
      <c r="BW34" s="36" t="s">
        <v>57</v>
      </c>
      <c r="BX34" s="36" t="s">
        <v>57</v>
      </c>
      <c r="BY34" s="36" t="s">
        <v>57</v>
      </c>
      <c r="BZ34" s="36" t="s">
        <v>197</v>
      </c>
      <c r="CA34" s="36" t="s">
        <v>0</v>
      </c>
      <c r="CB34" s="36" t="s">
        <v>113</v>
      </c>
      <c r="CC34" s="36" t="s">
        <v>724</v>
      </c>
      <c r="CD34" s="36" t="s">
        <v>0</v>
      </c>
      <c r="CE34" s="36" t="s">
        <v>197</v>
      </c>
      <c r="CF34" s="36" t="s">
        <v>0</v>
      </c>
      <c r="CG34" s="36" t="s">
        <v>195</v>
      </c>
      <c r="CH34" s="36" t="s">
        <v>0</v>
      </c>
      <c r="CI34" s="36" t="s">
        <v>0</v>
      </c>
      <c r="CJ34" s="36" t="s">
        <v>0</v>
      </c>
      <c r="CK34" s="36" t="s">
        <v>0</v>
      </c>
      <c r="CL34" s="36" t="s">
        <v>197</v>
      </c>
      <c r="CM34" s="36" t="s">
        <v>0</v>
      </c>
      <c r="CN34" s="36" t="s">
        <v>0</v>
      </c>
      <c r="CO34" s="36" t="s">
        <v>0</v>
      </c>
      <c r="CP34" s="36" t="s">
        <v>111</v>
      </c>
      <c r="CQ34" s="36" t="s">
        <v>0</v>
      </c>
      <c r="CR34" s="36" t="s">
        <v>197</v>
      </c>
      <c r="CS34" s="36" t="s">
        <v>0</v>
      </c>
      <c r="CT34" s="36" t="s">
        <v>197</v>
      </c>
      <c r="CU34" s="36" t="s">
        <v>0</v>
      </c>
      <c r="CV34" s="36" t="s">
        <v>197</v>
      </c>
      <c r="CW34" s="36" t="s">
        <v>1247</v>
      </c>
      <c r="CX34" s="36" t="s">
        <v>824</v>
      </c>
    </row>
    <row r="35" spans="1:102" ht="12" customHeight="1">
      <c r="A35" s="51" t="s">
        <v>935</v>
      </c>
      <c r="B35" s="52" t="s">
        <v>0</v>
      </c>
      <c r="C35" s="52"/>
      <c r="D35" s="52"/>
      <c r="E35" s="52"/>
      <c r="F35" s="52" t="s">
        <v>1459</v>
      </c>
      <c r="G35" s="52" t="s">
        <v>1413</v>
      </c>
      <c r="H35" s="52" t="s">
        <v>1459</v>
      </c>
      <c r="I35" s="52" t="s">
        <v>1413</v>
      </c>
      <c r="J35" s="52"/>
      <c r="K35" s="52"/>
      <c r="L35" s="52"/>
      <c r="M35" s="52" t="s">
        <v>1511</v>
      </c>
      <c r="N35" s="52" t="s">
        <v>1610</v>
      </c>
      <c r="O35" s="52" t="s">
        <v>1611</v>
      </c>
      <c r="P35" s="52" t="s">
        <v>3415</v>
      </c>
      <c r="Q35" s="52" t="s">
        <v>3416</v>
      </c>
      <c r="R35" s="52" t="s">
        <v>3417</v>
      </c>
      <c r="S35" s="52" t="s">
        <v>3415</v>
      </c>
      <c r="T35" s="52" t="s">
        <v>3416</v>
      </c>
      <c r="U35" s="52" t="s">
        <v>3417</v>
      </c>
      <c r="V35" s="52" t="s">
        <v>5303</v>
      </c>
      <c r="W35" s="52" t="s">
        <v>3415</v>
      </c>
      <c r="X35" s="52" t="s">
        <v>5869</v>
      </c>
      <c r="Y35" s="52" t="s">
        <v>5870</v>
      </c>
      <c r="Z35" s="52"/>
      <c r="AA35" s="52"/>
      <c r="AB35" s="52"/>
      <c r="AC35" s="52"/>
      <c r="AD35" s="52"/>
      <c r="AE35" s="123" t="s">
        <v>5659</v>
      </c>
      <c r="AF35" s="52" t="s">
        <v>4658</v>
      </c>
      <c r="AG35" s="52" t="s">
        <v>4658</v>
      </c>
      <c r="AH35" s="52" t="s">
        <v>4658</v>
      </c>
      <c r="AI35" s="52"/>
      <c r="AJ35" s="52"/>
      <c r="AK35" s="52" t="s">
        <v>1746</v>
      </c>
      <c r="AL35" s="52" t="s">
        <v>1746</v>
      </c>
      <c r="AM35" s="52"/>
      <c r="AN35" s="52" t="s">
        <v>1792</v>
      </c>
      <c r="AO35" s="52"/>
      <c r="AP35" s="52"/>
      <c r="AQ35" s="52" t="s">
        <v>1888</v>
      </c>
      <c r="AR35" s="52" t="s">
        <v>1888</v>
      </c>
      <c r="AS35" s="52" t="s">
        <v>1888</v>
      </c>
      <c r="AT35" s="52" t="s">
        <v>1888</v>
      </c>
      <c r="AU35" s="52"/>
      <c r="AV35" s="52"/>
      <c r="AW35" s="52" t="s">
        <v>3029</v>
      </c>
      <c r="AX35" s="52" t="s">
        <v>3029</v>
      </c>
      <c r="AY35" s="52" t="s">
        <v>3029</v>
      </c>
      <c r="AZ35" s="52"/>
      <c r="BA35" s="52" t="s">
        <v>4117</v>
      </c>
      <c r="BB35" s="52"/>
      <c r="BC35" s="52"/>
      <c r="BD35" s="52" t="s">
        <v>2034</v>
      </c>
      <c r="BE35" s="52"/>
      <c r="BF35" s="52" t="s">
        <v>2034</v>
      </c>
      <c r="BG35" s="52" t="s">
        <v>0</v>
      </c>
      <c r="BH35" s="52"/>
      <c r="BI35" s="52"/>
      <c r="BJ35" s="52"/>
      <c r="BK35" s="52" t="s">
        <v>1335</v>
      </c>
      <c r="BL35" s="52" t="s">
        <v>1272</v>
      </c>
      <c r="BM35" s="52"/>
      <c r="BN35" s="52"/>
      <c r="BO35" s="52"/>
      <c r="BP35" s="52"/>
      <c r="BQ35" s="52"/>
      <c r="BR35" s="52"/>
      <c r="BS35" s="52"/>
      <c r="BT35" s="52" t="s">
        <v>3674</v>
      </c>
      <c r="BU35" s="52" t="s">
        <v>3588</v>
      </c>
      <c r="BV35" s="52" t="s">
        <v>3522</v>
      </c>
      <c r="BW35" s="52" t="s">
        <v>2494</v>
      </c>
      <c r="BX35" s="52" t="s">
        <v>2494</v>
      </c>
      <c r="BY35" s="52" t="s">
        <v>2494</v>
      </c>
      <c r="BZ35" s="52" t="s">
        <v>4586</v>
      </c>
      <c r="CA35" s="52"/>
      <c r="CB35" s="52"/>
      <c r="CC35" s="52"/>
      <c r="CD35" s="52" t="s">
        <v>2590</v>
      </c>
      <c r="CE35" s="52" t="s">
        <v>2547</v>
      </c>
      <c r="CF35" s="52"/>
      <c r="CG35" s="52" t="s">
        <v>2235</v>
      </c>
      <c r="CH35" s="52" t="s">
        <v>1644</v>
      </c>
      <c r="CI35" s="52" t="s">
        <v>3948</v>
      </c>
      <c r="CJ35" s="52" t="s">
        <v>3948</v>
      </c>
      <c r="CK35" s="52" t="s">
        <v>2690</v>
      </c>
      <c r="CL35" s="52"/>
      <c r="CM35" s="52"/>
      <c r="CN35" s="52"/>
      <c r="CO35" s="52" t="s">
        <v>2085</v>
      </c>
      <c r="CP35" s="52" t="s">
        <v>2866</v>
      </c>
      <c r="CQ35" s="52"/>
      <c r="CR35" s="52"/>
      <c r="CS35" s="52"/>
      <c r="CT35" s="52"/>
      <c r="CU35" s="52"/>
      <c r="CV35" s="52"/>
      <c r="CW35" s="52" t="s">
        <v>1245</v>
      </c>
      <c r="CX35" s="52"/>
    </row>
    <row r="36" spans="1:102" ht="22.5" customHeight="1">
      <c r="A36" s="12" t="s">
        <v>92</v>
      </c>
      <c r="B36" s="36" t="s">
        <v>57</v>
      </c>
      <c r="C36" s="36" t="s">
        <v>57</v>
      </c>
      <c r="D36" s="36" t="s">
        <v>57</v>
      </c>
      <c r="E36" s="36" t="s">
        <v>57</v>
      </c>
      <c r="F36" s="36" t="s">
        <v>57</v>
      </c>
      <c r="G36" s="36" t="s">
        <v>57</v>
      </c>
      <c r="H36" s="36" t="s">
        <v>57</v>
      </c>
      <c r="I36" s="36" t="s">
        <v>57</v>
      </c>
      <c r="J36" s="36" t="s">
        <v>57</v>
      </c>
      <c r="K36" s="36" t="s">
        <v>57</v>
      </c>
      <c r="L36" s="36" t="s">
        <v>57</v>
      </c>
      <c r="M36" s="36" t="s">
        <v>57</v>
      </c>
      <c r="N36" s="36" t="s">
        <v>57</v>
      </c>
      <c r="O36" s="36" t="s">
        <v>57</v>
      </c>
      <c r="P36" s="36" t="s">
        <v>57</v>
      </c>
      <c r="Q36" s="36" t="s">
        <v>57</v>
      </c>
      <c r="R36" s="36" t="s">
        <v>57</v>
      </c>
      <c r="S36" s="36" t="s">
        <v>57</v>
      </c>
      <c r="T36" s="36" t="s">
        <v>57</v>
      </c>
      <c r="U36" s="36" t="s">
        <v>57</v>
      </c>
      <c r="V36" s="36" t="s">
        <v>57</v>
      </c>
      <c r="W36" s="36" t="s">
        <v>57</v>
      </c>
      <c r="X36" s="36" t="s">
        <v>57</v>
      </c>
      <c r="Y36" s="36" t="s">
        <v>57</v>
      </c>
      <c r="Z36" s="36" t="s">
        <v>57</v>
      </c>
      <c r="AA36" s="36" t="s">
        <v>57</v>
      </c>
      <c r="AB36" s="36" t="s">
        <v>57</v>
      </c>
      <c r="AC36" s="36" t="s">
        <v>57</v>
      </c>
      <c r="AD36" s="36" t="s">
        <v>57</v>
      </c>
      <c r="AE36" s="122" t="s">
        <v>5660</v>
      </c>
      <c r="AF36" s="36" t="s">
        <v>57</v>
      </c>
      <c r="AG36" s="36" t="s">
        <v>57</v>
      </c>
      <c r="AH36" s="36" t="s">
        <v>57</v>
      </c>
      <c r="AI36" s="7" t="s">
        <v>57</v>
      </c>
      <c r="AJ36" s="33" t="s">
        <v>57</v>
      </c>
      <c r="AK36" s="7" t="s">
        <v>57</v>
      </c>
      <c r="AL36" s="7" t="s">
        <v>57</v>
      </c>
      <c r="AM36" s="34" t="s">
        <v>57</v>
      </c>
      <c r="AN36" s="34" t="s">
        <v>57</v>
      </c>
      <c r="AO36" s="7" t="s">
        <v>57</v>
      </c>
      <c r="AP36" s="33" t="s">
        <v>57</v>
      </c>
      <c r="AQ36" s="7" t="s">
        <v>57</v>
      </c>
      <c r="AR36" s="7" t="s">
        <v>57</v>
      </c>
      <c r="AS36" s="7" t="s">
        <v>57</v>
      </c>
      <c r="AT36" s="7" t="s">
        <v>57</v>
      </c>
      <c r="AU36" s="36" t="s">
        <v>57</v>
      </c>
      <c r="AV36" s="36" t="s">
        <v>57</v>
      </c>
      <c r="AW36" s="34" t="s">
        <v>57</v>
      </c>
      <c r="AX36" s="34" t="s">
        <v>57</v>
      </c>
      <c r="AY36" s="34" t="s">
        <v>57</v>
      </c>
      <c r="AZ36" s="36" t="s">
        <v>57</v>
      </c>
      <c r="BA36" s="36" t="s">
        <v>57</v>
      </c>
      <c r="BB36" s="36" t="s">
        <v>57</v>
      </c>
      <c r="BC36" s="36" t="s">
        <v>57</v>
      </c>
      <c r="BD36" s="36" t="s">
        <v>57</v>
      </c>
      <c r="BE36" s="36" t="s">
        <v>57</v>
      </c>
      <c r="BF36" s="36" t="s">
        <v>57</v>
      </c>
      <c r="BG36" s="36" t="s">
        <v>4061</v>
      </c>
      <c r="BH36" s="36" t="s">
        <v>57</v>
      </c>
      <c r="BI36" s="36" t="s">
        <v>57</v>
      </c>
      <c r="BJ36" s="36" t="s">
        <v>57</v>
      </c>
      <c r="BK36" s="36" t="s">
        <v>57</v>
      </c>
      <c r="BL36" s="36" t="s">
        <v>57</v>
      </c>
      <c r="BM36" s="36" t="s">
        <v>0</v>
      </c>
      <c r="BN36" s="36" t="s">
        <v>57</v>
      </c>
      <c r="BO36" s="36" t="s">
        <v>57</v>
      </c>
      <c r="BP36" s="36" t="s">
        <v>57</v>
      </c>
      <c r="BQ36" s="36" t="s">
        <v>57</v>
      </c>
      <c r="BR36" s="36" t="s">
        <v>57</v>
      </c>
      <c r="BS36" s="36" t="s">
        <v>57</v>
      </c>
      <c r="BT36" s="36" t="s">
        <v>57</v>
      </c>
      <c r="BU36" s="36" t="s">
        <v>57</v>
      </c>
      <c r="BV36" s="36" t="s">
        <v>57</v>
      </c>
      <c r="BW36" s="36" t="s">
        <v>57</v>
      </c>
      <c r="BX36" s="36" t="s">
        <v>57</v>
      </c>
      <c r="BY36" s="36" t="s">
        <v>57</v>
      </c>
      <c r="BZ36" s="36" t="s">
        <v>57</v>
      </c>
      <c r="CA36" s="36" t="s">
        <v>57</v>
      </c>
      <c r="CB36" s="36" t="s">
        <v>57</v>
      </c>
      <c r="CC36" s="36" t="s">
        <v>57</v>
      </c>
      <c r="CD36" s="36" t="s">
        <v>57</v>
      </c>
      <c r="CE36" s="36" t="s">
        <v>57</v>
      </c>
      <c r="CF36" s="36" t="s">
        <v>57</v>
      </c>
      <c r="CG36" s="36" t="s">
        <v>57</v>
      </c>
      <c r="CH36" s="36" t="s">
        <v>57</v>
      </c>
      <c r="CI36" s="36" t="s">
        <v>57</v>
      </c>
      <c r="CJ36" s="36" t="s">
        <v>57</v>
      </c>
      <c r="CK36" s="36" t="s">
        <v>57</v>
      </c>
      <c r="CL36" s="36" t="s">
        <v>57</v>
      </c>
      <c r="CM36" s="36" t="s">
        <v>57</v>
      </c>
      <c r="CN36" s="36" t="s">
        <v>57</v>
      </c>
      <c r="CO36" s="36" t="s">
        <v>57</v>
      </c>
      <c r="CP36" s="36" t="s">
        <v>57</v>
      </c>
      <c r="CQ36" s="36" t="s">
        <v>57</v>
      </c>
      <c r="CR36" s="36" t="s">
        <v>57</v>
      </c>
      <c r="CS36" s="36" t="s">
        <v>57</v>
      </c>
      <c r="CT36" s="36" t="s">
        <v>57</v>
      </c>
      <c r="CU36" s="36" t="s">
        <v>57</v>
      </c>
      <c r="CV36" s="36" t="s">
        <v>57</v>
      </c>
      <c r="CW36" s="36" t="s">
        <v>57</v>
      </c>
      <c r="CX36" s="36" t="s">
        <v>57</v>
      </c>
    </row>
    <row r="37" spans="1:102" ht="12" customHeight="1">
      <c r="A37" s="51" t="s">
        <v>935</v>
      </c>
      <c r="B37" s="52" t="s">
        <v>2012</v>
      </c>
      <c r="C37" s="52"/>
      <c r="D37" s="52"/>
      <c r="E37" s="52"/>
      <c r="F37" s="52" t="s">
        <v>1458</v>
      </c>
      <c r="G37" s="52" t="s">
        <v>1458</v>
      </c>
      <c r="H37" s="52" t="s">
        <v>1458</v>
      </c>
      <c r="I37" s="52" t="s">
        <v>1458</v>
      </c>
      <c r="J37" s="52"/>
      <c r="K37" s="52"/>
      <c r="L37" s="52"/>
      <c r="M37" s="52" t="s">
        <v>1640</v>
      </c>
      <c r="N37" s="52" t="s">
        <v>1640</v>
      </c>
      <c r="O37" s="52" t="s">
        <v>1640</v>
      </c>
      <c r="P37" s="52" t="s">
        <v>1640</v>
      </c>
      <c r="Q37" s="52" t="s">
        <v>1640</v>
      </c>
      <c r="R37" s="52" t="s">
        <v>1640</v>
      </c>
      <c r="S37" s="52" t="s">
        <v>1640</v>
      </c>
      <c r="T37" s="52" t="s">
        <v>1640</v>
      </c>
      <c r="U37" s="52" t="s">
        <v>1640</v>
      </c>
      <c r="V37" s="52" t="s">
        <v>1640</v>
      </c>
      <c r="W37" s="52" t="s">
        <v>1640</v>
      </c>
      <c r="X37" s="52" t="s">
        <v>1640</v>
      </c>
      <c r="Y37" s="52" t="s">
        <v>1640</v>
      </c>
      <c r="Z37" s="52"/>
      <c r="AA37" s="52"/>
      <c r="AB37" s="52"/>
      <c r="AC37" s="52"/>
      <c r="AD37" s="52"/>
      <c r="AE37" s="123" t="s">
        <v>5661</v>
      </c>
      <c r="AF37" s="52" t="s">
        <v>4659</v>
      </c>
      <c r="AG37" s="52" t="s">
        <v>4659</v>
      </c>
      <c r="AH37" s="52" t="s">
        <v>4659</v>
      </c>
      <c r="AI37" s="52"/>
      <c r="AJ37" s="52"/>
      <c r="AK37" s="52" t="s">
        <v>1745</v>
      </c>
      <c r="AL37" s="52" t="s">
        <v>1745</v>
      </c>
      <c r="AM37" s="52"/>
      <c r="AN37" s="52" t="s">
        <v>1789</v>
      </c>
      <c r="AO37" s="52"/>
      <c r="AP37" s="52"/>
      <c r="AQ37" s="52" t="s">
        <v>1889</v>
      </c>
      <c r="AR37" s="52" t="s">
        <v>1889</v>
      </c>
      <c r="AS37" s="52" t="s">
        <v>1889</v>
      </c>
      <c r="AT37" s="52" t="s">
        <v>1889</v>
      </c>
      <c r="AU37" s="52"/>
      <c r="AV37" s="52"/>
      <c r="AW37" s="52" t="s">
        <v>3030</v>
      </c>
      <c r="AX37" s="52" t="s">
        <v>3030</v>
      </c>
      <c r="AY37" s="52" t="s">
        <v>3030</v>
      </c>
      <c r="AZ37" s="52"/>
      <c r="BA37" s="52" t="s">
        <v>4145</v>
      </c>
      <c r="BB37" s="52"/>
      <c r="BC37" s="52"/>
      <c r="BD37" s="52" t="s">
        <v>2035</v>
      </c>
      <c r="BE37" s="52"/>
      <c r="BF37" s="52" t="s">
        <v>2035</v>
      </c>
      <c r="BG37" s="52" t="s">
        <v>4060</v>
      </c>
      <c r="BH37" s="52"/>
      <c r="BI37" s="52"/>
      <c r="BJ37" s="52"/>
      <c r="BK37" s="52" t="s">
        <v>1381</v>
      </c>
      <c r="BL37" s="52" t="s">
        <v>1381</v>
      </c>
      <c r="BM37" s="52"/>
      <c r="BN37" s="52"/>
      <c r="BO37" s="52"/>
      <c r="BP37" s="52"/>
      <c r="BQ37" s="52"/>
      <c r="BR37" s="52"/>
      <c r="BS37" s="52"/>
      <c r="BT37" s="52" t="s">
        <v>3679</v>
      </c>
      <c r="BU37" s="52" t="s">
        <v>3589</v>
      </c>
      <c r="BV37" s="52" t="s">
        <v>3526</v>
      </c>
      <c r="BW37" s="52" t="s">
        <v>2490</v>
      </c>
      <c r="BX37" s="52" t="s">
        <v>2490</v>
      </c>
      <c r="BY37" s="52" t="s">
        <v>2490</v>
      </c>
      <c r="BZ37" s="52" t="s">
        <v>3950</v>
      </c>
      <c r="CA37" s="52"/>
      <c r="CB37" s="52"/>
      <c r="CC37" s="52"/>
      <c r="CD37" s="52" t="s">
        <v>2586</v>
      </c>
      <c r="CE37" s="52" t="s">
        <v>2586</v>
      </c>
      <c r="CF37" s="52"/>
      <c r="CG37" s="52" t="s">
        <v>1640</v>
      </c>
      <c r="CH37" s="52" t="s">
        <v>1640</v>
      </c>
      <c r="CI37" s="52" t="s">
        <v>3949</v>
      </c>
      <c r="CJ37" s="52" t="s">
        <v>3949</v>
      </c>
      <c r="CK37" s="52" t="s">
        <v>2694</v>
      </c>
      <c r="CL37" s="52"/>
      <c r="CM37" s="52"/>
      <c r="CN37" s="52"/>
      <c r="CO37" s="52" t="s">
        <v>2086</v>
      </c>
      <c r="CP37" s="52" t="s">
        <v>2867</v>
      </c>
      <c r="CQ37" s="52"/>
      <c r="CR37" s="52"/>
      <c r="CS37" s="52"/>
      <c r="CT37" s="52"/>
      <c r="CU37" s="52"/>
      <c r="CV37" s="52"/>
      <c r="CW37" s="52" t="s">
        <v>1223</v>
      </c>
      <c r="CX37" s="52"/>
    </row>
    <row r="38" spans="1:102" ht="22.5" customHeight="1">
      <c r="A38" s="12" t="s">
        <v>93</v>
      </c>
      <c r="B38" s="36" t="s">
        <v>57</v>
      </c>
      <c r="C38" s="36" t="s">
        <v>57</v>
      </c>
      <c r="D38" s="36" t="s">
        <v>57</v>
      </c>
      <c r="E38" s="36" t="s">
        <v>57</v>
      </c>
      <c r="F38" s="36" t="s">
        <v>57</v>
      </c>
      <c r="G38" s="36" t="s">
        <v>57</v>
      </c>
      <c r="H38" s="36" t="s">
        <v>57</v>
      </c>
      <c r="I38" s="36" t="s">
        <v>57</v>
      </c>
      <c r="J38" s="36" t="s">
        <v>57</v>
      </c>
      <c r="K38" s="36" t="s">
        <v>57</v>
      </c>
      <c r="L38" s="36" t="s">
        <v>57</v>
      </c>
      <c r="M38" s="36" t="s">
        <v>57</v>
      </c>
      <c r="N38" s="36" t="s">
        <v>57</v>
      </c>
      <c r="O38" s="36" t="s">
        <v>57</v>
      </c>
      <c r="P38" s="36" t="s">
        <v>57</v>
      </c>
      <c r="Q38" s="36" t="s">
        <v>57</v>
      </c>
      <c r="R38" s="36" t="s">
        <v>57</v>
      </c>
      <c r="S38" s="36" t="s">
        <v>57</v>
      </c>
      <c r="T38" s="36" t="s">
        <v>57</v>
      </c>
      <c r="U38" s="36" t="s">
        <v>57</v>
      </c>
      <c r="V38" s="36" t="s">
        <v>57</v>
      </c>
      <c r="W38" s="36" t="s">
        <v>57</v>
      </c>
      <c r="X38" s="36" t="s">
        <v>57</v>
      </c>
      <c r="Y38" s="36" t="s">
        <v>57</v>
      </c>
      <c r="Z38" s="36" t="s">
        <v>57</v>
      </c>
      <c r="AA38" s="36" t="s">
        <v>57</v>
      </c>
      <c r="AB38" s="36" t="s">
        <v>57</v>
      </c>
      <c r="AC38" s="36" t="s">
        <v>57</v>
      </c>
      <c r="AD38" s="36" t="s">
        <v>57</v>
      </c>
      <c r="AE38" s="122" t="s">
        <v>57</v>
      </c>
      <c r="AF38" s="36" t="s">
        <v>57</v>
      </c>
      <c r="AG38" s="36" t="s">
        <v>57</v>
      </c>
      <c r="AH38" s="36" t="s">
        <v>57</v>
      </c>
      <c r="AI38" s="7" t="s">
        <v>57</v>
      </c>
      <c r="AJ38" s="33" t="s">
        <v>57</v>
      </c>
      <c r="AK38" s="7" t="s">
        <v>57</v>
      </c>
      <c r="AL38" s="7" t="s">
        <v>57</v>
      </c>
      <c r="AM38" s="34" t="s">
        <v>57</v>
      </c>
      <c r="AN38" s="34" t="s">
        <v>57</v>
      </c>
      <c r="AO38" s="7" t="s">
        <v>57</v>
      </c>
      <c r="AP38" s="33" t="s">
        <v>57</v>
      </c>
      <c r="AQ38" s="7" t="s">
        <v>57</v>
      </c>
      <c r="AR38" s="7" t="s">
        <v>57</v>
      </c>
      <c r="AS38" s="7" t="s">
        <v>57</v>
      </c>
      <c r="AT38" s="7" t="s">
        <v>57</v>
      </c>
      <c r="AU38" s="36" t="s">
        <v>57</v>
      </c>
      <c r="AV38" s="36" t="s">
        <v>57</v>
      </c>
      <c r="AW38" s="34" t="s">
        <v>57</v>
      </c>
      <c r="AX38" s="34" t="s">
        <v>57</v>
      </c>
      <c r="AY38" s="34" t="s">
        <v>57</v>
      </c>
      <c r="AZ38" s="36" t="s">
        <v>57</v>
      </c>
      <c r="BA38" s="36" t="s">
        <v>57</v>
      </c>
      <c r="BB38" s="36" t="s">
        <v>57</v>
      </c>
      <c r="BC38" s="36" t="s">
        <v>57</v>
      </c>
      <c r="BD38" s="36" t="s">
        <v>57</v>
      </c>
      <c r="BE38" s="36" t="s">
        <v>57</v>
      </c>
      <c r="BF38" s="36" t="s">
        <v>57</v>
      </c>
      <c r="BG38" s="36" t="s">
        <v>57</v>
      </c>
      <c r="BH38" s="36" t="s">
        <v>57</v>
      </c>
      <c r="BI38" s="36" t="s">
        <v>57</v>
      </c>
      <c r="BJ38" s="36" t="s">
        <v>57</v>
      </c>
      <c r="BK38" s="36" t="s">
        <v>57</v>
      </c>
      <c r="BL38" s="36" t="s">
        <v>57</v>
      </c>
      <c r="BM38" s="36" t="s">
        <v>0</v>
      </c>
      <c r="BN38" s="36" t="s">
        <v>57</v>
      </c>
      <c r="BO38" s="36" t="s">
        <v>57</v>
      </c>
      <c r="BP38" s="36" t="s">
        <v>57</v>
      </c>
      <c r="BQ38" s="36" t="s">
        <v>57</v>
      </c>
      <c r="BR38" s="36" t="s">
        <v>57</v>
      </c>
      <c r="BS38" s="36" t="s">
        <v>57</v>
      </c>
      <c r="BT38" s="36" t="s">
        <v>57</v>
      </c>
      <c r="BU38" s="36" t="s">
        <v>57</v>
      </c>
      <c r="BV38" s="36" t="s">
        <v>57</v>
      </c>
      <c r="BW38" s="36" t="s">
        <v>57</v>
      </c>
      <c r="BX38" s="36" t="s">
        <v>57</v>
      </c>
      <c r="BY38" s="36" t="s">
        <v>57</v>
      </c>
      <c r="BZ38" s="36" t="s">
        <v>57</v>
      </c>
      <c r="CA38" s="36" t="s">
        <v>57</v>
      </c>
      <c r="CB38" s="36" t="s">
        <v>57</v>
      </c>
      <c r="CC38" s="36" t="s">
        <v>57</v>
      </c>
      <c r="CD38" s="36" t="s">
        <v>57</v>
      </c>
      <c r="CE38" s="36" t="s">
        <v>57</v>
      </c>
      <c r="CF38" s="36" t="s">
        <v>57</v>
      </c>
      <c r="CG38" s="36" t="s">
        <v>57</v>
      </c>
      <c r="CH38" s="36" t="s">
        <v>57</v>
      </c>
      <c r="CI38" s="36" t="s">
        <v>57</v>
      </c>
      <c r="CJ38" s="36" t="s">
        <v>57</v>
      </c>
      <c r="CK38" s="36" t="s">
        <v>57</v>
      </c>
      <c r="CL38" s="36" t="s">
        <v>57</v>
      </c>
      <c r="CM38" s="36" t="s">
        <v>57</v>
      </c>
      <c r="CN38" s="36" t="s">
        <v>57</v>
      </c>
      <c r="CO38" s="36" t="s">
        <v>57</v>
      </c>
      <c r="CP38" s="36" t="s">
        <v>57</v>
      </c>
      <c r="CQ38" s="36" t="s">
        <v>57</v>
      </c>
      <c r="CR38" s="36" t="s">
        <v>57</v>
      </c>
      <c r="CS38" s="36" t="s">
        <v>57</v>
      </c>
      <c r="CT38" s="36" t="s">
        <v>57</v>
      </c>
      <c r="CU38" s="36" t="s">
        <v>57</v>
      </c>
      <c r="CV38" s="36" t="s">
        <v>57</v>
      </c>
      <c r="CW38" s="36" t="s">
        <v>57</v>
      </c>
      <c r="CX38" s="36" t="s">
        <v>57</v>
      </c>
    </row>
    <row r="39" spans="1:102" ht="12" customHeight="1">
      <c r="A39" s="51" t="s">
        <v>935</v>
      </c>
      <c r="B39" s="52" t="s">
        <v>2012</v>
      </c>
      <c r="C39" s="52"/>
      <c r="D39" s="52"/>
      <c r="E39" s="52"/>
      <c r="F39" s="52" t="s">
        <v>1455</v>
      </c>
      <c r="G39" s="52" t="s">
        <v>1455</v>
      </c>
      <c r="H39" s="52" t="s">
        <v>1455</v>
      </c>
      <c r="I39" s="52" t="s">
        <v>1455</v>
      </c>
      <c r="J39" s="52"/>
      <c r="K39" s="52"/>
      <c r="L39" s="52"/>
      <c r="M39" s="52" t="s">
        <v>1637</v>
      </c>
      <c r="N39" s="52" t="s">
        <v>1637</v>
      </c>
      <c r="O39" s="52" t="s">
        <v>1637</v>
      </c>
      <c r="P39" s="52" t="s">
        <v>1637</v>
      </c>
      <c r="Q39" s="52" t="s">
        <v>1637</v>
      </c>
      <c r="R39" s="52" t="s">
        <v>1637</v>
      </c>
      <c r="S39" s="52" t="s">
        <v>1637</v>
      </c>
      <c r="T39" s="52" t="s">
        <v>1637</v>
      </c>
      <c r="U39" s="52" t="s">
        <v>1637</v>
      </c>
      <c r="V39" s="52" t="s">
        <v>1637</v>
      </c>
      <c r="W39" s="52" t="s">
        <v>1637</v>
      </c>
      <c r="X39" s="52" t="s">
        <v>1637</v>
      </c>
      <c r="Y39" s="52" t="s">
        <v>1637</v>
      </c>
      <c r="Z39" s="52"/>
      <c r="AA39" s="52"/>
      <c r="AB39" s="52"/>
      <c r="AC39" s="52"/>
      <c r="AD39" s="52"/>
      <c r="AE39" s="123" t="s">
        <v>1637</v>
      </c>
      <c r="AF39" s="52" t="s">
        <v>4645</v>
      </c>
      <c r="AG39" s="52" t="s">
        <v>4645</v>
      </c>
      <c r="AH39" s="52" t="s">
        <v>4645</v>
      </c>
      <c r="AI39" s="52"/>
      <c r="AJ39" s="52"/>
      <c r="AK39" s="52" t="s">
        <v>1738</v>
      </c>
      <c r="AL39" s="52" t="s">
        <v>1738</v>
      </c>
      <c r="AM39" s="52"/>
      <c r="AN39" s="52" t="s">
        <v>1786</v>
      </c>
      <c r="AO39" s="52"/>
      <c r="AP39" s="52"/>
      <c r="AQ39" s="52" t="s">
        <v>1881</v>
      </c>
      <c r="AR39" s="52" t="s">
        <v>1881</v>
      </c>
      <c r="AS39" s="52" t="s">
        <v>1881</v>
      </c>
      <c r="AT39" s="52" t="s">
        <v>1881</v>
      </c>
      <c r="AU39" s="52"/>
      <c r="AV39" s="52"/>
      <c r="AW39" s="52" t="s">
        <v>3022</v>
      </c>
      <c r="AX39" s="52" t="s">
        <v>3022</v>
      </c>
      <c r="AY39" s="52" t="s">
        <v>3022</v>
      </c>
      <c r="AZ39" s="52"/>
      <c r="BA39" s="52" t="s">
        <v>2026</v>
      </c>
      <c r="BB39" s="52"/>
      <c r="BC39" s="52"/>
      <c r="BD39" s="52" t="s">
        <v>2026</v>
      </c>
      <c r="BE39" s="52"/>
      <c r="BF39" s="52" t="s">
        <v>2026</v>
      </c>
      <c r="BG39" s="52" t="s">
        <v>4058</v>
      </c>
      <c r="BH39" s="52"/>
      <c r="BI39" s="52"/>
      <c r="BJ39" s="52"/>
      <c r="BK39" s="52" t="s">
        <v>1377</v>
      </c>
      <c r="BL39" s="52" t="s">
        <v>1377</v>
      </c>
      <c r="BM39" s="52"/>
      <c r="BN39" s="52"/>
      <c r="BO39" s="52"/>
      <c r="BP39" s="52"/>
      <c r="BQ39" s="52"/>
      <c r="BR39" s="52"/>
      <c r="BS39" s="52"/>
      <c r="BT39" s="52" t="s">
        <v>3670</v>
      </c>
      <c r="BU39" s="52" t="s">
        <v>3584</v>
      </c>
      <c r="BV39" s="52" t="s">
        <v>3518</v>
      </c>
      <c r="BW39" s="52" t="s">
        <v>2487</v>
      </c>
      <c r="BX39" s="52" t="s">
        <v>2487</v>
      </c>
      <c r="BY39" s="52" t="s">
        <v>2487</v>
      </c>
      <c r="BZ39" s="52" t="s">
        <v>2012</v>
      </c>
      <c r="CA39" s="52"/>
      <c r="CB39" s="52"/>
      <c r="CC39" s="52"/>
      <c r="CD39" s="52" t="s">
        <v>2583</v>
      </c>
      <c r="CE39" s="52" t="s">
        <v>2583</v>
      </c>
      <c r="CF39" s="52"/>
      <c r="CG39" s="52" t="s">
        <v>1637</v>
      </c>
      <c r="CH39" s="52" t="s">
        <v>1637</v>
      </c>
      <c r="CI39" s="52" t="s">
        <v>2012</v>
      </c>
      <c r="CJ39" s="52" t="s">
        <v>2012</v>
      </c>
      <c r="CK39" s="52" t="s">
        <v>2726</v>
      </c>
      <c r="CL39" s="52"/>
      <c r="CM39" s="52"/>
      <c r="CN39" s="52"/>
      <c r="CO39" s="52" t="s">
        <v>2081</v>
      </c>
      <c r="CP39" s="52" t="s">
        <v>2858</v>
      </c>
      <c r="CQ39" s="52"/>
      <c r="CR39" s="52"/>
      <c r="CS39" s="52"/>
      <c r="CT39" s="52"/>
      <c r="CU39" s="52"/>
      <c r="CV39" s="52"/>
      <c r="CW39" s="52" t="s">
        <v>1171</v>
      </c>
      <c r="CX39" s="52"/>
    </row>
    <row r="40" spans="1:102" ht="22.5" customHeight="1">
      <c r="A40" s="12" t="s">
        <v>94</v>
      </c>
      <c r="B40" s="36" t="s">
        <v>57</v>
      </c>
      <c r="C40" s="36" t="s">
        <v>57</v>
      </c>
      <c r="D40" s="36" t="s">
        <v>57</v>
      </c>
      <c r="E40" s="36" t="s">
        <v>57</v>
      </c>
      <c r="F40" s="36" t="s">
        <v>57</v>
      </c>
      <c r="G40" s="36" t="s">
        <v>57</v>
      </c>
      <c r="H40" s="36" t="s">
        <v>57</v>
      </c>
      <c r="I40" s="36" t="s">
        <v>57</v>
      </c>
      <c r="J40" s="36" t="s">
        <v>57</v>
      </c>
      <c r="K40" s="36" t="s">
        <v>57</v>
      </c>
      <c r="L40" s="36" t="s">
        <v>57</v>
      </c>
      <c r="M40" s="36" t="s">
        <v>57</v>
      </c>
      <c r="N40" s="36" t="s">
        <v>57</v>
      </c>
      <c r="O40" s="36" t="s">
        <v>57</v>
      </c>
      <c r="P40" s="36" t="s">
        <v>57</v>
      </c>
      <c r="Q40" s="36" t="s">
        <v>57</v>
      </c>
      <c r="R40" s="36" t="s">
        <v>57</v>
      </c>
      <c r="S40" s="36" t="s">
        <v>57</v>
      </c>
      <c r="T40" s="36" t="s">
        <v>57</v>
      </c>
      <c r="U40" s="36" t="s">
        <v>57</v>
      </c>
      <c r="V40" s="36" t="s">
        <v>57</v>
      </c>
      <c r="W40" s="36" t="s">
        <v>57</v>
      </c>
      <c r="X40" s="36" t="s">
        <v>57</v>
      </c>
      <c r="Y40" s="36" t="s">
        <v>57</v>
      </c>
      <c r="Z40" s="36" t="s">
        <v>57</v>
      </c>
      <c r="AA40" s="36" t="s">
        <v>57</v>
      </c>
      <c r="AB40" s="36" t="s">
        <v>57</v>
      </c>
      <c r="AC40" s="36" t="s">
        <v>57</v>
      </c>
      <c r="AD40" s="36" t="s">
        <v>57</v>
      </c>
      <c r="AE40" s="122" t="s">
        <v>57</v>
      </c>
      <c r="AF40" s="36" t="s">
        <v>57</v>
      </c>
      <c r="AG40" s="36" t="s">
        <v>57</v>
      </c>
      <c r="AH40" s="36" t="s">
        <v>57</v>
      </c>
      <c r="AI40" s="7" t="s">
        <v>57</v>
      </c>
      <c r="AJ40" s="33" t="s">
        <v>57</v>
      </c>
      <c r="AK40" s="7" t="s">
        <v>57</v>
      </c>
      <c r="AL40" s="7" t="s">
        <v>57</v>
      </c>
      <c r="AM40" s="34" t="s">
        <v>57</v>
      </c>
      <c r="AN40" s="34" t="s">
        <v>57</v>
      </c>
      <c r="AO40" s="7" t="s">
        <v>57</v>
      </c>
      <c r="AP40" s="33" t="s">
        <v>57</v>
      </c>
      <c r="AQ40" s="7" t="s">
        <v>57</v>
      </c>
      <c r="AR40" s="7" t="s">
        <v>57</v>
      </c>
      <c r="AS40" s="7" t="s">
        <v>57</v>
      </c>
      <c r="AT40" s="7" t="s">
        <v>57</v>
      </c>
      <c r="AU40" s="36" t="s">
        <v>57</v>
      </c>
      <c r="AV40" s="36" t="s">
        <v>57</v>
      </c>
      <c r="AW40" s="34" t="s">
        <v>57</v>
      </c>
      <c r="AX40" s="34" t="s">
        <v>57</v>
      </c>
      <c r="AY40" s="34" t="s">
        <v>57</v>
      </c>
      <c r="AZ40" s="36" t="s">
        <v>57</v>
      </c>
      <c r="BA40" s="36" t="s">
        <v>57</v>
      </c>
      <c r="BB40" s="36" t="s">
        <v>57</v>
      </c>
      <c r="BC40" s="36" t="s">
        <v>57</v>
      </c>
      <c r="BD40" s="36" t="s">
        <v>57</v>
      </c>
      <c r="BE40" s="36" t="s">
        <v>57</v>
      </c>
      <c r="BF40" s="36" t="s">
        <v>57</v>
      </c>
      <c r="BG40" s="36" t="s">
        <v>57</v>
      </c>
      <c r="BH40" s="36" t="s">
        <v>57</v>
      </c>
      <c r="BI40" s="36" t="s">
        <v>57</v>
      </c>
      <c r="BJ40" s="36" t="s">
        <v>57</v>
      </c>
      <c r="BK40" s="36" t="s">
        <v>57</v>
      </c>
      <c r="BL40" s="36" t="s">
        <v>57</v>
      </c>
      <c r="BM40" s="36" t="s">
        <v>57</v>
      </c>
      <c r="BN40" s="36" t="s">
        <v>57</v>
      </c>
      <c r="BO40" s="36" t="s">
        <v>57</v>
      </c>
      <c r="BP40" s="36" t="s">
        <v>57</v>
      </c>
      <c r="BQ40" s="36" t="s">
        <v>57</v>
      </c>
      <c r="BR40" s="36" t="s">
        <v>57</v>
      </c>
      <c r="BS40" s="36" t="s">
        <v>57</v>
      </c>
      <c r="BT40" s="36" t="s">
        <v>57</v>
      </c>
      <c r="BU40" s="36" t="s">
        <v>57</v>
      </c>
      <c r="BV40" s="36" t="s">
        <v>57</v>
      </c>
      <c r="BW40" s="36" t="s">
        <v>57</v>
      </c>
      <c r="BX40" s="36" t="s">
        <v>57</v>
      </c>
      <c r="BY40" s="36" t="s">
        <v>57</v>
      </c>
      <c r="BZ40" s="36" t="s">
        <v>57</v>
      </c>
      <c r="CA40" s="36" t="s">
        <v>57</v>
      </c>
      <c r="CB40" s="36" t="s">
        <v>57</v>
      </c>
      <c r="CC40" s="36" t="s">
        <v>57</v>
      </c>
      <c r="CD40" s="36" t="s">
        <v>57</v>
      </c>
      <c r="CE40" s="36" t="s">
        <v>57</v>
      </c>
      <c r="CF40" s="36" t="s">
        <v>57</v>
      </c>
      <c r="CG40" s="36" t="s">
        <v>57</v>
      </c>
      <c r="CH40" s="36" t="s">
        <v>57</v>
      </c>
      <c r="CI40" s="36" t="s">
        <v>57</v>
      </c>
      <c r="CJ40" s="36" t="s">
        <v>57</v>
      </c>
      <c r="CK40" s="36" t="s">
        <v>57</v>
      </c>
      <c r="CL40" s="36" t="s">
        <v>57</v>
      </c>
      <c r="CM40" s="36" t="s">
        <v>57</v>
      </c>
      <c r="CN40" s="36" t="s">
        <v>57</v>
      </c>
      <c r="CO40" s="36" t="s">
        <v>57</v>
      </c>
      <c r="CP40" s="36" t="s">
        <v>57</v>
      </c>
      <c r="CQ40" s="36" t="s">
        <v>57</v>
      </c>
      <c r="CR40" s="36" t="s">
        <v>57</v>
      </c>
      <c r="CS40" s="36" t="s">
        <v>57</v>
      </c>
      <c r="CT40" s="36" t="s">
        <v>57</v>
      </c>
      <c r="CU40" s="36" t="s">
        <v>57</v>
      </c>
      <c r="CV40" s="36" t="s">
        <v>57</v>
      </c>
      <c r="CW40" s="36" t="s">
        <v>57</v>
      </c>
      <c r="CX40" s="36" t="s">
        <v>57</v>
      </c>
    </row>
    <row r="41" spans="1:102" ht="12" customHeight="1">
      <c r="A41" s="51" t="s">
        <v>935</v>
      </c>
      <c r="B41" s="52" t="s">
        <v>3948</v>
      </c>
      <c r="C41" s="52"/>
      <c r="D41" s="52"/>
      <c r="E41" s="52"/>
      <c r="F41" s="52" t="s">
        <v>1462</v>
      </c>
      <c r="G41" s="52" t="s">
        <v>1462</v>
      </c>
      <c r="H41" s="52" t="s">
        <v>1462</v>
      </c>
      <c r="I41" s="52" t="s">
        <v>1462</v>
      </c>
      <c r="J41" s="52"/>
      <c r="K41" s="52"/>
      <c r="L41" s="52"/>
      <c r="M41" s="52" t="s">
        <v>1641</v>
      </c>
      <c r="N41" s="52" t="s">
        <v>1641</v>
      </c>
      <c r="O41" s="52" t="s">
        <v>1641</v>
      </c>
      <c r="P41" s="52" t="s">
        <v>1641</v>
      </c>
      <c r="Q41" s="52" t="s">
        <v>1641</v>
      </c>
      <c r="R41" s="52" t="s">
        <v>1641</v>
      </c>
      <c r="S41" s="52" t="s">
        <v>1641</v>
      </c>
      <c r="T41" s="52" t="s">
        <v>1641</v>
      </c>
      <c r="U41" s="52" t="s">
        <v>1641</v>
      </c>
      <c r="V41" s="52" t="s">
        <v>1641</v>
      </c>
      <c r="W41" s="52" t="s">
        <v>1641</v>
      </c>
      <c r="X41" s="52" t="s">
        <v>1641</v>
      </c>
      <c r="Y41" s="52" t="s">
        <v>1641</v>
      </c>
      <c r="Z41" s="52"/>
      <c r="AA41" s="52"/>
      <c r="AB41" s="52"/>
      <c r="AC41" s="52"/>
      <c r="AD41" s="52"/>
      <c r="AE41" s="123" t="s">
        <v>5662</v>
      </c>
      <c r="AF41" s="52" t="s">
        <v>4660</v>
      </c>
      <c r="AG41" s="52" t="s">
        <v>4660</v>
      </c>
      <c r="AH41" s="52" t="s">
        <v>4660</v>
      </c>
      <c r="AI41" s="52"/>
      <c r="AJ41" s="52"/>
      <c r="AK41" s="52" t="s">
        <v>1742</v>
      </c>
      <c r="AL41" s="52" t="s">
        <v>1742</v>
      </c>
      <c r="AM41" s="52"/>
      <c r="AN41" s="52" t="s">
        <v>1786</v>
      </c>
      <c r="AO41" s="52"/>
      <c r="AP41" s="52"/>
      <c r="AQ41" s="52" t="s">
        <v>1885</v>
      </c>
      <c r="AR41" s="52" t="s">
        <v>1885</v>
      </c>
      <c r="AS41" s="52" t="s">
        <v>1885</v>
      </c>
      <c r="AT41" s="52" t="s">
        <v>1885</v>
      </c>
      <c r="AU41" s="52"/>
      <c r="AV41" s="52"/>
      <c r="AW41" s="52" t="s">
        <v>3026</v>
      </c>
      <c r="AX41" s="52" t="s">
        <v>3026</v>
      </c>
      <c r="AY41" s="52" t="s">
        <v>3026</v>
      </c>
      <c r="AZ41" s="52"/>
      <c r="BA41" s="52" t="s">
        <v>4142</v>
      </c>
      <c r="BB41" s="52"/>
      <c r="BC41" s="52"/>
      <c r="BD41" s="52" t="s">
        <v>2031</v>
      </c>
      <c r="BE41" s="52"/>
      <c r="BF41" s="52" t="s">
        <v>2031</v>
      </c>
      <c r="BG41" s="52" t="s">
        <v>4058</v>
      </c>
      <c r="BH41" s="52"/>
      <c r="BI41" s="52"/>
      <c r="BJ41" s="52"/>
      <c r="BK41" s="52" t="s">
        <v>1382</v>
      </c>
      <c r="BL41" s="52" t="s">
        <v>1382</v>
      </c>
      <c r="BM41" s="52"/>
      <c r="BN41" s="52"/>
      <c r="BO41" s="52"/>
      <c r="BP41" s="52"/>
      <c r="BQ41" s="52"/>
      <c r="BR41" s="52"/>
      <c r="BS41" s="52"/>
      <c r="BT41" s="52" t="s">
        <v>3675</v>
      </c>
      <c r="BU41" s="52" t="s">
        <v>3590</v>
      </c>
      <c r="BV41" s="52" t="s">
        <v>3523</v>
      </c>
      <c r="BW41" s="52" t="s">
        <v>2491</v>
      </c>
      <c r="BX41" s="52" t="s">
        <v>2491</v>
      </c>
      <c r="BY41" s="52" t="s">
        <v>2491</v>
      </c>
      <c r="BZ41" s="52" t="s">
        <v>3947</v>
      </c>
      <c r="CA41" s="52"/>
      <c r="CB41" s="52"/>
      <c r="CC41" s="52"/>
      <c r="CD41" s="52" t="s">
        <v>2587</v>
      </c>
      <c r="CE41" s="52" t="s">
        <v>2587</v>
      </c>
      <c r="CF41" s="52"/>
      <c r="CG41" s="52" t="s">
        <v>1641</v>
      </c>
      <c r="CH41" s="52" t="s">
        <v>1641</v>
      </c>
      <c r="CI41" s="52" t="s">
        <v>4021</v>
      </c>
      <c r="CJ41" s="52" t="s">
        <v>4021</v>
      </c>
      <c r="CK41" s="52" t="s">
        <v>2688</v>
      </c>
      <c r="CL41" s="52"/>
      <c r="CM41" s="52"/>
      <c r="CN41" s="52"/>
      <c r="CO41" s="52" t="s">
        <v>2083</v>
      </c>
      <c r="CP41" s="52" t="s">
        <v>2861</v>
      </c>
      <c r="CQ41" s="52"/>
      <c r="CR41" s="52"/>
      <c r="CS41" s="52"/>
      <c r="CT41" s="52"/>
      <c r="CU41" s="52"/>
      <c r="CV41" s="52"/>
      <c r="CW41" s="52" t="s">
        <v>1176</v>
      </c>
      <c r="CX41" s="52"/>
    </row>
    <row r="42" spans="1:102" ht="22.5" customHeight="1">
      <c r="A42" s="12" t="s">
        <v>582</v>
      </c>
      <c r="B42" s="36" t="s">
        <v>57</v>
      </c>
      <c r="C42" s="36" t="s">
        <v>57</v>
      </c>
      <c r="D42" s="36" t="s">
        <v>57</v>
      </c>
      <c r="E42" s="36" t="s">
        <v>57</v>
      </c>
      <c r="F42" s="36" t="s">
        <v>57</v>
      </c>
      <c r="G42" s="36" t="s">
        <v>57</v>
      </c>
      <c r="H42" s="36" t="s">
        <v>57</v>
      </c>
      <c r="I42" s="36" t="s">
        <v>57</v>
      </c>
      <c r="J42" s="36" t="s">
        <v>57</v>
      </c>
      <c r="K42" s="36" t="s">
        <v>57</v>
      </c>
      <c r="L42" s="36" t="s">
        <v>57</v>
      </c>
      <c r="M42" s="36" t="s">
        <v>57</v>
      </c>
      <c r="N42" s="36" t="s">
        <v>57</v>
      </c>
      <c r="O42" s="36" t="s">
        <v>57</v>
      </c>
      <c r="P42" s="36" t="s">
        <v>57</v>
      </c>
      <c r="Q42" s="36" t="s">
        <v>57</v>
      </c>
      <c r="R42" s="36" t="s">
        <v>57</v>
      </c>
      <c r="S42" s="36" t="s">
        <v>57</v>
      </c>
      <c r="T42" s="36" t="s">
        <v>57</v>
      </c>
      <c r="U42" s="36" t="s">
        <v>57</v>
      </c>
      <c r="V42" s="36" t="s">
        <v>57</v>
      </c>
      <c r="W42" s="36" t="s">
        <v>57</v>
      </c>
      <c r="X42" s="36" t="s">
        <v>57</v>
      </c>
      <c r="Y42" s="36" t="s">
        <v>57</v>
      </c>
      <c r="Z42" s="36" t="s">
        <v>57</v>
      </c>
      <c r="AA42" s="36" t="s">
        <v>57</v>
      </c>
      <c r="AB42" s="36" t="s">
        <v>57</v>
      </c>
      <c r="AC42" s="36" t="s">
        <v>57</v>
      </c>
      <c r="AD42" s="36" t="s">
        <v>57</v>
      </c>
      <c r="AE42" s="122" t="s">
        <v>57</v>
      </c>
      <c r="AF42" s="36" t="s">
        <v>57</v>
      </c>
      <c r="AG42" s="36" t="s">
        <v>57</v>
      </c>
      <c r="AH42" s="36" t="s">
        <v>57</v>
      </c>
      <c r="AI42" s="36" t="s">
        <v>57</v>
      </c>
      <c r="AJ42" s="36" t="s">
        <v>57</v>
      </c>
      <c r="AK42" s="7" t="s">
        <v>57</v>
      </c>
      <c r="AL42" s="7" t="s">
        <v>57</v>
      </c>
      <c r="AM42" s="36" t="s">
        <v>57</v>
      </c>
      <c r="AN42" s="34" t="s">
        <v>57</v>
      </c>
      <c r="AO42" s="36" t="s">
        <v>57</v>
      </c>
      <c r="AP42" s="36" t="s">
        <v>57</v>
      </c>
      <c r="AQ42" s="7" t="s">
        <v>57</v>
      </c>
      <c r="AR42" s="7" t="s">
        <v>57</v>
      </c>
      <c r="AS42" s="7" t="s">
        <v>57</v>
      </c>
      <c r="AT42" s="7" t="s">
        <v>57</v>
      </c>
      <c r="AU42" s="36" t="s">
        <v>57</v>
      </c>
      <c r="AV42" s="36" t="s">
        <v>57</v>
      </c>
      <c r="AW42" s="34" t="s">
        <v>57</v>
      </c>
      <c r="AX42" s="34" t="s">
        <v>57</v>
      </c>
      <c r="AY42" s="34" t="s">
        <v>57</v>
      </c>
      <c r="AZ42" s="36" t="s">
        <v>57</v>
      </c>
      <c r="BA42" s="36" t="s">
        <v>57</v>
      </c>
      <c r="BB42" s="36" t="s">
        <v>57</v>
      </c>
      <c r="BC42" s="36" t="s">
        <v>57</v>
      </c>
      <c r="BD42" s="36" t="s">
        <v>57</v>
      </c>
      <c r="BE42" s="36" t="s">
        <v>57</v>
      </c>
      <c r="BF42" s="36" t="s">
        <v>57</v>
      </c>
      <c r="BG42" s="36" t="s">
        <v>57</v>
      </c>
      <c r="BH42" s="36" t="s">
        <v>57</v>
      </c>
      <c r="BI42" s="36" t="s">
        <v>57</v>
      </c>
      <c r="BJ42" s="36" t="s">
        <v>57</v>
      </c>
      <c r="BK42" s="36" t="s">
        <v>57</v>
      </c>
      <c r="BL42" s="36" t="s">
        <v>57</v>
      </c>
      <c r="BM42" s="36" t="s">
        <v>57</v>
      </c>
      <c r="BN42" s="36" t="s">
        <v>57</v>
      </c>
      <c r="BO42" s="36" t="s">
        <v>57</v>
      </c>
      <c r="BP42" s="36" t="s">
        <v>57</v>
      </c>
      <c r="BQ42" s="36" t="s">
        <v>57</v>
      </c>
      <c r="BR42" s="36" t="s">
        <v>57</v>
      </c>
      <c r="BS42" s="36" t="s">
        <v>57</v>
      </c>
      <c r="BT42" s="36" t="s">
        <v>57</v>
      </c>
      <c r="BU42" s="36" t="s">
        <v>57</v>
      </c>
      <c r="BV42" s="36" t="s">
        <v>57</v>
      </c>
      <c r="BW42" s="36" t="s">
        <v>57</v>
      </c>
      <c r="BX42" s="36" t="s">
        <v>57</v>
      </c>
      <c r="BY42" s="36" t="s">
        <v>57</v>
      </c>
      <c r="BZ42" s="36" t="s">
        <v>57</v>
      </c>
      <c r="CA42" s="36" t="s">
        <v>57</v>
      </c>
      <c r="CB42" s="36" t="s">
        <v>57</v>
      </c>
      <c r="CC42" s="36" t="s">
        <v>582</v>
      </c>
      <c r="CD42" s="36" t="s">
        <v>57</v>
      </c>
      <c r="CE42" s="36" t="s">
        <v>57</v>
      </c>
      <c r="CF42" s="36" t="s">
        <v>57</v>
      </c>
      <c r="CG42" s="36" t="s">
        <v>57</v>
      </c>
      <c r="CH42" s="36" t="s">
        <v>57</v>
      </c>
      <c r="CI42" s="36" t="s">
        <v>57</v>
      </c>
      <c r="CJ42" s="36" t="s">
        <v>57</v>
      </c>
      <c r="CK42" s="36" t="s">
        <v>57</v>
      </c>
      <c r="CL42" s="36" t="s">
        <v>57</v>
      </c>
      <c r="CM42" s="36" t="s">
        <v>57</v>
      </c>
      <c r="CN42" s="36" t="s">
        <v>57</v>
      </c>
      <c r="CO42" s="36" t="s">
        <v>57</v>
      </c>
      <c r="CP42" s="36" t="s">
        <v>57</v>
      </c>
      <c r="CQ42" s="36" t="s">
        <v>57</v>
      </c>
      <c r="CR42" s="36" t="s">
        <v>57</v>
      </c>
      <c r="CS42" s="36" t="s">
        <v>57</v>
      </c>
      <c r="CT42" s="36" t="s">
        <v>57</v>
      </c>
      <c r="CU42" s="36" t="s">
        <v>57</v>
      </c>
      <c r="CV42" s="36" t="s">
        <v>57</v>
      </c>
      <c r="CW42" s="36" t="s">
        <v>57</v>
      </c>
      <c r="CX42" s="36" t="s">
        <v>57</v>
      </c>
    </row>
    <row r="43" spans="1:102" ht="12" customHeight="1">
      <c r="A43" s="51" t="s">
        <v>935</v>
      </c>
      <c r="B43" s="52" t="s">
        <v>3948</v>
      </c>
      <c r="C43" s="52"/>
      <c r="D43" s="52"/>
      <c r="E43" s="52"/>
      <c r="F43" s="52" t="s">
        <v>1462</v>
      </c>
      <c r="G43" s="52" t="s">
        <v>1462</v>
      </c>
      <c r="H43" s="52" t="s">
        <v>1462</v>
      </c>
      <c r="I43" s="52" t="s">
        <v>1462</v>
      </c>
      <c r="J43" s="52"/>
      <c r="K43" s="52"/>
      <c r="L43" s="52"/>
      <c r="M43" s="52" t="s">
        <v>1641</v>
      </c>
      <c r="N43" s="52" t="s">
        <v>1641</v>
      </c>
      <c r="O43" s="52" t="s">
        <v>1641</v>
      </c>
      <c r="P43" s="52" t="s">
        <v>1641</v>
      </c>
      <c r="Q43" s="52" t="s">
        <v>1641</v>
      </c>
      <c r="R43" s="52" t="s">
        <v>1641</v>
      </c>
      <c r="S43" s="52" t="s">
        <v>1641</v>
      </c>
      <c r="T43" s="52" t="s">
        <v>1641</v>
      </c>
      <c r="U43" s="52" t="s">
        <v>1641</v>
      </c>
      <c r="V43" s="52" t="s">
        <v>1641</v>
      </c>
      <c r="W43" s="52" t="s">
        <v>1641</v>
      </c>
      <c r="X43" s="52" t="s">
        <v>1641</v>
      </c>
      <c r="Y43" s="52" t="s">
        <v>1641</v>
      </c>
      <c r="Z43" s="52"/>
      <c r="AA43" s="52"/>
      <c r="AB43" s="52"/>
      <c r="AC43" s="52"/>
      <c r="AD43" s="52"/>
      <c r="AE43" s="123" t="s">
        <v>5662</v>
      </c>
      <c r="AF43" s="52" t="s">
        <v>4660</v>
      </c>
      <c r="AG43" s="52" t="s">
        <v>4660</v>
      </c>
      <c r="AH43" s="52" t="s">
        <v>4660</v>
      </c>
      <c r="AI43" s="52"/>
      <c r="AJ43" s="52"/>
      <c r="AK43" s="52" t="s">
        <v>1742</v>
      </c>
      <c r="AL43" s="52" t="s">
        <v>1742</v>
      </c>
      <c r="AM43" s="52"/>
      <c r="AN43" s="52" t="s">
        <v>1786</v>
      </c>
      <c r="AO43" s="52"/>
      <c r="AP43" s="52"/>
      <c r="AQ43" s="52" t="s">
        <v>1885</v>
      </c>
      <c r="AR43" s="52" t="s">
        <v>1885</v>
      </c>
      <c r="AS43" s="52" t="s">
        <v>1885</v>
      </c>
      <c r="AT43" s="52" t="s">
        <v>1885</v>
      </c>
      <c r="AU43" s="52"/>
      <c r="AV43" s="52"/>
      <c r="AW43" s="52" t="s">
        <v>3026</v>
      </c>
      <c r="AX43" s="52" t="s">
        <v>3026</v>
      </c>
      <c r="AY43" s="52" t="s">
        <v>3026</v>
      </c>
      <c r="AZ43" s="52"/>
      <c r="BA43" s="52" t="s">
        <v>4142</v>
      </c>
      <c r="BB43" s="52"/>
      <c r="BC43" s="52"/>
      <c r="BD43" s="52" t="s">
        <v>2031</v>
      </c>
      <c r="BE43" s="52"/>
      <c r="BF43" s="52" t="s">
        <v>2031</v>
      </c>
      <c r="BG43" s="52" t="s">
        <v>4058</v>
      </c>
      <c r="BH43" s="52"/>
      <c r="BI43" s="52"/>
      <c r="BJ43" s="52"/>
      <c r="BK43" s="52" t="s">
        <v>1382</v>
      </c>
      <c r="BL43" s="52" t="s">
        <v>1382</v>
      </c>
      <c r="BM43" s="52"/>
      <c r="BN43" s="52"/>
      <c r="BO43" s="52"/>
      <c r="BP43" s="52"/>
      <c r="BQ43" s="52"/>
      <c r="BR43" s="52"/>
      <c r="BS43" s="52"/>
      <c r="BT43" s="52" t="s">
        <v>3675</v>
      </c>
      <c r="BU43" s="52" t="s">
        <v>3590</v>
      </c>
      <c r="BV43" s="52" t="s">
        <v>3523</v>
      </c>
      <c r="BW43" s="52" t="s">
        <v>2491</v>
      </c>
      <c r="BX43" s="52" t="s">
        <v>2491</v>
      </c>
      <c r="BY43" s="52" t="s">
        <v>2491</v>
      </c>
      <c r="BZ43" s="52" t="s">
        <v>3947</v>
      </c>
      <c r="CA43" s="52"/>
      <c r="CB43" s="52"/>
      <c r="CC43" s="52"/>
      <c r="CD43" s="52" t="s">
        <v>2587</v>
      </c>
      <c r="CE43" s="52" t="s">
        <v>2587</v>
      </c>
      <c r="CF43" s="52"/>
      <c r="CG43" s="52" t="s">
        <v>1641</v>
      </c>
      <c r="CH43" s="52" t="s">
        <v>1641</v>
      </c>
      <c r="CI43" s="52" t="s">
        <v>4021</v>
      </c>
      <c r="CJ43" s="52" t="s">
        <v>4021</v>
      </c>
      <c r="CK43" s="52" t="s">
        <v>2688</v>
      </c>
      <c r="CL43" s="52"/>
      <c r="CM43" s="52"/>
      <c r="CN43" s="52"/>
      <c r="CO43" s="52" t="s">
        <v>2083</v>
      </c>
      <c r="CP43" s="52" t="s">
        <v>2861</v>
      </c>
      <c r="CQ43" s="52"/>
      <c r="CR43" s="52"/>
      <c r="CS43" s="52"/>
      <c r="CT43" s="52"/>
      <c r="CU43" s="52"/>
      <c r="CV43" s="52"/>
      <c r="CW43" s="52" t="s">
        <v>1176</v>
      </c>
      <c r="CX43" s="52"/>
    </row>
    <row r="44" spans="1:102" ht="22.5" customHeight="1">
      <c r="A44" s="12" t="s">
        <v>4406</v>
      </c>
      <c r="B44" s="36" t="s">
        <v>57</v>
      </c>
      <c r="C44" s="36" t="s">
        <v>57</v>
      </c>
      <c r="D44" s="36" t="s">
        <v>57</v>
      </c>
      <c r="E44" s="36" t="s">
        <v>57</v>
      </c>
      <c r="F44" s="36" t="s">
        <v>57</v>
      </c>
      <c r="G44" s="36" t="s">
        <v>57</v>
      </c>
      <c r="H44" s="36" t="s">
        <v>57</v>
      </c>
      <c r="I44" s="36" t="s">
        <v>57</v>
      </c>
      <c r="J44" s="36" t="s">
        <v>57</v>
      </c>
      <c r="K44" s="36" t="s">
        <v>57</v>
      </c>
      <c r="L44" s="36" t="s">
        <v>57</v>
      </c>
      <c r="M44" s="36" t="s">
        <v>57</v>
      </c>
      <c r="N44" s="36" t="s">
        <v>57</v>
      </c>
      <c r="O44" s="36" t="s">
        <v>57</v>
      </c>
      <c r="P44" s="36" t="s">
        <v>57</v>
      </c>
      <c r="Q44" s="36" t="s">
        <v>57</v>
      </c>
      <c r="R44" s="36" t="s">
        <v>57</v>
      </c>
      <c r="S44" s="36" t="s">
        <v>57</v>
      </c>
      <c r="T44" s="36" t="s">
        <v>57</v>
      </c>
      <c r="U44" s="36" t="s">
        <v>57</v>
      </c>
      <c r="V44" s="36" t="s">
        <v>57</v>
      </c>
      <c r="W44" s="36" t="s">
        <v>57</v>
      </c>
      <c r="X44" s="36" t="s">
        <v>57</v>
      </c>
      <c r="Y44" s="36" t="s">
        <v>57</v>
      </c>
      <c r="Z44" s="36" t="s">
        <v>57</v>
      </c>
      <c r="AA44" s="36" t="s">
        <v>57</v>
      </c>
      <c r="AB44" s="36" t="s">
        <v>57</v>
      </c>
      <c r="AC44" s="36" t="s">
        <v>57</v>
      </c>
      <c r="AD44" s="36" t="s">
        <v>57</v>
      </c>
      <c r="AE44" s="122" t="s">
        <v>57</v>
      </c>
      <c r="AF44" s="36" t="s">
        <v>57</v>
      </c>
      <c r="AG44" s="36" t="s">
        <v>57</v>
      </c>
      <c r="AH44" s="36" t="s">
        <v>57</v>
      </c>
      <c r="AI44" s="7" t="s">
        <v>57</v>
      </c>
      <c r="AJ44" s="33" t="s">
        <v>57</v>
      </c>
      <c r="AK44" s="7" t="s">
        <v>57</v>
      </c>
      <c r="AL44" s="7" t="s">
        <v>57</v>
      </c>
      <c r="AM44" s="34" t="s">
        <v>57</v>
      </c>
      <c r="AN44" s="34" t="s">
        <v>57</v>
      </c>
      <c r="AO44" s="7" t="s">
        <v>57</v>
      </c>
      <c r="AP44" s="33" t="s">
        <v>57</v>
      </c>
      <c r="AQ44" s="7" t="s">
        <v>57</v>
      </c>
      <c r="AR44" s="7" t="s">
        <v>57</v>
      </c>
      <c r="AS44" s="7" t="s">
        <v>57</v>
      </c>
      <c r="AT44" s="7" t="s">
        <v>57</v>
      </c>
      <c r="AU44" s="36" t="s">
        <v>57</v>
      </c>
      <c r="AV44" s="36" t="s">
        <v>57</v>
      </c>
      <c r="AW44" s="34" t="s">
        <v>57</v>
      </c>
      <c r="AX44" s="34" t="s">
        <v>57</v>
      </c>
      <c r="AY44" s="34" t="s">
        <v>57</v>
      </c>
      <c r="AZ44" s="36" t="s">
        <v>57</v>
      </c>
      <c r="BA44" s="36" t="s">
        <v>57</v>
      </c>
      <c r="BB44" s="36" t="s">
        <v>57</v>
      </c>
      <c r="BC44" s="36" t="s">
        <v>57</v>
      </c>
      <c r="BD44" s="36" t="s">
        <v>57</v>
      </c>
      <c r="BE44" s="36" t="s">
        <v>57</v>
      </c>
      <c r="BF44" s="36" t="s">
        <v>57</v>
      </c>
      <c r="BG44" s="36" t="s">
        <v>4111</v>
      </c>
      <c r="BH44" s="36" t="s">
        <v>57</v>
      </c>
      <c r="BI44" s="36" t="s">
        <v>57</v>
      </c>
      <c r="BJ44" s="36" t="s">
        <v>57</v>
      </c>
      <c r="BK44" s="36" t="s">
        <v>57</v>
      </c>
      <c r="BL44" s="36" t="s">
        <v>57</v>
      </c>
      <c r="BM44" s="36" t="s">
        <v>57</v>
      </c>
      <c r="BN44" s="36" t="s">
        <v>57</v>
      </c>
      <c r="BO44" s="36" t="s">
        <v>57</v>
      </c>
      <c r="BP44" s="36" t="s">
        <v>57</v>
      </c>
      <c r="BQ44" s="36" t="s">
        <v>57</v>
      </c>
      <c r="BR44" s="36" t="s">
        <v>57</v>
      </c>
      <c r="BS44" s="36" t="s">
        <v>57</v>
      </c>
      <c r="BT44" s="36" t="s">
        <v>57</v>
      </c>
      <c r="BU44" s="36" t="s">
        <v>57</v>
      </c>
      <c r="BV44" s="36" t="s">
        <v>57</v>
      </c>
      <c r="BW44" s="36" t="s">
        <v>57</v>
      </c>
      <c r="BX44" s="36" t="s">
        <v>57</v>
      </c>
      <c r="BY44" s="36" t="s">
        <v>57</v>
      </c>
      <c r="BZ44" s="36" t="s">
        <v>57</v>
      </c>
      <c r="CA44" s="36" t="s">
        <v>57</v>
      </c>
      <c r="CB44" s="36" t="s">
        <v>57</v>
      </c>
      <c r="CC44" s="36" t="s">
        <v>57</v>
      </c>
      <c r="CD44" s="36" t="s">
        <v>57</v>
      </c>
      <c r="CE44" s="36" t="s">
        <v>57</v>
      </c>
      <c r="CF44" s="36" t="s">
        <v>57</v>
      </c>
      <c r="CG44" s="36" t="s">
        <v>57</v>
      </c>
      <c r="CH44" s="36" t="s">
        <v>57</v>
      </c>
      <c r="CI44" s="36" t="s">
        <v>57</v>
      </c>
      <c r="CJ44" s="36" t="s">
        <v>57</v>
      </c>
      <c r="CK44" s="36" t="s">
        <v>57</v>
      </c>
      <c r="CL44" s="36" t="s">
        <v>57</v>
      </c>
      <c r="CM44" s="36" t="s">
        <v>57</v>
      </c>
      <c r="CN44" s="36" t="s">
        <v>57</v>
      </c>
      <c r="CO44" s="36" t="s">
        <v>57</v>
      </c>
      <c r="CP44" s="36" t="s">
        <v>57</v>
      </c>
      <c r="CQ44" s="36" t="s">
        <v>57</v>
      </c>
      <c r="CR44" s="36" t="s">
        <v>57</v>
      </c>
      <c r="CS44" s="36" t="s">
        <v>57</v>
      </c>
      <c r="CT44" s="36" t="s">
        <v>57</v>
      </c>
      <c r="CU44" s="36" t="s">
        <v>57</v>
      </c>
      <c r="CV44" s="36" t="s">
        <v>57</v>
      </c>
      <c r="CW44" s="36" t="s">
        <v>57</v>
      </c>
      <c r="CX44" s="36" t="s">
        <v>57</v>
      </c>
    </row>
    <row r="45" spans="1:102" ht="12" customHeight="1">
      <c r="A45" s="51" t="s">
        <v>935</v>
      </c>
      <c r="B45" s="52" t="s">
        <v>3948</v>
      </c>
      <c r="C45" s="52"/>
      <c r="D45" s="52"/>
      <c r="E45" s="52"/>
      <c r="F45" s="52" t="s">
        <v>1462</v>
      </c>
      <c r="G45" s="52" t="s">
        <v>1462</v>
      </c>
      <c r="H45" s="52" t="s">
        <v>1462</v>
      </c>
      <c r="I45" s="52" t="s">
        <v>1462</v>
      </c>
      <c r="J45" s="52"/>
      <c r="K45" s="52"/>
      <c r="L45" s="52"/>
      <c r="M45" s="52" t="s">
        <v>1641</v>
      </c>
      <c r="N45" s="52" t="s">
        <v>1641</v>
      </c>
      <c r="O45" s="52" t="s">
        <v>1641</v>
      </c>
      <c r="P45" s="52" t="s">
        <v>1641</v>
      </c>
      <c r="Q45" s="52" t="s">
        <v>1641</v>
      </c>
      <c r="R45" s="52" t="s">
        <v>1641</v>
      </c>
      <c r="S45" s="52" t="s">
        <v>1641</v>
      </c>
      <c r="T45" s="52" t="s">
        <v>1641</v>
      </c>
      <c r="U45" s="52" t="s">
        <v>1641</v>
      </c>
      <c r="V45" s="52" t="s">
        <v>1641</v>
      </c>
      <c r="W45" s="52" t="s">
        <v>1641</v>
      </c>
      <c r="X45" s="52" t="s">
        <v>1641</v>
      </c>
      <c r="Y45" s="52" t="s">
        <v>1641</v>
      </c>
      <c r="Z45" s="52"/>
      <c r="AA45" s="52"/>
      <c r="AB45" s="52"/>
      <c r="AC45" s="52"/>
      <c r="AD45" s="52"/>
      <c r="AE45" s="123" t="s">
        <v>5663</v>
      </c>
      <c r="AF45" s="52" t="s">
        <v>4660</v>
      </c>
      <c r="AG45" s="52" t="s">
        <v>4660</v>
      </c>
      <c r="AH45" s="52" t="s">
        <v>4660</v>
      </c>
      <c r="AI45" s="52"/>
      <c r="AJ45" s="52"/>
      <c r="AK45" s="52" t="s">
        <v>1742</v>
      </c>
      <c r="AL45" s="52" t="s">
        <v>1742</v>
      </c>
      <c r="AM45" s="52"/>
      <c r="AN45" s="52" t="s">
        <v>1786</v>
      </c>
      <c r="AO45" s="52"/>
      <c r="AP45" s="52"/>
      <c r="AQ45" s="52" t="s">
        <v>1885</v>
      </c>
      <c r="AR45" s="52" t="s">
        <v>1885</v>
      </c>
      <c r="AS45" s="52" t="s">
        <v>1885</v>
      </c>
      <c r="AT45" s="52" t="s">
        <v>1885</v>
      </c>
      <c r="AU45" s="52"/>
      <c r="AV45" s="52"/>
      <c r="AW45" s="52" t="s">
        <v>3026</v>
      </c>
      <c r="AX45" s="52" t="s">
        <v>3026</v>
      </c>
      <c r="AY45" s="52" t="s">
        <v>3026</v>
      </c>
      <c r="AZ45" s="52"/>
      <c r="BA45" s="52" t="s">
        <v>4142</v>
      </c>
      <c r="BB45" s="52"/>
      <c r="BC45" s="52"/>
      <c r="BD45" s="52" t="s">
        <v>2031</v>
      </c>
      <c r="BE45" s="52"/>
      <c r="BF45" s="52" t="s">
        <v>2031</v>
      </c>
      <c r="BG45" s="52" t="s">
        <v>4058</v>
      </c>
      <c r="BH45" s="52"/>
      <c r="BI45" s="52"/>
      <c r="BJ45" s="52"/>
      <c r="BK45" s="52" t="s">
        <v>1382</v>
      </c>
      <c r="BL45" s="52" t="s">
        <v>1382</v>
      </c>
      <c r="BM45" s="52"/>
      <c r="BN45" s="52"/>
      <c r="BO45" s="52"/>
      <c r="BP45" s="52"/>
      <c r="BQ45" s="52"/>
      <c r="BR45" s="52"/>
      <c r="BS45" s="52"/>
      <c r="BT45" s="52" t="s">
        <v>3675</v>
      </c>
      <c r="BU45" s="52" t="s">
        <v>3590</v>
      </c>
      <c r="BV45" s="52" t="s">
        <v>3523</v>
      </c>
      <c r="BW45" s="52" t="s">
        <v>2491</v>
      </c>
      <c r="BX45" s="52" t="s">
        <v>2491</v>
      </c>
      <c r="BY45" s="52" t="s">
        <v>2491</v>
      </c>
      <c r="BZ45" s="52" t="s">
        <v>3947</v>
      </c>
      <c r="CA45" s="52"/>
      <c r="CB45" s="52"/>
      <c r="CC45" s="52"/>
      <c r="CD45" s="52" t="s">
        <v>2587</v>
      </c>
      <c r="CE45" s="52" t="s">
        <v>2587</v>
      </c>
      <c r="CF45" s="52"/>
      <c r="CG45" s="52" t="s">
        <v>1641</v>
      </c>
      <c r="CH45" s="52" t="s">
        <v>1641</v>
      </c>
      <c r="CI45" s="52" t="s">
        <v>4021</v>
      </c>
      <c r="CJ45" s="52" t="s">
        <v>4021</v>
      </c>
      <c r="CK45" s="52" t="s">
        <v>2688</v>
      </c>
      <c r="CL45" s="52"/>
      <c r="CM45" s="52"/>
      <c r="CN45" s="52"/>
      <c r="CO45" s="52" t="s">
        <v>2083</v>
      </c>
      <c r="CP45" s="52" t="s">
        <v>2861</v>
      </c>
      <c r="CQ45" s="52"/>
      <c r="CR45" s="52"/>
      <c r="CS45" s="52"/>
      <c r="CT45" s="52"/>
      <c r="CU45" s="52"/>
      <c r="CV45" s="52"/>
      <c r="CW45" s="52" t="s">
        <v>1176</v>
      </c>
      <c r="CX45" s="52"/>
    </row>
    <row r="46" spans="1:102" ht="22.5" customHeight="1">
      <c r="A46" s="11" t="s">
        <v>95</v>
      </c>
      <c r="B46" s="36" t="s">
        <v>0</v>
      </c>
      <c r="C46" s="36" t="s">
        <v>0</v>
      </c>
      <c r="D46" s="36" t="s">
        <v>0</v>
      </c>
      <c r="E46" s="36" t="s">
        <v>0</v>
      </c>
      <c r="F46" s="36" t="s">
        <v>0</v>
      </c>
      <c r="G46" s="36" t="s">
        <v>0</v>
      </c>
      <c r="H46" s="36" t="s">
        <v>0</v>
      </c>
      <c r="I46" s="36" t="s">
        <v>0</v>
      </c>
      <c r="J46" s="36" t="s">
        <v>0</v>
      </c>
      <c r="K46" s="36" t="s">
        <v>0</v>
      </c>
      <c r="L46" s="36" t="s">
        <v>0</v>
      </c>
      <c r="M46" s="36" t="s">
        <v>0</v>
      </c>
      <c r="N46" s="36" t="s">
        <v>0</v>
      </c>
      <c r="O46" s="36" t="s">
        <v>0</v>
      </c>
      <c r="P46" s="36" t="s">
        <v>0</v>
      </c>
      <c r="Q46" s="36" t="s">
        <v>0</v>
      </c>
      <c r="R46" s="36" t="s">
        <v>0</v>
      </c>
      <c r="S46" s="36" t="s">
        <v>0</v>
      </c>
      <c r="T46" s="36" t="s">
        <v>0</v>
      </c>
      <c r="U46" s="36" t="s">
        <v>0</v>
      </c>
      <c r="V46" s="36" t="s">
        <v>0</v>
      </c>
      <c r="W46" s="36" t="s">
        <v>0</v>
      </c>
      <c r="X46" s="36" t="s">
        <v>0</v>
      </c>
      <c r="Y46" s="36" t="s">
        <v>0</v>
      </c>
      <c r="Z46" s="36" t="s">
        <v>0</v>
      </c>
      <c r="AA46" s="36" t="s">
        <v>57</v>
      </c>
      <c r="AB46" s="36" t="s">
        <v>57</v>
      </c>
      <c r="AC46" s="36" t="s">
        <v>57</v>
      </c>
      <c r="AD46" s="36" t="s">
        <v>0</v>
      </c>
      <c r="AE46" s="122" t="s">
        <v>0</v>
      </c>
      <c r="AF46" s="36" t="s">
        <v>0</v>
      </c>
      <c r="AG46" s="36" t="s">
        <v>0</v>
      </c>
      <c r="AH46" s="36" t="s">
        <v>0</v>
      </c>
      <c r="AI46" s="7" t="s">
        <v>0</v>
      </c>
      <c r="AJ46" s="34" t="s">
        <v>0</v>
      </c>
      <c r="AK46" s="7" t="s">
        <v>0</v>
      </c>
      <c r="AL46" s="7" t="s">
        <v>0</v>
      </c>
      <c r="AM46" s="34" t="s">
        <v>0</v>
      </c>
      <c r="AN46" s="34" t="s">
        <v>0</v>
      </c>
      <c r="AO46" s="7" t="s">
        <v>0</v>
      </c>
      <c r="AP46" s="34" t="s">
        <v>0</v>
      </c>
      <c r="AQ46" s="7" t="s">
        <v>0</v>
      </c>
      <c r="AR46" s="7" t="s">
        <v>0</v>
      </c>
      <c r="AS46" s="7" t="s">
        <v>0</v>
      </c>
      <c r="AT46" s="7" t="s">
        <v>0</v>
      </c>
      <c r="AU46" s="36" t="s">
        <v>0</v>
      </c>
      <c r="AV46" s="36" t="s">
        <v>0</v>
      </c>
      <c r="AW46" s="34" t="s">
        <v>0</v>
      </c>
      <c r="AX46" s="34" t="s">
        <v>0</v>
      </c>
      <c r="AY46" s="34" t="s">
        <v>0</v>
      </c>
      <c r="AZ46" s="36" t="s">
        <v>0</v>
      </c>
      <c r="BA46" s="36" t="s">
        <v>0</v>
      </c>
      <c r="BB46" s="36" t="s">
        <v>0</v>
      </c>
      <c r="BC46" s="36" t="s">
        <v>0</v>
      </c>
      <c r="BD46" s="36" t="s">
        <v>0</v>
      </c>
      <c r="BE46" s="36" t="s">
        <v>0</v>
      </c>
      <c r="BF46" s="36" t="s">
        <v>0</v>
      </c>
      <c r="BG46" s="36" t="s">
        <v>0</v>
      </c>
      <c r="BH46" s="36" t="s">
        <v>0</v>
      </c>
      <c r="BI46" s="36" t="s">
        <v>0</v>
      </c>
      <c r="BJ46" s="36" t="s">
        <v>0</v>
      </c>
      <c r="BK46" s="36" t="s">
        <v>0</v>
      </c>
      <c r="BL46" s="36" t="s">
        <v>0</v>
      </c>
      <c r="BM46" s="36" t="s">
        <v>0</v>
      </c>
      <c r="BN46" s="36" t="s">
        <v>0</v>
      </c>
      <c r="BO46" s="36" t="s">
        <v>57</v>
      </c>
      <c r="BP46" s="36" t="s">
        <v>0</v>
      </c>
      <c r="BQ46" s="36" t="s">
        <v>57</v>
      </c>
      <c r="BR46" s="36" t="s">
        <v>57</v>
      </c>
      <c r="BS46" s="36" t="s">
        <v>57</v>
      </c>
      <c r="BT46" s="36" t="s">
        <v>0</v>
      </c>
      <c r="BU46" s="36" t="s">
        <v>0</v>
      </c>
      <c r="BV46" s="36" t="s">
        <v>57</v>
      </c>
      <c r="BW46" s="36" t="s">
        <v>0</v>
      </c>
      <c r="BX46" s="36" t="s">
        <v>0</v>
      </c>
      <c r="BY46" s="36" t="s">
        <v>0</v>
      </c>
      <c r="BZ46" s="36" t="s">
        <v>0</v>
      </c>
      <c r="CA46" s="36" t="s">
        <v>0</v>
      </c>
      <c r="CB46" s="36" t="s">
        <v>0</v>
      </c>
      <c r="CC46" s="36" t="s">
        <v>0</v>
      </c>
      <c r="CD46" s="36" t="s">
        <v>0</v>
      </c>
      <c r="CE46" s="36" t="s">
        <v>0</v>
      </c>
      <c r="CF46" s="36" t="s">
        <v>0</v>
      </c>
      <c r="CG46" s="36" t="s">
        <v>0</v>
      </c>
      <c r="CH46" s="36" t="s">
        <v>0</v>
      </c>
      <c r="CI46" s="36" t="s">
        <v>0</v>
      </c>
      <c r="CJ46" s="36" t="s">
        <v>0</v>
      </c>
      <c r="CK46" s="36" t="s">
        <v>0</v>
      </c>
      <c r="CL46" s="36" t="s">
        <v>0</v>
      </c>
      <c r="CM46" s="36" t="s">
        <v>0</v>
      </c>
      <c r="CN46" s="36" t="s">
        <v>0</v>
      </c>
      <c r="CO46" s="36" t="s">
        <v>0</v>
      </c>
      <c r="CP46" s="36" t="s">
        <v>0</v>
      </c>
      <c r="CQ46" s="36" t="s">
        <v>0</v>
      </c>
      <c r="CR46" s="36" t="s">
        <v>0</v>
      </c>
      <c r="CS46" s="36" t="s">
        <v>0</v>
      </c>
      <c r="CT46" s="36" t="s">
        <v>0</v>
      </c>
      <c r="CU46" s="36" t="s">
        <v>0</v>
      </c>
      <c r="CV46" s="36" t="s">
        <v>0</v>
      </c>
      <c r="CW46" s="36" t="s">
        <v>0</v>
      </c>
      <c r="CX46" s="36" t="s">
        <v>0</v>
      </c>
    </row>
    <row r="47" spans="1:102" ht="12" customHeight="1">
      <c r="A47" s="51" t="s">
        <v>935</v>
      </c>
      <c r="B47" s="52" t="s">
        <v>3951</v>
      </c>
      <c r="C47" s="52"/>
      <c r="D47" s="52"/>
      <c r="E47" s="52"/>
      <c r="F47" s="52" t="s">
        <v>0</v>
      </c>
      <c r="G47" s="52" t="s">
        <v>0</v>
      </c>
      <c r="H47" s="52" t="s">
        <v>0</v>
      </c>
      <c r="I47" s="52" t="s">
        <v>0</v>
      </c>
      <c r="J47" s="52"/>
      <c r="K47" s="52"/>
      <c r="L47" s="52"/>
      <c r="M47" s="52" t="s">
        <v>0</v>
      </c>
      <c r="N47" s="52" t="s">
        <v>0</v>
      </c>
      <c r="O47" s="52" t="s">
        <v>0</v>
      </c>
      <c r="P47" s="52" t="s">
        <v>0</v>
      </c>
      <c r="Q47" s="52" t="s">
        <v>0</v>
      </c>
      <c r="R47" s="52" t="s">
        <v>0</v>
      </c>
      <c r="S47" s="52" t="s">
        <v>0</v>
      </c>
      <c r="T47" s="52" t="s">
        <v>0</v>
      </c>
      <c r="U47" s="52" t="s">
        <v>0</v>
      </c>
      <c r="V47" s="52" t="s">
        <v>0</v>
      </c>
      <c r="W47" s="52" t="s">
        <v>0</v>
      </c>
      <c r="X47" s="52" t="s">
        <v>0</v>
      </c>
      <c r="Y47" s="52" t="s">
        <v>0</v>
      </c>
      <c r="Z47" s="52"/>
      <c r="AA47" s="52"/>
      <c r="AB47" s="52"/>
      <c r="AC47" s="52"/>
      <c r="AD47" s="52"/>
      <c r="AE47" s="123" t="s">
        <v>0</v>
      </c>
      <c r="AF47" s="52" t="s">
        <v>4661</v>
      </c>
      <c r="AG47" s="52" t="s">
        <v>4661</v>
      </c>
      <c r="AH47" s="52" t="s">
        <v>4661</v>
      </c>
      <c r="AI47" s="52"/>
      <c r="AJ47" s="52"/>
      <c r="AK47" s="52" t="s">
        <v>0</v>
      </c>
      <c r="AL47" s="52" t="s">
        <v>0</v>
      </c>
      <c r="AM47" s="52"/>
      <c r="AN47" s="52" t="s">
        <v>0</v>
      </c>
      <c r="AO47" s="52"/>
      <c r="AP47" s="52"/>
      <c r="AQ47" s="52" t="s">
        <v>0</v>
      </c>
      <c r="AR47" s="52" t="s">
        <v>0</v>
      </c>
      <c r="AS47" s="52" t="s">
        <v>0</v>
      </c>
      <c r="AT47" s="52" t="s">
        <v>0</v>
      </c>
      <c r="AU47" s="52"/>
      <c r="AV47" s="52"/>
      <c r="AW47" s="52" t="s">
        <v>3031</v>
      </c>
      <c r="AX47" s="52" t="s">
        <v>3031</v>
      </c>
      <c r="AY47" s="52" t="s">
        <v>3031</v>
      </c>
      <c r="AZ47" s="52"/>
      <c r="BA47" s="52" t="s">
        <v>4147</v>
      </c>
      <c r="BB47" s="52"/>
      <c r="BC47" s="52"/>
      <c r="BD47" s="52" t="s">
        <v>0</v>
      </c>
      <c r="BE47" s="52"/>
      <c r="BF47" s="52" t="s">
        <v>0</v>
      </c>
      <c r="BG47" s="52" t="s">
        <v>4058</v>
      </c>
      <c r="BH47" s="52"/>
      <c r="BI47" s="52"/>
      <c r="BJ47" s="52"/>
      <c r="BK47" s="52" t="s">
        <v>0</v>
      </c>
      <c r="BL47" s="52" t="s">
        <v>0</v>
      </c>
      <c r="BM47" s="52"/>
      <c r="BN47" s="52"/>
      <c r="BO47" s="52"/>
      <c r="BP47" s="52"/>
      <c r="BQ47" s="52"/>
      <c r="BR47" s="52"/>
      <c r="BS47" s="52"/>
      <c r="BT47" s="52" t="s">
        <v>3676</v>
      </c>
      <c r="BU47" s="52" t="s">
        <v>3591</v>
      </c>
      <c r="BV47" s="52" t="s">
        <v>3523</v>
      </c>
      <c r="BW47" s="52" t="s">
        <v>0</v>
      </c>
      <c r="BX47" s="52" t="s">
        <v>0</v>
      </c>
      <c r="BY47" s="52" t="s">
        <v>0</v>
      </c>
      <c r="BZ47" s="52" t="s">
        <v>4619</v>
      </c>
      <c r="CA47" s="52"/>
      <c r="CB47" s="52"/>
      <c r="CC47" s="52"/>
      <c r="CD47" s="52" t="s">
        <v>2591</v>
      </c>
      <c r="CE47" s="52" t="s">
        <v>2591</v>
      </c>
      <c r="CF47" s="52"/>
      <c r="CG47" s="52" t="s">
        <v>0</v>
      </c>
      <c r="CH47" s="52" t="s">
        <v>0</v>
      </c>
      <c r="CI47" s="52" t="s">
        <v>4025</v>
      </c>
      <c r="CJ47" s="52" t="s">
        <v>4025</v>
      </c>
      <c r="CK47" s="52" t="s">
        <v>2694</v>
      </c>
      <c r="CL47" s="52"/>
      <c r="CM47" s="52"/>
      <c r="CN47" s="52"/>
      <c r="CO47" s="52" t="s">
        <v>0</v>
      </c>
      <c r="CP47" s="52" t="s">
        <v>2870</v>
      </c>
      <c r="CQ47" s="52"/>
      <c r="CR47" s="52"/>
      <c r="CS47" s="52"/>
      <c r="CT47" s="52"/>
      <c r="CU47" s="52"/>
      <c r="CV47" s="52"/>
      <c r="CW47" s="52" t="s">
        <v>0</v>
      </c>
      <c r="CX47" s="52"/>
    </row>
    <row r="48" spans="1:102" ht="22.5" customHeight="1">
      <c r="A48" s="12" t="s">
        <v>96</v>
      </c>
      <c r="B48" s="36" t="s">
        <v>57</v>
      </c>
      <c r="C48" s="36" t="s">
        <v>57</v>
      </c>
      <c r="D48" s="36" t="s">
        <v>57</v>
      </c>
      <c r="E48" s="36" t="s">
        <v>57</v>
      </c>
      <c r="F48" s="36" t="s">
        <v>57</v>
      </c>
      <c r="G48" s="36" t="s">
        <v>57</v>
      </c>
      <c r="H48" s="36" t="s">
        <v>57</v>
      </c>
      <c r="I48" s="36" t="s">
        <v>57</v>
      </c>
      <c r="J48" s="36" t="s">
        <v>57</v>
      </c>
      <c r="K48" s="36" t="s">
        <v>57</v>
      </c>
      <c r="L48" s="36" t="s">
        <v>57</v>
      </c>
      <c r="M48" s="36" t="s">
        <v>57</v>
      </c>
      <c r="N48" s="36" t="s">
        <v>57</v>
      </c>
      <c r="O48" s="36" t="s">
        <v>57</v>
      </c>
      <c r="P48" s="36" t="s">
        <v>57</v>
      </c>
      <c r="Q48" s="36" t="s">
        <v>57</v>
      </c>
      <c r="R48" s="36" t="s">
        <v>57</v>
      </c>
      <c r="S48" s="36" t="s">
        <v>57</v>
      </c>
      <c r="T48" s="36" t="s">
        <v>57</v>
      </c>
      <c r="U48" s="36" t="s">
        <v>57</v>
      </c>
      <c r="V48" s="36" t="s">
        <v>57</v>
      </c>
      <c r="W48" s="36" t="s">
        <v>57</v>
      </c>
      <c r="X48" s="36" t="s">
        <v>57</v>
      </c>
      <c r="Y48" s="36" t="s">
        <v>57</v>
      </c>
      <c r="Z48" s="36" t="s">
        <v>57</v>
      </c>
      <c r="AA48" s="36" t="s">
        <v>57</v>
      </c>
      <c r="AB48" s="36" t="s">
        <v>57</v>
      </c>
      <c r="AC48" s="36" t="s">
        <v>57</v>
      </c>
      <c r="AD48" s="36" t="s">
        <v>57</v>
      </c>
      <c r="AE48" s="122" t="s">
        <v>57</v>
      </c>
      <c r="AF48" s="36" t="s">
        <v>57</v>
      </c>
      <c r="AG48" s="36" t="s">
        <v>57</v>
      </c>
      <c r="AH48" s="36" t="s">
        <v>57</v>
      </c>
      <c r="AI48" s="7" t="s">
        <v>57</v>
      </c>
      <c r="AJ48" s="33" t="s">
        <v>57</v>
      </c>
      <c r="AK48" s="7" t="s">
        <v>57</v>
      </c>
      <c r="AL48" s="7" t="s">
        <v>57</v>
      </c>
      <c r="AM48" s="33" t="s">
        <v>57</v>
      </c>
      <c r="AN48" s="34" t="s">
        <v>57</v>
      </c>
      <c r="AO48" s="7" t="s">
        <v>57</v>
      </c>
      <c r="AP48" s="33" t="s">
        <v>57</v>
      </c>
      <c r="AQ48" s="7" t="s">
        <v>57</v>
      </c>
      <c r="AR48" s="7" t="s">
        <v>57</v>
      </c>
      <c r="AS48" s="7" t="s">
        <v>57</v>
      </c>
      <c r="AT48" s="7" t="s">
        <v>57</v>
      </c>
      <c r="AU48" s="36" t="s">
        <v>57</v>
      </c>
      <c r="AV48" s="36" t="s">
        <v>57</v>
      </c>
      <c r="AW48" s="34" t="s">
        <v>57</v>
      </c>
      <c r="AX48" s="34" t="s">
        <v>57</v>
      </c>
      <c r="AY48" s="34" t="s">
        <v>57</v>
      </c>
      <c r="AZ48" s="36" t="s">
        <v>57</v>
      </c>
      <c r="BA48" s="36" t="s">
        <v>57</v>
      </c>
      <c r="BB48" s="36" t="s">
        <v>57</v>
      </c>
      <c r="BC48" s="36" t="s">
        <v>57</v>
      </c>
      <c r="BD48" s="36" t="s">
        <v>57</v>
      </c>
      <c r="BE48" s="36" t="s">
        <v>57</v>
      </c>
      <c r="BF48" s="36" t="s">
        <v>57</v>
      </c>
      <c r="BG48" s="36" t="s">
        <v>57</v>
      </c>
      <c r="BH48" s="36" t="s">
        <v>57</v>
      </c>
      <c r="BI48" s="36" t="s">
        <v>57</v>
      </c>
      <c r="BJ48" s="36" t="s">
        <v>57</v>
      </c>
      <c r="BK48" s="36" t="s">
        <v>57</v>
      </c>
      <c r="BL48" s="36" t="s">
        <v>57</v>
      </c>
      <c r="BM48" s="36" t="s">
        <v>57</v>
      </c>
      <c r="BN48" s="36" t="s">
        <v>57</v>
      </c>
      <c r="BO48" s="36" t="s">
        <v>57</v>
      </c>
      <c r="BP48" s="36" t="s">
        <v>57</v>
      </c>
      <c r="BQ48" s="36" t="s">
        <v>57</v>
      </c>
      <c r="BR48" s="36" t="s">
        <v>57</v>
      </c>
      <c r="BS48" s="36" t="s">
        <v>57</v>
      </c>
      <c r="BT48" s="36" t="s">
        <v>57</v>
      </c>
      <c r="BU48" s="36" t="s">
        <v>57</v>
      </c>
      <c r="BV48" s="36" t="s">
        <v>57</v>
      </c>
      <c r="BW48" s="36" t="s">
        <v>57</v>
      </c>
      <c r="BX48" s="36" t="s">
        <v>57</v>
      </c>
      <c r="BY48" s="36" t="s">
        <v>57</v>
      </c>
      <c r="BZ48" s="36" t="s">
        <v>57</v>
      </c>
      <c r="CA48" s="36" t="s">
        <v>57</v>
      </c>
      <c r="CB48" s="36" t="s">
        <v>57</v>
      </c>
      <c r="CC48" s="36" t="s">
        <v>57</v>
      </c>
      <c r="CD48" s="36" t="s">
        <v>57</v>
      </c>
      <c r="CE48" s="36" t="s">
        <v>57</v>
      </c>
      <c r="CF48" s="36" t="s">
        <v>57</v>
      </c>
      <c r="CG48" s="36" t="s">
        <v>57</v>
      </c>
      <c r="CH48" s="36" t="s">
        <v>57</v>
      </c>
      <c r="CI48" s="36" t="s">
        <v>57</v>
      </c>
      <c r="CJ48" s="36" t="s">
        <v>57</v>
      </c>
      <c r="CK48" s="36" t="s">
        <v>57</v>
      </c>
      <c r="CL48" s="36" t="s">
        <v>57</v>
      </c>
      <c r="CM48" s="36" t="s">
        <v>57</v>
      </c>
      <c r="CN48" s="36" t="s">
        <v>57</v>
      </c>
      <c r="CO48" s="36" t="s">
        <v>57</v>
      </c>
      <c r="CP48" s="36" t="s">
        <v>57</v>
      </c>
      <c r="CQ48" s="36" t="s">
        <v>57</v>
      </c>
      <c r="CR48" s="36" t="s">
        <v>57</v>
      </c>
      <c r="CS48" s="36" t="s">
        <v>57</v>
      </c>
      <c r="CT48" s="36" t="s">
        <v>57</v>
      </c>
      <c r="CU48" s="36" t="s">
        <v>57</v>
      </c>
      <c r="CV48" s="36" t="s">
        <v>57</v>
      </c>
      <c r="CW48" s="36" t="s">
        <v>57</v>
      </c>
      <c r="CX48" s="36" t="s">
        <v>57</v>
      </c>
    </row>
    <row r="49" spans="1:102" ht="12" customHeight="1">
      <c r="A49" s="51" t="s">
        <v>935</v>
      </c>
      <c r="B49" s="52" t="s">
        <v>3949</v>
      </c>
      <c r="C49" s="52"/>
      <c r="D49" s="52"/>
      <c r="E49" s="52"/>
      <c r="F49" s="52" t="s">
        <v>1461</v>
      </c>
      <c r="G49" s="52" t="s">
        <v>1461</v>
      </c>
      <c r="H49" s="52" t="s">
        <v>1461</v>
      </c>
      <c r="I49" s="52" t="s">
        <v>1461</v>
      </c>
      <c r="J49" s="52"/>
      <c r="K49" s="52"/>
      <c r="L49" s="52"/>
      <c r="M49" s="52" t="s">
        <v>1642</v>
      </c>
      <c r="N49" s="52" t="s">
        <v>1642</v>
      </c>
      <c r="O49" s="52" t="s">
        <v>1642</v>
      </c>
      <c r="P49" s="52" t="s">
        <v>1642</v>
      </c>
      <c r="Q49" s="52" t="s">
        <v>1642</v>
      </c>
      <c r="R49" s="52" t="s">
        <v>1642</v>
      </c>
      <c r="S49" s="52" t="s">
        <v>1642</v>
      </c>
      <c r="T49" s="52" t="s">
        <v>1642</v>
      </c>
      <c r="U49" s="52" t="s">
        <v>1642</v>
      </c>
      <c r="V49" s="52" t="s">
        <v>1642</v>
      </c>
      <c r="W49" s="52" t="s">
        <v>1642</v>
      </c>
      <c r="X49" s="52" t="s">
        <v>1642</v>
      </c>
      <c r="Y49" s="52" t="s">
        <v>1642</v>
      </c>
      <c r="Z49" s="52"/>
      <c r="AA49" s="52"/>
      <c r="AB49" s="52"/>
      <c r="AC49" s="52"/>
      <c r="AD49" s="52"/>
      <c r="AE49" s="123" t="s">
        <v>5664</v>
      </c>
      <c r="AF49" s="52" t="s">
        <v>4662</v>
      </c>
      <c r="AG49" s="52" t="s">
        <v>4662</v>
      </c>
      <c r="AH49" s="52" t="s">
        <v>4662</v>
      </c>
      <c r="AI49" s="52"/>
      <c r="AJ49" s="52"/>
      <c r="AK49" s="52" t="s">
        <v>1743</v>
      </c>
      <c r="AL49" s="52" t="s">
        <v>1743</v>
      </c>
      <c r="AM49" s="52"/>
      <c r="AN49" s="52" t="s">
        <v>1788</v>
      </c>
      <c r="AO49" s="52"/>
      <c r="AP49" s="52"/>
      <c r="AQ49" s="52" t="s">
        <v>1886</v>
      </c>
      <c r="AR49" s="52" t="s">
        <v>1886</v>
      </c>
      <c r="AS49" s="52" t="s">
        <v>1886</v>
      </c>
      <c r="AT49" s="52" t="s">
        <v>1886</v>
      </c>
      <c r="AU49" s="52"/>
      <c r="AV49" s="52"/>
      <c r="AW49" s="52" t="s">
        <v>3027</v>
      </c>
      <c r="AX49" s="52" t="s">
        <v>3027</v>
      </c>
      <c r="AY49" s="52" t="s">
        <v>3027</v>
      </c>
      <c r="AZ49" s="52"/>
      <c r="BA49" s="52" t="s">
        <v>4143</v>
      </c>
      <c r="BB49" s="52"/>
      <c r="BC49" s="52"/>
      <c r="BD49" s="52" t="s">
        <v>2032</v>
      </c>
      <c r="BE49" s="52"/>
      <c r="BF49" s="52" t="s">
        <v>2032</v>
      </c>
      <c r="BG49" s="52" t="s">
        <v>4058</v>
      </c>
      <c r="BH49" s="52"/>
      <c r="BI49" s="52"/>
      <c r="BJ49" s="52"/>
      <c r="BK49" s="52" t="s">
        <v>1383</v>
      </c>
      <c r="BL49" s="52" t="s">
        <v>1383</v>
      </c>
      <c r="BM49" s="52"/>
      <c r="BN49" s="52"/>
      <c r="BO49" s="52"/>
      <c r="BP49" s="52"/>
      <c r="BQ49" s="52"/>
      <c r="BR49" s="52"/>
      <c r="BS49" s="52"/>
      <c r="BT49" s="52" t="s">
        <v>3677</v>
      </c>
      <c r="BU49" s="52" t="s">
        <v>3592</v>
      </c>
      <c r="BV49" s="52" t="s">
        <v>3524</v>
      </c>
      <c r="BW49" s="52" t="s">
        <v>2492</v>
      </c>
      <c r="BX49" s="52" t="s">
        <v>2492</v>
      </c>
      <c r="BY49" s="52" t="s">
        <v>2492</v>
      </c>
      <c r="BZ49" s="52" t="s">
        <v>3948</v>
      </c>
      <c r="CA49" s="52"/>
      <c r="CB49" s="52"/>
      <c r="CC49" s="52"/>
      <c r="CD49" s="52" t="s">
        <v>2588</v>
      </c>
      <c r="CE49" s="52" t="s">
        <v>2588</v>
      </c>
      <c r="CF49" s="52"/>
      <c r="CG49" s="52" t="s">
        <v>1642</v>
      </c>
      <c r="CH49" s="52" t="s">
        <v>1642</v>
      </c>
      <c r="CI49" s="52" t="s">
        <v>3947</v>
      </c>
      <c r="CJ49" s="52" t="s">
        <v>3947</v>
      </c>
      <c r="CK49" s="52" t="s">
        <v>2689</v>
      </c>
      <c r="CL49" s="52"/>
      <c r="CM49" s="52"/>
      <c r="CN49" s="52"/>
      <c r="CO49" s="52" t="s">
        <v>2084</v>
      </c>
      <c r="CP49" s="52" t="s">
        <v>2862</v>
      </c>
      <c r="CQ49" s="52"/>
      <c r="CR49" s="52"/>
      <c r="CS49" s="52"/>
      <c r="CT49" s="52"/>
      <c r="CU49" s="52"/>
      <c r="CV49" s="52"/>
      <c r="CW49" s="52" t="s">
        <v>1177</v>
      </c>
      <c r="CX49" s="52"/>
    </row>
    <row r="50" spans="1:102" ht="22.5" customHeight="1">
      <c r="A50" s="12" t="s">
        <v>97</v>
      </c>
      <c r="B50" s="36" t="s">
        <v>57</v>
      </c>
      <c r="C50" s="36" t="s">
        <v>57</v>
      </c>
      <c r="D50" s="36" t="s">
        <v>57</v>
      </c>
      <c r="E50" s="36" t="s">
        <v>57</v>
      </c>
      <c r="F50" s="36" t="s">
        <v>57</v>
      </c>
      <c r="G50" s="36" t="s">
        <v>57</v>
      </c>
      <c r="H50" s="36" t="s">
        <v>57</v>
      </c>
      <c r="I50" s="36" t="s">
        <v>57</v>
      </c>
      <c r="J50" s="36" t="s">
        <v>57</v>
      </c>
      <c r="K50" s="36" t="s">
        <v>57</v>
      </c>
      <c r="L50" s="36" t="s">
        <v>57</v>
      </c>
      <c r="M50" s="36" t="s">
        <v>57</v>
      </c>
      <c r="N50" s="36" t="s">
        <v>57</v>
      </c>
      <c r="O50" s="36" t="s">
        <v>57</v>
      </c>
      <c r="P50" s="36" t="s">
        <v>57</v>
      </c>
      <c r="Q50" s="36" t="s">
        <v>57</v>
      </c>
      <c r="R50" s="36" t="s">
        <v>57</v>
      </c>
      <c r="S50" s="36" t="s">
        <v>57</v>
      </c>
      <c r="T50" s="36" t="s">
        <v>57</v>
      </c>
      <c r="U50" s="36" t="s">
        <v>57</v>
      </c>
      <c r="V50" s="36" t="s">
        <v>57</v>
      </c>
      <c r="W50" s="36" t="s">
        <v>57</v>
      </c>
      <c r="X50" s="36" t="s">
        <v>57</v>
      </c>
      <c r="Y50" s="36" t="s">
        <v>57</v>
      </c>
      <c r="Z50" s="36" t="s">
        <v>57</v>
      </c>
      <c r="AA50" s="36" t="s">
        <v>57</v>
      </c>
      <c r="AB50" s="36" t="s">
        <v>57</v>
      </c>
      <c r="AC50" s="36" t="s">
        <v>57</v>
      </c>
      <c r="AD50" s="36" t="s">
        <v>57</v>
      </c>
      <c r="AE50" s="122" t="s">
        <v>57</v>
      </c>
      <c r="AF50" s="36" t="s">
        <v>57</v>
      </c>
      <c r="AG50" s="36" t="s">
        <v>57</v>
      </c>
      <c r="AH50" s="36" t="s">
        <v>57</v>
      </c>
      <c r="AI50" s="7" t="s">
        <v>57</v>
      </c>
      <c r="AJ50" s="33" t="s">
        <v>57</v>
      </c>
      <c r="AK50" s="7" t="s">
        <v>57</v>
      </c>
      <c r="AL50" s="7" t="s">
        <v>57</v>
      </c>
      <c r="AM50" s="33" t="s">
        <v>57</v>
      </c>
      <c r="AN50" s="34" t="s">
        <v>57</v>
      </c>
      <c r="AO50" s="7" t="s">
        <v>57</v>
      </c>
      <c r="AP50" s="33" t="s">
        <v>57</v>
      </c>
      <c r="AQ50" s="7" t="s">
        <v>57</v>
      </c>
      <c r="AR50" s="7" t="s">
        <v>57</v>
      </c>
      <c r="AS50" s="7" t="s">
        <v>57</v>
      </c>
      <c r="AT50" s="7" t="s">
        <v>57</v>
      </c>
      <c r="AU50" s="36" t="s">
        <v>57</v>
      </c>
      <c r="AV50" s="36" t="s">
        <v>57</v>
      </c>
      <c r="AW50" s="34" t="s">
        <v>57</v>
      </c>
      <c r="AX50" s="34" t="s">
        <v>57</v>
      </c>
      <c r="AY50" s="34" t="s">
        <v>57</v>
      </c>
      <c r="AZ50" s="36" t="s">
        <v>57</v>
      </c>
      <c r="BA50" s="36" t="s">
        <v>57</v>
      </c>
      <c r="BB50" s="36" t="s">
        <v>57</v>
      </c>
      <c r="BC50" s="36" t="s">
        <v>57</v>
      </c>
      <c r="BD50" s="36" t="s">
        <v>57</v>
      </c>
      <c r="BE50" s="36" t="s">
        <v>57</v>
      </c>
      <c r="BF50" s="36" t="s">
        <v>57</v>
      </c>
      <c r="BG50" s="36" t="s">
        <v>0</v>
      </c>
      <c r="BH50" s="36" t="s">
        <v>57</v>
      </c>
      <c r="BI50" s="36" t="s">
        <v>57</v>
      </c>
      <c r="BJ50" s="36" t="s">
        <v>57</v>
      </c>
      <c r="BK50" s="36" t="s">
        <v>57</v>
      </c>
      <c r="BL50" s="36" t="s">
        <v>57</v>
      </c>
      <c r="BM50" s="36" t="s">
        <v>57</v>
      </c>
      <c r="BN50" s="36" t="s">
        <v>57</v>
      </c>
      <c r="BO50" s="36" t="s">
        <v>57</v>
      </c>
      <c r="BP50" s="36" t="s">
        <v>57</v>
      </c>
      <c r="BQ50" s="36" t="s">
        <v>57</v>
      </c>
      <c r="BR50" s="36" t="s">
        <v>57</v>
      </c>
      <c r="BS50" s="36" t="s">
        <v>57</v>
      </c>
      <c r="BT50" s="36" t="s">
        <v>57</v>
      </c>
      <c r="BU50" s="36" t="s">
        <v>57</v>
      </c>
      <c r="BV50" s="36" t="s">
        <v>57</v>
      </c>
      <c r="BW50" s="36" t="s">
        <v>57</v>
      </c>
      <c r="BX50" s="36" t="s">
        <v>57</v>
      </c>
      <c r="BY50" s="36" t="s">
        <v>57</v>
      </c>
      <c r="BZ50" s="36" t="s">
        <v>57</v>
      </c>
      <c r="CA50" s="36" t="s">
        <v>57</v>
      </c>
      <c r="CB50" s="36" t="s">
        <v>57</v>
      </c>
      <c r="CC50" s="36" t="s">
        <v>57</v>
      </c>
      <c r="CD50" s="36" t="s">
        <v>57</v>
      </c>
      <c r="CE50" s="36" t="s">
        <v>57</v>
      </c>
      <c r="CF50" s="36" t="s">
        <v>57</v>
      </c>
      <c r="CG50" s="36" t="s">
        <v>57</v>
      </c>
      <c r="CH50" s="36" t="s">
        <v>57</v>
      </c>
      <c r="CI50" s="36" t="s">
        <v>57</v>
      </c>
      <c r="CJ50" s="36" t="s">
        <v>57</v>
      </c>
      <c r="CK50" s="36" t="s">
        <v>57</v>
      </c>
      <c r="CL50" s="36" t="s">
        <v>57</v>
      </c>
      <c r="CM50" s="36" t="s">
        <v>57</v>
      </c>
      <c r="CN50" s="36" t="s">
        <v>57</v>
      </c>
      <c r="CO50" s="36" t="s">
        <v>57</v>
      </c>
      <c r="CP50" s="36" t="s">
        <v>57</v>
      </c>
      <c r="CQ50" s="36" t="s">
        <v>57</v>
      </c>
      <c r="CR50" s="36" t="s">
        <v>57</v>
      </c>
      <c r="CS50" s="36" t="s">
        <v>57</v>
      </c>
      <c r="CT50" s="36" t="s">
        <v>57</v>
      </c>
      <c r="CU50" s="36" t="s">
        <v>57</v>
      </c>
      <c r="CV50" s="36" t="s">
        <v>57</v>
      </c>
      <c r="CW50" s="36" t="s">
        <v>57</v>
      </c>
      <c r="CX50" s="36" t="s">
        <v>57</v>
      </c>
    </row>
    <row r="51" spans="1:102" ht="12" customHeight="1">
      <c r="A51" s="51" t="s">
        <v>935</v>
      </c>
      <c r="B51" s="52" t="s">
        <v>3949</v>
      </c>
      <c r="C51" s="52"/>
      <c r="D51" s="52"/>
      <c r="E51" s="52"/>
      <c r="F51" s="52" t="s">
        <v>1461</v>
      </c>
      <c r="G51" s="52" t="s">
        <v>1461</v>
      </c>
      <c r="H51" s="52" t="s">
        <v>1461</v>
      </c>
      <c r="I51" s="52" t="s">
        <v>1461</v>
      </c>
      <c r="J51" s="52"/>
      <c r="K51" s="52"/>
      <c r="L51" s="52"/>
      <c r="M51" s="52" t="s">
        <v>1642</v>
      </c>
      <c r="N51" s="52" t="s">
        <v>1642</v>
      </c>
      <c r="O51" s="52" t="s">
        <v>1642</v>
      </c>
      <c r="P51" s="52" t="s">
        <v>1642</v>
      </c>
      <c r="Q51" s="52" t="s">
        <v>1642</v>
      </c>
      <c r="R51" s="52" t="s">
        <v>1642</v>
      </c>
      <c r="S51" s="52" t="s">
        <v>1642</v>
      </c>
      <c r="T51" s="52" t="s">
        <v>1642</v>
      </c>
      <c r="U51" s="52" t="s">
        <v>1642</v>
      </c>
      <c r="V51" s="52" t="s">
        <v>1642</v>
      </c>
      <c r="W51" s="52" t="s">
        <v>1642</v>
      </c>
      <c r="X51" s="52" t="s">
        <v>1642</v>
      </c>
      <c r="Y51" s="52" t="s">
        <v>1642</v>
      </c>
      <c r="Z51" s="52"/>
      <c r="AA51" s="52"/>
      <c r="AB51" s="52"/>
      <c r="AC51" s="52"/>
      <c r="AD51" s="52"/>
      <c r="AE51" s="123" t="s">
        <v>5664</v>
      </c>
      <c r="AF51" s="52" t="s">
        <v>4662</v>
      </c>
      <c r="AG51" s="52" t="s">
        <v>4662</v>
      </c>
      <c r="AH51" s="52" t="s">
        <v>4662</v>
      </c>
      <c r="AI51" s="52"/>
      <c r="AJ51" s="52"/>
      <c r="AK51" s="52" t="s">
        <v>1743</v>
      </c>
      <c r="AL51" s="52" t="s">
        <v>1743</v>
      </c>
      <c r="AM51" s="52"/>
      <c r="AN51" s="52" t="s">
        <v>1788</v>
      </c>
      <c r="AO51" s="52"/>
      <c r="AP51" s="52"/>
      <c r="AQ51" s="52" t="s">
        <v>1886</v>
      </c>
      <c r="AR51" s="52" t="s">
        <v>1886</v>
      </c>
      <c r="AS51" s="52" t="s">
        <v>1886</v>
      </c>
      <c r="AT51" s="52" t="s">
        <v>1886</v>
      </c>
      <c r="AU51" s="52"/>
      <c r="AV51" s="52"/>
      <c r="AW51" s="52" t="s">
        <v>3027</v>
      </c>
      <c r="AX51" s="52" t="s">
        <v>3027</v>
      </c>
      <c r="AY51" s="52" t="s">
        <v>3027</v>
      </c>
      <c r="AZ51" s="52"/>
      <c r="BA51" s="52" t="s">
        <v>4143</v>
      </c>
      <c r="BB51" s="52"/>
      <c r="BC51" s="52"/>
      <c r="BD51" s="52" t="s">
        <v>2032</v>
      </c>
      <c r="BE51" s="52"/>
      <c r="BF51" s="52" t="s">
        <v>2032</v>
      </c>
      <c r="BG51" s="52" t="s">
        <v>4058</v>
      </c>
      <c r="BH51" s="52"/>
      <c r="BI51" s="52"/>
      <c r="BJ51" s="52"/>
      <c r="BK51" s="52" t="s">
        <v>1383</v>
      </c>
      <c r="BL51" s="52" t="s">
        <v>1383</v>
      </c>
      <c r="BM51" s="52"/>
      <c r="BN51" s="52"/>
      <c r="BO51" s="52"/>
      <c r="BP51" s="52"/>
      <c r="BQ51" s="52"/>
      <c r="BR51" s="52"/>
      <c r="BS51" s="52"/>
      <c r="BT51" s="52" t="s">
        <v>3677</v>
      </c>
      <c r="BU51" s="52" t="s">
        <v>3592</v>
      </c>
      <c r="BV51" s="52" t="s">
        <v>3524</v>
      </c>
      <c r="BW51" s="52" t="s">
        <v>2492</v>
      </c>
      <c r="BX51" s="52" t="s">
        <v>2492</v>
      </c>
      <c r="BY51" s="52" t="s">
        <v>2492</v>
      </c>
      <c r="BZ51" s="52" t="s">
        <v>3948</v>
      </c>
      <c r="CA51" s="52"/>
      <c r="CB51" s="52"/>
      <c r="CC51" s="52"/>
      <c r="CD51" s="52" t="s">
        <v>2588</v>
      </c>
      <c r="CE51" s="52" t="s">
        <v>2588</v>
      </c>
      <c r="CF51" s="52"/>
      <c r="CG51" s="52" t="s">
        <v>1642</v>
      </c>
      <c r="CH51" s="52" t="s">
        <v>1642</v>
      </c>
      <c r="CI51" s="52" t="s">
        <v>3947</v>
      </c>
      <c r="CJ51" s="52" t="s">
        <v>3947</v>
      </c>
      <c r="CK51" s="52" t="s">
        <v>2689</v>
      </c>
      <c r="CL51" s="52"/>
      <c r="CM51" s="52"/>
      <c r="CN51" s="52"/>
      <c r="CO51" s="52" t="s">
        <v>2084</v>
      </c>
      <c r="CP51" s="52" t="s">
        <v>2862</v>
      </c>
      <c r="CQ51" s="52"/>
      <c r="CR51" s="52"/>
      <c r="CS51" s="52"/>
      <c r="CT51" s="52"/>
      <c r="CU51" s="52"/>
      <c r="CV51" s="52"/>
      <c r="CW51" s="52" t="s">
        <v>1177</v>
      </c>
      <c r="CX51" s="52"/>
    </row>
    <row r="52" spans="1:102" ht="22.5" customHeight="1">
      <c r="A52" s="12" t="s">
        <v>98</v>
      </c>
      <c r="B52" s="36" t="s">
        <v>57</v>
      </c>
      <c r="C52" s="36" t="s">
        <v>57</v>
      </c>
      <c r="D52" s="36" t="s">
        <v>57</v>
      </c>
      <c r="E52" s="36" t="s">
        <v>57</v>
      </c>
      <c r="F52" s="36" t="s">
        <v>57</v>
      </c>
      <c r="G52" s="36" t="s">
        <v>57</v>
      </c>
      <c r="H52" s="36" t="s">
        <v>57</v>
      </c>
      <c r="I52" s="36" t="s">
        <v>57</v>
      </c>
      <c r="J52" s="36" t="s">
        <v>57</v>
      </c>
      <c r="K52" s="36" t="s">
        <v>57</v>
      </c>
      <c r="L52" s="36" t="s">
        <v>57</v>
      </c>
      <c r="M52" s="36" t="s">
        <v>57</v>
      </c>
      <c r="N52" s="36" t="s">
        <v>57</v>
      </c>
      <c r="O52" s="36" t="s">
        <v>57</v>
      </c>
      <c r="P52" s="36" t="s">
        <v>57</v>
      </c>
      <c r="Q52" s="36" t="s">
        <v>57</v>
      </c>
      <c r="R52" s="36" t="s">
        <v>57</v>
      </c>
      <c r="S52" s="36" t="s">
        <v>57</v>
      </c>
      <c r="T52" s="36" t="s">
        <v>57</v>
      </c>
      <c r="U52" s="36" t="s">
        <v>57</v>
      </c>
      <c r="V52" s="36" t="s">
        <v>57</v>
      </c>
      <c r="W52" s="36" t="s">
        <v>57</v>
      </c>
      <c r="X52" s="36" t="s">
        <v>57</v>
      </c>
      <c r="Y52" s="36" t="s">
        <v>57</v>
      </c>
      <c r="Z52" s="36" t="s">
        <v>57</v>
      </c>
      <c r="AA52" s="36" t="s">
        <v>57</v>
      </c>
      <c r="AB52" s="36" t="s">
        <v>57</v>
      </c>
      <c r="AC52" s="36" t="s">
        <v>57</v>
      </c>
      <c r="AD52" s="36" t="s">
        <v>57</v>
      </c>
      <c r="AE52" s="122" t="s">
        <v>57</v>
      </c>
      <c r="AF52" s="36" t="s">
        <v>57</v>
      </c>
      <c r="AG52" s="36" t="s">
        <v>57</v>
      </c>
      <c r="AH52" s="36" t="s">
        <v>57</v>
      </c>
      <c r="AI52" s="7" t="s">
        <v>57</v>
      </c>
      <c r="AJ52" s="33" t="s">
        <v>57</v>
      </c>
      <c r="AK52" s="7" t="s">
        <v>57</v>
      </c>
      <c r="AL52" s="7" t="s">
        <v>57</v>
      </c>
      <c r="AM52" s="33" t="s">
        <v>57</v>
      </c>
      <c r="AN52" s="34" t="s">
        <v>57</v>
      </c>
      <c r="AO52" s="7" t="s">
        <v>57</v>
      </c>
      <c r="AP52" s="33" t="s">
        <v>57</v>
      </c>
      <c r="AQ52" s="7" t="s">
        <v>57</v>
      </c>
      <c r="AR52" s="7" t="s">
        <v>57</v>
      </c>
      <c r="AS52" s="7" t="s">
        <v>57</v>
      </c>
      <c r="AT52" s="7" t="s">
        <v>57</v>
      </c>
      <c r="AU52" s="36" t="s">
        <v>57</v>
      </c>
      <c r="AV52" s="36" t="s">
        <v>57</v>
      </c>
      <c r="AW52" s="34" t="s">
        <v>57</v>
      </c>
      <c r="AX52" s="34" t="s">
        <v>57</v>
      </c>
      <c r="AY52" s="34" t="s">
        <v>57</v>
      </c>
      <c r="AZ52" s="36" t="s">
        <v>57</v>
      </c>
      <c r="BA52" s="36" t="s">
        <v>57</v>
      </c>
      <c r="BB52" s="36" t="s">
        <v>57</v>
      </c>
      <c r="BC52" s="36" t="s">
        <v>57</v>
      </c>
      <c r="BD52" s="36" t="s">
        <v>57</v>
      </c>
      <c r="BE52" s="36" t="s">
        <v>57</v>
      </c>
      <c r="BF52" s="36" t="s">
        <v>57</v>
      </c>
      <c r="BG52" s="36" t="s">
        <v>0</v>
      </c>
      <c r="BH52" s="36" t="s">
        <v>57</v>
      </c>
      <c r="BI52" s="36" t="s">
        <v>57</v>
      </c>
      <c r="BJ52" s="36" t="s">
        <v>57</v>
      </c>
      <c r="BK52" s="36" t="s">
        <v>57</v>
      </c>
      <c r="BL52" s="36" t="s">
        <v>57</v>
      </c>
      <c r="BM52" s="36" t="s">
        <v>0</v>
      </c>
      <c r="BN52" s="36" t="s">
        <v>57</v>
      </c>
      <c r="BO52" s="36" t="s">
        <v>57</v>
      </c>
      <c r="BP52" s="36" t="s">
        <v>57</v>
      </c>
      <c r="BQ52" s="36" t="s">
        <v>57</v>
      </c>
      <c r="BR52" s="36" t="s">
        <v>57</v>
      </c>
      <c r="BS52" s="36" t="s">
        <v>57</v>
      </c>
      <c r="BT52" s="36" t="s">
        <v>57</v>
      </c>
      <c r="BU52" s="36" t="s">
        <v>57</v>
      </c>
      <c r="BV52" s="36" t="s">
        <v>57</v>
      </c>
      <c r="BW52" s="36" t="s">
        <v>57</v>
      </c>
      <c r="BX52" s="36" t="s">
        <v>57</v>
      </c>
      <c r="BY52" s="36" t="s">
        <v>57</v>
      </c>
      <c r="BZ52" s="36" t="s">
        <v>57</v>
      </c>
      <c r="CA52" s="36" t="s">
        <v>57</v>
      </c>
      <c r="CB52" s="36" t="s">
        <v>57</v>
      </c>
      <c r="CC52" s="36" t="s">
        <v>57</v>
      </c>
      <c r="CD52" s="36" t="s">
        <v>57</v>
      </c>
      <c r="CE52" s="36" t="s">
        <v>57</v>
      </c>
      <c r="CF52" s="36" t="s">
        <v>57</v>
      </c>
      <c r="CG52" s="36" t="s">
        <v>57</v>
      </c>
      <c r="CH52" s="36" t="s">
        <v>57</v>
      </c>
      <c r="CI52" s="36" t="s">
        <v>57</v>
      </c>
      <c r="CJ52" s="36" t="s">
        <v>57</v>
      </c>
      <c r="CK52" s="36" t="s">
        <v>57</v>
      </c>
      <c r="CL52" s="36" t="s">
        <v>57</v>
      </c>
      <c r="CM52" s="36" t="s">
        <v>57</v>
      </c>
      <c r="CN52" s="36" t="s">
        <v>57</v>
      </c>
      <c r="CO52" s="36" t="s">
        <v>57</v>
      </c>
      <c r="CP52" s="36" t="s">
        <v>57</v>
      </c>
      <c r="CQ52" s="36" t="s">
        <v>57</v>
      </c>
      <c r="CR52" s="36" t="s">
        <v>57</v>
      </c>
      <c r="CS52" s="36" t="s">
        <v>57</v>
      </c>
      <c r="CT52" s="36" t="s">
        <v>57</v>
      </c>
      <c r="CU52" s="36" t="s">
        <v>57</v>
      </c>
      <c r="CV52" s="36" t="s">
        <v>57</v>
      </c>
      <c r="CW52" s="36" t="s">
        <v>57</v>
      </c>
      <c r="CX52" s="36" t="s">
        <v>57</v>
      </c>
    </row>
    <row r="53" spans="1:102" ht="12" customHeight="1">
      <c r="A53" s="51" t="s">
        <v>935</v>
      </c>
      <c r="B53" s="52" t="s">
        <v>3949</v>
      </c>
      <c r="C53" s="52"/>
      <c r="D53" s="52"/>
      <c r="E53" s="52"/>
      <c r="F53" s="52" t="s">
        <v>1461</v>
      </c>
      <c r="G53" s="52" t="s">
        <v>1461</v>
      </c>
      <c r="H53" s="52" t="s">
        <v>1461</v>
      </c>
      <c r="I53" s="52" t="s">
        <v>1461</v>
      </c>
      <c r="J53" s="52"/>
      <c r="K53" s="52"/>
      <c r="L53" s="52"/>
      <c r="M53" s="52" t="s">
        <v>1642</v>
      </c>
      <c r="N53" s="52" t="s">
        <v>1642</v>
      </c>
      <c r="O53" s="52" t="s">
        <v>1642</v>
      </c>
      <c r="P53" s="52" t="s">
        <v>1642</v>
      </c>
      <c r="Q53" s="52" t="s">
        <v>1642</v>
      </c>
      <c r="R53" s="52" t="s">
        <v>1642</v>
      </c>
      <c r="S53" s="52" t="s">
        <v>1642</v>
      </c>
      <c r="T53" s="52" t="s">
        <v>1642</v>
      </c>
      <c r="U53" s="52" t="s">
        <v>1642</v>
      </c>
      <c r="V53" s="52" t="s">
        <v>1642</v>
      </c>
      <c r="W53" s="52" t="s">
        <v>1642</v>
      </c>
      <c r="X53" s="52" t="s">
        <v>1642</v>
      </c>
      <c r="Y53" s="52" t="s">
        <v>1642</v>
      </c>
      <c r="Z53" s="52"/>
      <c r="AA53" s="52"/>
      <c r="AB53" s="52"/>
      <c r="AC53" s="52"/>
      <c r="AD53" s="52"/>
      <c r="AE53" s="123" t="s">
        <v>5664</v>
      </c>
      <c r="AF53" s="52" t="s">
        <v>4662</v>
      </c>
      <c r="AG53" s="52" t="s">
        <v>4662</v>
      </c>
      <c r="AH53" s="52" t="s">
        <v>4662</v>
      </c>
      <c r="AI53" s="52"/>
      <c r="AJ53" s="52"/>
      <c r="AK53" s="52" t="s">
        <v>1743</v>
      </c>
      <c r="AL53" s="52" t="s">
        <v>1743</v>
      </c>
      <c r="AM53" s="52"/>
      <c r="AN53" s="52" t="s">
        <v>1788</v>
      </c>
      <c r="AO53" s="52"/>
      <c r="AP53" s="52"/>
      <c r="AQ53" s="52" t="s">
        <v>1886</v>
      </c>
      <c r="AR53" s="52" t="s">
        <v>1886</v>
      </c>
      <c r="AS53" s="52" t="s">
        <v>1886</v>
      </c>
      <c r="AT53" s="52" t="s">
        <v>1886</v>
      </c>
      <c r="AU53" s="52"/>
      <c r="AV53" s="52"/>
      <c r="AW53" s="52" t="s">
        <v>3027</v>
      </c>
      <c r="AX53" s="52" t="s">
        <v>3027</v>
      </c>
      <c r="AY53" s="52" t="s">
        <v>3027</v>
      </c>
      <c r="AZ53" s="52"/>
      <c r="BA53" s="52" t="s">
        <v>4143</v>
      </c>
      <c r="BB53" s="52"/>
      <c r="BC53" s="52"/>
      <c r="BD53" s="52" t="s">
        <v>2032</v>
      </c>
      <c r="BE53" s="52"/>
      <c r="BF53" s="52" t="s">
        <v>2032</v>
      </c>
      <c r="BG53" s="52" t="s">
        <v>4058</v>
      </c>
      <c r="BH53" s="52"/>
      <c r="BI53" s="52"/>
      <c r="BJ53" s="52"/>
      <c r="BK53" s="52" t="s">
        <v>1383</v>
      </c>
      <c r="BL53" s="52" t="s">
        <v>1383</v>
      </c>
      <c r="BM53" s="52"/>
      <c r="BN53" s="52"/>
      <c r="BO53" s="52"/>
      <c r="BP53" s="52"/>
      <c r="BQ53" s="52"/>
      <c r="BR53" s="52"/>
      <c r="BS53" s="52"/>
      <c r="BT53" s="52" t="s">
        <v>3677</v>
      </c>
      <c r="BU53" s="52" t="s">
        <v>3592</v>
      </c>
      <c r="BV53" s="52" t="s">
        <v>3524</v>
      </c>
      <c r="BW53" s="52" t="s">
        <v>2492</v>
      </c>
      <c r="BX53" s="52" t="s">
        <v>2492</v>
      </c>
      <c r="BY53" s="52" t="s">
        <v>2492</v>
      </c>
      <c r="BZ53" s="52" t="s">
        <v>3948</v>
      </c>
      <c r="CA53" s="52"/>
      <c r="CB53" s="52"/>
      <c r="CC53" s="52"/>
      <c r="CD53" s="52" t="s">
        <v>2588</v>
      </c>
      <c r="CE53" s="52" t="s">
        <v>2588</v>
      </c>
      <c r="CF53" s="52"/>
      <c r="CG53" s="52" t="s">
        <v>1642</v>
      </c>
      <c r="CH53" s="52" t="s">
        <v>1642</v>
      </c>
      <c r="CI53" s="52" t="s">
        <v>3947</v>
      </c>
      <c r="CJ53" s="52" t="s">
        <v>3947</v>
      </c>
      <c r="CK53" s="52" t="s">
        <v>2689</v>
      </c>
      <c r="CL53" s="52"/>
      <c r="CM53" s="52"/>
      <c r="CN53" s="52"/>
      <c r="CO53" s="52" t="s">
        <v>2084</v>
      </c>
      <c r="CP53" s="52" t="s">
        <v>2862</v>
      </c>
      <c r="CQ53" s="52"/>
      <c r="CR53" s="52"/>
      <c r="CS53" s="52"/>
      <c r="CT53" s="52"/>
      <c r="CU53" s="52"/>
      <c r="CV53" s="52"/>
      <c r="CW53" s="52" t="s">
        <v>1177</v>
      </c>
      <c r="CX53" s="52"/>
    </row>
    <row r="54" spans="1:102" ht="22.5" customHeight="1">
      <c r="A54" s="12" t="s">
        <v>99</v>
      </c>
      <c r="B54" s="36" t="s">
        <v>57</v>
      </c>
      <c r="C54" s="36" t="s">
        <v>57</v>
      </c>
      <c r="D54" s="36" t="s">
        <v>57</v>
      </c>
      <c r="E54" s="36" t="s">
        <v>57</v>
      </c>
      <c r="F54" s="36" t="s">
        <v>57</v>
      </c>
      <c r="G54" s="36" t="s">
        <v>57</v>
      </c>
      <c r="H54" s="36" t="s">
        <v>57</v>
      </c>
      <c r="I54" s="36" t="s">
        <v>57</v>
      </c>
      <c r="J54" s="36" t="s">
        <v>57</v>
      </c>
      <c r="K54" s="36" t="s">
        <v>57</v>
      </c>
      <c r="L54" s="36" t="s">
        <v>57</v>
      </c>
      <c r="M54" s="36" t="s">
        <v>57</v>
      </c>
      <c r="N54" s="36" t="s">
        <v>57</v>
      </c>
      <c r="O54" s="36" t="s">
        <v>57</v>
      </c>
      <c r="P54" s="36" t="s">
        <v>57</v>
      </c>
      <c r="Q54" s="36" t="s">
        <v>57</v>
      </c>
      <c r="R54" s="36" t="s">
        <v>57</v>
      </c>
      <c r="S54" s="36" t="s">
        <v>57</v>
      </c>
      <c r="T54" s="36" t="s">
        <v>57</v>
      </c>
      <c r="U54" s="36" t="s">
        <v>57</v>
      </c>
      <c r="V54" s="36" t="s">
        <v>57</v>
      </c>
      <c r="W54" s="36" t="s">
        <v>57</v>
      </c>
      <c r="X54" s="36" t="s">
        <v>57</v>
      </c>
      <c r="Y54" s="36" t="s">
        <v>57</v>
      </c>
      <c r="Z54" s="36" t="s">
        <v>57</v>
      </c>
      <c r="AA54" s="36" t="s">
        <v>57</v>
      </c>
      <c r="AB54" s="36" t="s">
        <v>57</v>
      </c>
      <c r="AC54" s="36" t="s">
        <v>57</v>
      </c>
      <c r="AD54" s="36" t="s">
        <v>57</v>
      </c>
      <c r="AE54" s="122" t="s">
        <v>57</v>
      </c>
      <c r="AF54" s="36" t="s">
        <v>57</v>
      </c>
      <c r="AG54" s="36" t="s">
        <v>57</v>
      </c>
      <c r="AH54" s="36" t="s">
        <v>57</v>
      </c>
      <c r="AI54" s="7" t="s">
        <v>57</v>
      </c>
      <c r="AJ54" s="33" t="s">
        <v>57</v>
      </c>
      <c r="AK54" s="7" t="s">
        <v>57</v>
      </c>
      <c r="AL54" s="7" t="s">
        <v>57</v>
      </c>
      <c r="AM54" s="34" t="s">
        <v>57</v>
      </c>
      <c r="AN54" s="34" t="s">
        <v>57</v>
      </c>
      <c r="AO54" s="7" t="s">
        <v>57</v>
      </c>
      <c r="AP54" s="33" t="s">
        <v>57</v>
      </c>
      <c r="AQ54" s="7" t="s">
        <v>57</v>
      </c>
      <c r="AR54" s="7" t="s">
        <v>57</v>
      </c>
      <c r="AS54" s="7" t="s">
        <v>57</v>
      </c>
      <c r="AT54" s="7" t="s">
        <v>57</v>
      </c>
      <c r="AU54" s="36" t="s">
        <v>57</v>
      </c>
      <c r="AV54" s="36" t="s">
        <v>57</v>
      </c>
      <c r="AW54" s="34" t="s">
        <v>57</v>
      </c>
      <c r="AX54" s="34" t="s">
        <v>57</v>
      </c>
      <c r="AY54" s="34" t="s">
        <v>57</v>
      </c>
      <c r="AZ54" s="36" t="s">
        <v>57</v>
      </c>
      <c r="BA54" s="36" t="s">
        <v>57</v>
      </c>
      <c r="BB54" s="36" t="s">
        <v>57</v>
      </c>
      <c r="BC54" s="36" t="s">
        <v>57</v>
      </c>
      <c r="BD54" s="36" t="s">
        <v>57</v>
      </c>
      <c r="BE54" s="36" t="s">
        <v>57</v>
      </c>
      <c r="BF54" s="36" t="s">
        <v>57</v>
      </c>
      <c r="BG54" s="36" t="s">
        <v>57</v>
      </c>
      <c r="BH54" s="36" t="s">
        <v>57</v>
      </c>
      <c r="BI54" s="36" t="s">
        <v>57</v>
      </c>
      <c r="BJ54" s="36" t="s">
        <v>57</v>
      </c>
      <c r="BK54" s="36" t="s">
        <v>57</v>
      </c>
      <c r="BL54" s="36" t="s">
        <v>57</v>
      </c>
      <c r="BM54" s="36" t="s">
        <v>0</v>
      </c>
      <c r="BN54" s="36" t="s">
        <v>57</v>
      </c>
      <c r="BO54" s="36" t="s">
        <v>57</v>
      </c>
      <c r="BP54" s="36" t="s">
        <v>57</v>
      </c>
      <c r="BQ54" s="36" t="s">
        <v>57</v>
      </c>
      <c r="BR54" s="36" t="s">
        <v>57</v>
      </c>
      <c r="BS54" s="36" t="s">
        <v>57</v>
      </c>
      <c r="BT54" s="36" t="s">
        <v>57</v>
      </c>
      <c r="BU54" s="36" t="s">
        <v>57</v>
      </c>
      <c r="BV54" s="36" t="s">
        <v>57</v>
      </c>
      <c r="BW54" s="36" t="s">
        <v>57</v>
      </c>
      <c r="BX54" s="36" t="s">
        <v>57</v>
      </c>
      <c r="BY54" s="36" t="s">
        <v>57</v>
      </c>
      <c r="BZ54" s="36" t="s">
        <v>57</v>
      </c>
      <c r="CA54" s="36" t="s">
        <v>57</v>
      </c>
      <c r="CB54" s="36" t="s">
        <v>57</v>
      </c>
      <c r="CC54" s="36" t="s">
        <v>57</v>
      </c>
      <c r="CD54" s="36" t="s">
        <v>57</v>
      </c>
      <c r="CE54" s="36" t="s">
        <v>57</v>
      </c>
      <c r="CF54" s="36" t="s">
        <v>57</v>
      </c>
      <c r="CG54" s="36" t="s">
        <v>57</v>
      </c>
      <c r="CH54" s="36" t="s">
        <v>57</v>
      </c>
      <c r="CI54" s="36" t="s">
        <v>57</v>
      </c>
      <c r="CJ54" s="36" t="s">
        <v>57</v>
      </c>
      <c r="CK54" s="36" t="s">
        <v>57</v>
      </c>
      <c r="CL54" s="36" t="s">
        <v>57</v>
      </c>
      <c r="CM54" s="36" t="s">
        <v>57</v>
      </c>
      <c r="CN54" s="36" t="s">
        <v>57</v>
      </c>
      <c r="CO54" s="36" t="s">
        <v>57</v>
      </c>
      <c r="CP54" s="36" t="s">
        <v>57</v>
      </c>
      <c r="CQ54" s="36" t="s">
        <v>57</v>
      </c>
      <c r="CR54" s="36" t="s">
        <v>57</v>
      </c>
      <c r="CS54" s="36" t="s">
        <v>57</v>
      </c>
      <c r="CT54" s="36" t="s">
        <v>57</v>
      </c>
      <c r="CU54" s="36" t="s">
        <v>57</v>
      </c>
      <c r="CV54" s="36" t="s">
        <v>57</v>
      </c>
      <c r="CW54" s="36" t="s">
        <v>57</v>
      </c>
      <c r="CX54" s="36" t="s">
        <v>57</v>
      </c>
    </row>
    <row r="55" spans="1:102" ht="12" customHeight="1">
      <c r="A55" s="51" t="s">
        <v>935</v>
      </c>
      <c r="B55" s="52" t="s">
        <v>2012</v>
      </c>
      <c r="C55" s="52"/>
      <c r="D55" s="52"/>
      <c r="E55" s="52"/>
      <c r="F55" s="52" t="s">
        <v>1460</v>
      </c>
      <c r="G55" s="52" t="s">
        <v>1460</v>
      </c>
      <c r="H55" s="52" t="s">
        <v>1460</v>
      </c>
      <c r="I55" s="52" t="s">
        <v>1460</v>
      </c>
      <c r="J55" s="52"/>
      <c r="K55" s="52"/>
      <c r="L55" s="52"/>
      <c r="M55" s="52" t="s">
        <v>1643</v>
      </c>
      <c r="N55" s="52" t="s">
        <v>1643</v>
      </c>
      <c r="O55" s="52" t="s">
        <v>1643</v>
      </c>
      <c r="P55" s="52" t="s">
        <v>1643</v>
      </c>
      <c r="Q55" s="52" t="s">
        <v>1643</v>
      </c>
      <c r="R55" s="52" t="s">
        <v>1643</v>
      </c>
      <c r="S55" s="52" t="s">
        <v>1643</v>
      </c>
      <c r="T55" s="52" t="s">
        <v>1643</v>
      </c>
      <c r="U55" s="52" t="s">
        <v>1643</v>
      </c>
      <c r="V55" s="52" t="s">
        <v>1643</v>
      </c>
      <c r="W55" s="52" t="s">
        <v>1643</v>
      </c>
      <c r="X55" s="52" t="s">
        <v>1643</v>
      </c>
      <c r="Y55" s="52" t="s">
        <v>1643</v>
      </c>
      <c r="Z55" s="52"/>
      <c r="AA55" s="52"/>
      <c r="AB55" s="52"/>
      <c r="AC55" s="52"/>
      <c r="AD55" s="52"/>
      <c r="AE55" s="123" t="s">
        <v>5665</v>
      </c>
      <c r="AF55" s="52" t="s">
        <v>4663</v>
      </c>
      <c r="AG55" s="52" t="s">
        <v>4663</v>
      </c>
      <c r="AH55" s="52" t="s">
        <v>4663</v>
      </c>
      <c r="AI55" s="52"/>
      <c r="AJ55" s="52"/>
      <c r="AK55" s="52" t="s">
        <v>1744</v>
      </c>
      <c r="AL55" s="52" t="s">
        <v>1744</v>
      </c>
      <c r="AM55" s="52"/>
      <c r="AN55" s="52" t="s">
        <v>1788</v>
      </c>
      <c r="AO55" s="52"/>
      <c r="AP55" s="52"/>
      <c r="AQ55" s="52" t="s">
        <v>1887</v>
      </c>
      <c r="AR55" s="52" t="s">
        <v>1887</v>
      </c>
      <c r="AS55" s="52" t="s">
        <v>1887</v>
      </c>
      <c r="AT55" s="52" t="s">
        <v>1887</v>
      </c>
      <c r="AU55" s="52"/>
      <c r="AV55" s="52"/>
      <c r="AW55" s="52" t="s">
        <v>3028</v>
      </c>
      <c r="AX55" s="52" t="s">
        <v>3028</v>
      </c>
      <c r="AY55" s="52" t="s">
        <v>3028</v>
      </c>
      <c r="AZ55" s="52"/>
      <c r="BA55" s="52" t="s">
        <v>4144</v>
      </c>
      <c r="BB55" s="52"/>
      <c r="BC55" s="52"/>
      <c r="BD55" s="52" t="s">
        <v>2033</v>
      </c>
      <c r="BE55" s="52"/>
      <c r="BF55" s="52" t="s">
        <v>2033</v>
      </c>
      <c r="BG55" s="52" t="s">
        <v>4058</v>
      </c>
      <c r="BH55" s="52"/>
      <c r="BI55" s="52"/>
      <c r="BJ55" s="52"/>
      <c r="BK55" s="52" t="s">
        <v>1384</v>
      </c>
      <c r="BL55" s="52" t="s">
        <v>1384</v>
      </c>
      <c r="BM55" s="52"/>
      <c r="BN55" s="52"/>
      <c r="BO55" s="52"/>
      <c r="BP55" s="52"/>
      <c r="BQ55" s="52"/>
      <c r="BR55" s="52"/>
      <c r="BS55" s="52"/>
      <c r="BT55" s="52" t="s">
        <v>3678</v>
      </c>
      <c r="BU55" s="52" t="s">
        <v>3593</v>
      </c>
      <c r="BV55" s="52" t="s">
        <v>3525</v>
      </c>
      <c r="BW55" s="52" t="s">
        <v>2493</v>
      </c>
      <c r="BX55" s="52" t="s">
        <v>2493</v>
      </c>
      <c r="BY55" s="52" t="s">
        <v>2493</v>
      </c>
      <c r="BZ55" s="52" t="s">
        <v>3948</v>
      </c>
      <c r="CA55" s="52"/>
      <c r="CB55" s="52"/>
      <c r="CC55" s="52"/>
      <c r="CD55" s="52" t="s">
        <v>2589</v>
      </c>
      <c r="CE55" s="52" t="s">
        <v>2589</v>
      </c>
      <c r="CF55" s="52"/>
      <c r="CG55" s="52" t="s">
        <v>1643</v>
      </c>
      <c r="CH55" s="52" t="s">
        <v>1643</v>
      </c>
      <c r="CI55" s="52" t="s">
        <v>3947</v>
      </c>
      <c r="CJ55" s="52" t="s">
        <v>3947</v>
      </c>
      <c r="CK55" s="52" t="s">
        <v>2689</v>
      </c>
      <c r="CL55" s="52"/>
      <c r="CM55" s="52"/>
      <c r="CN55" s="52"/>
      <c r="CO55" s="52" t="s">
        <v>2084</v>
      </c>
      <c r="CP55" s="52" t="s">
        <v>2863</v>
      </c>
      <c r="CQ55" s="52"/>
      <c r="CR55" s="52"/>
      <c r="CS55" s="52"/>
      <c r="CT55" s="52"/>
      <c r="CU55" s="52"/>
      <c r="CV55" s="52"/>
      <c r="CW55" s="52" t="s">
        <v>1178</v>
      </c>
      <c r="CX55" s="52"/>
    </row>
    <row r="56" spans="1:102" ht="22.5" customHeight="1">
      <c r="A56" s="12" t="s">
        <v>100</v>
      </c>
      <c r="B56" s="36" t="s">
        <v>57</v>
      </c>
      <c r="C56" s="36" t="s">
        <v>57</v>
      </c>
      <c r="D56" s="36" t="s">
        <v>57</v>
      </c>
      <c r="E56" s="36" t="s">
        <v>57</v>
      </c>
      <c r="F56" s="36" t="s">
        <v>57</v>
      </c>
      <c r="G56" s="36" t="s">
        <v>57</v>
      </c>
      <c r="H56" s="36" t="s">
        <v>57</v>
      </c>
      <c r="I56" s="36" t="s">
        <v>57</v>
      </c>
      <c r="J56" s="36" t="s">
        <v>57</v>
      </c>
      <c r="K56" s="36" t="s">
        <v>57</v>
      </c>
      <c r="L56" s="36" t="s">
        <v>57</v>
      </c>
      <c r="M56" s="36" t="s">
        <v>57</v>
      </c>
      <c r="N56" s="36" t="s">
        <v>57</v>
      </c>
      <c r="O56" s="36" t="s">
        <v>57</v>
      </c>
      <c r="P56" s="36" t="s">
        <v>57</v>
      </c>
      <c r="Q56" s="36" t="s">
        <v>57</v>
      </c>
      <c r="R56" s="36" t="s">
        <v>57</v>
      </c>
      <c r="S56" s="36" t="s">
        <v>57</v>
      </c>
      <c r="T56" s="36" t="s">
        <v>57</v>
      </c>
      <c r="U56" s="36" t="s">
        <v>57</v>
      </c>
      <c r="V56" s="36" t="s">
        <v>57</v>
      </c>
      <c r="W56" s="36" t="s">
        <v>57</v>
      </c>
      <c r="X56" s="36" t="s">
        <v>57</v>
      </c>
      <c r="Y56" s="36" t="s">
        <v>57</v>
      </c>
      <c r="Z56" s="36" t="s">
        <v>57</v>
      </c>
      <c r="AA56" s="36" t="s">
        <v>57</v>
      </c>
      <c r="AB56" s="36" t="s">
        <v>57</v>
      </c>
      <c r="AC56" s="36" t="s">
        <v>57</v>
      </c>
      <c r="AD56" s="36" t="s">
        <v>57</v>
      </c>
      <c r="AE56" s="122" t="s">
        <v>57</v>
      </c>
      <c r="AF56" s="36" t="s">
        <v>57</v>
      </c>
      <c r="AG56" s="36" t="s">
        <v>57</v>
      </c>
      <c r="AH56" s="36" t="s">
        <v>57</v>
      </c>
      <c r="AI56" s="7" t="s">
        <v>57</v>
      </c>
      <c r="AJ56" s="33" t="s">
        <v>57</v>
      </c>
      <c r="AK56" s="7" t="s">
        <v>57</v>
      </c>
      <c r="AL56" s="7" t="s">
        <v>57</v>
      </c>
      <c r="AM56" s="33" t="s">
        <v>57</v>
      </c>
      <c r="AN56" s="34" t="s">
        <v>57</v>
      </c>
      <c r="AO56" s="7" t="s">
        <v>57</v>
      </c>
      <c r="AP56" s="33" t="s">
        <v>57</v>
      </c>
      <c r="AQ56" s="7" t="s">
        <v>57</v>
      </c>
      <c r="AR56" s="7" t="s">
        <v>57</v>
      </c>
      <c r="AS56" s="7" t="s">
        <v>57</v>
      </c>
      <c r="AT56" s="7" t="s">
        <v>57</v>
      </c>
      <c r="AU56" s="36" t="s">
        <v>57</v>
      </c>
      <c r="AV56" s="36" t="s">
        <v>57</v>
      </c>
      <c r="AW56" s="34" t="s">
        <v>57</v>
      </c>
      <c r="AX56" s="34" t="s">
        <v>57</v>
      </c>
      <c r="AY56" s="34" t="s">
        <v>57</v>
      </c>
      <c r="AZ56" s="36" t="s">
        <v>57</v>
      </c>
      <c r="BA56" s="36" t="s">
        <v>57</v>
      </c>
      <c r="BB56" s="36" t="s">
        <v>57</v>
      </c>
      <c r="BC56" s="36" t="s">
        <v>57</v>
      </c>
      <c r="BD56" s="36" t="s">
        <v>57</v>
      </c>
      <c r="BE56" s="36" t="s">
        <v>57</v>
      </c>
      <c r="BF56" s="36" t="s">
        <v>57</v>
      </c>
      <c r="BG56" s="36" t="s">
        <v>57</v>
      </c>
      <c r="BH56" s="36" t="s">
        <v>57</v>
      </c>
      <c r="BI56" s="36" t="s">
        <v>57</v>
      </c>
      <c r="BJ56" s="36" t="s">
        <v>57</v>
      </c>
      <c r="BK56" s="36" t="s">
        <v>57</v>
      </c>
      <c r="BL56" s="36" t="s">
        <v>57</v>
      </c>
      <c r="BM56" s="36" t="s">
        <v>57</v>
      </c>
      <c r="BN56" s="36" t="s">
        <v>57</v>
      </c>
      <c r="BO56" s="36" t="s">
        <v>57</v>
      </c>
      <c r="BP56" s="36" t="s">
        <v>57</v>
      </c>
      <c r="BQ56" s="36" t="s">
        <v>57</v>
      </c>
      <c r="BR56" s="36" t="s">
        <v>57</v>
      </c>
      <c r="BS56" s="36" t="s">
        <v>57</v>
      </c>
      <c r="BT56" s="36" t="s">
        <v>57</v>
      </c>
      <c r="BU56" s="36" t="s">
        <v>57</v>
      </c>
      <c r="BV56" s="36" t="s">
        <v>57</v>
      </c>
      <c r="BW56" s="36" t="s">
        <v>57</v>
      </c>
      <c r="BX56" s="36" t="s">
        <v>57</v>
      </c>
      <c r="BY56" s="36" t="s">
        <v>57</v>
      </c>
      <c r="BZ56" s="36" t="s">
        <v>57</v>
      </c>
      <c r="CA56" s="36" t="s">
        <v>57</v>
      </c>
      <c r="CB56" s="36" t="s">
        <v>57</v>
      </c>
      <c r="CC56" s="36" t="s">
        <v>57</v>
      </c>
      <c r="CD56" s="36" t="s">
        <v>57</v>
      </c>
      <c r="CE56" s="36" t="s">
        <v>57</v>
      </c>
      <c r="CF56" s="36" t="s">
        <v>57</v>
      </c>
      <c r="CG56" s="36" t="s">
        <v>57</v>
      </c>
      <c r="CH56" s="36" t="s">
        <v>57</v>
      </c>
      <c r="CI56" s="36" t="s">
        <v>57</v>
      </c>
      <c r="CJ56" s="36" t="s">
        <v>57</v>
      </c>
      <c r="CK56" s="36" t="s">
        <v>57</v>
      </c>
      <c r="CL56" s="36" t="s">
        <v>57</v>
      </c>
      <c r="CM56" s="36" t="s">
        <v>57</v>
      </c>
      <c r="CN56" s="36" t="s">
        <v>57</v>
      </c>
      <c r="CO56" s="36" t="s">
        <v>57</v>
      </c>
      <c r="CP56" s="36" t="s">
        <v>57</v>
      </c>
      <c r="CQ56" s="36" t="s">
        <v>57</v>
      </c>
      <c r="CR56" s="36" t="s">
        <v>57</v>
      </c>
      <c r="CS56" s="36" t="s">
        <v>57</v>
      </c>
      <c r="CT56" s="36" t="s">
        <v>57</v>
      </c>
      <c r="CU56" s="36" t="s">
        <v>57</v>
      </c>
      <c r="CV56" s="36" t="s">
        <v>57</v>
      </c>
      <c r="CW56" s="36" t="s">
        <v>57</v>
      </c>
      <c r="CX56" s="36" t="s">
        <v>57</v>
      </c>
    </row>
    <row r="57" spans="1:102" ht="12" customHeight="1">
      <c r="A57" s="51" t="s">
        <v>935</v>
      </c>
      <c r="B57" s="52" t="s">
        <v>3949</v>
      </c>
      <c r="C57" s="52"/>
      <c r="D57" s="52"/>
      <c r="E57" s="52"/>
      <c r="F57" s="52" t="s">
        <v>1460</v>
      </c>
      <c r="G57" s="52" t="s">
        <v>1460</v>
      </c>
      <c r="H57" s="52" t="s">
        <v>1460</v>
      </c>
      <c r="I57" s="52" t="s">
        <v>1460</v>
      </c>
      <c r="J57" s="52"/>
      <c r="K57" s="52"/>
      <c r="L57" s="52"/>
      <c r="M57" s="52" t="s">
        <v>1643</v>
      </c>
      <c r="N57" s="52" t="s">
        <v>1643</v>
      </c>
      <c r="O57" s="52" t="s">
        <v>1643</v>
      </c>
      <c r="P57" s="52" t="s">
        <v>1643</v>
      </c>
      <c r="Q57" s="52" t="s">
        <v>1643</v>
      </c>
      <c r="R57" s="52" t="s">
        <v>1643</v>
      </c>
      <c r="S57" s="52" t="s">
        <v>1643</v>
      </c>
      <c r="T57" s="52" t="s">
        <v>1643</v>
      </c>
      <c r="U57" s="52" t="s">
        <v>1643</v>
      </c>
      <c r="V57" s="52" t="s">
        <v>1643</v>
      </c>
      <c r="W57" s="52" t="s">
        <v>1643</v>
      </c>
      <c r="X57" s="52" t="s">
        <v>1643</v>
      </c>
      <c r="Y57" s="52" t="s">
        <v>1643</v>
      </c>
      <c r="Z57" s="52"/>
      <c r="AA57" s="52"/>
      <c r="AB57" s="52"/>
      <c r="AC57" s="52"/>
      <c r="AD57" s="52"/>
      <c r="AE57" s="123" t="s">
        <v>5665</v>
      </c>
      <c r="AF57" s="52" t="s">
        <v>4663</v>
      </c>
      <c r="AG57" s="52" t="s">
        <v>4663</v>
      </c>
      <c r="AH57" s="52" t="s">
        <v>4663</v>
      </c>
      <c r="AI57" s="52"/>
      <c r="AJ57" s="52"/>
      <c r="AK57" s="52" t="s">
        <v>1744</v>
      </c>
      <c r="AL57" s="52" t="s">
        <v>1744</v>
      </c>
      <c r="AM57" s="52"/>
      <c r="AN57" s="52" t="s">
        <v>1788</v>
      </c>
      <c r="AO57" s="52"/>
      <c r="AP57" s="52"/>
      <c r="AQ57" s="52" t="s">
        <v>1887</v>
      </c>
      <c r="AR57" s="52" t="s">
        <v>1887</v>
      </c>
      <c r="AS57" s="52" t="s">
        <v>1887</v>
      </c>
      <c r="AT57" s="52" t="s">
        <v>1887</v>
      </c>
      <c r="AU57" s="52"/>
      <c r="AV57" s="52"/>
      <c r="AW57" s="52" t="s">
        <v>3028</v>
      </c>
      <c r="AX57" s="52" t="s">
        <v>3028</v>
      </c>
      <c r="AY57" s="52" t="s">
        <v>3028</v>
      </c>
      <c r="AZ57" s="52"/>
      <c r="BA57" s="52" t="s">
        <v>4144</v>
      </c>
      <c r="BB57" s="52"/>
      <c r="BC57" s="52"/>
      <c r="BD57" s="52" t="s">
        <v>2033</v>
      </c>
      <c r="BE57" s="52"/>
      <c r="BF57" s="52" t="s">
        <v>2033</v>
      </c>
      <c r="BG57" s="52" t="s">
        <v>4058</v>
      </c>
      <c r="BH57" s="52"/>
      <c r="BI57" s="52"/>
      <c r="BJ57" s="52"/>
      <c r="BK57" s="52" t="s">
        <v>1384</v>
      </c>
      <c r="BL57" s="52" t="s">
        <v>1384</v>
      </c>
      <c r="BM57" s="52"/>
      <c r="BN57" s="52"/>
      <c r="BO57" s="52"/>
      <c r="BP57" s="52"/>
      <c r="BQ57" s="52"/>
      <c r="BR57" s="52"/>
      <c r="BS57" s="52"/>
      <c r="BT57" s="52" t="s">
        <v>3678</v>
      </c>
      <c r="BU57" s="52" t="s">
        <v>3593</v>
      </c>
      <c r="BV57" s="52" t="s">
        <v>3525</v>
      </c>
      <c r="BW57" s="52" t="s">
        <v>2493</v>
      </c>
      <c r="BX57" s="52" t="s">
        <v>2493</v>
      </c>
      <c r="BY57" s="52" t="s">
        <v>2493</v>
      </c>
      <c r="BZ57" s="52" t="s">
        <v>3948</v>
      </c>
      <c r="CA57" s="52"/>
      <c r="CB57" s="52"/>
      <c r="CC57" s="52"/>
      <c r="CD57" s="52" t="s">
        <v>2589</v>
      </c>
      <c r="CE57" s="52" t="s">
        <v>2589</v>
      </c>
      <c r="CF57" s="52"/>
      <c r="CG57" s="52" t="s">
        <v>1643</v>
      </c>
      <c r="CH57" s="52" t="s">
        <v>1643</v>
      </c>
      <c r="CI57" s="52" t="s">
        <v>3947</v>
      </c>
      <c r="CJ57" s="52" t="s">
        <v>3947</v>
      </c>
      <c r="CK57" s="52" t="s">
        <v>2689</v>
      </c>
      <c r="CL57" s="52"/>
      <c r="CM57" s="52"/>
      <c r="CN57" s="52"/>
      <c r="CO57" s="52" t="s">
        <v>2084</v>
      </c>
      <c r="CP57" s="52" t="s">
        <v>2863</v>
      </c>
      <c r="CQ57" s="52"/>
      <c r="CR57" s="52"/>
      <c r="CS57" s="52"/>
      <c r="CT57" s="52"/>
      <c r="CU57" s="52"/>
      <c r="CV57" s="52"/>
      <c r="CW57" s="52" t="s">
        <v>1178</v>
      </c>
      <c r="CX57" s="52"/>
    </row>
    <row r="58" spans="1:102" ht="15" customHeight="1">
      <c r="A58" s="20"/>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125"/>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row>
    <row r="59" spans="1:102" ht="22.5" customHeight="1">
      <c r="A59" s="10" t="s">
        <v>101</v>
      </c>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126"/>
      <c r="AF59" s="48"/>
      <c r="AG59" s="54"/>
      <c r="AH59" s="48"/>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48"/>
      <c r="BH59" s="54"/>
      <c r="BI59" s="48"/>
      <c r="BJ59" s="48"/>
      <c r="BK59" s="48"/>
      <c r="BL59" s="48"/>
      <c r="BM59" s="54"/>
      <c r="BN59" s="54"/>
      <c r="BO59" s="54"/>
      <c r="BP59" s="54"/>
      <c r="BQ59" s="54"/>
      <c r="BR59" s="54"/>
      <c r="BS59" s="54"/>
      <c r="BT59" s="54"/>
      <c r="BU59" s="54"/>
      <c r="BV59" s="54"/>
      <c r="BW59" s="54"/>
      <c r="BX59" s="54"/>
      <c r="BY59" s="54"/>
      <c r="BZ59" s="54"/>
      <c r="CA59" s="54"/>
      <c r="CB59" s="54"/>
      <c r="CC59" s="48"/>
      <c r="CD59" s="54"/>
      <c r="CE59" s="54"/>
      <c r="CF59" s="54"/>
      <c r="CG59" s="48"/>
      <c r="CH59" s="48"/>
      <c r="CI59" s="54"/>
      <c r="CJ59" s="54"/>
      <c r="CK59" s="54"/>
      <c r="CL59" s="54"/>
      <c r="CM59" s="54"/>
      <c r="CN59" s="54"/>
      <c r="CO59" s="54"/>
      <c r="CP59" s="54"/>
      <c r="CQ59" s="54"/>
      <c r="CR59" s="54"/>
      <c r="CS59" s="54"/>
      <c r="CT59" s="54"/>
      <c r="CU59" s="54"/>
      <c r="CV59" s="54"/>
      <c r="CW59" s="48"/>
      <c r="CX59" s="48"/>
    </row>
    <row r="60" spans="1:102" ht="36">
      <c r="A60" s="11" t="s">
        <v>102</v>
      </c>
      <c r="B60" s="36" t="s">
        <v>463</v>
      </c>
      <c r="C60" s="36" t="s">
        <v>463</v>
      </c>
      <c r="D60" s="36" t="s">
        <v>254</v>
      </c>
      <c r="E60" s="36" t="s">
        <v>253</v>
      </c>
      <c r="F60" s="36" t="s">
        <v>529</v>
      </c>
      <c r="G60" s="36" t="s">
        <v>1416</v>
      </c>
      <c r="H60" s="36" t="s">
        <v>529</v>
      </c>
      <c r="I60" s="36" t="s">
        <v>1416</v>
      </c>
      <c r="J60" s="36" t="s">
        <v>254</v>
      </c>
      <c r="K60" s="36" t="s">
        <v>254</v>
      </c>
      <c r="L60" s="36" t="s">
        <v>254</v>
      </c>
      <c r="M60" s="36" t="s">
        <v>1510</v>
      </c>
      <c r="N60" s="36" t="s">
        <v>1510</v>
      </c>
      <c r="O60" s="36" t="s">
        <v>1510</v>
      </c>
      <c r="P60" s="36" t="s">
        <v>1510</v>
      </c>
      <c r="Q60" s="36" t="s">
        <v>1510</v>
      </c>
      <c r="R60" s="36" t="s">
        <v>1510</v>
      </c>
      <c r="S60" s="36" t="s">
        <v>1510</v>
      </c>
      <c r="T60" s="36" t="s">
        <v>1510</v>
      </c>
      <c r="U60" s="36" t="s">
        <v>1510</v>
      </c>
      <c r="V60" s="36" t="s">
        <v>1510</v>
      </c>
      <c r="W60" s="36" t="s">
        <v>1510</v>
      </c>
      <c r="X60" s="36" t="s">
        <v>1510</v>
      </c>
      <c r="Y60" s="36" t="s">
        <v>1510</v>
      </c>
      <c r="Z60" s="36" t="s">
        <v>254</v>
      </c>
      <c r="AA60" s="36" t="s">
        <v>529</v>
      </c>
      <c r="AB60" s="36" t="s">
        <v>529</v>
      </c>
      <c r="AC60" s="36" t="s">
        <v>529</v>
      </c>
      <c r="AD60" s="38" t="s">
        <v>57</v>
      </c>
      <c r="AE60" s="122" t="s">
        <v>3237</v>
      </c>
      <c r="AF60" s="36" t="s">
        <v>4664</v>
      </c>
      <c r="AG60" s="36" t="s">
        <v>4664</v>
      </c>
      <c r="AH60" s="36" t="s">
        <v>4664</v>
      </c>
      <c r="AI60" s="7" t="s">
        <v>423</v>
      </c>
      <c r="AJ60" s="7" t="s">
        <v>423</v>
      </c>
      <c r="AK60" s="7" t="s">
        <v>1752</v>
      </c>
      <c r="AL60" s="7" t="s">
        <v>1752</v>
      </c>
      <c r="AM60" s="7" t="s">
        <v>57</v>
      </c>
      <c r="AN60" s="7" t="s">
        <v>1797</v>
      </c>
      <c r="AO60" s="7" t="s">
        <v>57</v>
      </c>
      <c r="AP60" s="34" t="s">
        <v>57</v>
      </c>
      <c r="AQ60" s="36" t="s">
        <v>529</v>
      </c>
      <c r="AR60" s="36" t="s">
        <v>529</v>
      </c>
      <c r="AS60" s="36" t="s">
        <v>529</v>
      </c>
      <c r="AT60" s="36" t="s">
        <v>529</v>
      </c>
      <c r="AU60" s="36" t="s">
        <v>57</v>
      </c>
      <c r="AV60" s="36" t="s">
        <v>529</v>
      </c>
      <c r="AW60" s="36" t="s">
        <v>529</v>
      </c>
      <c r="AX60" s="36" t="s">
        <v>529</v>
      </c>
      <c r="AY60" s="36" t="s">
        <v>3041</v>
      </c>
      <c r="AZ60" s="36" t="s">
        <v>529</v>
      </c>
      <c r="BA60" s="36" t="s">
        <v>3284</v>
      </c>
      <c r="BB60" s="36" t="s">
        <v>529</v>
      </c>
      <c r="BC60" s="36" t="s">
        <v>529</v>
      </c>
      <c r="BD60" s="36" t="s">
        <v>1995</v>
      </c>
      <c r="BE60" s="36" t="s">
        <v>254</v>
      </c>
      <c r="BF60" s="36" t="s">
        <v>1995</v>
      </c>
      <c r="BG60" s="36" t="s">
        <v>0</v>
      </c>
      <c r="BH60" s="38" t="s">
        <v>57</v>
      </c>
      <c r="BI60" s="36" t="s">
        <v>862</v>
      </c>
      <c r="BJ60" s="36" t="s">
        <v>862</v>
      </c>
      <c r="BK60" s="36" t="s">
        <v>1305</v>
      </c>
      <c r="BL60" s="36" t="s">
        <v>1305</v>
      </c>
      <c r="BM60" s="36" t="s">
        <v>57</v>
      </c>
      <c r="BN60" s="38" t="s">
        <v>57</v>
      </c>
      <c r="BO60" s="36" t="s">
        <v>2302</v>
      </c>
      <c r="BP60" s="38" t="s">
        <v>57</v>
      </c>
      <c r="BQ60" s="36" t="s">
        <v>2302</v>
      </c>
      <c r="BR60" s="36" t="s">
        <v>252</v>
      </c>
      <c r="BS60" s="36" t="s">
        <v>3070</v>
      </c>
      <c r="BT60" s="36" t="s">
        <v>3598</v>
      </c>
      <c r="BU60" s="36" t="s">
        <v>3598</v>
      </c>
      <c r="BV60" s="36" t="s">
        <v>3070</v>
      </c>
      <c r="BW60" s="36" t="s">
        <v>3284</v>
      </c>
      <c r="BX60" s="36" t="s">
        <v>3284</v>
      </c>
      <c r="BY60" s="36" t="s">
        <v>3284</v>
      </c>
      <c r="BZ60" s="36" t="s">
        <v>4623</v>
      </c>
      <c r="CA60" s="38" t="s">
        <v>57</v>
      </c>
      <c r="CB60" s="38" t="s">
        <v>57</v>
      </c>
      <c r="CC60" s="36" t="s">
        <v>736</v>
      </c>
      <c r="CD60" s="36" t="s">
        <v>5078</v>
      </c>
      <c r="CE60" s="36" t="s">
        <v>5078</v>
      </c>
      <c r="CF60" s="36" t="s">
        <v>528</v>
      </c>
      <c r="CG60" s="36" t="s">
        <v>2302</v>
      </c>
      <c r="CH60" s="36" t="s">
        <v>2302</v>
      </c>
      <c r="CI60" s="36" t="s">
        <v>4045</v>
      </c>
      <c r="CJ60" s="36" t="s">
        <v>4045</v>
      </c>
      <c r="CK60" s="36" t="s">
        <v>2725</v>
      </c>
      <c r="CL60" s="38" t="s">
        <v>57</v>
      </c>
      <c r="CM60" s="38" t="s">
        <v>57</v>
      </c>
      <c r="CN60" s="36" t="s">
        <v>533</v>
      </c>
      <c r="CO60" s="36" t="s">
        <v>2123</v>
      </c>
      <c r="CP60" s="36" t="s">
        <v>2123</v>
      </c>
      <c r="CQ60" s="36" t="s">
        <v>671</v>
      </c>
      <c r="CR60" s="36" t="s">
        <v>671</v>
      </c>
      <c r="CS60" s="36" t="s">
        <v>529</v>
      </c>
      <c r="CT60" s="36" t="s">
        <v>529</v>
      </c>
      <c r="CU60" s="36" t="s">
        <v>777</v>
      </c>
      <c r="CV60" s="36" t="s">
        <v>777</v>
      </c>
      <c r="CW60" s="36" t="s">
        <v>1226</v>
      </c>
      <c r="CX60" s="36" t="s">
        <v>821</v>
      </c>
    </row>
    <row r="61" spans="1:102" ht="12" customHeight="1">
      <c r="A61" s="51" t="s">
        <v>935</v>
      </c>
      <c r="B61" s="52" t="s">
        <v>4005</v>
      </c>
      <c r="C61" s="52"/>
      <c r="D61" s="52"/>
      <c r="E61" s="52"/>
      <c r="F61" s="52" t="s">
        <v>1464</v>
      </c>
      <c r="G61" s="52" t="s">
        <v>1413</v>
      </c>
      <c r="H61" s="52" t="s">
        <v>1464</v>
      </c>
      <c r="I61" s="52" t="s">
        <v>1413</v>
      </c>
      <c r="J61" s="52"/>
      <c r="K61" s="52"/>
      <c r="L61" s="52"/>
      <c r="M61" s="52" t="s">
        <v>1651</v>
      </c>
      <c r="N61" s="52" t="s">
        <v>1652</v>
      </c>
      <c r="O61" s="52" t="s">
        <v>1653</v>
      </c>
      <c r="P61" s="52" t="s">
        <v>3328</v>
      </c>
      <c r="Q61" s="52" t="s">
        <v>3367</v>
      </c>
      <c r="R61" s="52" t="s">
        <v>3414</v>
      </c>
      <c r="S61" s="52" t="s">
        <v>3328</v>
      </c>
      <c r="T61" s="52" t="s">
        <v>3367</v>
      </c>
      <c r="U61" s="52" t="s">
        <v>3414</v>
      </c>
      <c r="V61" s="52" t="s">
        <v>5871</v>
      </c>
      <c r="W61" s="52" t="s">
        <v>3328</v>
      </c>
      <c r="X61" s="52" t="s">
        <v>5872</v>
      </c>
      <c r="Y61" s="52" t="s">
        <v>5873</v>
      </c>
      <c r="Z61" s="52"/>
      <c r="AA61" s="52"/>
      <c r="AB61" s="52"/>
      <c r="AC61" s="52"/>
      <c r="AD61" s="52"/>
      <c r="AE61" s="123" t="s">
        <v>5666</v>
      </c>
      <c r="AF61" s="52" t="s">
        <v>4666</v>
      </c>
      <c r="AG61" s="52" t="s">
        <v>4666</v>
      </c>
      <c r="AH61" s="52" t="s">
        <v>4665</v>
      </c>
      <c r="AI61" s="52"/>
      <c r="AJ61" s="52"/>
      <c r="AK61" s="52" t="s">
        <v>1751</v>
      </c>
      <c r="AL61" s="52" t="s">
        <v>1751</v>
      </c>
      <c r="AM61" s="52"/>
      <c r="AN61" s="52" t="s">
        <v>1796</v>
      </c>
      <c r="AO61" s="52"/>
      <c r="AP61" s="52"/>
      <c r="AQ61" s="52" t="s">
        <v>1920</v>
      </c>
      <c r="AR61" s="52" t="s">
        <v>1920</v>
      </c>
      <c r="AS61" s="52" t="s">
        <v>1920</v>
      </c>
      <c r="AT61" s="52" t="s">
        <v>1920</v>
      </c>
      <c r="AU61" s="52"/>
      <c r="AV61" s="52"/>
      <c r="AW61" s="52" t="s">
        <v>3034</v>
      </c>
      <c r="AX61" s="52" t="s">
        <v>3034</v>
      </c>
      <c r="AY61" s="52" t="s">
        <v>3042</v>
      </c>
      <c r="AZ61" s="52"/>
      <c r="BA61" s="52" t="s">
        <v>4148</v>
      </c>
      <c r="BB61" s="52"/>
      <c r="BC61" s="52"/>
      <c r="BD61" s="52" t="s">
        <v>2038</v>
      </c>
      <c r="BE61" s="52"/>
      <c r="BF61" s="52" t="s">
        <v>2038</v>
      </c>
      <c r="BG61" s="52" t="s">
        <v>0</v>
      </c>
      <c r="BH61" s="52"/>
      <c r="BI61" s="52"/>
      <c r="BJ61" s="52"/>
      <c r="BK61" s="52" t="s">
        <v>1307</v>
      </c>
      <c r="BL61" s="52" t="s">
        <v>1307</v>
      </c>
      <c r="BM61" s="52"/>
      <c r="BN61" s="52"/>
      <c r="BO61" s="52"/>
      <c r="BP61" s="52"/>
      <c r="BQ61" s="52"/>
      <c r="BR61" s="52"/>
      <c r="BS61" s="52"/>
      <c r="BT61" s="52" t="s">
        <v>3683</v>
      </c>
      <c r="BU61" s="52" t="s">
        <v>3597</v>
      </c>
      <c r="BV61" s="52" t="s">
        <v>3530</v>
      </c>
      <c r="BW61" s="52" t="s">
        <v>2504</v>
      </c>
      <c r="BX61" s="52" t="s">
        <v>2504</v>
      </c>
      <c r="BY61" s="52" t="s">
        <v>2504</v>
      </c>
      <c r="BZ61" s="52" t="s">
        <v>4624</v>
      </c>
      <c r="CA61" s="52"/>
      <c r="CB61" s="52"/>
      <c r="CC61" s="52"/>
      <c r="CD61" s="52" t="s">
        <v>2566</v>
      </c>
      <c r="CE61" s="52" t="s">
        <v>2555</v>
      </c>
      <c r="CF61" s="52"/>
      <c r="CG61" s="52" t="s">
        <v>2301</v>
      </c>
      <c r="CH61" s="52" t="s">
        <v>2301</v>
      </c>
      <c r="CI61" s="52" t="s">
        <v>3989</v>
      </c>
      <c r="CJ61" s="52" t="s">
        <v>3989</v>
      </c>
      <c r="CK61" s="52" t="s">
        <v>2724</v>
      </c>
      <c r="CL61" s="52"/>
      <c r="CM61" s="52"/>
      <c r="CN61" s="52"/>
      <c r="CO61" s="52" t="s">
        <v>2122</v>
      </c>
      <c r="CP61" s="52" t="s">
        <v>2869</v>
      </c>
      <c r="CQ61" s="52"/>
      <c r="CR61" s="52"/>
      <c r="CS61" s="52"/>
      <c r="CT61" s="52"/>
      <c r="CU61" s="52"/>
      <c r="CV61" s="52"/>
      <c r="CW61" s="52" t="s">
        <v>1225</v>
      </c>
      <c r="CX61" s="52"/>
    </row>
    <row r="62" spans="1:102" ht="45" customHeight="1">
      <c r="A62" s="57" t="s">
        <v>103</v>
      </c>
      <c r="B62" s="36" t="s">
        <v>0</v>
      </c>
      <c r="C62" s="36" t="s">
        <v>0</v>
      </c>
      <c r="D62" s="36" t="s">
        <v>218</v>
      </c>
      <c r="E62" s="36" t="s">
        <v>218</v>
      </c>
      <c r="F62" s="36" t="s">
        <v>792</v>
      </c>
      <c r="G62" s="36" t="s">
        <v>792</v>
      </c>
      <c r="H62" s="36" t="s">
        <v>792</v>
      </c>
      <c r="I62" s="36" t="s">
        <v>792</v>
      </c>
      <c r="J62" s="36" t="s">
        <v>482</v>
      </c>
      <c r="K62" s="36" t="s">
        <v>784</v>
      </c>
      <c r="L62" s="36" t="s">
        <v>482</v>
      </c>
      <c r="M62" s="36" t="s">
        <v>1553</v>
      </c>
      <c r="N62" s="36" t="s">
        <v>1513</v>
      </c>
      <c r="O62" s="36" t="s">
        <v>1553</v>
      </c>
      <c r="P62" s="36" t="s">
        <v>3369</v>
      </c>
      <c r="Q62" s="36" t="s">
        <v>3369</v>
      </c>
      <c r="R62" s="36" t="s">
        <v>3369</v>
      </c>
      <c r="S62" s="36" t="s">
        <v>3369</v>
      </c>
      <c r="T62" s="36" t="s">
        <v>3369</v>
      </c>
      <c r="U62" s="36" t="s">
        <v>3369</v>
      </c>
      <c r="V62" s="36" t="s">
        <v>3369</v>
      </c>
      <c r="W62" s="36" t="s">
        <v>3369</v>
      </c>
      <c r="X62" s="36" t="s">
        <v>3369</v>
      </c>
      <c r="Y62" s="36" t="s">
        <v>3369</v>
      </c>
      <c r="Z62" s="7" t="s">
        <v>424</v>
      </c>
      <c r="AA62" s="36" t="s">
        <v>57</v>
      </c>
      <c r="AB62" s="36" t="s">
        <v>57</v>
      </c>
      <c r="AC62" s="36" t="s">
        <v>57</v>
      </c>
      <c r="AD62" s="36" t="s">
        <v>47</v>
      </c>
      <c r="AE62" s="122" t="s">
        <v>5667</v>
      </c>
      <c r="AF62" s="36" t="s">
        <v>4668</v>
      </c>
      <c r="AG62" s="36" t="s">
        <v>4669</v>
      </c>
      <c r="AH62" s="36" t="s">
        <v>4667</v>
      </c>
      <c r="AI62" s="7" t="s">
        <v>424</v>
      </c>
      <c r="AJ62" s="7" t="s">
        <v>424</v>
      </c>
      <c r="AK62" s="36" t="s">
        <v>792</v>
      </c>
      <c r="AL62" s="36" t="s">
        <v>792</v>
      </c>
      <c r="AM62" s="7" t="s">
        <v>64</v>
      </c>
      <c r="AN62" s="7" t="s">
        <v>1799</v>
      </c>
      <c r="AO62" s="7" t="s">
        <v>0</v>
      </c>
      <c r="AP62" s="33" t="s">
        <v>0</v>
      </c>
      <c r="AQ62" s="7" t="s">
        <v>0</v>
      </c>
      <c r="AR62" s="36" t="s">
        <v>792</v>
      </c>
      <c r="AS62" s="7" t="s">
        <v>0</v>
      </c>
      <c r="AT62" s="36" t="s">
        <v>792</v>
      </c>
      <c r="AU62" s="36" t="s">
        <v>57</v>
      </c>
      <c r="AV62" s="36" t="s">
        <v>792</v>
      </c>
      <c r="AW62" s="36" t="s">
        <v>792</v>
      </c>
      <c r="AX62" s="36" t="s">
        <v>3036</v>
      </c>
      <c r="AY62" s="36" t="s">
        <v>3037</v>
      </c>
      <c r="AZ62" s="36" t="s">
        <v>885</v>
      </c>
      <c r="BA62" s="36" t="s">
        <v>4122</v>
      </c>
      <c r="BB62" s="36" t="s">
        <v>781</v>
      </c>
      <c r="BC62" s="36" t="s">
        <v>218</v>
      </c>
      <c r="BD62" s="36" t="s">
        <v>792</v>
      </c>
      <c r="BE62" s="36" t="s">
        <v>218</v>
      </c>
      <c r="BF62" s="36" t="s">
        <v>792</v>
      </c>
      <c r="BG62" s="36" t="s">
        <v>0</v>
      </c>
      <c r="BH62" s="36" t="s">
        <v>0</v>
      </c>
      <c r="BI62" s="36" t="s">
        <v>864</v>
      </c>
      <c r="BJ62" s="36" t="s">
        <v>879</v>
      </c>
      <c r="BK62" s="36" t="s">
        <v>1386</v>
      </c>
      <c r="BL62" s="36" t="s">
        <v>1386</v>
      </c>
      <c r="BM62" s="36" t="s">
        <v>0</v>
      </c>
      <c r="BN62" s="36" t="s">
        <v>104</v>
      </c>
      <c r="BO62" s="36" t="s">
        <v>863</v>
      </c>
      <c r="BP62" s="36" t="s">
        <v>104</v>
      </c>
      <c r="BQ62" s="36" t="s">
        <v>863</v>
      </c>
      <c r="BR62" s="36" t="s">
        <v>863</v>
      </c>
      <c r="BS62" s="36" t="s">
        <v>594</v>
      </c>
      <c r="BT62" s="36" t="s">
        <v>792</v>
      </c>
      <c r="BU62" s="36" t="s">
        <v>792</v>
      </c>
      <c r="BV62" s="36" t="s">
        <v>3487</v>
      </c>
      <c r="BW62" s="36" t="s">
        <v>0</v>
      </c>
      <c r="BX62" s="36" t="s">
        <v>0</v>
      </c>
      <c r="BY62" s="36" t="s">
        <v>0</v>
      </c>
      <c r="BZ62" s="36" t="s">
        <v>4585</v>
      </c>
      <c r="CA62" s="36" t="s">
        <v>57</v>
      </c>
      <c r="CB62" s="36" t="s">
        <v>57</v>
      </c>
      <c r="CC62" s="36" t="s">
        <v>743</v>
      </c>
      <c r="CD62" s="38" t="s">
        <v>113</v>
      </c>
      <c r="CE62" s="38" t="s">
        <v>196</v>
      </c>
      <c r="CF62" s="36" t="s">
        <v>527</v>
      </c>
      <c r="CG62" s="36" t="s">
        <v>792</v>
      </c>
      <c r="CH62" s="36" t="s">
        <v>792</v>
      </c>
      <c r="CI62" s="38" t="s">
        <v>0</v>
      </c>
      <c r="CJ62" s="38" t="s">
        <v>0</v>
      </c>
      <c r="CK62" s="36" t="s">
        <v>2637</v>
      </c>
      <c r="CL62" s="36" t="s">
        <v>629</v>
      </c>
      <c r="CM62" s="36" t="s">
        <v>629</v>
      </c>
      <c r="CN62" s="38" t="s">
        <v>57</v>
      </c>
      <c r="CO62" s="36" t="s">
        <v>2124</v>
      </c>
      <c r="CP62" s="36" t="s">
        <v>527</v>
      </c>
      <c r="CQ62" s="36" t="s">
        <v>113</v>
      </c>
      <c r="CR62" s="36" t="s">
        <v>196</v>
      </c>
      <c r="CS62" s="36" t="s">
        <v>3119</v>
      </c>
      <c r="CT62" s="36" t="s">
        <v>3120</v>
      </c>
      <c r="CU62" s="36" t="s">
        <v>3119</v>
      </c>
      <c r="CV62" s="36" t="s">
        <v>3120</v>
      </c>
      <c r="CW62" s="36" t="s">
        <v>1246</v>
      </c>
      <c r="CX62" s="36" t="s">
        <v>838</v>
      </c>
    </row>
    <row r="63" spans="1:102" ht="12" customHeight="1">
      <c r="A63" s="51" t="s">
        <v>935</v>
      </c>
      <c r="B63" s="52" t="s">
        <v>4011</v>
      </c>
      <c r="C63" s="52"/>
      <c r="D63" s="52"/>
      <c r="E63" s="52"/>
      <c r="F63" s="52" t="s">
        <v>1465</v>
      </c>
      <c r="G63" s="52" t="s">
        <v>1465</v>
      </c>
      <c r="H63" s="52" t="s">
        <v>1465</v>
      </c>
      <c r="I63" s="52" t="s">
        <v>1465</v>
      </c>
      <c r="J63" s="52"/>
      <c r="K63" s="52"/>
      <c r="L63" s="52"/>
      <c r="M63" s="52" t="s">
        <v>1512</v>
      </c>
      <c r="N63" s="52" t="s">
        <v>1609</v>
      </c>
      <c r="O63" s="52" t="s">
        <v>1552</v>
      </c>
      <c r="P63" s="52" t="s">
        <v>1515</v>
      </c>
      <c r="Q63" s="52" t="s">
        <v>1613</v>
      </c>
      <c r="R63" s="52" t="s">
        <v>1555</v>
      </c>
      <c r="S63" s="52" t="s">
        <v>1515</v>
      </c>
      <c r="T63" s="52" t="s">
        <v>1613</v>
      </c>
      <c r="U63" s="52" t="s">
        <v>1555</v>
      </c>
      <c r="V63" s="52" t="s">
        <v>5302</v>
      </c>
      <c r="W63" s="52" t="s">
        <v>1515</v>
      </c>
      <c r="X63" s="52" t="s">
        <v>1615</v>
      </c>
      <c r="Y63" s="52" t="s">
        <v>1556</v>
      </c>
      <c r="Z63" s="52"/>
      <c r="AA63" s="52"/>
      <c r="AB63" s="52"/>
      <c r="AC63" s="52"/>
      <c r="AD63" s="52"/>
      <c r="AE63" s="123" t="s">
        <v>2303</v>
      </c>
      <c r="AF63" s="52" t="s">
        <v>4671</v>
      </c>
      <c r="AG63" s="52" t="s">
        <v>4671</v>
      </c>
      <c r="AH63" s="52" t="s">
        <v>4670</v>
      </c>
      <c r="AI63" s="52"/>
      <c r="AJ63" s="52"/>
      <c r="AK63" s="52" t="s">
        <v>1749</v>
      </c>
      <c r="AL63" s="52" t="s">
        <v>1749</v>
      </c>
      <c r="AM63" s="52"/>
      <c r="AN63" s="52" t="s">
        <v>1798</v>
      </c>
      <c r="AO63" s="52"/>
      <c r="AP63" s="52"/>
      <c r="AQ63" s="52" t="s">
        <v>1921</v>
      </c>
      <c r="AR63" s="52" t="s">
        <v>1859</v>
      </c>
      <c r="AS63" s="52" t="s">
        <v>1921</v>
      </c>
      <c r="AT63" s="52" t="s">
        <v>1859</v>
      </c>
      <c r="AU63" s="52"/>
      <c r="AV63" s="52"/>
      <c r="AW63" s="52" t="s">
        <v>3035</v>
      </c>
      <c r="AX63" s="52" t="s">
        <v>3038</v>
      </c>
      <c r="AY63" s="52" t="s">
        <v>3039</v>
      </c>
      <c r="AZ63" s="52"/>
      <c r="BA63" s="52" t="s">
        <v>4117</v>
      </c>
      <c r="BB63" s="52"/>
      <c r="BC63" s="52"/>
      <c r="BD63" s="52" t="s">
        <v>2036</v>
      </c>
      <c r="BE63" s="52"/>
      <c r="BF63" s="52" t="s">
        <v>2036</v>
      </c>
      <c r="BG63" s="52" t="s">
        <v>0</v>
      </c>
      <c r="BH63" s="52"/>
      <c r="BI63" s="52"/>
      <c r="BJ63" s="52"/>
      <c r="BK63" s="52" t="s">
        <v>1306</v>
      </c>
      <c r="BL63" s="52" t="s">
        <v>1306</v>
      </c>
      <c r="BM63" s="52"/>
      <c r="BN63" s="52"/>
      <c r="BO63" s="52"/>
      <c r="BP63" s="52"/>
      <c r="BQ63" s="52"/>
      <c r="BR63" s="52"/>
      <c r="BS63" s="52"/>
      <c r="BT63" s="52" t="s">
        <v>3684</v>
      </c>
      <c r="BU63" s="52" t="s">
        <v>3599</v>
      </c>
      <c r="BV63" s="52" t="s">
        <v>3486</v>
      </c>
      <c r="BW63" s="52" t="s">
        <v>2506</v>
      </c>
      <c r="BX63" s="52" t="s">
        <v>2506</v>
      </c>
      <c r="BY63" s="52" t="s">
        <v>2506</v>
      </c>
      <c r="BZ63" s="52" t="s">
        <v>4584</v>
      </c>
      <c r="CA63" s="52"/>
      <c r="CB63" s="52"/>
      <c r="CC63" s="52"/>
      <c r="CD63" s="52" t="s">
        <v>2556</v>
      </c>
      <c r="CE63" s="52" t="s">
        <v>2547</v>
      </c>
      <c r="CF63" s="52"/>
      <c r="CG63" s="52" t="s">
        <v>2303</v>
      </c>
      <c r="CH63" s="52" t="s">
        <v>2303</v>
      </c>
      <c r="CI63" s="52" t="s">
        <v>3989</v>
      </c>
      <c r="CJ63" s="52" t="s">
        <v>3989</v>
      </c>
      <c r="CK63" s="52" t="s">
        <v>2636</v>
      </c>
      <c r="CL63" s="52"/>
      <c r="CM63" s="52"/>
      <c r="CN63" s="52"/>
      <c r="CO63" s="52" t="s">
        <v>2122</v>
      </c>
      <c r="CP63" s="52" t="s">
        <v>2117</v>
      </c>
      <c r="CQ63" s="52"/>
      <c r="CR63" s="52"/>
      <c r="CS63" s="52"/>
      <c r="CT63" s="52"/>
      <c r="CU63" s="52"/>
      <c r="CV63" s="52"/>
      <c r="CW63" s="52" t="s">
        <v>1150</v>
      </c>
      <c r="CX63" s="52"/>
    </row>
    <row r="64" spans="1:102" ht="22.5" customHeight="1">
      <c r="A64" s="57" t="s">
        <v>4010</v>
      </c>
      <c r="B64" s="38" t="s">
        <v>0</v>
      </c>
      <c r="C64" s="38" t="s">
        <v>0</v>
      </c>
      <c r="D64" s="38" t="s">
        <v>57</v>
      </c>
      <c r="E64" s="38" t="s">
        <v>57</v>
      </c>
      <c r="F64" s="38" t="s">
        <v>57</v>
      </c>
      <c r="G64" s="38" t="s">
        <v>57</v>
      </c>
      <c r="H64" s="38" t="s">
        <v>57</v>
      </c>
      <c r="I64" s="38" t="s">
        <v>57</v>
      </c>
      <c r="J64" s="38" t="s">
        <v>57</v>
      </c>
      <c r="K64" s="38" t="s">
        <v>57</v>
      </c>
      <c r="L64" s="38" t="s">
        <v>57</v>
      </c>
      <c r="M64" s="38" t="s">
        <v>57</v>
      </c>
      <c r="N64" s="38" t="s">
        <v>57</v>
      </c>
      <c r="O64" s="38" t="s">
        <v>57</v>
      </c>
      <c r="P64" s="38" t="s">
        <v>57</v>
      </c>
      <c r="Q64" s="38" t="s">
        <v>57</v>
      </c>
      <c r="R64" s="38" t="s">
        <v>57</v>
      </c>
      <c r="S64" s="38" t="s">
        <v>57</v>
      </c>
      <c r="T64" s="38" t="s">
        <v>57</v>
      </c>
      <c r="U64" s="38" t="s">
        <v>57</v>
      </c>
      <c r="V64" s="38" t="s">
        <v>57</v>
      </c>
      <c r="W64" s="38" t="s">
        <v>57</v>
      </c>
      <c r="X64" s="38" t="s">
        <v>57</v>
      </c>
      <c r="Y64" s="38" t="s">
        <v>57</v>
      </c>
      <c r="Z64" s="38" t="s">
        <v>57</v>
      </c>
      <c r="AA64" s="38" t="s">
        <v>57</v>
      </c>
      <c r="AB64" s="38" t="s">
        <v>57</v>
      </c>
      <c r="AC64" s="38" t="s">
        <v>57</v>
      </c>
      <c r="AD64" s="38" t="s">
        <v>57</v>
      </c>
      <c r="AE64" s="124" t="s">
        <v>57</v>
      </c>
      <c r="AF64" s="38" t="s">
        <v>57</v>
      </c>
      <c r="AG64" s="38" t="s">
        <v>57</v>
      </c>
      <c r="AH64" s="38" t="s">
        <v>57</v>
      </c>
      <c r="AI64" s="7" t="s">
        <v>57</v>
      </c>
      <c r="AJ64" s="33" t="s">
        <v>57</v>
      </c>
      <c r="AK64" s="7" t="s">
        <v>57</v>
      </c>
      <c r="AL64" s="7" t="s">
        <v>57</v>
      </c>
      <c r="AM64" s="34" t="s">
        <v>57</v>
      </c>
      <c r="AN64" s="34" t="s">
        <v>57</v>
      </c>
      <c r="AO64" s="7" t="s">
        <v>0</v>
      </c>
      <c r="AP64" s="34" t="s">
        <v>0</v>
      </c>
      <c r="AQ64" s="7" t="s">
        <v>0</v>
      </c>
      <c r="AR64" s="34" t="s">
        <v>0</v>
      </c>
      <c r="AS64" s="7" t="s">
        <v>0</v>
      </c>
      <c r="AT64" s="34" t="s">
        <v>0</v>
      </c>
      <c r="AU64" s="38" t="s">
        <v>57</v>
      </c>
      <c r="AV64" s="38" t="s">
        <v>57</v>
      </c>
      <c r="AW64" s="34" t="s">
        <v>57</v>
      </c>
      <c r="AX64" s="34" t="s">
        <v>57</v>
      </c>
      <c r="AY64" s="34" t="s">
        <v>57</v>
      </c>
      <c r="AZ64" s="38" t="s">
        <v>57</v>
      </c>
      <c r="BA64" s="38" t="s">
        <v>57</v>
      </c>
      <c r="BB64" s="38" t="s">
        <v>57</v>
      </c>
      <c r="BC64" s="38" t="s">
        <v>57</v>
      </c>
      <c r="BD64" s="38" t="s">
        <v>57</v>
      </c>
      <c r="BE64" s="38" t="s">
        <v>57</v>
      </c>
      <c r="BF64" s="38" t="s">
        <v>57</v>
      </c>
      <c r="BG64" s="36" t="s">
        <v>0</v>
      </c>
      <c r="BH64" s="38" t="s">
        <v>0</v>
      </c>
      <c r="BI64" s="38" t="s">
        <v>57</v>
      </c>
      <c r="BJ64" s="38" t="s">
        <v>57</v>
      </c>
      <c r="BK64" s="38" t="s">
        <v>57</v>
      </c>
      <c r="BL64" s="38" t="s">
        <v>57</v>
      </c>
      <c r="BM64" s="38" t="s">
        <v>0</v>
      </c>
      <c r="BN64" s="38" t="s">
        <v>57</v>
      </c>
      <c r="BO64" s="38" t="s">
        <v>57</v>
      </c>
      <c r="BP64" s="38" t="s">
        <v>57</v>
      </c>
      <c r="BQ64" s="38" t="s">
        <v>57</v>
      </c>
      <c r="BR64" s="38" t="s">
        <v>57</v>
      </c>
      <c r="BS64" s="38" t="s">
        <v>57</v>
      </c>
      <c r="BT64" s="38" t="s">
        <v>57</v>
      </c>
      <c r="BU64" s="38" t="s">
        <v>57</v>
      </c>
      <c r="BV64" s="38" t="s">
        <v>57</v>
      </c>
      <c r="BW64" s="38" t="s">
        <v>57</v>
      </c>
      <c r="BX64" s="38" t="s">
        <v>57</v>
      </c>
      <c r="BY64" s="38" t="s">
        <v>57</v>
      </c>
      <c r="BZ64" s="36" t="s">
        <v>57</v>
      </c>
      <c r="CA64" s="38" t="s">
        <v>57</v>
      </c>
      <c r="CB64" s="38" t="s">
        <v>57</v>
      </c>
      <c r="CC64" s="38" t="s">
        <v>57</v>
      </c>
      <c r="CD64" s="38" t="s">
        <v>57</v>
      </c>
      <c r="CE64" s="38" t="s">
        <v>57</v>
      </c>
      <c r="CF64" s="38" t="s">
        <v>57</v>
      </c>
      <c r="CG64" s="38" t="s">
        <v>57</v>
      </c>
      <c r="CH64" s="38" t="s">
        <v>57</v>
      </c>
      <c r="CI64" s="38" t="s">
        <v>57</v>
      </c>
      <c r="CJ64" s="38" t="s">
        <v>57</v>
      </c>
      <c r="CK64" s="38" t="s">
        <v>57</v>
      </c>
      <c r="CL64" s="38" t="s">
        <v>57</v>
      </c>
      <c r="CM64" s="38" t="s">
        <v>57</v>
      </c>
      <c r="CN64" s="38" t="s">
        <v>57</v>
      </c>
      <c r="CO64" s="38" t="s">
        <v>57</v>
      </c>
      <c r="CP64" s="38" t="s">
        <v>57</v>
      </c>
      <c r="CQ64" s="38" t="s">
        <v>57</v>
      </c>
      <c r="CR64" s="38" t="s">
        <v>57</v>
      </c>
      <c r="CS64" s="38" t="s">
        <v>57</v>
      </c>
      <c r="CT64" s="38" t="s">
        <v>57</v>
      </c>
      <c r="CU64" s="38" t="s">
        <v>57</v>
      </c>
      <c r="CV64" s="38" t="s">
        <v>57</v>
      </c>
      <c r="CW64" s="38" t="s">
        <v>57</v>
      </c>
      <c r="CX64" s="38" t="s">
        <v>57</v>
      </c>
    </row>
    <row r="65" spans="1:102" ht="12" customHeight="1">
      <c r="A65" s="51" t="s">
        <v>935</v>
      </c>
      <c r="B65" s="52" t="s">
        <v>0</v>
      </c>
      <c r="C65" s="52"/>
      <c r="D65" s="52"/>
      <c r="E65" s="52"/>
      <c r="F65" s="52" t="s">
        <v>1463</v>
      </c>
      <c r="G65" s="52" t="s">
        <v>1463</v>
      </c>
      <c r="H65" s="52" t="s">
        <v>1463</v>
      </c>
      <c r="I65" s="52" t="s">
        <v>1463</v>
      </c>
      <c r="J65" s="52"/>
      <c r="K65" s="52"/>
      <c r="L65" s="52"/>
      <c r="M65" s="52" t="s">
        <v>1650</v>
      </c>
      <c r="N65" s="52" t="s">
        <v>1650</v>
      </c>
      <c r="O65" s="52" t="s">
        <v>1650</v>
      </c>
      <c r="P65" s="52" t="s">
        <v>1650</v>
      </c>
      <c r="Q65" s="52" t="s">
        <v>1650</v>
      </c>
      <c r="R65" s="52" t="s">
        <v>1650</v>
      </c>
      <c r="S65" s="52" t="s">
        <v>1650</v>
      </c>
      <c r="T65" s="52" t="s">
        <v>1650</v>
      </c>
      <c r="U65" s="52" t="s">
        <v>1650</v>
      </c>
      <c r="V65" s="52" t="s">
        <v>1650</v>
      </c>
      <c r="W65" s="52" t="s">
        <v>1650</v>
      </c>
      <c r="X65" s="52" t="s">
        <v>1650</v>
      </c>
      <c r="Y65" s="52" t="s">
        <v>1650</v>
      </c>
      <c r="Z65" s="52"/>
      <c r="AA65" s="52"/>
      <c r="AB65" s="52"/>
      <c r="AC65" s="52"/>
      <c r="AD65" s="52"/>
      <c r="AE65" s="123" t="s">
        <v>1650</v>
      </c>
      <c r="AF65" s="52" t="s">
        <v>4672</v>
      </c>
      <c r="AG65" s="52" t="s">
        <v>4672</v>
      </c>
      <c r="AH65" s="52" t="s">
        <v>4672</v>
      </c>
      <c r="AI65" s="52"/>
      <c r="AJ65" s="52"/>
      <c r="AK65" s="52" t="s">
        <v>1750</v>
      </c>
      <c r="AL65" s="52" t="s">
        <v>1750</v>
      </c>
      <c r="AM65" s="52"/>
      <c r="AN65" s="52" t="s">
        <v>1795</v>
      </c>
      <c r="AO65" s="52"/>
      <c r="AP65" s="52"/>
      <c r="AQ65" s="52" t="s">
        <v>0</v>
      </c>
      <c r="AR65" s="52" t="s">
        <v>0</v>
      </c>
      <c r="AS65" s="52" t="s">
        <v>0</v>
      </c>
      <c r="AT65" s="52" t="s">
        <v>0</v>
      </c>
      <c r="AU65" s="52"/>
      <c r="AV65" s="52"/>
      <c r="AW65" s="52" t="s">
        <v>3040</v>
      </c>
      <c r="AX65" s="52" t="s">
        <v>3040</v>
      </c>
      <c r="AY65" s="52" t="s">
        <v>3040</v>
      </c>
      <c r="AZ65" s="52"/>
      <c r="BA65" s="52" t="s">
        <v>2037</v>
      </c>
      <c r="BB65" s="52"/>
      <c r="BC65" s="52"/>
      <c r="BD65" s="52" t="s">
        <v>2037</v>
      </c>
      <c r="BE65" s="52"/>
      <c r="BF65" s="52" t="s">
        <v>2037</v>
      </c>
      <c r="BG65" s="52" t="s">
        <v>0</v>
      </c>
      <c r="BH65" s="52"/>
      <c r="BI65" s="52"/>
      <c r="BJ65" s="52"/>
      <c r="BK65" s="52" t="s">
        <v>1347</v>
      </c>
      <c r="BL65" s="52" t="s">
        <v>1347</v>
      </c>
      <c r="BM65" s="52"/>
      <c r="BN65" s="52"/>
      <c r="BO65" s="52"/>
      <c r="BP65" s="52"/>
      <c r="BQ65" s="52"/>
      <c r="BR65" s="52"/>
      <c r="BS65" s="52"/>
      <c r="BT65" s="52" t="s">
        <v>3685</v>
      </c>
      <c r="BU65" s="52" t="s">
        <v>3600</v>
      </c>
      <c r="BV65" s="52" t="s">
        <v>3567</v>
      </c>
      <c r="BW65" s="52" t="s">
        <v>2505</v>
      </c>
      <c r="BX65" s="52" t="s">
        <v>2505</v>
      </c>
      <c r="BY65" s="52" t="s">
        <v>2505</v>
      </c>
      <c r="BZ65" s="52" t="s">
        <v>3989</v>
      </c>
      <c r="CA65" s="52"/>
      <c r="CB65" s="52"/>
      <c r="CC65" s="52"/>
      <c r="CD65" s="52" t="s">
        <v>2554</v>
      </c>
      <c r="CE65" s="52" t="s">
        <v>2554</v>
      </c>
      <c r="CF65" s="52"/>
      <c r="CG65" s="52" t="s">
        <v>1650</v>
      </c>
      <c r="CH65" s="52" t="s">
        <v>1650</v>
      </c>
      <c r="CI65" s="52" t="s">
        <v>3989</v>
      </c>
      <c r="CJ65" s="52" t="s">
        <v>3989</v>
      </c>
      <c r="CK65" s="52" t="s">
        <v>2723</v>
      </c>
      <c r="CL65" s="52"/>
      <c r="CM65" s="52"/>
      <c r="CN65" s="52"/>
      <c r="CO65" s="52" t="s">
        <v>2122</v>
      </c>
      <c r="CP65" s="52" t="s">
        <v>2868</v>
      </c>
      <c r="CQ65" s="52"/>
      <c r="CR65" s="52"/>
      <c r="CS65" s="52"/>
      <c r="CT65" s="52"/>
      <c r="CU65" s="52"/>
      <c r="CV65" s="52"/>
      <c r="CW65" s="52" t="s">
        <v>1180</v>
      </c>
      <c r="CX65" s="52"/>
    </row>
    <row r="66" spans="1:102" ht="30" customHeight="1">
      <c r="A66" s="57" t="s">
        <v>7</v>
      </c>
      <c r="B66" s="36" t="s">
        <v>4008</v>
      </c>
      <c r="C66" s="36" t="s">
        <v>464</v>
      </c>
      <c r="D66" s="36" t="s">
        <v>279</v>
      </c>
      <c r="E66" s="36" t="s">
        <v>278</v>
      </c>
      <c r="F66" s="36" t="s">
        <v>279</v>
      </c>
      <c r="G66" s="36" t="s">
        <v>278</v>
      </c>
      <c r="H66" s="36" t="s">
        <v>5496</v>
      </c>
      <c r="I66" s="36" t="s">
        <v>5497</v>
      </c>
      <c r="J66" s="36" t="s">
        <v>511</v>
      </c>
      <c r="K66" s="36" t="s">
        <v>476</v>
      </c>
      <c r="L66" s="36" t="s">
        <v>476</v>
      </c>
      <c r="M66" s="36" t="s">
        <v>1509</v>
      </c>
      <c r="N66" s="36" t="s">
        <v>476</v>
      </c>
      <c r="O66" s="36" t="s">
        <v>476</v>
      </c>
      <c r="P66" s="36" t="s">
        <v>511</v>
      </c>
      <c r="Q66" s="36" t="s">
        <v>476</v>
      </c>
      <c r="R66" s="36" t="s">
        <v>476</v>
      </c>
      <c r="S66" s="36" t="s">
        <v>511</v>
      </c>
      <c r="T66" s="36" t="s">
        <v>476</v>
      </c>
      <c r="U66" s="36" t="s">
        <v>476</v>
      </c>
      <c r="V66" s="36" t="s">
        <v>5874</v>
      </c>
      <c r="W66" s="36" t="s">
        <v>4634</v>
      </c>
      <c r="X66" s="36" t="s">
        <v>4674</v>
      </c>
      <c r="Y66" s="36" t="s">
        <v>4674</v>
      </c>
      <c r="Z66" s="36" t="s">
        <v>771</v>
      </c>
      <c r="AA66" s="36" t="s">
        <v>5642</v>
      </c>
      <c r="AB66" s="36" t="s">
        <v>5643</v>
      </c>
      <c r="AC66" s="36" t="s">
        <v>5643</v>
      </c>
      <c r="AD66" s="36" t="s">
        <v>373</v>
      </c>
      <c r="AE66" s="122" t="s">
        <v>5668</v>
      </c>
      <c r="AF66" s="36" t="s">
        <v>4673</v>
      </c>
      <c r="AG66" s="36" t="s">
        <v>4674</v>
      </c>
      <c r="AH66" s="36" t="s">
        <v>410</v>
      </c>
      <c r="AI66" s="7" t="s">
        <v>425</v>
      </c>
      <c r="AJ66" s="7" t="s">
        <v>425</v>
      </c>
      <c r="AK66" s="7" t="s">
        <v>1756</v>
      </c>
      <c r="AL66" s="7" t="s">
        <v>1756</v>
      </c>
      <c r="AM66" s="7" t="s">
        <v>452</v>
      </c>
      <c r="AN66" s="7" t="s">
        <v>1802</v>
      </c>
      <c r="AO66" s="7" t="s">
        <v>410</v>
      </c>
      <c r="AP66" s="32" t="s">
        <v>411</v>
      </c>
      <c r="AQ66" s="7" t="s">
        <v>410</v>
      </c>
      <c r="AR66" s="37" t="s">
        <v>411</v>
      </c>
      <c r="AS66" s="7" t="s">
        <v>410</v>
      </c>
      <c r="AT66" s="37" t="s">
        <v>411</v>
      </c>
      <c r="AU66" s="36" t="s">
        <v>362</v>
      </c>
      <c r="AV66" s="36" t="s">
        <v>359</v>
      </c>
      <c r="AW66" s="37" t="s">
        <v>3044</v>
      </c>
      <c r="AX66" s="37" t="s">
        <v>2987</v>
      </c>
      <c r="AY66" s="37" t="s">
        <v>2951</v>
      </c>
      <c r="AZ66" s="36" t="s">
        <v>902</v>
      </c>
      <c r="BA66" s="36" t="s">
        <v>2222</v>
      </c>
      <c r="BB66" s="36" t="s">
        <v>276</v>
      </c>
      <c r="BC66" s="36" t="s">
        <v>276</v>
      </c>
      <c r="BD66" s="36" t="s">
        <v>1946</v>
      </c>
      <c r="BE66" s="36" t="s">
        <v>277</v>
      </c>
      <c r="BF66" s="36" t="s">
        <v>277</v>
      </c>
      <c r="BG66" s="36" t="s">
        <v>4105</v>
      </c>
      <c r="BH66" s="36" t="s">
        <v>304</v>
      </c>
      <c r="BI66" s="36" t="s">
        <v>860</v>
      </c>
      <c r="BJ66" s="36" t="s">
        <v>860</v>
      </c>
      <c r="BK66" s="36" t="s">
        <v>994</v>
      </c>
      <c r="BL66" s="36" t="s">
        <v>994</v>
      </c>
      <c r="BM66" s="36" t="s">
        <v>303</v>
      </c>
      <c r="BN66" s="36" t="s">
        <v>281</v>
      </c>
      <c r="BO66" s="36" t="s">
        <v>282</v>
      </c>
      <c r="BP66" s="36" t="s">
        <v>281</v>
      </c>
      <c r="BQ66" s="36" t="s">
        <v>283</v>
      </c>
      <c r="BR66" s="36" t="s">
        <v>280</v>
      </c>
      <c r="BS66" s="36" t="s">
        <v>593</v>
      </c>
      <c r="BT66" s="36" t="s">
        <v>3687</v>
      </c>
      <c r="BU66" s="36" t="s">
        <v>3602</v>
      </c>
      <c r="BV66" s="36" t="s">
        <v>593</v>
      </c>
      <c r="BW66" s="36" t="s">
        <v>2508</v>
      </c>
      <c r="BX66" s="36" t="s">
        <v>2508</v>
      </c>
      <c r="BY66" s="36" t="s">
        <v>2508</v>
      </c>
      <c r="BZ66" s="36" t="s">
        <v>4602</v>
      </c>
      <c r="CA66" s="36" t="s">
        <v>304</v>
      </c>
      <c r="CB66" s="36" t="s">
        <v>320</v>
      </c>
      <c r="CC66" s="36" t="s">
        <v>735</v>
      </c>
      <c r="CD66" s="36" t="s">
        <v>2545</v>
      </c>
      <c r="CE66" s="36" t="s">
        <v>2546</v>
      </c>
      <c r="CF66" s="36" t="s">
        <v>519</v>
      </c>
      <c r="CG66" s="36" t="s">
        <v>2222</v>
      </c>
      <c r="CH66" s="36" t="s">
        <v>2305</v>
      </c>
      <c r="CI66" s="36" t="s">
        <v>410</v>
      </c>
      <c r="CJ66" s="36" t="s">
        <v>4046</v>
      </c>
      <c r="CK66" s="36" t="s">
        <v>2619</v>
      </c>
      <c r="CL66" s="36" t="s">
        <v>519</v>
      </c>
      <c r="CM66" s="36" t="s">
        <v>304</v>
      </c>
      <c r="CN66" s="36" t="s">
        <v>532</v>
      </c>
      <c r="CO66" s="36" t="s">
        <v>532</v>
      </c>
      <c r="CP66" s="36" t="s">
        <v>1228</v>
      </c>
      <c r="CQ66" s="36" t="s">
        <v>695</v>
      </c>
      <c r="CR66" s="36" t="s">
        <v>696</v>
      </c>
      <c r="CS66" s="36" t="s">
        <v>3121</v>
      </c>
      <c r="CT66" s="36" t="s">
        <v>285</v>
      </c>
      <c r="CU66" s="36" t="s">
        <v>3121</v>
      </c>
      <c r="CV66" s="36" t="s">
        <v>285</v>
      </c>
      <c r="CW66" s="36" t="s">
        <v>1162</v>
      </c>
      <c r="CX66" s="36" t="s">
        <v>819</v>
      </c>
    </row>
    <row r="67" spans="1:102" ht="12" customHeight="1">
      <c r="A67" s="51" t="s">
        <v>935</v>
      </c>
      <c r="B67" s="52" t="s">
        <v>4009</v>
      </c>
      <c r="C67" s="52"/>
      <c r="D67" s="52"/>
      <c r="E67" s="52"/>
      <c r="F67" s="52" t="s">
        <v>1466</v>
      </c>
      <c r="G67" s="52" t="s">
        <v>1413</v>
      </c>
      <c r="H67" s="52" t="s">
        <v>1466</v>
      </c>
      <c r="I67" s="52" t="s">
        <v>1413</v>
      </c>
      <c r="J67" s="52"/>
      <c r="K67" s="52"/>
      <c r="L67" s="52"/>
      <c r="M67" s="52" t="s">
        <v>1508</v>
      </c>
      <c r="N67" s="52" t="s">
        <v>1607</v>
      </c>
      <c r="O67" s="52" t="s">
        <v>1550</v>
      </c>
      <c r="P67" s="52" t="s">
        <v>3327</v>
      </c>
      <c r="Q67" s="52" t="s">
        <v>3365</v>
      </c>
      <c r="R67" s="52" t="s">
        <v>3413</v>
      </c>
      <c r="S67" s="52" t="s">
        <v>3327</v>
      </c>
      <c r="T67" s="52" t="s">
        <v>3365</v>
      </c>
      <c r="U67" s="52" t="s">
        <v>3413</v>
      </c>
      <c r="V67" s="52" t="s">
        <v>5301</v>
      </c>
      <c r="W67" s="52" t="s">
        <v>3327</v>
      </c>
      <c r="X67" s="52" t="s">
        <v>1612</v>
      </c>
      <c r="Y67" s="52" t="s">
        <v>3368</v>
      </c>
      <c r="Z67" s="52"/>
      <c r="AA67" s="52"/>
      <c r="AB67" s="52"/>
      <c r="AC67" s="52"/>
      <c r="AD67" s="52"/>
      <c r="AE67" s="123" t="s">
        <v>5669</v>
      </c>
      <c r="AF67" s="52" t="s">
        <v>4676</v>
      </c>
      <c r="AG67" s="52" t="s">
        <v>4676</v>
      </c>
      <c r="AH67" s="52" t="s">
        <v>4675</v>
      </c>
      <c r="AI67" s="52"/>
      <c r="AJ67" s="52"/>
      <c r="AK67" s="52" t="s">
        <v>1755</v>
      </c>
      <c r="AL67" s="52" t="s">
        <v>1755</v>
      </c>
      <c r="AM67" s="52"/>
      <c r="AN67" s="52" t="s">
        <v>1801</v>
      </c>
      <c r="AO67" s="52"/>
      <c r="AP67" s="52"/>
      <c r="AQ67" s="52" t="s">
        <v>1922</v>
      </c>
      <c r="AR67" s="52" t="s">
        <v>1922</v>
      </c>
      <c r="AS67" s="52" t="s">
        <v>1922</v>
      </c>
      <c r="AT67" s="52" t="s">
        <v>1922</v>
      </c>
      <c r="AU67" s="52"/>
      <c r="AV67" s="52"/>
      <c r="AW67" s="52" t="s">
        <v>3043</v>
      </c>
      <c r="AX67" s="52" t="s">
        <v>2985</v>
      </c>
      <c r="AY67" s="52" t="s">
        <v>2950</v>
      </c>
      <c r="AZ67" s="52"/>
      <c r="BA67" s="52" t="s">
        <v>4117</v>
      </c>
      <c r="BB67" s="52"/>
      <c r="BC67" s="52"/>
      <c r="BD67" s="52" t="s">
        <v>1947</v>
      </c>
      <c r="BE67" s="52"/>
      <c r="BF67" s="52" t="s">
        <v>1996</v>
      </c>
      <c r="BG67" s="52" t="s">
        <v>4104</v>
      </c>
      <c r="BH67" s="52" t="s">
        <v>3200</v>
      </c>
      <c r="BI67" s="52"/>
      <c r="BJ67" s="52"/>
      <c r="BK67" s="52" t="s">
        <v>1346</v>
      </c>
      <c r="BL67" s="52" t="s">
        <v>1346</v>
      </c>
      <c r="BM67" s="52"/>
      <c r="BN67" s="52"/>
      <c r="BO67" s="52" t="s">
        <v>4578</v>
      </c>
      <c r="BP67" s="52"/>
      <c r="BQ67" s="52"/>
      <c r="BR67" s="52"/>
      <c r="BS67" s="52"/>
      <c r="BT67" s="52" t="s">
        <v>3686</v>
      </c>
      <c r="BU67" s="52" t="s">
        <v>3601</v>
      </c>
      <c r="BV67" s="52" t="s">
        <v>3532</v>
      </c>
      <c r="BW67" s="52" t="s">
        <v>2507</v>
      </c>
      <c r="BX67" s="52" t="s">
        <v>2507</v>
      </c>
      <c r="BY67" s="52" t="s">
        <v>2507</v>
      </c>
      <c r="BZ67" s="52" t="s">
        <v>4601</v>
      </c>
      <c r="CA67" s="52"/>
      <c r="CB67" s="52"/>
      <c r="CC67" s="52"/>
      <c r="CD67" s="52" t="s">
        <v>2565</v>
      </c>
      <c r="CE67" s="52" t="s">
        <v>2547</v>
      </c>
      <c r="CF67" s="52"/>
      <c r="CG67" s="52" t="s">
        <v>2221</v>
      </c>
      <c r="CH67" s="52" t="s">
        <v>2304</v>
      </c>
      <c r="CI67" s="52" t="s">
        <v>4048</v>
      </c>
      <c r="CJ67" s="52" t="s">
        <v>4040</v>
      </c>
      <c r="CK67" s="52" t="s">
        <v>2640</v>
      </c>
      <c r="CL67" s="52"/>
      <c r="CM67" s="52"/>
      <c r="CN67" s="52"/>
      <c r="CO67" s="52" t="s">
        <v>2125</v>
      </c>
      <c r="CP67" s="52" t="s">
        <v>2871</v>
      </c>
      <c r="CQ67" s="52"/>
      <c r="CR67" s="52"/>
      <c r="CS67" s="52"/>
      <c r="CT67" s="52"/>
      <c r="CU67" s="52"/>
      <c r="CV67" s="52"/>
      <c r="CW67" s="52" t="s">
        <v>1150</v>
      </c>
      <c r="CX67" s="52"/>
    </row>
    <row r="68" spans="1:102" ht="30" customHeight="1">
      <c r="A68" s="57" t="s">
        <v>321</v>
      </c>
      <c r="B68" s="38" t="s">
        <v>361</v>
      </c>
      <c r="C68" s="38" t="s">
        <v>361</v>
      </c>
      <c r="D68" s="38" t="s">
        <v>56</v>
      </c>
      <c r="E68" s="38" t="s">
        <v>56</v>
      </c>
      <c r="F68" s="36" t="s">
        <v>1430</v>
      </c>
      <c r="G68" s="36" t="s">
        <v>1430</v>
      </c>
      <c r="H68" s="36" t="s">
        <v>6506</v>
      </c>
      <c r="I68" s="36" t="s">
        <v>6506</v>
      </c>
      <c r="J68" s="38" t="s">
        <v>6</v>
      </c>
      <c r="K68" s="38" t="s">
        <v>17</v>
      </c>
      <c r="L68" s="38" t="s">
        <v>18</v>
      </c>
      <c r="M68" s="38" t="s">
        <v>6</v>
      </c>
      <c r="N68" s="38" t="s">
        <v>17</v>
      </c>
      <c r="O68" s="38" t="s">
        <v>18</v>
      </c>
      <c r="P68" s="38" t="s">
        <v>6</v>
      </c>
      <c r="Q68" s="38" t="s">
        <v>210</v>
      </c>
      <c r="R68" s="38" t="s">
        <v>18</v>
      </c>
      <c r="S68" s="38" t="s">
        <v>6</v>
      </c>
      <c r="T68" s="38" t="s">
        <v>210</v>
      </c>
      <c r="U68" s="38" t="s">
        <v>18</v>
      </c>
      <c r="V68" s="36" t="s">
        <v>0</v>
      </c>
      <c r="W68" s="36" t="s">
        <v>5276</v>
      </c>
      <c r="X68" s="36" t="s">
        <v>5875</v>
      </c>
      <c r="Y68" s="36" t="s">
        <v>5276</v>
      </c>
      <c r="Z68" s="38" t="s">
        <v>210</v>
      </c>
      <c r="AA68" s="36" t="s">
        <v>788</v>
      </c>
      <c r="AB68" s="38" t="s">
        <v>361</v>
      </c>
      <c r="AC68" s="38" t="s">
        <v>361</v>
      </c>
      <c r="AD68" s="38" t="s">
        <v>0</v>
      </c>
      <c r="AE68" s="122" t="s">
        <v>0</v>
      </c>
      <c r="AF68" s="36" t="s">
        <v>4803</v>
      </c>
      <c r="AG68" s="36" t="s">
        <v>4806</v>
      </c>
      <c r="AH68" s="36" t="s">
        <v>4802</v>
      </c>
      <c r="AI68" s="7" t="s">
        <v>57</v>
      </c>
      <c r="AJ68" s="7" t="s">
        <v>57</v>
      </c>
      <c r="AK68" s="7" t="s">
        <v>57</v>
      </c>
      <c r="AL68" s="7" t="s">
        <v>57</v>
      </c>
      <c r="AM68" s="7" t="s">
        <v>111</v>
      </c>
      <c r="AN68" s="7" t="s">
        <v>1822</v>
      </c>
      <c r="AO68" s="7" t="s">
        <v>0</v>
      </c>
      <c r="AP68" s="33" t="s">
        <v>6</v>
      </c>
      <c r="AQ68" s="7" t="s">
        <v>0</v>
      </c>
      <c r="AR68" s="34" t="s">
        <v>6</v>
      </c>
      <c r="AS68" s="7" t="s">
        <v>0</v>
      </c>
      <c r="AT68" s="34" t="s">
        <v>6</v>
      </c>
      <c r="AU68" s="38" t="s">
        <v>0</v>
      </c>
      <c r="AV68" s="36" t="s">
        <v>0</v>
      </c>
      <c r="AW68" s="34" t="s">
        <v>0</v>
      </c>
      <c r="AX68" s="34" t="s">
        <v>0</v>
      </c>
      <c r="AY68" s="37" t="s">
        <v>2922</v>
      </c>
      <c r="AZ68" s="36" t="s">
        <v>884</v>
      </c>
      <c r="BA68" s="36" t="s">
        <v>159</v>
      </c>
      <c r="BB68" s="36" t="s">
        <v>291</v>
      </c>
      <c r="BC68" s="36" t="s">
        <v>291</v>
      </c>
      <c r="BD68" s="36" t="s">
        <v>1932</v>
      </c>
      <c r="BE68" s="36" t="s">
        <v>292</v>
      </c>
      <c r="BF68" s="36" t="s">
        <v>1971</v>
      </c>
      <c r="BG68" s="36" t="s">
        <v>0</v>
      </c>
      <c r="BH68" s="36" t="s">
        <v>361</v>
      </c>
      <c r="BI68" s="38" t="s">
        <v>57</v>
      </c>
      <c r="BJ68" s="38" t="s">
        <v>57</v>
      </c>
      <c r="BK68" s="36" t="s">
        <v>1313</v>
      </c>
      <c r="BL68" s="36" t="s">
        <v>1313</v>
      </c>
      <c r="BM68" s="38" t="s">
        <v>0</v>
      </c>
      <c r="BN68" s="38" t="s">
        <v>106</v>
      </c>
      <c r="BO68" s="38" t="s">
        <v>57</v>
      </c>
      <c r="BP68" s="38" t="s">
        <v>106</v>
      </c>
      <c r="BQ68" s="38" t="s">
        <v>57</v>
      </c>
      <c r="BR68" s="38" t="s">
        <v>210</v>
      </c>
      <c r="BS68" s="36" t="s">
        <v>592</v>
      </c>
      <c r="BT68" s="36" t="s">
        <v>0</v>
      </c>
      <c r="BU68" s="36" t="s">
        <v>0</v>
      </c>
      <c r="BV68" s="36" t="s">
        <v>210</v>
      </c>
      <c r="BW68" s="38" t="s">
        <v>0</v>
      </c>
      <c r="BX68" s="38" t="s">
        <v>0</v>
      </c>
      <c r="BY68" s="38" t="s">
        <v>0</v>
      </c>
      <c r="BZ68" s="36" t="s">
        <v>0</v>
      </c>
      <c r="CA68" s="36" t="s">
        <v>6</v>
      </c>
      <c r="CB68" s="36" t="s">
        <v>197</v>
      </c>
      <c r="CC68" s="36" t="s">
        <v>727</v>
      </c>
      <c r="CD68" s="38" t="s">
        <v>111</v>
      </c>
      <c r="CE68" s="38" t="s">
        <v>210</v>
      </c>
      <c r="CF68" s="38" t="s">
        <v>0</v>
      </c>
      <c r="CG68" s="36" t="s">
        <v>2229</v>
      </c>
      <c r="CH68" s="36" t="s">
        <v>0</v>
      </c>
      <c r="CI68" s="38" t="s">
        <v>0</v>
      </c>
      <c r="CJ68" s="38" t="s">
        <v>0</v>
      </c>
      <c r="CK68" s="38" t="s">
        <v>210</v>
      </c>
      <c r="CL68" s="38" t="s">
        <v>613</v>
      </c>
      <c r="CM68" s="38" t="s">
        <v>0</v>
      </c>
      <c r="CN68" s="38" t="s">
        <v>0</v>
      </c>
      <c r="CO68" s="38" t="s">
        <v>0</v>
      </c>
      <c r="CP68" s="38" t="s">
        <v>57</v>
      </c>
      <c r="CQ68" s="38" t="s">
        <v>17</v>
      </c>
      <c r="CR68" s="38" t="s">
        <v>26</v>
      </c>
      <c r="CS68" s="38" t="s">
        <v>203</v>
      </c>
      <c r="CT68" s="38" t="s">
        <v>203</v>
      </c>
      <c r="CU68" s="36" t="s">
        <v>776</v>
      </c>
      <c r="CV68" s="36" t="s">
        <v>776</v>
      </c>
      <c r="CW68" s="36" t="s">
        <v>361</v>
      </c>
      <c r="CX68" s="36" t="s">
        <v>820</v>
      </c>
    </row>
    <row r="69" spans="1:102" ht="12" customHeight="1">
      <c r="A69" s="51" t="s">
        <v>935</v>
      </c>
      <c r="B69" s="52" t="s">
        <v>3975</v>
      </c>
      <c r="C69" s="52"/>
      <c r="D69" s="52"/>
      <c r="E69" s="52"/>
      <c r="F69" s="52" t="s">
        <v>1429</v>
      </c>
      <c r="G69" s="52" t="s">
        <v>1429</v>
      </c>
      <c r="H69" s="52" t="s">
        <v>1407</v>
      </c>
      <c r="I69" s="52" t="s">
        <v>1407</v>
      </c>
      <c r="J69" s="52"/>
      <c r="K69" s="52"/>
      <c r="L69" s="52"/>
      <c r="M69" s="52" t="s">
        <v>1500</v>
      </c>
      <c r="N69" s="52" t="s">
        <v>1595</v>
      </c>
      <c r="O69" s="52" t="s">
        <v>1542</v>
      </c>
      <c r="P69" s="52" t="s">
        <v>1502</v>
      </c>
      <c r="Q69" s="52" t="s">
        <v>3358</v>
      </c>
      <c r="R69" s="52" t="s">
        <v>1544</v>
      </c>
      <c r="S69" s="52" t="s">
        <v>1502</v>
      </c>
      <c r="T69" s="52" t="s">
        <v>3358</v>
      </c>
      <c r="U69" s="52" t="s">
        <v>1544</v>
      </c>
      <c r="V69" s="52" t="s">
        <v>0</v>
      </c>
      <c r="W69" s="52" t="s">
        <v>5876</v>
      </c>
      <c r="X69" s="52" t="s">
        <v>1597</v>
      </c>
      <c r="Y69" s="52" t="s">
        <v>1545</v>
      </c>
      <c r="Z69" s="52"/>
      <c r="AA69" s="52"/>
      <c r="AB69" s="52"/>
      <c r="AC69" s="52"/>
      <c r="AD69" s="52"/>
      <c r="AE69" s="123" t="s">
        <v>0</v>
      </c>
      <c r="AF69" s="52" t="s">
        <v>4804</v>
      </c>
      <c r="AG69" s="52" t="s">
        <v>4805</v>
      </c>
      <c r="AH69" s="52" t="s">
        <v>4801</v>
      </c>
      <c r="AI69" s="52"/>
      <c r="AJ69" s="52"/>
      <c r="AK69" s="52" t="s">
        <v>1758</v>
      </c>
      <c r="AL69" s="52" t="s">
        <v>1758</v>
      </c>
      <c r="AM69" s="52"/>
      <c r="AN69" s="52" t="s">
        <v>1818</v>
      </c>
      <c r="AO69" s="52"/>
      <c r="AP69" s="52"/>
      <c r="AQ69" s="52" t="s">
        <v>0</v>
      </c>
      <c r="AR69" s="52" t="s">
        <v>1872</v>
      </c>
      <c r="AS69" s="52" t="s">
        <v>0</v>
      </c>
      <c r="AT69" s="52" t="s">
        <v>1872</v>
      </c>
      <c r="AU69" s="52"/>
      <c r="AV69" s="52"/>
      <c r="AW69" s="52" t="s">
        <v>0</v>
      </c>
      <c r="AX69" s="52" t="s">
        <v>0</v>
      </c>
      <c r="AY69" s="52" t="s">
        <v>2923</v>
      </c>
      <c r="AZ69" s="52"/>
      <c r="BA69" s="52" t="s">
        <v>4117</v>
      </c>
      <c r="BB69" s="52"/>
      <c r="BC69" s="52"/>
      <c r="BD69" s="52" t="s">
        <v>1931</v>
      </c>
      <c r="BE69" s="52"/>
      <c r="BF69" s="52" t="s">
        <v>1982</v>
      </c>
      <c r="BG69" s="52" t="s">
        <v>0</v>
      </c>
      <c r="BH69" s="52"/>
      <c r="BI69" s="52"/>
      <c r="BJ69" s="52"/>
      <c r="BK69" s="52" t="s">
        <v>1312</v>
      </c>
      <c r="BL69" s="52" t="s">
        <v>1312</v>
      </c>
      <c r="BM69" s="52"/>
      <c r="BN69" s="52"/>
      <c r="BO69" s="52"/>
      <c r="BP69" s="52"/>
      <c r="BQ69" s="52"/>
      <c r="BR69" s="52"/>
      <c r="BS69" s="52"/>
      <c r="BT69" s="52" t="s">
        <v>0</v>
      </c>
      <c r="BU69" s="52" t="s">
        <v>0</v>
      </c>
      <c r="BV69" s="52" t="s">
        <v>3506</v>
      </c>
      <c r="BW69" s="52" t="s">
        <v>0</v>
      </c>
      <c r="BX69" s="52" t="s">
        <v>0</v>
      </c>
      <c r="BY69" s="52" t="s">
        <v>0</v>
      </c>
      <c r="BZ69" s="52" t="s">
        <v>0</v>
      </c>
      <c r="CA69" s="52"/>
      <c r="CB69" s="52"/>
      <c r="CC69" s="52"/>
      <c r="CD69" s="52" t="s">
        <v>2556</v>
      </c>
      <c r="CE69" s="52" t="s">
        <v>2547</v>
      </c>
      <c r="CF69" s="52"/>
      <c r="CG69" s="52" t="s">
        <v>2228</v>
      </c>
      <c r="CH69" s="52" t="s">
        <v>0</v>
      </c>
      <c r="CI69" s="52" t="s">
        <v>0</v>
      </c>
      <c r="CJ69" s="52" t="s">
        <v>0</v>
      </c>
      <c r="CK69" s="52" t="s">
        <v>2681</v>
      </c>
      <c r="CL69" s="52"/>
      <c r="CM69" s="52"/>
      <c r="CN69" s="52"/>
      <c r="CO69" s="52" t="s">
        <v>0</v>
      </c>
      <c r="CP69" s="52" t="s">
        <v>2874</v>
      </c>
      <c r="CQ69" s="52"/>
      <c r="CR69" s="52"/>
      <c r="CS69" s="52"/>
      <c r="CT69" s="52"/>
      <c r="CU69" s="52"/>
      <c r="CV69" s="52"/>
      <c r="CW69" s="52" t="s">
        <v>1150</v>
      </c>
      <c r="CX69" s="52"/>
    </row>
    <row r="70" spans="1:102" ht="22.5" customHeight="1">
      <c r="A70" s="57" t="s">
        <v>451</v>
      </c>
      <c r="B70" s="38" t="s">
        <v>57</v>
      </c>
      <c r="C70" s="38" t="s">
        <v>57</v>
      </c>
      <c r="D70" s="38" t="s">
        <v>57</v>
      </c>
      <c r="E70" s="38" t="s">
        <v>57</v>
      </c>
      <c r="F70" s="38" t="s">
        <v>57</v>
      </c>
      <c r="G70" s="38" t="s">
        <v>57</v>
      </c>
      <c r="H70" s="38" t="s">
        <v>57</v>
      </c>
      <c r="I70" s="38" t="s">
        <v>57</v>
      </c>
      <c r="J70" s="38" t="s">
        <v>57</v>
      </c>
      <c r="K70" s="38" t="s">
        <v>57</v>
      </c>
      <c r="L70" s="38" t="s">
        <v>57</v>
      </c>
      <c r="M70" s="38" t="s">
        <v>57</v>
      </c>
      <c r="N70" s="38" t="s">
        <v>57</v>
      </c>
      <c r="O70" s="38" t="s">
        <v>57</v>
      </c>
      <c r="P70" s="38" t="s">
        <v>57</v>
      </c>
      <c r="Q70" s="38" t="s">
        <v>57</v>
      </c>
      <c r="R70" s="38" t="s">
        <v>57</v>
      </c>
      <c r="S70" s="38" t="s">
        <v>57</v>
      </c>
      <c r="T70" s="38" t="s">
        <v>57</v>
      </c>
      <c r="U70" s="38" t="s">
        <v>57</v>
      </c>
      <c r="V70" s="38" t="s">
        <v>57</v>
      </c>
      <c r="W70" s="38" t="s">
        <v>57</v>
      </c>
      <c r="X70" s="38" t="s">
        <v>57</v>
      </c>
      <c r="Y70" s="38" t="s">
        <v>57</v>
      </c>
      <c r="Z70" s="38" t="s">
        <v>196</v>
      </c>
      <c r="AA70" s="38" t="s">
        <v>57</v>
      </c>
      <c r="AB70" s="38" t="s">
        <v>57</v>
      </c>
      <c r="AC70" s="38" t="s">
        <v>57</v>
      </c>
      <c r="AD70" s="38" t="s">
        <v>57</v>
      </c>
      <c r="AE70" s="124" t="s">
        <v>57</v>
      </c>
      <c r="AF70" s="38" t="s">
        <v>57</v>
      </c>
      <c r="AG70" s="38" t="s">
        <v>57</v>
      </c>
      <c r="AH70" s="38" t="s">
        <v>57</v>
      </c>
      <c r="AI70" s="7" t="s">
        <v>196</v>
      </c>
      <c r="AJ70" s="7" t="s">
        <v>196</v>
      </c>
      <c r="AK70" s="7" t="s">
        <v>196</v>
      </c>
      <c r="AL70" s="7" t="s">
        <v>196</v>
      </c>
      <c r="AM70" s="7" t="s">
        <v>57</v>
      </c>
      <c r="AN70" s="7" t="s">
        <v>57</v>
      </c>
      <c r="AO70" s="7" t="s">
        <v>57</v>
      </c>
      <c r="AP70" s="33" t="s">
        <v>57</v>
      </c>
      <c r="AQ70" s="7" t="s">
        <v>57</v>
      </c>
      <c r="AR70" s="7" t="s">
        <v>57</v>
      </c>
      <c r="AS70" s="7" t="s">
        <v>57</v>
      </c>
      <c r="AT70" s="7" t="s">
        <v>57</v>
      </c>
      <c r="AU70" s="38" t="s">
        <v>57</v>
      </c>
      <c r="AV70" s="38" t="s">
        <v>57</v>
      </c>
      <c r="AW70" s="34" t="s">
        <v>57</v>
      </c>
      <c r="AX70" s="34" t="s">
        <v>57</v>
      </c>
      <c r="AY70" s="34" t="s">
        <v>57</v>
      </c>
      <c r="AZ70" s="38" t="s">
        <v>57</v>
      </c>
      <c r="BA70" s="38" t="s">
        <v>57</v>
      </c>
      <c r="BB70" s="38" t="s">
        <v>57</v>
      </c>
      <c r="BC70" s="38" t="s">
        <v>57</v>
      </c>
      <c r="BD70" s="38" t="s">
        <v>57</v>
      </c>
      <c r="BE70" s="38" t="s">
        <v>57</v>
      </c>
      <c r="BF70" s="38" t="s">
        <v>57</v>
      </c>
      <c r="BG70" s="38" t="s">
        <v>57</v>
      </c>
      <c r="BH70" s="36" t="s">
        <v>584</v>
      </c>
      <c r="BI70" s="38" t="s">
        <v>57</v>
      </c>
      <c r="BJ70" s="38" t="s">
        <v>57</v>
      </c>
      <c r="BK70" s="38" t="s">
        <v>57</v>
      </c>
      <c r="BL70" s="38" t="s">
        <v>57</v>
      </c>
      <c r="BM70" s="38" t="s">
        <v>57</v>
      </c>
      <c r="BN70" s="38" t="s">
        <v>57</v>
      </c>
      <c r="BO70" s="38" t="s">
        <v>57</v>
      </c>
      <c r="BP70" s="38" t="s">
        <v>57</v>
      </c>
      <c r="BQ70" s="38" t="s">
        <v>57</v>
      </c>
      <c r="BR70" s="38" t="s">
        <v>57</v>
      </c>
      <c r="BS70" s="38" t="s">
        <v>57</v>
      </c>
      <c r="BT70" s="38" t="s">
        <v>57</v>
      </c>
      <c r="BU70" s="38" t="s">
        <v>57</v>
      </c>
      <c r="BV70" s="36" t="s">
        <v>3535</v>
      </c>
      <c r="BW70" s="38" t="s">
        <v>57</v>
      </c>
      <c r="BX70" s="38" t="s">
        <v>57</v>
      </c>
      <c r="BY70" s="38" t="s">
        <v>57</v>
      </c>
      <c r="BZ70" s="36" t="s">
        <v>57</v>
      </c>
      <c r="CA70" s="36" t="s">
        <v>318</v>
      </c>
      <c r="CB70" s="36" t="s">
        <v>318</v>
      </c>
      <c r="CC70" s="36" t="s">
        <v>57</v>
      </c>
      <c r="CD70" s="38" t="s">
        <v>57</v>
      </c>
      <c r="CE70" s="38" t="s">
        <v>57</v>
      </c>
      <c r="CF70" s="38" t="s">
        <v>57</v>
      </c>
      <c r="CG70" s="38" t="s">
        <v>57</v>
      </c>
      <c r="CH70" s="38" t="s">
        <v>57</v>
      </c>
      <c r="CI70" s="38" t="s">
        <v>57</v>
      </c>
      <c r="CJ70" s="38" t="s">
        <v>57</v>
      </c>
      <c r="CK70" s="38" t="s">
        <v>57</v>
      </c>
      <c r="CL70" s="38" t="s">
        <v>57</v>
      </c>
      <c r="CM70" s="38" t="s">
        <v>57</v>
      </c>
      <c r="CN70" s="38" t="s">
        <v>57</v>
      </c>
      <c r="CO70" s="38" t="s">
        <v>57</v>
      </c>
      <c r="CP70" s="38" t="s">
        <v>57</v>
      </c>
      <c r="CQ70" s="36" t="s">
        <v>704</v>
      </c>
      <c r="CR70" s="36" t="s">
        <v>704</v>
      </c>
      <c r="CS70" s="38" t="s">
        <v>57</v>
      </c>
      <c r="CT70" s="38" t="s">
        <v>57</v>
      </c>
      <c r="CU70" s="38" t="s">
        <v>57</v>
      </c>
      <c r="CV70" s="38" t="s">
        <v>57</v>
      </c>
      <c r="CW70" s="38" t="s">
        <v>57</v>
      </c>
      <c r="CX70" s="36" t="s">
        <v>57</v>
      </c>
    </row>
    <row r="71" spans="1:102" ht="12" customHeight="1">
      <c r="A71" s="51" t="s">
        <v>935</v>
      </c>
      <c r="B71" s="52" t="s">
        <v>4007</v>
      </c>
      <c r="C71" s="52"/>
      <c r="D71" s="52"/>
      <c r="E71" s="52"/>
      <c r="F71" s="52" t="s">
        <v>1467</v>
      </c>
      <c r="G71" s="52" t="s">
        <v>1467</v>
      </c>
      <c r="H71" s="52" t="s">
        <v>1467</v>
      </c>
      <c r="I71" s="52" t="s">
        <v>1467</v>
      </c>
      <c r="J71" s="52"/>
      <c r="K71" s="52"/>
      <c r="L71" s="52"/>
      <c r="M71" s="52" t="s">
        <v>1654</v>
      </c>
      <c r="N71" s="52" t="s">
        <v>1654</v>
      </c>
      <c r="O71" s="52" t="s">
        <v>1654</v>
      </c>
      <c r="P71" s="52" t="s">
        <v>1654</v>
      </c>
      <c r="Q71" s="52" t="s">
        <v>1654</v>
      </c>
      <c r="R71" s="52" t="s">
        <v>1654</v>
      </c>
      <c r="S71" s="52" t="s">
        <v>1654</v>
      </c>
      <c r="T71" s="52" t="s">
        <v>1654</v>
      </c>
      <c r="U71" s="52" t="s">
        <v>1654</v>
      </c>
      <c r="V71" s="52" t="s">
        <v>1654</v>
      </c>
      <c r="W71" s="52" t="s">
        <v>1654</v>
      </c>
      <c r="X71" s="52" t="s">
        <v>1654</v>
      </c>
      <c r="Y71" s="52" t="s">
        <v>1654</v>
      </c>
      <c r="Z71" s="52"/>
      <c r="AA71" s="52"/>
      <c r="AB71" s="52"/>
      <c r="AC71" s="52"/>
      <c r="AD71" s="52"/>
      <c r="AE71" s="123" t="s">
        <v>1654</v>
      </c>
      <c r="AF71" s="52" t="s">
        <v>4678</v>
      </c>
      <c r="AG71" s="52" t="s">
        <v>4678</v>
      </c>
      <c r="AH71" s="52" t="s">
        <v>4678</v>
      </c>
      <c r="AI71" s="52"/>
      <c r="AJ71" s="52"/>
      <c r="AK71" s="52" t="s">
        <v>1757</v>
      </c>
      <c r="AL71" s="52" t="s">
        <v>1757</v>
      </c>
      <c r="AM71" s="52"/>
      <c r="AN71" s="52" t="s">
        <v>1801</v>
      </c>
      <c r="AO71" s="52"/>
      <c r="AP71" s="52"/>
      <c r="AQ71" s="52" t="s">
        <v>1919</v>
      </c>
      <c r="AR71" s="52" t="s">
        <v>1919</v>
      </c>
      <c r="AS71" s="52" t="s">
        <v>1919</v>
      </c>
      <c r="AT71" s="52" t="s">
        <v>1919</v>
      </c>
      <c r="AU71" s="52"/>
      <c r="AV71" s="52"/>
      <c r="AW71" s="52" t="s">
        <v>3045</v>
      </c>
      <c r="AX71" s="52" t="s">
        <v>3045</v>
      </c>
      <c r="AY71" s="52" t="s">
        <v>3045</v>
      </c>
      <c r="AZ71" s="52"/>
      <c r="BA71" s="52" t="s">
        <v>2039</v>
      </c>
      <c r="BB71" s="52"/>
      <c r="BC71" s="52"/>
      <c r="BD71" s="52" t="s">
        <v>2039</v>
      </c>
      <c r="BE71" s="52"/>
      <c r="BF71" s="52" t="s">
        <v>2039</v>
      </c>
      <c r="BG71" s="52" t="s">
        <v>4104</v>
      </c>
      <c r="BH71" s="52"/>
      <c r="BI71" s="52"/>
      <c r="BJ71" s="52"/>
      <c r="BK71" s="52" t="s">
        <v>1348</v>
      </c>
      <c r="BL71" s="52" t="s">
        <v>1348</v>
      </c>
      <c r="BM71" s="52"/>
      <c r="BN71" s="52"/>
      <c r="BO71" s="52"/>
      <c r="BP71" s="52"/>
      <c r="BQ71" s="52"/>
      <c r="BR71" s="52"/>
      <c r="BS71" s="52"/>
      <c r="BT71" s="52" t="s">
        <v>3688</v>
      </c>
      <c r="BU71" s="52" t="s">
        <v>3603</v>
      </c>
      <c r="BV71" s="52" t="s">
        <v>3534</v>
      </c>
      <c r="BW71" s="52" t="s">
        <v>2509</v>
      </c>
      <c r="BX71" s="52" t="s">
        <v>2509</v>
      </c>
      <c r="BY71" s="52" t="s">
        <v>2509</v>
      </c>
      <c r="BZ71" s="52" t="s">
        <v>4001</v>
      </c>
      <c r="CA71" s="52"/>
      <c r="CB71" s="52"/>
      <c r="CC71" s="52"/>
      <c r="CD71" s="52" t="s">
        <v>2602</v>
      </c>
      <c r="CE71" s="52" t="s">
        <v>2602</v>
      </c>
      <c r="CF71" s="52"/>
      <c r="CG71" s="52" t="s">
        <v>1654</v>
      </c>
      <c r="CH71" s="52" t="s">
        <v>1654</v>
      </c>
      <c r="CI71" s="52" t="s">
        <v>4001</v>
      </c>
      <c r="CJ71" s="52" t="s">
        <v>4001</v>
      </c>
      <c r="CK71" s="52" t="s">
        <v>2674</v>
      </c>
      <c r="CL71" s="52"/>
      <c r="CM71" s="52"/>
      <c r="CN71" s="52"/>
      <c r="CO71" s="52" t="s">
        <v>2121</v>
      </c>
      <c r="CP71" s="52" t="s">
        <v>2872</v>
      </c>
      <c r="CQ71" s="52"/>
      <c r="CR71" s="52"/>
      <c r="CS71" s="52"/>
      <c r="CT71" s="52"/>
      <c r="CU71" s="52"/>
      <c r="CV71" s="52"/>
      <c r="CW71" s="52" t="s">
        <v>1230</v>
      </c>
      <c r="CX71" s="52"/>
    </row>
    <row r="72" spans="1:102" ht="27">
      <c r="A72" s="12" t="s">
        <v>63</v>
      </c>
      <c r="B72" s="38" t="s">
        <v>0</v>
      </c>
      <c r="C72" s="38" t="s">
        <v>0</v>
      </c>
      <c r="D72" s="38" t="s">
        <v>0</v>
      </c>
      <c r="E72" s="38" t="s">
        <v>0</v>
      </c>
      <c r="F72" s="38" t="s">
        <v>0</v>
      </c>
      <c r="G72" s="38" t="s">
        <v>0</v>
      </c>
      <c r="H72" s="38" t="s">
        <v>0</v>
      </c>
      <c r="I72" s="38" t="s">
        <v>0</v>
      </c>
      <c r="J72" s="38" t="s">
        <v>0</v>
      </c>
      <c r="K72" s="38" t="s">
        <v>0</v>
      </c>
      <c r="L72" s="38" t="s">
        <v>0</v>
      </c>
      <c r="M72" s="38" t="s">
        <v>0</v>
      </c>
      <c r="N72" s="38" t="s">
        <v>0</v>
      </c>
      <c r="O72" s="38" t="s">
        <v>0</v>
      </c>
      <c r="P72" s="38" t="s">
        <v>0</v>
      </c>
      <c r="Q72" s="38" t="s">
        <v>0</v>
      </c>
      <c r="R72" s="38" t="s">
        <v>0</v>
      </c>
      <c r="S72" s="38" t="s">
        <v>0</v>
      </c>
      <c r="T72" s="38" t="s">
        <v>0</v>
      </c>
      <c r="U72" s="38" t="s">
        <v>0</v>
      </c>
      <c r="V72" s="38" t="s">
        <v>0</v>
      </c>
      <c r="W72" s="38" t="s">
        <v>0</v>
      </c>
      <c r="X72" s="38" t="s">
        <v>0</v>
      </c>
      <c r="Y72" s="38" t="s">
        <v>0</v>
      </c>
      <c r="Z72" s="38" t="s">
        <v>0</v>
      </c>
      <c r="AA72" s="38" t="s">
        <v>0</v>
      </c>
      <c r="AB72" s="38" t="s">
        <v>0</v>
      </c>
      <c r="AC72" s="38" t="s">
        <v>0</v>
      </c>
      <c r="AD72" s="38" t="s">
        <v>64</v>
      </c>
      <c r="AE72" s="122" t="s">
        <v>0</v>
      </c>
      <c r="AF72" s="36" t="s">
        <v>0</v>
      </c>
      <c r="AG72" s="36" t="s">
        <v>0</v>
      </c>
      <c r="AH72" s="36" t="s">
        <v>0</v>
      </c>
      <c r="AI72" s="7" t="s">
        <v>0</v>
      </c>
      <c r="AJ72" s="33" t="s">
        <v>0</v>
      </c>
      <c r="AK72" s="7" t="s">
        <v>0</v>
      </c>
      <c r="AL72" s="34" t="s">
        <v>0</v>
      </c>
      <c r="AM72" s="34" t="s">
        <v>0</v>
      </c>
      <c r="AN72" s="34" t="s">
        <v>0</v>
      </c>
      <c r="AO72" s="7" t="s">
        <v>0</v>
      </c>
      <c r="AP72" s="33" t="s">
        <v>0</v>
      </c>
      <c r="AQ72" s="7" t="s">
        <v>0</v>
      </c>
      <c r="AR72" s="7" t="s">
        <v>0</v>
      </c>
      <c r="AS72" s="7" t="s">
        <v>0</v>
      </c>
      <c r="AT72" s="7" t="s">
        <v>0</v>
      </c>
      <c r="AU72" s="38" t="s">
        <v>0</v>
      </c>
      <c r="AV72" s="36" t="s">
        <v>359</v>
      </c>
      <c r="AW72" s="34" t="s">
        <v>0</v>
      </c>
      <c r="AX72" s="34" t="s">
        <v>0</v>
      </c>
      <c r="AY72" s="34" t="s">
        <v>0</v>
      </c>
      <c r="AZ72" s="38" t="s">
        <v>0</v>
      </c>
      <c r="BA72" s="38" t="s">
        <v>0</v>
      </c>
      <c r="BB72" s="38" t="s">
        <v>0</v>
      </c>
      <c r="BC72" s="38" t="s">
        <v>0</v>
      </c>
      <c r="BD72" s="38" t="s">
        <v>0</v>
      </c>
      <c r="BE72" s="38" t="s">
        <v>0</v>
      </c>
      <c r="BF72" s="38" t="s">
        <v>0</v>
      </c>
      <c r="BG72" s="36" t="s">
        <v>0</v>
      </c>
      <c r="BH72" s="38" t="s">
        <v>0</v>
      </c>
      <c r="BI72" s="38" t="s">
        <v>0</v>
      </c>
      <c r="BJ72" s="38" t="s">
        <v>0</v>
      </c>
      <c r="BK72" s="38" t="s">
        <v>0</v>
      </c>
      <c r="BL72" s="38" t="s">
        <v>0</v>
      </c>
      <c r="BM72" s="38" t="s">
        <v>0</v>
      </c>
      <c r="BN72" s="38" t="s">
        <v>56</v>
      </c>
      <c r="BO72" s="38" t="s">
        <v>56</v>
      </c>
      <c r="BP72" s="38" t="s">
        <v>56</v>
      </c>
      <c r="BQ72" s="38" t="s">
        <v>56</v>
      </c>
      <c r="BR72" s="38" t="s">
        <v>255</v>
      </c>
      <c r="BS72" s="38" t="s">
        <v>0</v>
      </c>
      <c r="BT72" s="38" t="s">
        <v>0</v>
      </c>
      <c r="BU72" s="38" t="s">
        <v>0</v>
      </c>
      <c r="BV72" s="38" t="s">
        <v>0</v>
      </c>
      <c r="BW72" s="38" t="s">
        <v>0</v>
      </c>
      <c r="BX72" s="38" t="s">
        <v>0</v>
      </c>
      <c r="BY72" s="38" t="s">
        <v>0</v>
      </c>
      <c r="BZ72" s="38" t="s">
        <v>0</v>
      </c>
      <c r="CA72" s="38" t="s">
        <v>0</v>
      </c>
      <c r="CB72" s="38" t="s">
        <v>0</v>
      </c>
      <c r="CC72" s="38" t="s">
        <v>0</v>
      </c>
      <c r="CD72" s="38" t="s">
        <v>0</v>
      </c>
      <c r="CE72" s="38" t="s">
        <v>0</v>
      </c>
      <c r="CF72" s="38" t="s">
        <v>0</v>
      </c>
      <c r="CG72" s="38" t="s">
        <v>0</v>
      </c>
      <c r="CH72" s="38" t="s">
        <v>0</v>
      </c>
      <c r="CI72" s="38" t="s">
        <v>0</v>
      </c>
      <c r="CJ72" s="38" t="s">
        <v>0</v>
      </c>
      <c r="CK72" s="38" t="s">
        <v>0</v>
      </c>
      <c r="CL72" s="38" t="s">
        <v>0</v>
      </c>
      <c r="CM72" s="38" t="s">
        <v>0</v>
      </c>
      <c r="CN72" s="38" t="s">
        <v>0</v>
      </c>
      <c r="CO72" s="38" t="s">
        <v>0</v>
      </c>
      <c r="CP72" s="38" t="s">
        <v>0</v>
      </c>
      <c r="CQ72" s="38" t="s">
        <v>0</v>
      </c>
      <c r="CR72" s="36" t="s">
        <v>0</v>
      </c>
      <c r="CS72" s="38" t="s">
        <v>56</v>
      </c>
      <c r="CT72" s="38" t="s">
        <v>56</v>
      </c>
      <c r="CU72" s="38" t="s">
        <v>0</v>
      </c>
      <c r="CV72" s="36" t="s">
        <v>3156</v>
      </c>
      <c r="CW72" s="38" t="s">
        <v>0</v>
      </c>
      <c r="CX72" s="38" t="s">
        <v>0</v>
      </c>
    </row>
    <row r="73" spans="1:102" ht="12" customHeight="1">
      <c r="A73" s="51" t="s">
        <v>935</v>
      </c>
      <c r="B73" s="52" t="s">
        <v>0</v>
      </c>
      <c r="C73" s="52"/>
      <c r="D73" s="52"/>
      <c r="E73" s="52"/>
      <c r="F73" s="52" t="s">
        <v>0</v>
      </c>
      <c r="G73" s="52" t="s">
        <v>0</v>
      </c>
      <c r="H73" s="52" t="s">
        <v>0</v>
      </c>
      <c r="I73" s="52" t="s">
        <v>0</v>
      </c>
      <c r="J73" s="52"/>
      <c r="K73" s="52"/>
      <c r="L73" s="52"/>
      <c r="M73" s="52" t="s">
        <v>0</v>
      </c>
      <c r="N73" s="52" t="s">
        <v>0</v>
      </c>
      <c r="O73" s="52" t="s">
        <v>0</v>
      </c>
      <c r="P73" s="52" t="s">
        <v>0</v>
      </c>
      <c r="Q73" s="52" t="s">
        <v>0</v>
      </c>
      <c r="R73" s="52" t="s">
        <v>0</v>
      </c>
      <c r="S73" s="52" t="s">
        <v>0</v>
      </c>
      <c r="T73" s="52" t="s">
        <v>0</v>
      </c>
      <c r="U73" s="52" t="s">
        <v>0</v>
      </c>
      <c r="V73" s="52" t="s">
        <v>0</v>
      </c>
      <c r="W73" s="52" t="s">
        <v>0</v>
      </c>
      <c r="X73" s="52" t="s">
        <v>0</v>
      </c>
      <c r="Y73" s="52" t="s">
        <v>0</v>
      </c>
      <c r="Z73" s="52"/>
      <c r="AA73" s="52"/>
      <c r="AB73" s="52"/>
      <c r="AC73" s="52"/>
      <c r="AD73" s="52"/>
      <c r="AE73" s="123" t="s">
        <v>0</v>
      </c>
      <c r="AF73" s="52" t="s">
        <v>0</v>
      </c>
      <c r="AG73" s="52" t="s">
        <v>0</v>
      </c>
      <c r="AH73" s="52" t="s">
        <v>0</v>
      </c>
      <c r="AI73" s="52"/>
      <c r="AJ73" s="52"/>
      <c r="AK73" s="52" t="s">
        <v>0</v>
      </c>
      <c r="AL73" s="52" t="s">
        <v>0</v>
      </c>
      <c r="AM73" s="52"/>
      <c r="AN73" s="52" t="s">
        <v>0</v>
      </c>
      <c r="AO73" s="52"/>
      <c r="AP73" s="52"/>
      <c r="AQ73" s="52" t="s">
        <v>0</v>
      </c>
      <c r="AR73" s="52" t="s">
        <v>0</v>
      </c>
      <c r="AS73" s="52" t="s">
        <v>0</v>
      </c>
      <c r="AT73" s="52" t="s">
        <v>0</v>
      </c>
      <c r="AU73" s="52"/>
      <c r="AV73" s="52"/>
      <c r="AW73" s="52" t="s">
        <v>0</v>
      </c>
      <c r="AX73" s="52" t="s">
        <v>0</v>
      </c>
      <c r="AY73" s="52" t="s">
        <v>0</v>
      </c>
      <c r="AZ73" s="52"/>
      <c r="BA73" s="52" t="s">
        <v>0</v>
      </c>
      <c r="BB73" s="52"/>
      <c r="BC73" s="52"/>
      <c r="BD73" s="52" t="s">
        <v>0</v>
      </c>
      <c r="BE73" s="52"/>
      <c r="BF73" s="52" t="s">
        <v>0</v>
      </c>
      <c r="BG73" s="52" t="s">
        <v>0</v>
      </c>
      <c r="BH73" s="52"/>
      <c r="BI73" s="52"/>
      <c r="BJ73" s="52"/>
      <c r="BK73" s="52" t="s">
        <v>0</v>
      </c>
      <c r="BL73" s="52" t="s">
        <v>0</v>
      </c>
      <c r="BM73" s="52"/>
      <c r="BN73" s="52"/>
      <c r="BO73" s="52"/>
      <c r="BP73" s="52"/>
      <c r="BQ73" s="52"/>
      <c r="BR73" s="52"/>
      <c r="BS73" s="52"/>
      <c r="BT73" s="52" t="s">
        <v>0</v>
      </c>
      <c r="BU73" s="52" t="s">
        <v>0</v>
      </c>
      <c r="BV73" s="52" t="s">
        <v>0</v>
      </c>
      <c r="BW73" s="52" t="s">
        <v>0</v>
      </c>
      <c r="BX73" s="52" t="s">
        <v>0</v>
      </c>
      <c r="BY73" s="52" t="s">
        <v>0</v>
      </c>
      <c r="BZ73" s="52" t="s">
        <v>0</v>
      </c>
      <c r="CA73" s="52"/>
      <c r="CB73" s="52"/>
      <c r="CC73" s="52"/>
      <c r="CD73" s="52" t="s">
        <v>0</v>
      </c>
      <c r="CE73" s="52" t="s">
        <v>0</v>
      </c>
      <c r="CF73" s="52"/>
      <c r="CG73" s="52" t="s">
        <v>0</v>
      </c>
      <c r="CH73" s="52" t="s">
        <v>0</v>
      </c>
      <c r="CI73" s="52" t="s">
        <v>0</v>
      </c>
      <c r="CJ73" s="52" t="s">
        <v>0</v>
      </c>
      <c r="CK73" s="52" t="s">
        <v>0</v>
      </c>
      <c r="CL73" s="52"/>
      <c r="CM73" s="52"/>
      <c r="CN73" s="52"/>
      <c r="CO73" s="52" t="s">
        <v>0</v>
      </c>
      <c r="CP73" s="52" t="s">
        <v>0</v>
      </c>
      <c r="CQ73" s="52"/>
      <c r="CR73" s="52"/>
      <c r="CS73" s="52"/>
      <c r="CT73" s="52"/>
      <c r="CU73" s="52"/>
      <c r="CV73" s="52"/>
      <c r="CW73" s="52" t="s">
        <v>0</v>
      </c>
      <c r="CX73" s="52"/>
    </row>
    <row r="74" spans="1:102" ht="22.5" customHeight="1">
      <c r="A74" s="57" t="s">
        <v>107</v>
      </c>
      <c r="B74" s="38" t="s">
        <v>0</v>
      </c>
      <c r="C74" s="38" t="s">
        <v>0</v>
      </c>
      <c r="D74" s="38" t="s">
        <v>0</v>
      </c>
      <c r="E74" s="38" t="s">
        <v>195</v>
      </c>
      <c r="F74" s="38" t="s">
        <v>0</v>
      </c>
      <c r="G74" s="38" t="s">
        <v>195</v>
      </c>
      <c r="H74" s="38" t="s">
        <v>0</v>
      </c>
      <c r="I74" s="38" t="s">
        <v>210</v>
      </c>
      <c r="J74" s="38" t="s">
        <v>0</v>
      </c>
      <c r="K74" s="36" t="s">
        <v>57</v>
      </c>
      <c r="L74" s="38" t="s">
        <v>195</v>
      </c>
      <c r="M74" s="38" t="s">
        <v>0</v>
      </c>
      <c r="N74" s="36" t="s">
        <v>57</v>
      </c>
      <c r="O74" s="38" t="s">
        <v>195</v>
      </c>
      <c r="P74" s="38" t="s">
        <v>0</v>
      </c>
      <c r="Q74" s="36" t="s">
        <v>57</v>
      </c>
      <c r="R74" s="38" t="s">
        <v>195</v>
      </c>
      <c r="S74" s="38" t="s">
        <v>0</v>
      </c>
      <c r="T74" s="36" t="s">
        <v>57</v>
      </c>
      <c r="U74" s="38" t="s">
        <v>195</v>
      </c>
      <c r="V74" s="38" t="s">
        <v>0</v>
      </c>
      <c r="W74" s="38" t="s">
        <v>0</v>
      </c>
      <c r="X74" s="36" t="s">
        <v>17</v>
      </c>
      <c r="Y74" s="36" t="s">
        <v>17</v>
      </c>
      <c r="Z74" s="38" t="s">
        <v>0</v>
      </c>
      <c r="AA74" s="36" t="s">
        <v>789</v>
      </c>
      <c r="AB74" s="38" t="s">
        <v>57</v>
      </c>
      <c r="AC74" s="38" t="s">
        <v>57</v>
      </c>
      <c r="AD74" s="38" t="s">
        <v>0</v>
      </c>
      <c r="AE74" s="122" t="s">
        <v>0</v>
      </c>
      <c r="AF74" s="36" t="s">
        <v>4679</v>
      </c>
      <c r="AG74" s="36" t="s">
        <v>4680</v>
      </c>
      <c r="AH74" s="36" t="s">
        <v>0</v>
      </c>
      <c r="AI74" s="7" t="s">
        <v>197</v>
      </c>
      <c r="AJ74" s="7" t="s">
        <v>197</v>
      </c>
      <c r="AK74" s="7" t="s">
        <v>197</v>
      </c>
      <c r="AL74" s="7" t="s">
        <v>197</v>
      </c>
      <c r="AM74" s="7" t="s">
        <v>0</v>
      </c>
      <c r="AN74" s="34" t="s">
        <v>0</v>
      </c>
      <c r="AO74" s="7" t="s">
        <v>0</v>
      </c>
      <c r="AP74" s="33" t="s">
        <v>0</v>
      </c>
      <c r="AQ74" s="7" t="s">
        <v>0</v>
      </c>
      <c r="AR74" s="7" t="s">
        <v>0</v>
      </c>
      <c r="AS74" s="7" t="s">
        <v>0</v>
      </c>
      <c r="AT74" s="7" t="s">
        <v>0</v>
      </c>
      <c r="AU74" s="38" t="s">
        <v>0</v>
      </c>
      <c r="AV74" s="38" t="s">
        <v>26</v>
      </c>
      <c r="AW74" s="34" t="s">
        <v>0</v>
      </c>
      <c r="AX74" s="37" t="s">
        <v>2911</v>
      </c>
      <c r="AY74" s="37" t="s">
        <v>2911</v>
      </c>
      <c r="AZ74" s="36" t="s">
        <v>892</v>
      </c>
      <c r="BA74" s="36" t="s">
        <v>4134</v>
      </c>
      <c r="BB74" s="36" t="s">
        <v>17</v>
      </c>
      <c r="BC74" s="36" t="s">
        <v>159</v>
      </c>
      <c r="BD74" s="36" t="s">
        <v>1961</v>
      </c>
      <c r="BE74" s="38" t="s">
        <v>56</v>
      </c>
      <c r="BF74" s="38" t="s">
        <v>56</v>
      </c>
      <c r="BG74" s="38" t="s">
        <v>0</v>
      </c>
      <c r="BH74" s="38" t="s">
        <v>197</v>
      </c>
      <c r="BI74" s="38" t="s">
        <v>197</v>
      </c>
      <c r="BJ74" s="38" t="s">
        <v>197</v>
      </c>
      <c r="BK74" s="36" t="s">
        <v>0</v>
      </c>
      <c r="BL74" s="36" t="s">
        <v>223</v>
      </c>
      <c r="BM74" s="38" t="s">
        <v>389</v>
      </c>
      <c r="BN74" s="38" t="s">
        <v>111</v>
      </c>
      <c r="BO74" s="38" t="s">
        <v>111</v>
      </c>
      <c r="BP74" s="38" t="s">
        <v>111</v>
      </c>
      <c r="BQ74" s="38" t="s">
        <v>111</v>
      </c>
      <c r="BR74" s="38" t="s">
        <v>57</v>
      </c>
      <c r="BS74" s="38" t="s">
        <v>57</v>
      </c>
      <c r="BT74" s="38" t="s">
        <v>0</v>
      </c>
      <c r="BU74" s="38" t="s">
        <v>0</v>
      </c>
      <c r="BV74" s="38" t="s">
        <v>57</v>
      </c>
      <c r="BW74" s="36" t="s">
        <v>2535</v>
      </c>
      <c r="BX74" s="36" t="s">
        <v>2535</v>
      </c>
      <c r="BY74" s="70" t="s">
        <v>2537</v>
      </c>
      <c r="BZ74" s="36" t="s">
        <v>4609</v>
      </c>
      <c r="CA74" s="38" t="s">
        <v>0</v>
      </c>
      <c r="CB74" s="38" t="s">
        <v>319</v>
      </c>
      <c r="CC74" s="38" t="s">
        <v>197</v>
      </c>
      <c r="CD74" s="38" t="s">
        <v>0</v>
      </c>
      <c r="CE74" s="38" t="s">
        <v>210</v>
      </c>
      <c r="CF74" s="38" t="s">
        <v>0</v>
      </c>
      <c r="CG74" s="36" t="s">
        <v>195</v>
      </c>
      <c r="CH74" s="36" t="s">
        <v>0</v>
      </c>
      <c r="CI74" s="38" t="s">
        <v>0</v>
      </c>
      <c r="CJ74" s="38" t="s">
        <v>350</v>
      </c>
      <c r="CK74" s="38" t="s">
        <v>210</v>
      </c>
      <c r="CL74" s="38" t="s">
        <v>195</v>
      </c>
      <c r="CM74" s="38" t="s">
        <v>0</v>
      </c>
      <c r="CN74" s="38" t="s">
        <v>0</v>
      </c>
      <c r="CO74" s="38" t="s">
        <v>0</v>
      </c>
      <c r="CP74" s="38" t="s">
        <v>0</v>
      </c>
      <c r="CQ74" s="38" t="s">
        <v>0</v>
      </c>
      <c r="CR74" s="38" t="s">
        <v>210</v>
      </c>
      <c r="CS74" s="38" t="s">
        <v>0</v>
      </c>
      <c r="CT74" s="38" t="s">
        <v>195</v>
      </c>
      <c r="CU74" s="38" t="s">
        <v>0</v>
      </c>
      <c r="CV74" s="38" t="s">
        <v>195</v>
      </c>
      <c r="CW74" s="36" t="s">
        <v>0</v>
      </c>
      <c r="CX74" s="38" t="s">
        <v>0</v>
      </c>
    </row>
    <row r="75" spans="1:102" ht="12" customHeight="1">
      <c r="A75" s="51" t="s">
        <v>935</v>
      </c>
      <c r="B75" s="52" t="s">
        <v>0</v>
      </c>
      <c r="C75" s="52"/>
      <c r="D75" s="52"/>
      <c r="E75" s="52"/>
      <c r="F75" s="52" t="s">
        <v>0</v>
      </c>
      <c r="G75" s="52" t="s">
        <v>1413</v>
      </c>
      <c r="H75" s="118"/>
      <c r="I75" s="52" t="s">
        <v>1413</v>
      </c>
      <c r="J75" s="52"/>
      <c r="K75" s="52"/>
      <c r="L75" s="52"/>
      <c r="M75" s="52" t="s">
        <v>0</v>
      </c>
      <c r="N75" s="52" t="s">
        <v>1608</v>
      </c>
      <c r="O75" s="52" t="s">
        <v>1551</v>
      </c>
      <c r="P75" s="52" t="s">
        <v>0</v>
      </c>
      <c r="Q75" s="52" t="s">
        <v>3366</v>
      </c>
      <c r="R75" s="52" t="s">
        <v>3368</v>
      </c>
      <c r="S75" s="52" t="s">
        <v>0</v>
      </c>
      <c r="T75" s="52" t="s">
        <v>3366</v>
      </c>
      <c r="U75" s="52" t="s">
        <v>3368</v>
      </c>
      <c r="V75" s="52" t="s">
        <v>0</v>
      </c>
      <c r="W75" s="52" t="s">
        <v>0</v>
      </c>
      <c r="X75" s="52" t="s">
        <v>1613</v>
      </c>
      <c r="Y75" s="52" t="s">
        <v>1554</v>
      </c>
      <c r="Z75" s="52"/>
      <c r="AA75" s="52"/>
      <c r="AB75" s="52"/>
      <c r="AC75" s="52"/>
      <c r="AD75" s="52"/>
      <c r="AE75" s="123" t="s">
        <v>0</v>
      </c>
      <c r="AF75" s="52" t="s">
        <v>4681</v>
      </c>
      <c r="AG75" s="52" t="s">
        <v>4681</v>
      </c>
      <c r="AH75" s="52" t="s">
        <v>0</v>
      </c>
      <c r="AI75" s="52"/>
      <c r="AJ75" s="52"/>
      <c r="AK75" s="52" t="s">
        <v>1754</v>
      </c>
      <c r="AL75" s="52" t="s">
        <v>1754</v>
      </c>
      <c r="AM75" s="52"/>
      <c r="AN75" s="52" t="s">
        <v>0</v>
      </c>
      <c r="AO75" s="52"/>
      <c r="AP75" s="52"/>
      <c r="AQ75" s="52" t="s">
        <v>0</v>
      </c>
      <c r="AR75" s="52" t="s">
        <v>0</v>
      </c>
      <c r="AS75" s="52" t="s">
        <v>0</v>
      </c>
      <c r="AT75" s="52" t="s">
        <v>0</v>
      </c>
      <c r="AU75" s="52"/>
      <c r="AV75" s="52"/>
      <c r="AW75" s="52" t="s">
        <v>1442</v>
      </c>
      <c r="AX75" s="52" t="s">
        <v>2973</v>
      </c>
      <c r="AY75" s="52" t="s">
        <v>2973</v>
      </c>
      <c r="AZ75" s="52"/>
      <c r="BA75" s="52" t="s">
        <v>4135</v>
      </c>
      <c r="BB75" s="52"/>
      <c r="BC75" s="52"/>
      <c r="BD75" s="52" t="s">
        <v>1962</v>
      </c>
      <c r="BE75" s="52"/>
      <c r="BF75" s="52" t="s">
        <v>1442</v>
      </c>
      <c r="BG75" s="52" t="s">
        <v>4104</v>
      </c>
      <c r="BH75" s="52" t="s">
        <v>3192</v>
      </c>
      <c r="BI75" s="52"/>
      <c r="BJ75" s="52"/>
      <c r="BK75" s="52" t="s">
        <v>0</v>
      </c>
      <c r="BL75" s="52" t="s">
        <v>1273</v>
      </c>
      <c r="BM75" s="52"/>
      <c r="BN75" s="52"/>
      <c r="BO75" s="52"/>
      <c r="BP75" s="52"/>
      <c r="BQ75" s="52"/>
      <c r="BR75" s="52"/>
      <c r="BS75" s="52"/>
      <c r="BT75" s="52" t="s">
        <v>0</v>
      </c>
      <c r="BU75" s="52" t="s">
        <v>0</v>
      </c>
      <c r="BV75" s="52" t="s">
        <v>3533</v>
      </c>
      <c r="BW75" s="52" t="s">
        <v>2536</v>
      </c>
      <c r="BX75" s="52" t="s">
        <v>2536</v>
      </c>
      <c r="BY75" s="52" t="s">
        <v>2536</v>
      </c>
      <c r="BZ75" s="52" t="s">
        <v>4608</v>
      </c>
      <c r="CA75" s="52"/>
      <c r="CB75" s="52"/>
      <c r="CC75" s="52"/>
      <c r="CD75" s="52" t="s">
        <v>0</v>
      </c>
      <c r="CE75" s="52" t="s">
        <v>2547</v>
      </c>
      <c r="CF75" s="52"/>
      <c r="CG75" s="52" t="s">
        <v>2230</v>
      </c>
      <c r="CH75" s="52" t="s">
        <v>0</v>
      </c>
      <c r="CI75" s="52" t="s">
        <v>0</v>
      </c>
      <c r="CJ75" s="52" t="s">
        <v>4040</v>
      </c>
      <c r="CK75" s="52" t="s">
        <v>2673</v>
      </c>
      <c r="CL75" s="52"/>
      <c r="CM75" s="52"/>
      <c r="CN75" s="52"/>
      <c r="CO75" s="52" t="s">
        <v>0</v>
      </c>
      <c r="CP75" s="52" t="s">
        <v>0</v>
      </c>
      <c r="CQ75" s="52"/>
      <c r="CR75" s="52"/>
      <c r="CS75" s="52"/>
      <c r="CT75" s="52"/>
      <c r="CU75" s="52"/>
      <c r="CV75" s="52"/>
      <c r="CW75" s="52" t="s">
        <v>0</v>
      </c>
      <c r="CX75" s="52"/>
    </row>
    <row r="76" spans="1:102" ht="22.5" customHeight="1">
      <c r="A76" s="57" t="s">
        <v>108</v>
      </c>
      <c r="B76" s="38" t="s">
        <v>196</v>
      </c>
      <c r="C76" s="38" t="s">
        <v>196</v>
      </c>
      <c r="D76" s="38" t="s">
        <v>0</v>
      </c>
      <c r="E76" s="36" t="s">
        <v>262</v>
      </c>
      <c r="F76" s="38" t="s">
        <v>0</v>
      </c>
      <c r="G76" s="36" t="s">
        <v>262</v>
      </c>
      <c r="H76" s="38" t="s">
        <v>200</v>
      </c>
      <c r="I76" s="36" t="s">
        <v>5498</v>
      </c>
      <c r="J76" s="36" t="s">
        <v>510</v>
      </c>
      <c r="K76" s="36" t="s">
        <v>199</v>
      </c>
      <c r="L76" s="36" t="s">
        <v>67</v>
      </c>
      <c r="M76" s="36" t="s">
        <v>64</v>
      </c>
      <c r="N76" s="36" t="s">
        <v>752</v>
      </c>
      <c r="O76" s="36" t="s">
        <v>399</v>
      </c>
      <c r="P76" s="36" t="s">
        <v>64</v>
      </c>
      <c r="Q76" s="36" t="s">
        <v>752</v>
      </c>
      <c r="R76" s="36" t="s">
        <v>399</v>
      </c>
      <c r="S76" s="36" t="s">
        <v>64</v>
      </c>
      <c r="T76" s="36" t="s">
        <v>752</v>
      </c>
      <c r="U76" s="36" t="s">
        <v>399</v>
      </c>
      <c r="V76" s="36" t="s">
        <v>113</v>
      </c>
      <c r="W76" s="36" t="s">
        <v>269</v>
      </c>
      <c r="X76" s="36" t="s">
        <v>57</v>
      </c>
      <c r="Y76" s="36" t="s">
        <v>57</v>
      </c>
      <c r="Z76" s="36" t="s">
        <v>113</v>
      </c>
      <c r="AA76" s="36" t="s">
        <v>399</v>
      </c>
      <c r="AB76" s="36" t="s">
        <v>196</v>
      </c>
      <c r="AC76" s="36" t="s">
        <v>196</v>
      </c>
      <c r="AD76" s="36" t="s">
        <v>374</v>
      </c>
      <c r="AE76" s="124" t="s">
        <v>5670</v>
      </c>
      <c r="AF76" s="36" t="s">
        <v>204</v>
      </c>
      <c r="AG76" s="38" t="s">
        <v>57</v>
      </c>
      <c r="AH76" s="36" t="s">
        <v>0</v>
      </c>
      <c r="AI76" s="7" t="s">
        <v>113</v>
      </c>
      <c r="AJ76" s="7" t="s">
        <v>113</v>
      </c>
      <c r="AK76" s="7" t="s">
        <v>113</v>
      </c>
      <c r="AL76" s="7" t="s">
        <v>113</v>
      </c>
      <c r="AM76" s="7" t="s">
        <v>113</v>
      </c>
      <c r="AN76" s="7" t="s">
        <v>113</v>
      </c>
      <c r="AO76" s="7" t="s">
        <v>0</v>
      </c>
      <c r="AP76" s="33" t="s">
        <v>269</v>
      </c>
      <c r="AQ76" s="7" t="s">
        <v>0</v>
      </c>
      <c r="AR76" s="34" t="s">
        <v>269</v>
      </c>
      <c r="AS76" s="7" t="s">
        <v>0</v>
      </c>
      <c r="AT76" s="34" t="s">
        <v>269</v>
      </c>
      <c r="AU76" s="38" t="s">
        <v>305</v>
      </c>
      <c r="AV76" s="38" t="s">
        <v>67</v>
      </c>
      <c r="AW76" s="34" t="s">
        <v>0</v>
      </c>
      <c r="AX76" s="37" t="s">
        <v>2905</v>
      </c>
      <c r="AY76" s="37" t="s">
        <v>2906</v>
      </c>
      <c r="AZ76" s="36" t="s">
        <v>903</v>
      </c>
      <c r="BA76" s="36" t="s">
        <v>67</v>
      </c>
      <c r="BB76" s="38" t="s">
        <v>251</v>
      </c>
      <c r="BC76" s="38" t="s">
        <v>251</v>
      </c>
      <c r="BD76" s="38" t="s">
        <v>57</v>
      </c>
      <c r="BE76" s="38" t="s">
        <v>269</v>
      </c>
      <c r="BF76" s="38" t="s">
        <v>269</v>
      </c>
      <c r="BG76" s="36" t="s">
        <v>0</v>
      </c>
      <c r="BH76" s="36" t="s">
        <v>3195</v>
      </c>
      <c r="BI76" s="36" t="s">
        <v>858</v>
      </c>
      <c r="BJ76" s="36" t="s">
        <v>858</v>
      </c>
      <c r="BK76" s="36" t="s">
        <v>113</v>
      </c>
      <c r="BL76" s="36" t="s">
        <v>113</v>
      </c>
      <c r="BM76" s="36" t="s">
        <v>83</v>
      </c>
      <c r="BN76" s="36" t="s">
        <v>83</v>
      </c>
      <c r="BO76" s="36" t="s">
        <v>83</v>
      </c>
      <c r="BP76" s="36" t="s">
        <v>83</v>
      </c>
      <c r="BQ76" s="36" t="s">
        <v>83</v>
      </c>
      <c r="BR76" s="38" t="s">
        <v>251</v>
      </c>
      <c r="BS76" s="36" t="s">
        <v>780</v>
      </c>
      <c r="BT76" s="36" t="s">
        <v>0</v>
      </c>
      <c r="BU76" s="36" t="s">
        <v>3605</v>
      </c>
      <c r="BV76" s="36" t="s">
        <v>780</v>
      </c>
      <c r="BW76" s="36" t="s">
        <v>26</v>
      </c>
      <c r="BX76" s="36" t="s">
        <v>26</v>
      </c>
      <c r="BY76" s="36" t="s">
        <v>0</v>
      </c>
      <c r="BZ76" s="36" t="s">
        <v>4597</v>
      </c>
      <c r="CA76" s="36" t="s">
        <v>6</v>
      </c>
      <c r="CB76" s="36" t="s">
        <v>113</v>
      </c>
      <c r="CC76" s="36" t="s">
        <v>67</v>
      </c>
      <c r="CD76" s="38" t="s">
        <v>113</v>
      </c>
      <c r="CE76" s="38" t="s">
        <v>196</v>
      </c>
      <c r="CF76" s="38" t="s">
        <v>0</v>
      </c>
      <c r="CG76" s="36" t="s">
        <v>83</v>
      </c>
      <c r="CH76" s="36" t="s">
        <v>83</v>
      </c>
      <c r="CI76" s="38" t="s">
        <v>0</v>
      </c>
      <c r="CJ76" s="38" t="s">
        <v>0</v>
      </c>
      <c r="CK76" s="38" t="s">
        <v>113</v>
      </c>
      <c r="CL76" s="38" t="s">
        <v>26</v>
      </c>
      <c r="CM76" s="38" t="s">
        <v>0</v>
      </c>
      <c r="CN76" s="38" t="s">
        <v>196</v>
      </c>
      <c r="CO76" s="38" t="s">
        <v>196</v>
      </c>
      <c r="CP76" s="38" t="s">
        <v>196</v>
      </c>
      <c r="CQ76" s="38" t="s">
        <v>198</v>
      </c>
      <c r="CR76" s="38" t="s">
        <v>198</v>
      </c>
      <c r="CS76" s="38" t="s">
        <v>67</v>
      </c>
      <c r="CT76" s="38" t="s">
        <v>67</v>
      </c>
      <c r="CU76" s="38" t="s">
        <v>67</v>
      </c>
      <c r="CV76" s="38" t="s">
        <v>67</v>
      </c>
      <c r="CW76" s="36" t="s">
        <v>305</v>
      </c>
      <c r="CX76" s="38" t="s">
        <v>830</v>
      </c>
    </row>
    <row r="77" spans="1:102" ht="12" customHeight="1">
      <c r="A77" s="51" t="s">
        <v>935</v>
      </c>
      <c r="B77" s="52" t="s">
        <v>4005</v>
      </c>
      <c r="C77" s="52"/>
      <c r="D77" s="52"/>
      <c r="E77" s="52"/>
      <c r="F77" s="52" t="s">
        <v>0</v>
      </c>
      <c r="G77" s="52" t="s">
        <v>1413</v>
      </c>
      <c r="H77" s="52" t="s">
        <v>1025</v>
      </c>
      <c r="I77" s="52" t="s">
        <v>1413</v>
      </c>
      <c r="J77" s="52"/>
      <c r="K77" s="52"/>
      <c r="L77" s="52"/>
      <c r="M77" s="52" t="s">
        <v>1524</v>
      </c>
      <c r="N77" s="52" t="s">
        <v>1626</v>
      </c>
      <c r="O77" s="52" t="s">
        <v>1565</v>
      </c>
      <c r="P77" s="52" t="s">
        <v>3333</v>
      </c>
      <c r="Q77" s="52" t="s">
        <v>3385</v>
      </c>
      <c r="R77" s="52" t="s">
        <v>3424</v>
      </c>
      <c r="S77" s="52" t="s">
        <v>3333</v>
      </c>
      <c r="T77" s="52" t="s">
        <v>3385</v>
      </c>
      <c r="U77" s="52" t="s">
        <v>3424</v>
      </c>
      <c r="V77" s="52" t="s">
        <v>5314</v>
      </c>
      <c r="W77" s="52" t="s">
        <v>3333</v>
      </c>
      <c r="X77" s="52" t="s">
        <v>1629</v>
      </c>
      <c r="Y77" s="52" t="s">
        <v>3425</v>
      </c>
      <c r="Z77" s="52"/>
      <c r="AA77" s="52"/>
      <c r="AB77" s="52"/>
      <c r="AC77" s="52"/>
      <c r="AD77" s="52"/>
      <c r="AE77" s="123" t="s">
        <v>5671</v>
      </c>
      <c r="AF77" s="52" t="s">
        <v>4682</v>
      </c>
      <c r="AG77" s="52" t="s">
        <v>4682</v>
      </c>
      <c r="AH77" s="52" t="s">
        <v>0</v>
      </c>
      <c r="AI77" s="52"/>
      <c r="AJ77" s="52"/>
      <c r="AK77" s="52" t="s">
        <v>1753</v>
      </c>
      <c r="AL77" s="52" t="s">
        <v>1753</v>
      </c>
      <c r="AM77" s="52"/>
      <c r="AN77" s="52" t="s">
        <v>1800</v>
      </c>
      <c r="AO77" s="52"/>
      <c r="AP77" s="52"/>
      <c r="AQ77" s="52" t="s">
        <v>0</v>
      </c>
      <c r="AR77" s="52" t="s">
        <v>1858</v>
      </c>
      <c r="AS77" s="52" t="s">
        <v>0</v>
      </c>
      <c r="AT77" s="52" t="s">
        <v>1858</v>
      </c>
      <c r="AU77" s="52"/>
      <c r="AV77" s="52"/>
      <c r="AW77" s="52" t="s">
        <v>0</v>
      </c>
      <c r="AX77" s="52" t="s">
        <v>2986</v>
      </c>
      <c r="AY77" s="52" t="s">
        <v>2952</v>
      </c>
      <c r="AZ77" s="52"/>
      <c r="BA77" s="52" t="s">
        <v>4117</v>
      </c>
      <c r="BB77" s="52"/>
      <c r="BC77" s="52"/>
      <c r="BD77" s="52" t="s">
        <v>1945</v>
      </c>
      <c r="BE77" s="52"/>
      <c r="BF77" s="52" t="s">
        <v>1994</v>
      </c>
      <c r="BG77" s="52" t="s">
        <v>0</v>
      </c>
      <c r="BH77" s="52" t="s">
        <v>3192</v>
      </c>
      <c r="BI77" s="52"/>
      <c r="BJ77" s="52"/>
      <c r="BK77" s="52" t="s">
        <v>1330</v>
      </c>
      <c r="BL77" s="52" t="s">
        <v>1330</v>
      </c>
      <c r="BM77" s="52"/>
      <c r="BN77" s="52"/>
      <c r="BO77" s="52"/>
      <c r="BP77" s="52"/>
      <c r="BQ77" s="52"/>
      <c r="BR77" s="52"/>
      <c r="BS77" s="52"/>
      <c r="BT77" s="52" t="s">
        <v>0</v>
      </c>
      <c r="BU77" s="52" t="s">
        <v>3604</v>
      </c>
      <c r="BV77" s="52" t="s">
        <v>3531</v>
      </c>
      <c r="BW77" s="52" t="s">
        <v>2445</v>
      </c>
      <c r="BX77" s="52" t="s">
        <v>2445</v>
      </c>
      <c r="BY77" s="52" t="s">
        <v>2444</v>
      </c>
      <c r="BZ77" s="52" t="s">
        <v>4596</v>
      </c>
      <c r="CA77" s="52"/>
      <c r="CB77" s="52"/>
      <c r="CC77" s="52"/>
      <c r="CD77" s="52" t="s">
        <v>2556</v>
      </c>
      <c r="CE77" s="52" t="s">
        <v>2547</v>
      </c>
      <c r="CF77" s="52"/>
      <c r="CG77" s="52" t="s">
        <v>2269</v>
      </c>
      <c r="CH77" s="52" t="s">
        <v>2268</v>
      </c>
      <c r="CI77" s="52" t="s">
        <v>0</v>
      </c>
      <c r="CJ77" s="52" t="s">
        <v>0</v>
      </c>
      <c r="CK77" s="52" t="s">
        <v>2663</v>
      </c>
      <c r="CL77" s="52"/>
      <c r="CM77" s="52"/>
      <c r="CN77" s="52"/>
      <c r="CO77" s="52" t="s">
        <v>2057</v>
      </c>
      <c r="CP77" s="52" t="s">
        <v>2873</v>
      </c>
      <c r="CQ77" s="52"/>
      <c r="CR77" s="52"/>
      <c r="CS77" s="52"/>
      <c r="CT77" s="52"/>
      <c r="CU77" s="52"/>
      <c r="CV77" s="52"/>
      <c r="CW77" s="52" t="s">
        <v>1245</v>
      </c>
      <c r="CX77" s="52"/>
    </row>
    <row r="78" spans="1:102" ht="22.5" customHeight="1">
      <c r="A78" s="57" t="s">
        <v>109</v>
      </c>
      <c r="B78" s="38" t="s">
        <v>2173</v>
      </c>
      <c r="C78" s="38" t="s">
        <v>349</v>
      </c>
      <c r="D78" s="38" t="s">
        <v>110</v>
      </c>
      <c r="E78" s="38" t="s">
        <v>221</v>
      </c>
      <c r="F78" s="38" t="s">
        <v>110</v>
      </c>
      <c r="G78" s="38" t="s">
        <v>221</v>
      </c>
      <c r="H78" s="38" t="s">
        <v>221</v>
      </c>
      <c r="I78" s="38" t="s">
        <v>30</v>
      </c>
      <c r="J78" s="38" t="s">
        <v>110</v>
      </c>
      <c r="K78" s="38" t="s">
        <v>110</v>
      </c>
      <c r="L78" s="38" t="s">
        <v>110</v>
      </c>
      <c r="M78" s="38" t="s">
        <v>110</v>
      </c>
      <c r="N78" s="38" t="s">
        <v>110</v>
      </c>
      <c r="O78" s="38" t="s">
        <v>110</v>
      </c>
      <c r="P78" s="38" t="s">
        <v>110</v>
      </c>
      <c r="Q78" s="38" t="s">
        <v>110</v>
      </c>
      <c r="R78" s="38" t="s">
        <v>110</v>
      </c>
      <c r="S78" s="38" t="s">
        <v>110</v>
      </c>
      <c r="T78" s="38" t="s">
        <v>110</v>
      </c>
      <c r="U78" s="38" t="s">
        <v>110</v>
      </c>
      <c r="V78" s="38" t="s">
        <v>110</v>
      </c>
      <c r="W78" s="38" t="s">
        <v>110</v>
      </c>
      <c r="X78" s="38" t="s">
        <v>110</v>
      </c>
      <c r="Y78" s="38" t="s">
        <v>110</v>
      </c>
      <c r="Z78" s="36" t="s">
        <v>759</v>
      </c>
      <c r="AA78" s="36" t="s">
        <v>220</v>
      </c>
      <c r="AB78" s="38" t="s">
        <v>46</v>
      </c>
      <c r="AC78" s="38" t="s">
        <v>46</v>
      </c>
      <c r="AD78" s="36" t="s">
        <v>375</v>
      </c>
      <c r="AE78" s="124" t="s">
        <v>5672</v>
      </c>
      <c r="AF78" s="38" t="s">
        <v>4683</v>
      </c>
      <c r="AG78" s="38" t="s">
        <v>4684</v>
      </c>
      <c r="AH78" s="38" t="s">
        <v>110</v>
      </c>
      <c r="AI78" s="7" t="s">
        <v>30</v>
      </c>
      <c r="AJ78" s="7" t="s">
        <v>30</v>
      </c>
      <c r="AK78" s="7" t="s">
        <v>30</v>
      </c>
      <c r="AL78" s="7" t="s">
        <v>30</v>
      </c>
      <c r="AM78" s="7" t="s">
        <v>40</v>
      </c>
      <c r="AN78" s="7" t="s">
        <v>1847</v>
      </c>
      <c r="AO78" s="7" t="s">
        <v>110</v>
      </c>
      <c r="AP78" s="33" t="s">
        <v>221</v>
      </c>
      <c r="AQ78" s="7" t="s">
        <v>110</v>
      </c>
      <c r="AR78" s="34" t="s">
        <v>221</v>
      </c>
      <c r="AS78" s="7" t="s">
        <v>110</v>
      </c>
      <c r="AT78" s="34" t="s">
        <v>221</v>
      </c>
      <c r="AU78" s="38" t="s">
        <v>110</v>
      </c>
      <c r="AV78" s="38" t="s">
        <v>110</v>
      </c>
      <c r="AW78" s="34" t="s">
        <v>57</v>
      </c>
      <c r="AX78" s="34" t="s">
        <v>57</v>
      </c>
      <c r="AY78" s="34" t="s">
        <v>57</v>
      </c>
      <c r="AZ78" s="38" t="s">
        <v>221</v>
      </c>
      <c r="BA78" s="38" t="s">
        <v>221</v>
      </c>
      <c r="BB78" s="38" t="s">
        <v>220</v>
      </c>
      <c r="BC78" s="38" t="s">
        <v>220</v>
      </c>
      <c r="BD78" s="38" t="s">
        <v>275</v>
      </c>
      <c r="BE78" s="38" t="s">
        <v>275</v>
      </c>
      <c r="BF78" s="38" t="s">
        <v>220</v>
      </c>
      <c r="BG78" s="38" t="s">
        <v>110</v>
      </c>
      <c r="BH78" s="38" t="s">
        <v>110</v>
      </c>
      <c r="BI78" s="38" t="s">
        <v>110</v>
      </c>
      <c r="BJ78" s="38" t="s">
        <v>110</v>
      </c>
      <c r="BK78" s="38" t="s">
        <v>220</v>
      </c>
      <c r="BL78" s="38" t="s">
        <v>220</v>
      </c>
      <c r="BM78" s="38" t="s">
        <v>110</v>
      </c>
      <c r="BN78" s="38" t="s">
        <v>110</v>
      </c>
      <c r="BO78" s="38" t="s">
        <v>30</v>
      </c>
      <c r="BP78" s="38" t="s">
        <v>110</v>
      </c>
      <c r="BQ78" s="38" t="s">
        <v>30</v>
      </c>
      <c r="BR78" s="38" t="s">
        <v>46</v>
      </c>
      <c r="BS78" s="38" t="s">
        <v>46</v>
      </c>
      <c r="BT78" s="38" t="s">
        <v>110</v>
      </c>
      <c r="BU78" s="38" t="s">
        <v>110</v>
      </c>
      <c r="BV78" s="38" t="s">
        <v>46</v>
      </c>
      <c r="BW78" s="38" t="s">
        <v>110</v>
      </c>
      <c r="BX78" s="38" t="s">
        <v>110</v>
      </c>
      <c r="BY78" s="38" t="s">
        <v>110</v>
      </c>
      <c r="BZ78" s="38" t="s">
        <v>110</v>
      </c>
      <c r="CA78" s="38" t="s">
        <v>110</v>
      </c>
      <c r="CB78" s="38" t="s">
        <v>110</v>
      </c>
      <c r="CC78" s="38" t="s">
        <v>110</v>
      </c>
      <c r="CD78" s="38" t="s">
        <v>30</v>
      </c>
      <c r="CE78" s="38" t="s">
        <v>30</v>
      </c>
      <c r="CF78" s="38" t="s">
        <v>110</v>
      </c>
      <c r="CG78" s="38" t="s">
        <v>110</v>
      </c>
      <c r="CH78" s="38" t="s">
        <v>110</v>
      </c>
      <c r="CI78" s="38" t="s">
        <v>110</v>
      </c>
      <c r="CJ78" s="38" t="s">
        <v>110</v>
      </c>
      <c r="CK78" s="38" t="s">
        <v>110</v>
      </c>
      <c r="CL78" s="38" t="s">
        <v>30</v>
      </c>
      <c r="CM78" s="38" t="s">
        <v>30</v>
      </c>
      <c r="CN78" s="38" t="s">
        <v>110</v>
      </c>
      <c r="CO78" s="38" t="s">
        <v>110</v>
      </c>
      <c r="CP78" s="38" t="s">
        <v>110</v>
      </c>
      <c r="CQ78" s="38" t="s">
        <v>30</v>
      </c>
      <c r="CR78" s="38" t="s">
        <v>30</v>
      </c>
      <c r="CS78" s="38" t="s">
        <v>30</v>
      </c>
      <c r="CT78" s="38" t="s">
        <v>30</v>
      </c>
      <c r="CU78" s="38" t="s">
        <v>30</v>
      </c>
      <c r="CV78" s="38" t="s">
        <v>30</v>
      </c>
      <c r="CW78" s="38" t="s">
        <v>221</v>
      </c>
      <c r="CX78" s="36" t="s">
        <v>847</v>
      </c>
    </row>
    <row r="79" spans="1:102" ht="12" customHeight="1">
      <c r="A79" s="51" t="s">
        <v>935</v>
      </c>
      <c r="B79" s="52" t="s">
        <v>4004</v>
      </c>
      <c r="C79" s="52"/>
      <c r="D79" s="52"/>
      <c r="E79" s="52"/>
      <c r="F79" s="52" t="s">
        <v>1483</v>
      </c>
      <c r="G79" s="52" t="s">
        <v>1407</v>
      </c>
      <c r="H79" s="52" t="s">
        <v>1483</v>
      </c>
      <c r="I79" s="52" t="s">
        <v>1407</v>
      </c>
      <c r="J79" s="52"/>
      <c r="K79" s="52"/>
      <c r="L79" s="52"/>
      <c r="M79" s="52" t="s">
        <v>1655</v>
      </c>
      <c r="N79" s="52" t="s">
        <v>1655</v>
      </c>
      <c r="O79" s="52" t="s">
        <v>1655</v>
      </c>
      <c r="P79" s="52" t="s">
        <v>1655</v>
      </c>
      <c r="Q79" s="52" t="s">
        <v>1655</v>
      </c>
      <c r="R79" s="52" t="s">
        <v>1655</v>
      </c>
      <c r="S79" s="52" t="s">
        <v>1655</v>
      </c>
      <c r="T79" s="52" t="s">
        <v>1655</v>
      </c>
      <c r="U79" s="52" t="s">
        <v>1655</v>
      </c>
      <c r="V79" s="52" t="s">
        <v>1655</v>
      </c>
      <c r="W79" s="52" t="s">
        <v>1655</v>
      </c>
      <c r="X79" s="52" t="s">
        <v>1655</v>
      </c>
      <c r="Y79" s="52" t="s">
        <v>1655</v>
      </c>
      <c r="Z79" s="52"/>
      <c r="AA79" s="52"/>
      <c r="AB79" s="52"/>
      <c r="AC79" s="52"/>
      <c r="AD79" s="52"/>
      <c r="AE79" s="123" t="s">
        <v>5673</v>
      </c>
      <c r="AF79" s="52" t="s">
        <v>4686</v>
      </c>
      <c r="AG79" s="52" t="s">
        <v>4686</v>
      </c>
      <c r="AH79" s="52" t="s">
        <v>4685</v>
      </c>
      <c r="AI79" s="52"/>
      <c r="AJ79" s="52"/>
      <c r="AK79" s="52" t="s">
        <v>1775</v>
      </c>
      <c r="AL79" s="52" t="s">
        <v>1775</v>
      </c>
      <c r="AM79" s="52"/>
      <c r="AN79" s="52" t="s">
        <v>1025</v>
      </c>
      <c r="AO79" s="52"/>
      <c r="AP79" s="52"/>
      <c r="AQ79" s="52" t="s">
        <v>1918</v>
      </c>
      <c r="AR79" s="52" t="s">
        <v>1871</v>
      </c>
      <c r="AS79" s="52" t="s">
        <v>1918</v>
      </c>
      <c r="AT79" s="52" t="s">
        <v>1871</v>
      </c>
      <c r="AU79" s="52"/>
      <c r="AV79" s="52"/>
      <c r="AW79" s="52" t="s">
        <v>3046</v>
      </c>
      <c r="AX79" s="52" t="s">
        <v>3046</v>
      </c>
      <c r="AY79" s="52" t="s">
        <v>3046</v>
      </c>
      <c r="AZ79" s="52"/>
      <c r="BA79" s="52" t="s">
        <v>4117</v>
      </c>
      <c r="BB79" s="52"/>
      <c r="BC79" s="52"/>
      <c r="BD79" s="52" t="s">
        <v>1943</v>
      </c>
      <c r="BE79" s="52"/>
      <c r="BF79" s="52" t="s">
        <v>1992</v>
      </c>
      <c r="BG79" s="52" t="s">
        <v>4106</v>
      </c>
      <c r="BH79" s="52"/>
      <c r="BI79" s="52"/>
      <c r="BJ79" s="52"/>
      <c r="BK79" s="52" t="s">
        <v>1357</v>
      </c>
      <c r="BL79" s="52" t="s">
        <v>1357</v>
      </c>
      <c r="BM79" s="52"/>
      <c r="BN79" s="52"/>
      <c r="BO79" s="52"/>
      <c r="BP79" s="52"/>
      <c r="BQ79" s="52"/>
      <c r="BR79" s="52"/>
      <c r="BS79" s="52"/>
      <c r="BT79" s="52" t="s">
        <v>3689</v>
      </c>
      <c r="BU79" s="52" t="s">
        <v>3606</v>
      </c>
      <c r="BV79" s="52" t="s">
        <v>3554</v>
      </c>
      <c r="BW79" s="52" t="s">
        <v>2503</v>
      </c>
      <c r="BX79" s="52" t="s">
        <v>2503</v>
      </c>
      <c r="BY79" s="52" t="s">
        <v>2503</v>
      </c>
      <c r="BZ79" s="52" t="s">
        <v>4625</v>
      </c>
      <c r="CA79" s="52"/>
      <c r="CB79" s="52"/>
      <c r="CC79" s="52"/>
      <c r="CD79" s="52" t="s">
        <v>2556</v>
      </c>
      <c r="CE79" s="52" t="s">
        <v>2547</v>
      </c>
      <c r="CF79" s="52"/>
      <c r="CG79" s="52" t="s">
        <v>1655</v>
      </c>
      <c r="CH79" s="52" t="s">
        <v>1655</v>
      </c>
      <c r="CI79" s="52" t="s">
        <v>4047</v>
      </c>
      <c r="CJ79" s="52" t="s">
        <v>4047</v>
      </c>
      <c r="CK79" s="52" t="s">
        <v>2728</v>
      </c>
      <c r="CL79" s="52"/>
      <c r="CM79" s="52"/>
      <c r="CN79" s="52"/>
      <c r="CO79" s="52" t="s">
        <v>2120</v>
      </c>
      <c r="CP79" s="52" t="s">
        <v>2895</v>
      </c>
      <c r="CQ79" s="52"/>
      <c r="CR79" s="52"/>
      <c r="CS79" s="52"/>
      <c r="CT79" s="52"/>
      <c r="CU79" s="52"/>
      <c r="CV79" s="52"/>
      <c r="CW79" s="52" t="s">
        <v>1231</v>
      </c>
      <c r="CX79" s="52"/>
    </row>
    <row r="80" spans="1:102" ht="15" customHeight="1">
      <c r="A80" s="2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125"/>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row>
    <row r="81" spans="1:102" ht="22.5" customHeight="1">
      <c r="A81" s="10" t="s">
        <v>114</v>
      </c>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128"/>
      <c r="AF81" s="58"/>
      <c r="AG81" s="59"/>
      <c r="AH81" s="58"/>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8"/>
      <c r="BH81" s="59"/>
      <c r="BI81" s="58"/>
      <c r="BJ81" s="58"/>
      <c r="BK81" s="58"/>
      <c r="BL81" s="58"/>
      <c r="BM81" s="59"/>
      <c r="BN81" s="59"/>
      <c r="BO81" s="59"/>
      <c r="BP81" s="59"/>
      <c r="BQ81" s="59"/>
      <c r="BR81" s="59"/>
      <c r="BS81" s="59"/>
      <c r="BT81" s="59"/>
      <c r="BU81" s="59"/>
      <c r="BV81" s="59"/>
      <c r="BW81" s="59"/>
      <c r="BX81" s="59"/>
      <c r="BY81" s="59"/>
      <c r="BZ81" s="59"/>
      <c r="CA81" s="59"/>
      <c r="CB81" s="59"/>
      <c r="CC81" s="58"/>
      <c r="CD81" s="59"/>
      <c r="CE81" s="59"/>
      <c r="CF81" s="59"/>
      <c r="CG81" s="58"/>
      <c r="CH81" s="58"/>
      <c r="CI81" s="59"/>
      <c r="CJ81" s="59"/>
      <c r="CK81" s="59"/>
      <c r="CL81" s="59"/>
      <c r="CM81" s="59"/>
      <c r="CN81" s="59"/>
      <c r="CO81" s="59"/>
      <c r="CP81" s="59"/>
      <c r="CQ81" s="59"/>
      <c r="CR81" s="59"/>
      <c r="CS81" s="59"/>
      <c r="CT81" s="59"/>
      <c r="CU81" s="59"/>
      <c r="CV81" s="59"/>
      <c r="CW81" s="58"/>
      <c r="CX81" s="58"/>
    </row>
    <row r="82" spans="1:102" ht="22.5" customHeight="1">
      <c r="A82" s="12" t="s">
        <v>115</v>
      </c>
      <c r="B82" s="38" t="s">
        <v>57</v>
      </c>
      <c r="C82" s="38" t="s">
        <v>57</v>
      </c>
      <c r="D82" s="38" t="s">
        <v>57</v>
      </c>
      <c r="E82" s="38" t="s">
        <v>57</v>
      </c>
      <c r="F82" s="38" t="s">
        <v>57</v>
      </c>
      <c r="G82" s="38" t="s">
        <v>57</v>
      </c>
      <c r="H82" s="38" t="s">
        <v>57</v>
      </c>
      <c r="I82" s="38" t="s">
        <v>57</v>
      </c>
      <c r="J82" s="38" t="s">
        <v>57</v>
      </c>
      <c r="K82" s="38" t="s">
        <v>57</v>
      </c>
      <c r="L82" s="38" t="s">
        <v>57</v>
      </c>
      <c r="M82" s="38" t="s">
        <v>57</v>
      </c>
      <c r="N82" s="38" t="s">
        <v>57</v>
      </c>
      <c r="O82" s="38" t="s">
        <v>57</v>
      </c>
      <c r="P82" s="38" t="s">
        <v>57</v>
      </c>
      <c r="Q82" s="38" t="s">
        <v>57</v>
      </c>
      <c r="R82" s="38" t="s">
        <v>57</v>
      </c>
      <c r="S82" s="38" t="s">
        <v>57</v>
      </c>
      <c r="T82" s="38" t="s">
        <v>57</v>
      </c>
      <c r="U82" s="38" t="s">
        <v>57</v>
      </c>
      <c r="V82" s="38" t="s">
        <v>57</v>
      </c>
      <c r="W82" s="38" t="s">
        <v>57</v>
      </c>
      <c r="X82" s="38" t="s">
        <v>57</v>
      </c>
      <c r="Y82" s="38" t="s">
        <v>57</v>
      </c>
      <c r="Z82" s="38" t="s">
        <v>57</v>
      </c>
      <c r="AA82" s="38" t="s">
        <v>57</v>
      </c>
      <c r="AB82" s="38" t="s">
        <v>57</v>
      </c>
      <c r="AC82" s="38" t="s">
        <v>57</v>
      </c>
      <c r="AD82" s="38" t="s">
        <v>57</v>
      </c>
      <c r="AE82" s="124" t="s">
        <v>57</v>
      </c>
      <c r="AF82" s="38" t="s">
        <v>4687</v>
      </c>
      <c r="AG82" s="38" t="s">
        <v>4687</v>
      </c>
      <c r="AH82" s="38" t="s">
        <v>4687</v>
      </c>
      <c r="AI82" s="7" t="s">
        <v>57</v>
      </c>
      <c r="AJ82" s="34" t="s">
        <v>57</v>
      </c>
      <c r="AK82" s="7" t="s">
        <v>57</v>
      </c>
      <c r="AL82" s="34" t="s">
        <v>57</v>
      </c>
      <c r="AM82" s="34" t="s">
        <v>57</v>
      </c>
      <c r="AN82" s="34" t="s">
        <v>57</v>
      </c>
      <c r="AO82" s="7" t="s">
        <v>57</v>
      </c>
      <c r="AP82" s="34" t="s">
        <v>57</v>
      </c>
      <c r="AQ82" s="7" t="s">
        <v>57</v>
      </c>
      <c r="AR82" s="7" t="s">
        <v>57</v>
      </c>
      <c r="AS82" s="7" t="s">
        <v>57</v>
      </c>
      <c r="AT82" s="7" t="s">
        <v>57</v>
      </c>
      <c r="AU82" s="38" t="s">
        <v>57</v>
      </c>
      <c r="AV82" s="38" t="s">
        <v>57</v>
      </c>
      <c r="AW82" s="34" t="s">
        <v>57</v>
      </c>
      <c r="AX82" s="34" t="s">
        <v>57</v>
      </c>
      <c r="AY82" s="34" t="s">
        <v>57</v>
      </c>
      <c r="AZ82" s="38" t="s">
        <v>57</v>
      </c>
      <c r="BA82" s="38" t="s">
        <v>57</v>
      </c>
      <c r="BB82" s="38" t="s">
        <v>57</v>
      </c>
      <c r="BC82" s="38" t="s">
        <v>57</v>
      </c>
      <c r="BD82" s="38" t="s">
        <v>57</v>
      </c>
      <c r="BE82" s="38" t="s">
        <v>57</v>
      </c>
      <c r="BF82" s="38" t="s">
        <v>57</v>
      </c>
      <c r="BG82" s="38" t="s">
        <v>57</v>
      </c>
      <c r="BH82" s="38" t="s">
        <v>57</v>
      </c>
      <c r="BI82" s="38" t="s">
        <v>57</v>
      </c>
      <c r="BJ82" s="38" t="s">
        <v>57</v>
      </c>
      <c r="BK82" s="38" t="s">
        <v>57</v>
      </c>
      <c r="BL82" s="38" t="s">
        <v>57</v>
      </c>
      <c r="BM82" s="38" t="s">
        <v>57</v>
      </c>
      <c r="BN82" s="38" t="s">
        <v>57</v>
      </c>
      <c r="BO82" s="38" t="s">
        <v>57</v>
      </c>
      <c r="BP82" s="38" t="s">
        <v>57</v>
      </c>
      <c r="BQ82" s="38" t="s">
        <v>57</v>
      </c>
      <c r="BR82" s="38" t="s">
        <v>57</v>
      </c>
      <c r="BS82" s="38" t="s">
        <v>57</v>
      </c>
      <c r="BT82" s="38" t="s">
        <v>57</v>
      </c>
      <c r="BU82" s="38" t="s">
        <v>57</v>
      </c>
      <c r="BV82" s="38" t="s">
        <v>57</v>
      </c>
      <c r="BW82" s="38" t="s">
        <v>57</v>
      </c>
      <c r="BX82" s="38" t="s">
        <v>57</v>
      </c>
      <c r="BY82" s="38" t="s">
        <v>57</v>
      </c>
      <c r="BZ82" s="36" t="s">
        <v>57</v>
      </c>
      <c r="CA82" s="38" t="s">
        <v>57</v>
      </c>
      <c r="CB82" s="38" t="s">
        <v>57</v>
      </c>
      <c r="CC82" s="38" t="s">
        <v>57</v>
      </c>
      <c r="CD82" s="38" t="s">
        <v>57</v>
      </c>
      <c r="CE82" s="38" t="s">
        <v>57</v>
      </c>
      <c r="CF82" s="38" t="s">
        <v>57</v>
      </c>
      <c r="CG82" s="38" t="s">
        <v>57</v>
      </c>
      <c r="CH82" s="38" t="s">
        <v>57</v>
      </c>
      <c r="CI82" s="38" t="s">
        <v>57</v>
      </c>
      <c r="CJ82" s="38" t="s">
        <v>57</v>
      </c>
      <c r="CK82" s="38" t="s">
        <v>57</v>
      </c>
      <c r="CL82" s="38" t="s">
        <v>57</v>
      </c>
      <c r="CM82" s="38" t="s">
        <v>57</v>
      </c>
      <c r="CN82" s="38" t="s">
        <v>57</v>
      </c>
      <c r="CO82" s="38" t="s">
        <v>57</v>
      </c>
      <c r="CP82" s="38" t="s">
        <v>57</v>
      </c>
      <c r="CQ82" s="38" t="s">
        <v>57</v>
      </c>
      <c r="CR82" s="38" t="s">
        <v>57</v>
      </c>
      <c r="CS82" s="38" t="s">
        <v>57</v>
      </c>
      <c r="CT82" s="38" t="s">
        <v>57</v>
      </c>
      <c r="CU82" s="38" t="s">
        <v>57</v>
      </c>
      <c r="CV82" s="38" t="s">
        <v>57</v>
      </c>
      <c r="CW82" s="38" t="s">
        <v>57</v>
      </c>
      <c r="CX82" s="38" t="s">
        <v>57</v>
      </c>
    </row>
    <row r="83" spans="1:102" ht="12" customHeight="1">
      <c r="A83" s="51" t="s">
        <v>935</v>
      </c>
      <c r="B83" s="52" t="s">
        <v>4003</v>
      </c>
      <c r="C83" s="52"/>
      <c r="D83" s="52"/>
      <c r="E83" s="52"/>
      <c r="F83" s="52" t="s">
        <v>1438</v>
      </c>
      <c r="G83" s="52" t="s">
        <v>1438</v>
      </c>
      <c r="H83" s="52" t="s">
        <v>1438</v>
      </c>
      <c r="I83" s="52" t="s">
        <v>1438</v>
      </c>
      <c r="J83" s="52"/>
      <c r="K83" s="52"/>
      <c r="L83" s="52"/>
      <c r="M83" s="52" t="s">
        <v>1656</v>
      </c>
      <c r="N83" s="52" t="s">
        <v>1656</v>
      </c>
      <c r="O83" s="52" t="s">
        <v>1656</v>
      </c>
      <c r="P83" s="52" t="s">
        <v>1656</v>
      </c>
      <c r="Q83" s="52" t="s">
        <v>1656</v>
      </c>
      <c r="R83" s="52" t="s">
        <v>1656</v>
      </c>
      <c r="S83" s="52" t="s">
        <v>1656</v>
      </c>
      <c r="T83" s="52" t="s">
        <v>1656</v>
      </c>
      <c r="U83" s="52" t="s">
        <v>1656</v>
      </c>
      <c r="V83" s="52" t="s">
        <v>1656</v>
      </c>
      <c r="W83" s="52" t="s">
        <v>1656</v>
      </c>
      <c r="X83" s="52" t="s">
        <v>1656</v>
      </c>
      <c r="Y83" s="52" t="s">
        <v>1656</v>
      </c>
      <c r="Z83" s="52"/>
      <c r="AA83" s="52"/>
      <c r="AB83" s="52"/>
      <c r="AC83" s="52"/>
      <c r="AD83" s="52"/>
      <c r="AE83" s="123" t="s">
        <v>1656</v>
      </c>
      <c r="AF83" s="52" t="s">
        <v>2012</v>
      </c>
      <c r="AG83" s="52" t="s">
        <v>2012</v>
      </c>
      <c r="AH83" s="52" t="s">
        <v>2012</v>
      </c>
      <c r="AI83" s="52"/>
      <c r="AJ83" s="52"/>
      <c r="AK83" s="52" t="s">
        <v>1694</v>
      </c>
      <c r="AL83" s="52" t="s">
        <v>1694</v>
      </c>
      <c r="AM83" s="52"/>
      <c r="AN83" s="52" t="s">
        <v>1848</v>
      </c>
      <c r="AO83" s="52"/>
      <c r="AP83" s="52"/>
      <c r="AQ83" s="52" t="s">
        <v>1914</v>
      </c>
      <c r="AR83" s="52" t="s">
        <v>1914</v>
      </c>
      <c r="AS83" s="52" t="s">
        <v>1914</v>
      </c>
      <c r="AT83" s="52" t="s">
        <v>1914</v>
      </c>
      <c r="AU83" s="52"/>
      <c r="AV83" s="52"/>
      <c r="AW83" s="52" t="s">
        <v>3011</v>
      </c>
      <c r="AX83" s="52" t="s">
        <v>3011</v>
      </c>
      <c r="AY83" s="52" t="s">
        <v>3011</v>
      </c>
      <c r="AZ83" s="52"/>
      <c r="BA83" s="52" t="s">
        <v>2012</v>
      </c>
      <c r="BB83" s="52"/>
      <c r="BC83" s="52"/>
      <c r="BD83" s="52" t="s">
        <v>2012</v>
      </c>
      <c r="BE83" s="52"/>
      <c r="BF83" s="52" t="s">
        <v>2012</v>
      </c>
      <c r="BG83" s="52" t="s">
        <v>4066</v>
      </c>
      <c r="BH83" s="52"/>
      <c r="BI83" s="52"/>
      <c r="BJ83" s="52"/>
      <c r="BK83" s="52" t="s">
        <v>1358</v>
      </c>
      <c r="BL83" s="52" t="s">
        <v>1358</v>
      </c>
      <c r="BM83" s="52"/>
      <c r="BN83" s="52"/>
      <c r="BO83" s="52" t="s">
        <v>4569</v>
      </c>
      <c r="BP83" s="52"/>
      <c r="BQ83" s="52"/>
      <c r="BR83" s="52"/>
      <c r="BS83" s="52"/>
      <c r="BT83" s="52" t="s">
        <v>3690</v>
      </c>
      <c r="BU83" s="52" t="s">
        <v>3607</v>
      </c>
      <c r="BV83" s="52" t="s">
        <v>3566</v>
      </c>
      <c r="BW83" s="52" t="s">
        <v>2471</v>
      </c>
      <c r="BX83" s="52" t="s">
        <v>2471</v>
      </c>
      <c r="BY83" s="52" t="s">
        <v>2471</v>
      </c>
      <c r="BZ83" s="52" t="s">
        <v>4622</v>
      </c>
      <c r="CA83" s="52"/>
      <c r="CB83" s="52"/>
      <c r="CC83" s="52"/>
      <c r="CD83" s="52" t="s">
        <v>2603</v>
      </c>
      <c r="CE83" s="52" t="s">
        <v>2603</v>
      </c>
      <c r="CF83" s="52"/>
      <c r="CG83" s="52" t="s">
        <v>2286</v>
      </c>
      <c r="CH83" s="52" t="s">
        <v>2286</v>
      </c>
      <c r="CI83" s="52" t="s">
        <v>4003</v>
      </c>
      <c r="CJ83" s="52" t="s">
        <v>4003</v>
      </c>
      <c r="CK83" s="52" t="s">
        <v>2715</v>
      </c>
      <c r="CL83" s="52"/>
      <c r="CM83" s="52"/>
      <c r="CN83" s="52"/>
      <c r="CO83" s="52" t="s">
        <v>2096</v>
      </c>
      <c r="CP83" s="52" t="s">
        <v>2081</v>
      </c>
      <c r="CQ83" s="52"/>
      <c r="CR83" s="52"/>
      <c r="CS83" s="52"/>
      <c r="CT83" s="52"/>
      <c r="CU83" s="52"/>
      <c r="CV83" s="52"/>
      <c r="CW83" s="52" t="s">
        <v>1204</v>
      </c>
      <c r="CX83" s="52"/>
    </row>
    <row r="84" spans="1:102" ht="33.75" customHeight="1">
      <c r="A84" s="12" t="s">
        <v>116</v>
      </c>
      <c r="B84" s="38" t="s">
        <v>56</v>
      </c>
      <c r="C84" s="38" t="s">
        <v>56</v>
      </c>
      <c r="D84" s="38" t="s">
        <v>56</v>
      </c>
      <c r="E84" s="38" t="s">
        <v>56</v>
      </c>
      <c r="F84" s="38" t="s">
        <v>56</v>
      </c>
      <c r="G84" s="38" t="s">
        <v>56</v>
      </c>
      <c r="H84" s="38" t="s">
        <v>56</v>
      </c>
      <c r="I84" s="38" t="s">
        <v>56</v>
      </c>
      <c r="J84" s="38" t="s">
        <v>56</v>
      </c>
      <c r="K84" s="38" t="s">
        <v>56</v>
      </c>
      <c r="L84" s="38" t="s">
        <v>56</v>
      </c>
      <c r="M84" s="38" t="s">
        <v>56</v>
      </c>
      <c r="N84" s="38" t="s">
        <v>56</v>
      </c>
      <c r="O84" s="38" t="s">
        <v>56</v>
      </c>
      <c r="P84" s="38" t="s">
        <v>56</v>
      </c>
      <c r="Q84" s="38" t="s">
        <v>56</v>
      </c>
      <c r="R84" s="38" t="s">
        <v>56</v>
      </c>
      <c r="S84" s="38" t="s">
        <v>56</v>
      </c>
      <c r="T84" s="38" t="s">
        <v>56</v>
      </c>
      <c r="U84" s="38" t="s">
        <v>56</v>
      </c>
      <c r="V84" s="38" t="s">
        <v>56</v>
      </c>
      <c r="W84" s="38" t="s">
        <v>56</v>
      </c>
      <c r="X84" s="38" t="s">
        <v>56</v>
      </c>
      <c r="Y84" s="38" t="s">
        <v>56</v>
      </c>
      <c r="Z84" s="38" t="s">
        <v>56</v>
      </c>
      <c r="AA84" s="38" t="s">
        <v>56</v>
      </c>
      <c r="AB84" s="38" t="s">
        <v>56</v>
      </c>
      <c r="AC84" s="38" t="s">
        <v>56</v>
      </c>
      <c r="AD84" s="38" t="s">
        <v>56</v>
      </c>
      <c r="AE84" s="124" t="s">
        <v>56</v>
      </c>
      <c r="AF84" s="38" t="s">
        <v>56</v>
      </c>
      <c r="AG84" s="38" t="s">
        <v>56</v>
      </c>
      <c r="AH84" s="38" t="s">
        <v>56</v>
      </c>
      <c r="AI84" s="7" t="s">
        <v>56</v>
      </c>
      <c r="AJ84" s="7" t="s">
        <v>56</v>
      </c>
      <c r="AK84" s="7" t="s">
        <v>56</v>
      </c>
      <c r="AL84" s="7" t="s">
        <v>56</v>
      </c>
      <c r="AM84" s="7" t="s">
        <v>56</v>
      </c>
      <c r="AN84" s="7" t="s">
        <v>56</v>
      </c>
      <c r="AO84" s="7" t="s">
        <v>56</v>
      </c>
      <c r="AP84" s="7" t="s">
        <v>56</v>
      </c>
      <c r="AQ84" s="7" t="s">
        <v>56</v>
      </c>
      <c r="AR84" s="7" t="s">
        <v>56</v>
      </c>
      <c r="AS84" s="7" t="s">
        <v>56</v>
      </c>
      <c r="AT84" s="7" t="s">
        <v>56</v>
      </c>
      <c r="AU84" s="38" t="s">
        <v>56</v>
      </c>
      <c r="AV84" s="38" t="s">
        <v>56</v>
      </c>
      <c r="AW84" s="38" t="s">
        <v>2910</v>
      </c>
      <c r="AX84" s="38" t="s">
        <v>56</v>
      </c>
      <c r="AY84" s="38" t="s">
        <v>56</v>
      </c>
      <c r="AZ84" s="38" t="s">
        <v>56</v>
      </c>
      <c r="BA84" s="38" t="s">
        <v>56</v>
      </c>
      <c r="BB84" s="38" t="s">
        <v>56</v>
      </c>
      <c r="BC84" s="38" t="s">
        <v>56</v>
      </c>
      <c r="BD84" s="38" t="s">
        <v>56</v>
      </c>
      <c r="BE84" s="38" t="s">
        <v>56</v>
      </c>
      <c r="BF84" s="38" t="s">
        <v>56</v>
      </c>
      <c r="BG84" s="38" t="s">
        <v>4000</v>
      </c>
      <c r="BH84" s="38" t="s">
        <v>56</v>
      </c>
      <c r="BI84" s="38" t="s">
        <v>56</v>
      </c>
      <c r="BJ84" s="38" t="s">
        <v>56</v>
      </c>
      <c r="BK84" s="38" t="s">
        <v>56</v>
      </c>
      <c r="BL84" s="38" t="s">
        <v>56</v>
      </c>
      <c r="BM84" s="38" t="s">
        <v>56</v>
      </c>
      <c r="BN84" s="38" t="s">
        <v>56</v>
      </c>
      <c r="BO84" s="38" t="s">
        <v>56</v>
      </c>
      <c r="BP84" s="38" t="s">
        <v>56</v>
      </c>
      <c r="BQ84" s="38" t="s">
        <v>56</v>
      </c>
      <c r="BR84" s="38" t="s">
        <v>56</v>
      </c>
      <c r="BS84" s="38" t="s">
        <v>56</v>
      </c>
      <c r="BT84" s="38" t="s">
        <v>56</v>
      </c>
      <c r="BU84" s="38" t="s">
        <v>56</v>
      </c>
      <c r="BV84" s="38" t="s">
        <v>56</v>
      </c>
      <c r="BW84" s="38" t="s">
        <v>56</v>
      </c>
      <c r="BX84" s="38" t="s">
        <v>56</v>
      </c>
      <c r="BY84" s="38" t="s">
        <v>56</v>
      </c>
      <c r="BZ84" s="38" t="s">
        <v>56</v>
      </c>
      <c r="CA84" s="38" t="s">
        <v>0</v>
      </c>
      <c r="CB84" s="36" t="s">
        <v>322</v>
      </c>
      <c r="CC84" s="38" t="s">
        <v>56</v>
      </c>
      <c r="CD84" s="38" t="s">
        <v>56</v>
      </c>
      <c r="CE84" s="38" t="s">
        <v>56</v>
      </c>
      <c r="CF84" s="38" t="s">
        <v>56</v>
      </c>
      <c r="CG84" s="38" t="s">
        <v>56</v>
      </c>
      <c r="CH84" s="38" t="s">
        <v>56</v>
      </c>
      <c r="CI84" s="38" t="s">
        <v>56</v>
      </c>
      <c r="CJ84" s="38" t="s">
        <v>56</v>
      </c>
      <c r="CK84" s="38" t="s">
        <v>56</v>
      </c>
      <c r="CL84" s="38" t="s">
        <v>56</v>
      </c>
      <c r="CM84" s="38" t="s">
        <v>56</v>
      </c>
      <c r="CN84" s="38" t="s">
        <v>56</v>
      </c>
      <c r="CO84" s="38" t="s">
        <v>56</v>
      </c>
      <c r="CP84" s="38" t="s">
        <v>56</v>
      </c>
      <c r="CQ84" s="38" t="s">
        <v>56</v>
      </c>
      <c r="CR84" s="38" t="s">
        <v>56</v>
      </c>
      <c r="CS84" s="38" t="s">
        <v>56</v>
      </c>
      <c r="CT84" s="38" t="s">
        <v>56</v>
      </c>
      <c r="CU84" s="38" t="s">
        <v>56</v>
      </c>
      <c r="CV84" s="38" t="s">
        <v>56</v>
      </c>
      <c r="CW84" s="38" t="s">
        <v>56</v>
      </c>
      <c r="CX84" s="38" t="s">
        <v>56</v>
      </c>
    </row>
    <row r="85" spans="1:102" ht="12" customHeight="1">
      <c r="A85" s="51" t="s">
        <v>935</v>
      </c>
      <c r="B85" s="52" t="s">
        <v>2473</v>
      </c>
      <c r="C85" s="52"/>
      <c r="D85" s="52"/>
      <c r="E85" s="52"/>
      <c r="F85" s="52" t="s">
        <v>1443</v>
      </c>
      <c r="G85" s="52" t="s">
        <v>1443</v>
      </c>
      <c r="H85" s="52" t="s">
        <v>5499</v>
      </c>
      <c r="I85" s="52" t="s">
        <v>5500</v>
      </c>
      <c r="J85" s="52"/>
      <c r="K85" s="52"/>
      <c r="L85" s="52"/>
      <c r="M85" s="52" t="s">
        <v>1442</v>
      </c>
      <c r="N85" s="52" t="s">
        <v>1442</v>
      </c>
      <c r="O85" s="52" t="s">
        <v>1442</v>
      </c>
      <c r="P85" s="52" t="s">
        <v>1442</v>
      </c>
      <c r="Q85" s="52" t="s">
        <v>1442</v>
      </c>
      <c r="R85" s="52" t="s">
        <v>1442</v>
      </c>
      <c r="S85" s="52" t="s">
        <v>1442</v>
      </c>
      <c r="T85" s="52" t="s">
        <v>1442</v>
      </c>
      <c r="U85" s="52" t="s">
        <v>1442</v>
      </c>
      <c r="V85" s="52" t="s">
        <v>1442</v>
      </c>
      <c r="W85" s="52" t="s">
        <v>1442</v>
      </c>
      <c r="X85" s="52" t="s">
        <v>1442</v>
      </c>
      <c r="Y85" s="52" t="s">
        <v>1442</v>
      </c>
      <c r="Z85" s="52"/>
      <c r="AA85" s="52"/>
      <c r="AB85" s="52"/>
      <c r="AC85" s="52"/>
      <c r="AD85" s="52"/>
      <c r="AE85" s="123" t="s">
        <v>1442</v>
      </c>
      <c r="AF85" s="52" t="s">
        <v>4688</v>
      </c>
      <c r="AG85" s="52" t="s">
        <v>4688</v>
      </c>
      <c r="AH85" s="52" t="s">
        <v>4688</v>
      </c>
      <c r="AI85" s="52"/>
      <c r="AJ85" s="52"/>
      <c r="AK85" s="52" t="s">
        <v>1687</v>
      </c>
      <c r="AL85" s="52" t="s">
        <v>1687</v>
      </c>
      <c r="AM85" s="52"/>
      <c r="AN85" s="52" t="s">
        <v>1687</v>
      </c>
      <c r="AO85" s="52"/>
      <c r="AP85" s="52"/>
      <c r="AQ85" s="52" t="s">
        <v>1443</v>
      </c>
      <c r="AR85" s="52" t="s">
        <v>1443</v>
      </c>
      <c r="AS85" s="52" t="s">
        <v>1443</v>
      </c>
      <c r="AT85" s="52" t="s">
        <v>1443</v>
      </c>
      <c r="AU85" s="52"/>
      <c r="AV85" s="52"/>
      <c r="AW85" s="52" t="s">
        <v>2968</v>
      </c>
      <c r="AX85" s="52" t="s">
        <v>2968</v>
      </c>
      <c r="AY85" s="52" t="s">
        <v>2968</v>
      </c>
      <c r="AZ85" s="52"/>
      <c r="BA85" s="52" t="s">
        <v>4149</v>
      </c>
      <c r="BB85" s="52"/>
      <c r="BC85" s="52"/>
      <c r="BD85" s="52" t="s">
        <v>1965</v>
      </c>
      <c r="BE85" s="52"/>
      <c r="BF85" s="52" t="s">
        <v>1965</v>
      </c>
      <c r="BG85" s="52" t="s">
        <v>0</v>
      </c>
      <c r="BH85" s="52"/>
      <c r="BI85" s="52"/>
      <c r="BJ85" s="52"/>
      <c r="BK85" s="52" t="s">
        <v>1355</v>
      </c>
      <c r="BL85" s="52" t="s">
        <v>1355</v>
      </c>
      <c r="BM85" s="52"/>
      <c r="BN85" s="52"/>
      <c r="BO85" s="52" t="s">
        <v>4568</v>
      </c>
      <c r="BP85" s="52"/>
      <c r="BQ85" s="52" t="s">
        <v>4568</v>
      </c>
      <c r="BR85" s="52"/>
      <c r="BS85" s="52"/>
      <c r="BT85" s="52" t="s">
        <v>1443</v>
      </c>
      <c r="BU85" s="52" t="s">
        <v>1443</v>
      </c>
      <c r="BV85" s="52" t="s">
        <v>1443</v>
      </c>
      <c r="BW85" s="52" t="s">
        <v>2473</v>
      </c>
      <c r="BX85" s="52" t="s">
        <v>2473</v>
      </c>
      <c r="BY85" s="52" t="s">
        <v>2473</v>
      </c>
      <c r="BZ85" s="52" t="s">
        <v>0</v>
      </c>
      <c r="CA85" s="52"/>
      <c r="CB85" s="52"/>
      <c r="CC85" s="52"/>
      <c r="CD85" s="52" t="s">
        <v>1443</v>
      </c>
      <c r="CE85" s="52" t="s">
        <v>1443</v>
      </c>
      <c r="CF85" s="52"/>
      <c r="CG85" s="52" t="s">
        <v>1442</v>
      </c>
      <c r="CH85" s="52" t="s">
        <v>1442</v>
      </c>
      <c r="CI85" s="52" t="s">
        <v>0</v>
      </c>
      <c r="CJ85" s="52" t="s">
        <v>0</v>
      </c>
      <c r="CK85" s="52" t="s">
        <v>2713</v>
      </c>
      <c r="CL85" s="52"/>
      <c r="CM85" s="52"/>
      <c r="CN85" s="52"/>
      <c r="CO85" s="52" t="s">
        <v>1443</v>
      </c>
      <c r="CP85" s="52" t="s">
        <v>2821</v>
      </c>
      <c r="CQ85" s="52"/>
      <c r="CR85" s="52"/>
      <c r="CS85" s="52"/>
      <c r="CT85" s="52"/>
      <c r="CU85" s="52"/>
      <c r="CV85" s="52"/>
      <c r="CW85" s="52" t="s">
        <v>1024</v>
      </c>
      <c r="CX85" s="52"/>
    </row>
    <row r="86" spans="1:102" ht="22.5" customHeight="1">
      <c r="A86" s="12" t="s">
        <v>117</v>
      </c>
      <c r="B86" s="38" t="s">
        <v>56</v>
      </c>
      <c r="C86" s="38" t="s">
        <v>56</v>
      </c>
      <c r="D86" s="38" t="s">
        <v>56</v>
      </c>
      <c r="E86" s="38" t="s">
        <v>56</v>
      </c>
      <c r="F86" s="38" t="s">
        <v>56</v>
      </c>
      <c r="G86" s="38" t="s">
        <v>56</v>
      </c>
      <c r="H86" s="38" t="s">
        <v>56</v>
      </c>
      <c r="I86" s="38" t="s">
        <v>56</v>
      </c>
      <c r="J86" s="38" t="s">
        <v>56</v>
      </c>
      <c r="K86" s="38" t="s">
        <v>56</v>
      </c>
      <c r="L86" s="38" t="s">
        <v>56</v>
      </c>
      <c r="M86" s="38" t="s">
        <v>56</v>
      </c>
      <c r="N86" s="38" t="s">
        <v>56</v>
      </c>
      <c r="O86" s="38" t="s">
        <v>56</v>
      </c>
      <c r="P86" s="38" t="s">
        <v>56</v>
      </c>
      <c r="Q86" s="38" t="s">
        <v>56</v>
      </c>
      <c r="R86" s="38" t="s">
        <v>56</v>
      </c>
      <c r="S86" s="38" t="s">
        <v>56</v>
      </c>
      <c r="T86" s="38" t="s">
        <v>56</v>
      </c>
      <c r="U86" s="38" t="s">
        <v>56</v>
      </c>
      <c r="V86" s="38" t="s">
        <v>56</v>
      </c>
      <c r="W86" s="38" t="s">
        <v>56</v>
      </c>
      <c r="X86" s="38" t="s">
        <v>56</v>
      </c>
      <c r="Y86" s="38" t="s">
        <v>56</v>
      </c>
      <c r="Z86" s="38" t="s">
        <v>56</v>
      </c>
      <c r="AA86" s="38" t="s">
        <v>56</v>
      </c>
      <c r="AB86" s="38" t="s">
        <v>56</v>
      </c>
      <c r="AC86" s="38" t="s">
        <v>56</v>
      </c>
      <c r="AD86" s="38" t="s">
        <v>56</v>
      </c>
      <c r="AE86" s="124" t="s">
        <v>56</v>
      </c>
      <c r="AF86" s="38" t="s">
        <v>56</v>
      </c>
      <c r="AG86" s="38" t="s">
        <v>56</v>
      </c>
      <c r="AH86" s="38" t="s">
        <v>56</v>
      </c>
      <c r="AI86" s="7" t="s">
        <v>56</v>
      </c>
      <c r="AJ86" s="7" t="s">
        <v>56</v>
      </c>
      <c r="AK86" s="7" t="s">
        <v>56</v>
      </c>
      <c r="AL86" s="7" t="s">
        <v>56</v>
      </c>
      <c r="AM86" s="7" t="s">
        <v>56</v>
      </c>
      <c r="AN86" s="7" t="s">
        <v>56</v>
      </c>
      <c r="AO86" s="7" t="s">
        <v>56</v>
      </c>
      <c r="AP86" s="7" t="s">
        <v>56</v>
      </c>
      <c r="AQ86" s="7" t="s">
        <v>56</v>
      </c>
      <c r="AR86" s="7" t="s">
        <v>56</v>
      </c>
      <c r="AS86" s="7" t="s">
        <v>56</v>
      </c>
      <c r="AT86" s="7" t="s">
        <v>56</v>
      </c>
      <c r="AU86" s="38" t="s">
        <v>56</v>
      </c>
      <c r="AV86" s="38" t="s">
        <v>56</v>
      </c>
      <c r="AW86" s="38" t="s">
        <v>56</v>
      </c>
      <c r="AX86" s="38" t="s">
        <v>56</v>
      </c>
      <c r="AY86" s="38" t="s">
        <v>56</v>
      </c>
      <c r="AZ86" s="38" t="s">
        <v>56</v>
      </c>
      <c r="BA86" s="38" t="s">
        <v>56</v>
      </c>
      <c r="BB86" s="38" t="s">
        <v>56</v>
      </c>
      <c r="BC86" s="38" t="s">
        <v>56</v>
      </c>
      <c r="BD86" s="38" t="s">
        <v>56</v>
      </c>
      <c r="BE86" s="38" t="s">
        <v>56</v>
      </c>
      <c r="BF86" s="38" t="s">
        <v>56</v>
      </c>
      <c r="BG86" s="38" t="s">
        <v>57</v>
      </c>
      <c r="BH86" s="38" t="s">
        <v>56</v>
      </c>
      <c r="BI86" s="38" t="s">
        <v>56</v>
      </c>
      <c r="BJ86" s="38" t="s">
        <v>56</v>
      </c>
      <c r="BK86" s="38" t="s">
        <v>56</v>
      </c>
      <c r="BL86" s="38" t="s">
        <v>56</v>
      </c>
      <c r="BM86" s="38" t="s">
        <v>56</v>
      </c>
      <c r="BN86" s="38" t="s">
        <v>56</v>
      </c>
      <c r="BO86" s="38" t="s">
        <v>56</v>
      </c>
      <c r="BP86" s="38" t="s">
        <v>56</v>
      </c>
      <c r="BQ86" s="38" t="s">
        <v>56</v>
      </c>
      <c r="BR86" s="38" t="s">
        <v>56</v>
      </c>
      <c r="BS86" s="38" t="s">
        <v>56</v>
      </c>
      <c r="BT86" s="38" t="s">
        <v>56</v>
      </c>
      <c r="BU86" s="38" t="s">
        <v>56</v>
      </c>
      <c r="BV86" s="38" t="s">
        <v>56</v>
      </c>
      <c r="BW86" s="38" t="s">
        <v>56</v>
      </c>
      <c r="BX86" s="38" t="s">
        <v>56</v>
      </c>
      <c r="BY86" s="38" t="s">
        <v>56</v>
      </c>
      <c r="BZ86" s="38" t="s">
        <v>56</v>
      </c>
      <c r="CA86" s="38" t="s">
        <v>0</v>
      </c>
      <c r="CB86" s="38" t="s">
        <v>56</v>
      </c>
      <c r="CC86" s="38" t="s">
        <v>56</v>
      </c>
      <c r="CD86" s="38" t="s">
        <v>56</v>
      </c>
      <c r="CE86" s="38" t="s">
        <v>56</v>
      </c>
      <c r="CF86" s="38" t="s">
        <v>56</v>
      </c>
      <c r="CG86" s="38" t="s">
        <v>56</v>
      </c>
      <c r="CH86" s="38" t="s">
        <v>56</v>
      </c>
      <c r="CI86" s="38" t="s">
        <v>56</v>
      </c>
      <c r="CJ86" s="38" t="s">
        <v>56</v>
      </c>
      <c r="CK86" s="38" t="s">
        <v>56</v>
      </c>
      <c r="CL86" s="38" t="s">
        <v>56</v>
      </c>
      <c r="CM86" s="38" t="s">
        <v>56</v>
      </c>
      <c r="CN86" s="38" t="s">
        <v>56</v>
      </c>
      <c r="CO86" s="38" t="s">
        <v>56</v>
      </c>
      <c r="CP86" s="38" t="s">
        <v>56</v>
      </c>
      <c r="CQ86" s="38" t="s">
        <v>56</v>
      </c>
      <c r="CR86" s="38" t="s">
        <v>56</v>
      </c>
      <c r="CS86" s="38" t="s">
        <v>56</v>
      </c>
      <c r="CT86" s="38" t="s">
        <v>56</v>
      </c>
      <c r="CU86" s="38" t="s">
        <v>56</v>
      </c>
      <c r="CV86" s="38" t="s">
        <v>56</v>
      </c>
      <c r="CW86" s="38" t="s">
        <v>56</v>
      </c>
      <c r="CX86" s="38" t="s">
        <v>56</v>
      </c>
    </row>
    <row r="87" spans="1:102" ht="12" customHeight="1">
      <c r="A87" s="51" t="s">
        <v>935</v>
      </c>
      <c r="B87" s="52" t="s">
        <v>0</v>
      </c>
      <c r="C87" s="52"/>
      <c r="D87" s="52"/>
      <c r="E87" s="52"/>
      <c r="F87" s="52" t="s">
        <v>1443</v>
      </c>
      <c r="G87" s="52" t="s">
        <v>1443</v>
      </c>
      <c r="H87" s="52" t="s">
        <v>1443</v>
      </c>
      <c r="I87" s="52" t="s">
        <v>1443</v>
      </c>
      <c r="J87" s="52"/>
      <c r="K87" s="52"/>
      <c r="L87" s="52"/>
      <c r="M87" s="52" t="s">
        <v>1442</v>
      </c>
      <c r="N87" s="52" t="s">
        <v>1442</v>
      </c>
      <c r="O87" s="52" t="s">
        <v>1442</v>
      </c>
      <c r="P87" s="52" t="s">
        <v>1442</v>
      </c>
      <c r="Q87" s="52" t="s">
        <v>1442</v>
      </c>
      <c r="R87" s="52" t="s">
        <v>1442</v>
      </c>
      <c r="S87" s="52" t="s">
        <v>1442</v>
      </c>
      <c r="T87" s="52" t="s">
        <v>1442</v>
      </c>
      <c r="U87" s="52" t="s">
        <v>1442</v>
      </c>
      <c r="V87" s="52" t="s">
        <v>1442</v>
      </c>
      <c r="W87" s="52" t="s">
        <v>1442</v>
      </c>
      <c r="X87" s="52" t="s">
        <v>1442</v>
      </c>
      <c r="Y87" s="52" t="s">
        <v>1442</v>
      </c>
      <c r="Z87" s="52"/>
      <c r="AA87" s="52"/>
      <c r="AB87" s="52"/>
      <c r="AC87" s="52"/>
      <c r="AD87" s="52"/>
      <c r="AE87" s="123" t="s">
        <v>1442</v>
      </c>
      <c r="AF87" s="52" t="s">
        <v>4799</v>
      </c>
      <c r="AG87" s="52" t="s">
        <v>4799</v>
      </c>
      <c r="AH87" s="52" t="s">
        <v>4799</v>
      </c>
      <c r="AI87" s="52"/>
      <c r="AJ87" s="52"/>
      <c r="AK87" s="52" t="s">
        <v>1687</v>
      </c>
      <c r="AL87" s="52" t="s">
        <v>1687</v>
      </c>
      <c r="AM87" s="52"/>
      <c r="AN87" s="52" t="s">
        <v>1687</v>
      </c>
      <c r="AO87" s="52"/>
      <c r="AP87" s="52"/>
      <c r="AQ87" s="52" t="s">
        <v>1443</v>
      </c>
      <c r="AR87" s="52" t="s">
        <v>1443</v>
      </c>
      <c r="AS87" s="52" t="s">
        <v>1443</v>
      </c>
      <c r="AT87" s="52" t="s">
        <v>1443</v>
      </c>
      <c r="AU87" s="52"/>
      <c r="AV87" s="52"/>
      <c r="AW87" s="52" t="s">
        <v>2967</v>
      </c>
      <c r="AX87" s="52" t="s">
        <v>2967</v>
      </c>
      <c r="AY87" s="52" t="s">
        <v>2967</v>
      </c>
      <c r="AZ87" s="52"/>
      <c r="BA87" s="52" t="s">
        <v>4150</v>
      </c>
      <c r="BB87" s="52"/>
      <c r="BC87" s="52"/>
      <c r="BD87" s="52" t="s">
        <v>1964</v>
      </c>
      <c r="BE87" s="52"/>
      <c r="BF87" s="52" t="s">
        <v>1964</v>
      </c>
      <c r="BG87" s="52" t="s">
        <v>4099</v>
      </c>
      <c r="BH87" s="52"/>
      <c r="BI87" s="52"/>
      <c r="BJ87" s="52"/>
      <c r="BK87" s="52" t="s">
        <v>1355</v>
      </c>
      <c r="BL87" s="52" t="s">
        <v>1355</v>
      </c>
      <c r="BM87" s="52"/>
      <c r="BN87" s="52"/>
      <c r="BO87" s="52" t="s">
        <v>4568</v>
      </c>
      <c r="BP87" s="52"/>
      <c r="BQ87" s="52" t="s">
        <v>4568</v>
      </c>
      <c r="BR87" s="52"/>
      <c r="BS87" s="52"/>
      <c r="BT87" s="52" t="s">
        <v>1443</v>
      </c>
      <c r="BU87" s="52" t="s">
        <v>1443</v>
      </c>
      <c r="BV87" s="52" t="s">
        <v>1443</v>
      </c>
      <c r="BW87" s="52" t="s">
        <v>2472</v>
      </c>
      <c r="BX87" s="52" t="s">
        <v>2472</v>
      </c>
      <c r="BY87" s="52" t="s">
        <v>2472</v>
      </c>
      <c r="BZ87" s="52" t="s">
        <v>0</v>
      </c>
      <c r="CA87" s="52"/>
      <c r="CB87" s="52"/>
      <c r="CC87" s="52"/>
      <c r="CD87" s="52" t="s">
        <v>1443</v>
      </c>
      <c r="CE87" s="52" t="s">
        <v>1443</v>
      </c>
      <c r="CF87" s="52"/>
      <c r="CG87" s="52" t="s">
        <v>1442</v>
      </c>
      <c r="CH87" s="52" t="s">
        <v>1442</v>
      </c>
      <c r="CI87" s="52" t="s">
        <v>0</v>
      </c>
      <c r="CJ87" s="52" t="s">
        <v>0</v>
      </c>
      <c r="CK87" s="52" t="s">
        <v>2714</v>
      </c>
      <c r="CL87" s="52"/>
      <c r="CM87" s="52"/>
      <c r="CN87" s="52"/>
      <c r="CO87" s="52" t="s">
        <v>1443</v>
      </c>
      <c r="CP87" s="52" t="s">
        <v>2105</v>
      </c>
      <c r="CQ87" s="52"/>
      <c r="CR87" s="52"/>
      <c r="CS87" s="52"/>
      <c r="CT87" s="52"/>
      <c r="CU87" s="52"/>
      <c r="CV87" s="52"/>
      <c r="CW87" s="52" t="s">
        <v>1024</v>
      </c>
      <c r="CX87" s="52"/>
    </row>
    <row r="88" spans="1:102" ht="15" customHeight="1">
      <c r="A88" s="2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129"/>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105"/>
      <c r="CK88" s="60"/>
      <c r="CL88" s="60"/>
      <c r="CM88" s="60"/>
      <c r="CN88" s="60"/>
      <c r="CO88" s="60"/>
      <c r="CP88" s="60"/>
      <c r="CQ88" s="60"/>
      <c r="CR88" s="60"/>
      <c r="CS88" s="60"/>
      <c r="CT88" s="60"/>
      <c r="CU88" s="60"/>
      <c r="CV88" s="60"/>
      <c r="CW88" s="60"/>
      <c r="CX88" s="60"/>
    </row>
    <row r="89" spans="1:102" ht="22.5" customHeight="1">
      <c r="A89" s="22" t="s">
        <v>119</v>
      </c>
      <c r="B89" s="59"/>
      <c r="C89" s="59"/>
      <c r="D89" s="59"/>
      <c r="E89" s="59"/>
      <c r="F89" s="98"/>
      <c r="G89" s="98"/>
      <c r="H89" s="98"/>
      <c r="I89" s="98"/>
      <c r="J89" s="59"/>
      <c r="K89" s="59"/>
      <c r="L89" s="59"/>
      <c r="M89" s="98"/>
      <c r="N89" s="98"/>
      <c r="O89" s="98"/>
      <c r="P89" s="98"/>
      <c r="Q89" s="98"/>
      <c r="R89" s="98"/>
      <c r="S89" s="98"/>
      <c r="T89" s="98"/>
      <c r="U89" s="98"/>
      <c r="V89" s="98"/>
      <c r="W89" s="98"/>
      <c r="X89" s="98"/>
      <c r="Y89" s="98"/>
      <c r="Z89" s="59"/>
      <c r="AA89" s="98"/>
      <c r="AB89" s="98"/>
      <c r="AC89" s="98"/>
      <c r="AD89" s="98"/>
      <c r="AE89" s="130"/>
      <c r="AF89" s="58"/>
      <c r="AG89" s="59"/>
      <c r="AH89" s="58"/>
      <c r="AI89" s="59"/>
      <c r="AJ89" s="59"/>
      <c r="AK89" s="98"/>
      <c r="AL89" s="98"/>
      <c r="AM89" s="59"/>
      <c r="AN89" s="98"/>
      <c r="AO89" s="59"/>
      <c r="AP89" s="59"/>
      <c r="AQ89" s="98"/>
      <c r="AR89" s="98"/>
      <c r="AS89" s="98"/>
      <c r="AT89" s="98"/>
      <c r="AU89" s="98"/>
      <c r="AV89" s="98"/>
      <c r="AW89" s="59"/>
      <c r="AX89" s="59"/>
      <c r="AY89" s="59"/>
      <c r="AZ89" s="98"/>
      <c r="BA89" s="98"/>
      <c r="BB89" s="59"/>
      <c r="BC89" s="59"/>
      <c r="BD89" s="98"/>
      <c r="BE89" s="59"/>
      <c r="BF89" s="98"/>
      <c r="BG89" s="58"/>
      <c r="BH89" s="59"/>
      <c r="BI89" s="58"/>
      <c r="BJ89" s="58"/>
      <c r="BK89" s="58"/>
      <c r="BL89" s="58"/>
      <c r="BM89" s="98"/>
      <c r="BN89" s="59"/>
      <c r="BO89" s="98"/>
      <c r="BP89" s="59"/>
      <c r="BQ89" s="98"/>
      <c r="BR89" s="59"/>
      <c r="BS89" s="98"/>
      <c r="BT89" s="98"/>
      <c r="BU89" s="98"/>
      <c r="BV89" s="98"/>
      <c r="BW89" s="98"/>
      <c r="BX89" s="98"/>
      <c r="BY89" s="98"/>
      <c r="BZ89" s="98"/>
      <c r="CA89" s="59"/>
      <c r="CB89" s="59"/>
      <c r="CC89" s="58"/>
      <c r="CD89" s="98"/>
      <c r="CE89" s="98"/>
      <c r="CF89" s="59"/>
      <c r="CG89" s="58"/>
      <c r="CH89" s="58"/>
      <c r="CI89" s="59"/>
      <c r="CJ89" s="59"/>
      <c r="CK89" s="98"/>
      <c r="CL89" s="59"/>
      <c r="CM89" s="59"/>
      <c r="CN89" s="59"/>
      <c r="CO89" s="59"/>
      <c r="CP89" s="98"/>
      <c r="CQ89" s="98"/>
      <c r="CR89" s="98"/>
      <c r="CS89" s="59"/>
      <c r="CT89" s="59"/>
      <c r="CU89" s="98"/>
      <c r="CV89" s="98"/>
      <c r="CW89" s="58"/>
      <c r="CX89" s="58"/>
    </row>
    <row r="90" spans="1:102" ht="22.5" customHeight="1">
      <c r="A90" s="26" t="s">
        <v>118</v>
      </c>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129"/>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105"/>
      <c r="CK90" s="60"/>
      <c r="CL90" s="60"/>
      <c r="CM90" s="60"/>
      <c r="CN90" s="60"/>
      <c r="CO90" s="60"/>
      <c r="CP90" s="60"/>
      <c r="CQ90" s="60"/>
      <c r="CR90" s="60"/>
      <c r="CS90" s="60"/>
      <c r="CT90" s="60"/>
      <c r="CU90" s="60"/>
      <c r="CV90" s="60"/>
      <c r="CW90" s="60"/>
      <c r="CX90" s="60"/>
    </row>
    <row r="91" spans="1:102" ht="22.5" customHeight="1">
      <c r="A91" s="12" t="s">
        <v>191</v>
      </c>
      <c r="B91" s="36" t="s">
        <v>3966</v>
      </c>
      <c r="C91" s="38" t="s">
        <v>57</v>
      </c>
      <c r="D91" s="38" t="s">
        <v>57</v>
      </c>
      <c r="E91" s="38" t="s">
        <v>57</v>
      </c>
      <c r="F91" s="38" t="s">
        <v>57</v>
      </c>
      <c r="G91" s="38" t="s">
        <v>57</v>
      </c>
      <c r="H91" s="38" t="s">
        <v>57</v>
      </c>
      <c r="I91" s="38" t="s">
        <v>57</v>
      </c>
      <c r="J91" s="38" t="s">
        <v>57</v>
      </c>
      <c r="K91" s="38" t="s">
        <v>57</v>
      </c>
      <c r="L91" s="38" t="s">
        <v>57</v>
      </c>
      <c r="M91" s="38" t="s">
        <v>57</v>
      </c>
      <c r="N91" s="38" t="s">
        <v>57</v>
      </c>
      <c r="O91" s="38" t="s">
        <v>57</v>
      </c>
      <c r="P91" s="38" t="s">
        <v>57</v>
      </c>
      <c r="Q91" s="38" t="s">
        <v>57</v>
      </c>
      <c r="R91" s="38" t="s">
        <v>57</v>
      </c>
      <c r="S91" s="38" t="s">
        <v>57</v>
      </c>
      <c r="T91" s="38" t="s">
        <v>57</v>
      </c>
      <c r="U91" s="38" t="s">
        <v>57</v>
      </c>
      <c r="V91" s="38" t="s">
        <v>57</v>
      </c>
      <c r="W91" s="38" t="s">
        <v>57</v>
      </c>
      <c r="X91" s="38" t="s">
        <v>57</v>
      </c>
      <c r="Y91" s="38" t="s">
        <v>57</v>
      </c>
      <c r="Z91" s="38" t="s">
        <v>57</v>
      </c>
      <c r="AA91" s="38" t="s">
        <v>57</v>
      </c>
      <c r="AB91" s="38" t="s">
        <v>57</v>
      </c>
      <c r="AC91" s="38" t="s">
        <v>57</v>
      </c>
      <c r="AD91" s="38" t="s">
        <v>57</v>
      </c>
      <c r="AE91" s="124" t="s">
        <v>57</v>
      </c>
      <c r="AF91" s="38" t="s">
        <v>57</v>
      </c>
      <c r="AG91" s="38" t="s">
        <v>57</v>
      </c>
      <c r="AH91" s="38" t="s">
        <v>57</v>
      </c>
      <c r="AI91" s="7" t="s">
        <v>57</v>
      </c>
      <c r="AJ91" s="33" t="s">
        <v>57</v>
      </c>
      <c r="AK91" s="7" t="s">
        <v>57</v>
      </c>
      <c r="AL91" s="34" t="s">
        <v>57</v>
      </c>
      <c r="AM91" s="33" t="s">
        <v>57</v>
      </c>
      <c r="AN91" s="34" t="s">
        <v>57</v>
      </c>
      <c r="AO91" s="7" t="s">
        <v>57</v>
      </c>
      <c r="AP91" s="33" t="s">
        <v>57</v>
      </c>
      <c r="AQ91" s="7" t="s">
        <v>57</v>
      </c>
      <c r="AR91" s="7" t="s">
        <v>57</v>
      </c>
      <c r="AS91" s="7" t="s">
        <v>57</v>
      </c>
      <c r="AT91" s="7" t="s">
        <v>57</v>
      </c>
      <c r="AU91" s="38" t="s">
        <v>57</v>
      </c>
      <c r="AV91" s="38" t="s">
        <v>57</v>
      </c>
      <c r="AW91" s="34" t="s">
        <v>57</v>
      </c>
      <c r="AX91" s="34" t="s">
        <v>57</v>
      </c>
      <c r="AY91" s="34" t="s">
        <v>57</v>
      </c>
      <c r="AZ91" s="38" t="s">
        <v>57</v>
      </c>
      <c r="BA91" s="38" t="s">
        <v>57</v>
      </c>
      <c r="BB91" s="38" t="s">
        <v>57</v>
      </c>
      <c r="BC91" s="38" t="s">
        <v>57</v>
      </c>
      <c r="BD91" s="38" t="s">
        <v>57</v>
      </c>
      <c r="BE91" s="38" t="s">
        <v>57</v>
      </c>
      <c r="BF91" s="38" t="s">
        <v>57</v>
      </c>
      <c r="BG91" s="36" t="s">
        <v>4068</v>
      </c>
      <c r="BH91" s="36" t="s">
        <v>585</v>
      </c>
      <c r="BI91" s="38" t="s">
        <v>57</v>
      </c>
      <c r="BJ91" s="38" t="s">
        <v>57</v>
      </c>
      <c r="BK91" s="38" t="s">
        <v>57</v>
      </c>
      <c r="BL91" s="38" t="s">
        <v>57</v>
      </c>
      <c r="BM91" s="38" t="s">
        <v>390</v>
      </c>
      <c r="BN91" s="38" t="s">
        <v>57</v>
      </c>
      <c r="BO91" s="38" t="s">
        <v>57</v>
      </c>
      <c r="BP91" s="38" t="s">
        <v>57</v>
      </c>
      <c r="BQ91" s="38" t="s">
        <v>57</v>
      </c>
      <c r="BR91" s="38" t="s">
        <v>57</v>
      </c>
      <c r="BS91" s="38" t="s">
        <v>57</v>
      </c>
      <c r="BT91" s="38" t="s">
        <v>57</v>
      </c>
      <c r="BU91" s="38" t="s">
        <v>57</v>
      </c>
      <c r="BV91" s="38" t="s">
        <v>57</v>
      </c>
      <c r="BW91" s="38" t="s">
        <v>57</v>
      </c>
      <c r="BX91" s="38" t="s">
        <v>57</v>
      </c>
      <c r="BY91" s="38" t="s">
        <v>57</v>
      </c>
      <c r="BZ91" s="38" t="s">
        <v>57</v>
      </c>
      <c r="CA91" s="38" t="s">
        <v>57</v>
      </c>
      <c r="CB91" s="38" t="s">
        <v>57</v>
      </c>
      <c r="CC91" s="38" t="s">
        <v>57</v>
      </c>
      <c r="CD91" s="38" t="s">
        <v>57</v>
      </c>
      <c r="CE91" s="38" t="s">
        <v>57</v>
      </c>
      <c r="CF91" s="38" t="s">
        <v>57</v>
      </c>
      <c r="CG91" s="38" t="s">
        <v>57</v>
      </c>
      <c r="CH91" s="38" t="s">
        <v>57</v>
      </c>
      <c r="CI91" s="36" t="s">
        <v>57</v>
      </c>
      <c r="CJ91" s="36" t="s">
        <v>57</v>
      </c>
      <c r="CK91" s="36" t="s">
        <v>57</v>
      </c>
      <c r="CL91" s="36" t="s">
        <v>57</v>
      </c>
      <c r="CM91" s="36" t="s">
        <v>57</v>
      </c>
      <c r="CN91" s="38" t="s">
        <v>57</v>
      </c>
      <c r="CO91" s="38" t="s">
        <v>57</v>
      </c>
      <c r="CP91" s="38" t="s">
        <v>57</v>
      </c>
      <c r="CQ91" s="38" t="s">
        <v>57</v>
      </c>
      <c r="CR91" s="38" t="s">
        <v>57</v>
      </c>
      <c r="CS91" s="38" t="s">
        <v>57</v>
      </c>
      <c r="CT91" s="38" t="s">
        <v>57</v>
      </c>
      <c r="CU91" s="38" t="s">
        <v>57</v>
      </c>
      <c r="CV91" s="38" t="s">
        <v>57</v>
      </c>
      <c r="CW91" s="38" t="s">
        <v>57</v>
      </c>
      <c r="CX91" s="38" t="s">
        <v>57</v>
      </c>
    </row>
    <row r="92" spans="1:102" ht="12" customHeight="1">
      <c r="A92" s="51" t="s">
        <v>935</v>
      </c>
      <c r="B92" s="52" t="s">
        <v>3967</v>
      </c>
      <c r="C92" s="52"/>
      <c r="D92" s="52"/>
      <c r="E92" s="52"/>
      <c r="F92" s="52" t="s">
        <v>1438</v>
      </c>
      <c r="G92" s="52" t="s">
        <v>1437</v>
      </c>
      <c r="H92" s="52" t="s">
        <v>1438</v>
      </c>
      <c r="I92" s="52" t="s">
        <v>1437</v>
      </c>
      <c r="J92" s="52"/>
      <c r="K92" s="52"/>
      <c r="L92" s="52"/>
      <c r="M92" s="52" t="s">
        <v>1657</v>
      </c>
      <c r="N92" s="52" t="s">
        <v>1657</v>
      </c>
      <c r="O92" s="52" t="s">
        <v>1657</v>
      </c>
      <c r="P92" s="52" t="s">
        <v>1657</v>
      </c>
      <c r="Q92" s="52" t="s">
        <v>1657</v>
      </c>
      <c r="R92" s="52" t="s">
        <v>1657</v>
      </c>
      <c r="S92" s="52" t="s">
        <v>1657</v>
      </c>
      <c r="T92" s="52" t="s">
        <v>1657</v>
      </c>
      <c r="U92" s="52" t="s">
        <v>1657</v>
      </c>
      <c r="V92" s="52" t="s">
        <v>1657</v>
      </c>
      <c r="W92" s="52" t="s">
        <v>1657</v>
      </c>
      <c r="X92" s="52" t="s">
        <v>1657</v>
      </c>
      <c r="Y92" s="52" t="s">
        <v>1657</v>
      </c>
      <c r="Z92" s="52"/>
      <c r="AA92" s="52"/>
      <c r="AB92" s="52"/>
      <c r="AC92" s="52"/>
      <c r="AD92" s="52"/>
      <c r="AE92" s="123" t="s">
        <v>5674</v>
      </c>
      <c r="AF92" s="52" t="s">
        <v>4689</v>
      </c>
      <c r="AG92" s="52" t="s">
        <v>4689</v>
      </c>
      <c r="AH92" s="52" t="s">
        <v>4689</v>
      </c>
      <c r="AI92" s="52"/>
      <c r="AJ92" s="52"/>
      <c r="AK92" s="52" t="s">
        <v>1695</v>
      </c>
      <c r="AL92" s="52" t="s">
        <v>1695</v>
      </c>
      <c r="AM92" s="52"/>
      <c r="AN92" s="52" t="s">
        <v>1803</v>
      </c>
      <c r="AO92" s="52"/>
      <c r="AP92" s="52"/>
      <c r="AQ92" s="52" t="s">
        <v>1913</v>
      </c>
      <c r="AR92" s="52" t="s">
        <v>1913</v>
      </c>
      <c r="AS92" s="52" t="s">
        <v>1913</v>
      </c>
      <c r="AT92" s="52" t="s">
        <v>1913</v>
      </c>
      <c r="AU92" s="52"/>
      <c r="AV92" s="52"/>
      <c r="AW92" s="52" t="s">
        <v>3010</v>
      </c>
      <c r="AX92" s="52" t="s">
        <v>3010</v>
      </c>
      <c r="AY92" s="52" t="s">
        <v>3010</v>
      </c>
      <c r="AZ92" s="52"/>
      <c r="BA92" s="52" t="s">
        <v>2013</v>
      </c>
      <c r="BB92" s="52"/>
      <c r="BC92" s="52"/>
      <c r="BD92" s="52" t="s">
        <v>2013</v>
      </c>
      <c r="BE92" s="52"/>
      <c r="BF92" s="52" t="s">
        <v>2013</v>
      </c>
      <c r="BG92" s="52" t="s">
        <v>4069</v>
      </c>
      <c r="BH92" s="52"/>
      <c r="BI92" s="52"/>
      <c r="BJ92" s="52"/>
      <c r="BK92" s="52" t="s">
        <v>1375</v>
      </c>
      <c r="BL92" s="52" t="s">
        <v>1375</v>
      </c>
      <c r="BM92" s="52"/>
      <c r="BN92" s="52"/>
      <c r="BO92" s="52" t="s">
        <v>4558</v>
      </c>
      <c r="BP92" s="52"/>
      <c r="BQ92" s="52"/>
      <c r="BR92" s="52"/>
      <c r="BS92" s="52"/>
      <c r="BT92" s="52" t="s">
        <v>3660</v>
      </c>
      <c r="BU92" s="52" t="s">
        <v>3661</v>
      </c>
      <c r="BV92" s="52" t="s">
        <v>3662</v>
      </c>
      <c r="BW92" s="52" t="s">
        <v>2470</v>
      </c>
      <c r="BX92" s="52" t="s">
        <v>2470</v>
      </c>
      <c r="BY92" s="52" t="s">
        <v>2470</v>
      </c>
      <c r="BZ92" s="52" t="s">
        <v>4033</v>
      </c>
      <c r="CA92" s="52"/>
      <c r="CB92" s="52"/>
      <c r="CC92" s="52"/>
      <c r="CD92" s="52" t="s">
        <v>2604</v>
      </c>
      <c r="CE92" s="52" t="s">
        <v>2604</v>
      </c>
      <c r="CF92" s="52"/>
      <c r="CG92" s="52" t="s">
        <v>2287</v>
      </c>
      <c r="CH92" s="52" t="s">
        <v>2287</v>
      </c>
      <c r="CI92" s="52" t="s">
        <v>4033</v>
      </c>
      <c r="CJ92" s="52" t="s">
        <v>4033</v>
      </c>
      <c r="CK92" s="52" t="s">
        <v>2646</v>
      </c>
      <c r="CL92" s="52"/>
      <c r="CM92" s="52"/>
      <c r="CN92" s="52"/>
      <c r="CO92" s="52" t="s">
        <v>2097</v>
      </c>
      <c r="CP92" s="52" t="s">
        <v>2824</v>
      </c>
      <c r="CQ92" s="52"/>
      <c r="CR92" s="52"/>
      <c r="CS92" s="52"/>
      <c r="CT92" s="52"/>
      <c r="CU92" s="52"/>
      <c r="CV92" s="52"/>
      <c r="CW92" s="52" t="s">
        <v>1207</v>
      </c>
      <c r="CX92" s="52"/>
    </row>
    <row r="93" spans="1:102" ht="22.5" customHeight="1">
      <c r="A93" s="12" t="s">
        <v>120</v>
      </c>
      <c r="B93" s="38" t="s">
        <v>0</v>
      </c>
      <c r="C93" s="38" t="s">
        <v>0</v>
      </c>
      <c r="D93" s="38" t="s">
        <v>57</v>
      </c>
      <c r="E93" s="38" t="s">
        <v>57</v>
      </c>
      <c r="F93" s="38" t="s">
        <v>57</v>
      </c>
      <c r="G93" s="38" t="s">
        <v>57</v>
      </c>
      <c r="H93" s="38" t="s">
        <v>57</v>
      </c>
      <c r="I93" s="38" t="s">
        <v>57</v>
      </c>
      <c r="J93" s="38" t="s">
        <v>57</v>
      </c>
      <c r="K93" s="38" t="s">
        <v>57</v>
      </c>
      <c r="L93" s="38" t="s">
        <v>57</v>
      </c>
      <c r="M93" s="36" t="s">
        <v>1658</v>
      </c>
      <c r="N93" s="36" t="s">
        <v>1658</v>
      </c>
      <c r="O93" s="36" t="s">
        <v>1658</v>
      </c>
      <c r="P93" s="36" t="s">
        <v>57</v>
      </c>
      <c r="Q93" s="36" t="s">
        <v>57</v>
      </c>
      <c r="R93" s="36" t="s">
        <v>57</v>
      </c>
      <c r="S93" s="36" t="s">
        <v>57</v>
      </c>
      <c r="T93" s="36" t="s">
        <v>57</v>
      </c>
      <c r="U93" s="36" t="s">
        <v>57</v>
      </c>
      <c r="V93" s="36" t="s">
        <v>57</v>
      </c>
      <c r="W93" s="36" t="s">
        <v>57</v>
      </c>
      <c r="X93" s="36" t="s">
        <v>57</v>
      </c>
      <c r="Y93" s="36" t="s">
        <v>57</v>
      </c>
      <c r="Z93" s="38" t="s">
        <v>57</v>
      </c>
      <c r="AA93" s="38" t="s">
        <v>57</v>
      </c>
      <c r="AB93" s="38" t="s">
        <v>57</v>
      </c>
      <c r="AC93" s="38" t="s">
        <v>57</v>
      </c>
      <c r="AD93" s="38" t="s">
        <v>57</v>
      </c>
      <c r="AE93" s="124" t="s">
        <v>57</v>
      </c>
      <c r="AF93" s="36" t="s">
        <v>57</v>
      </c>
      <c r="AG93" s="36" t="s">
        <v>57</v>
      </c>
      <c r="AH93" s="36" t="s">
        <v>57</v>
      </c>
      <c r="AI93" s="7" t="s">
        <v>57</v>
      </c>
      <c r="AJ93" s="7" t="s">
        <v>57</v>
      </c>
      <c r="AK93" s="7" t="s">
        <v>57</v>
      </c>
      <c r="AL93" s="7" t="s">
        <v>57</v>
      </c>
      <c r="AM93" s="7" t="s">
        <v>57</v>
      </c>
      <c r="AN93" s="7" t="s">
        <v>0</v>
      </c>
      <c r="AO93" s="7" t="s">
        <v>0</v>
      </c>
      <c r="AP93" s="32" t="s">
        <v>0</v>
      </c>
      <c r="AQ93" s="7" t="s">
        <v>0</v>
      </c>
      <c r="AR93" s="7" t="s">
        <v>0</v>
      </c>
      <c r="AS93" s="7" t="s">
        <v>0</v>
      </c>
      <c r="AT93" s="7" t="s">
        <v>0</v>
      </c>
      <c r="AU93" s="38" t="s">
        <v>57</v>
      </c>
      <c r="AV93" s="38" t="s">
        <v>57</v>
      </c>
      <c r="AW93" s="34" t="s">
        <v>57</v>
      </c>
      <c r="AX93" s="34" t="s">
        <v>57</v>
      </c>
      <c r="AY93" s="34" t="s">
        <v>57</v>
      </c>
      <c r="AZ93" s="38" t="s">
        <v>0</v>
      </c>
      <c r="BA93" s="38" t="s">
        <v>0</v>
      </c>
      <c r="BB93" s="38" t="s">
        <v>0</v>
      </c>
      <c r="BC93" s="38" t="s">
        <v>57</v>
      </c>
      <c r="BD93" s="38" t="s">
        <v>57</v>
      </c>
      <c r="BE93" s="38" t="s">
        <v>0</v>
      </c>
      <c r="BF93" s="38" t="s">
        <v>57</v>
      </c>
      <c r="BG93" s="36" t="s">
        <v>0</v>
      </c>
      <c r="BH93" s="38" t="s">
        <v>0</v>
      </c>
      <c r="BI93" s="38" t="s">
        <v>0</v>
      </c>
      <c r="BJ93" s="38" t="s">
        <v>0</v>
      </c>
      <c r="BK93" s="36" t="s">
        <v>57</v>
      </c>
      <c r="BL93" s="36" t="s">
        <v>57</v>
      </c>
      <c r="BM93" s="38" t="s">
        <v>0</v>
      </c>
      <c r="BN93" s="38" t="s">
        <v>57</v>
      </c>
      <c r="BO93" s="38" t="s">
        <v>57</v>
      </c>
      <c r="BP93" s="38" t="s">
        <v>57</v>
      </c>
      <c r="BQ93" s="38" t="s">
        <v>57</v>
      </c>
      <c r="BR93" s="38" t="s">
        <v>57</v>
      </c>
      <c r="BS93" s="38" t="s">
        <v>57</v>
      </c>
      <c r="BT93" s="38" t="s">
        <v>57</v>
      </c>
      <c r="BU93" s="38" t="s">
        <v>57</v>
      </c>
      <c r="BV93" s="38" t="s">
        <v>57</v>
      </c>
      <c r="BW93" s="38" t="s">
        <v>0</v>
      </c>
      <c r="BX93" s="38" t="s">
        <v>0</v>
      </c>
      <c r="BY93" s="38" t="s">
        <v>0</v>
      </c>
      <c r="BZ93" s="38" t="s">
        <v>0</v>
      </c>
      <c r="CA93" s="38" t="s">
        <v>0</v>
      </c>
      <c r="CB93" s="38" t="s">
        <v>0</v>
      </c>
      <c r="CC93" s="38" t="s">
        <v>57</v>
      </c>
      <c r="CD93" s="38" t="s">
        <v>57</v>
      </c>
      <c r="CE93" s="38" t="s">
        <v>57</v>
      </c>
      <c r="CF93" s="38" t="s">
        <v>0</v>
      </c>
      <c r="CG93" s="36" t="s">
        <v>57</v>
      </c>
      <c r="CH93" s="36" t="s">
        <v>57</v>
      </c>
      <c r="CI93" s="38" t="s">
        <v>0</v>
      </c>
      <c r="CJ93" s="38" t="s">
        <v>0</v>
      </c>
      <c r="CK93" s="36" t="s">
        <v>1658</v>
      </c>
      <c r="CL93" s="38" t="s">
        <v>0</v>
      </c>
      <c r="CM93" s="38" t="s">
        <v>0</v>
      </c>
      <c r="CN93" s="38" t="s">
        <v>57</v>
      </c>
      <c r="CO93" s="38" t="s">
        <v>57</v>
      </c>
      <c r="CP93" s="36" t="s">
        <v>57</v>
      </c>
      <c r="CQ93" s="38" t="s">
        <v>57</v>
      </c>
      <c r="CR93" s="38" t="s">
        <v>57</v>
      </c>
      <c r="CS93" s="38" t="s">
        <v>57</v>
      </c>
      <c r="CT93" s="38" t="s">
        <v>57</v>
      </c>
      <c r="CU93" s="38" t="s">
        <v>57</v>
      </c>
      <c r="CV93" s="38" t="s">
        <v>57</v>
      </c>
      <c r="CW93" s="38" t="s">
        <v>57</v>
      </c>
      <c r="CX93" s="38" t="s">
        <v>0</v>
      </c>
    </row>
    <row r="94" spans="1:102" ht="12" customHeight="1">
      <c r="A94" s="51" t="s">
        <v>935</v>
      </c>
      <c r="B94" s="52" t="s">
        <v>0</v>
      </c>
      <c r="C94" s="52"/>
      <c r="D94" s="52"/>
      <c r="E94" s="52"/>
      <c r="F94" s="52" t="s">
        <v>1403</v>
      </c>
      <c r="G94" s="52" t="s">
        <v>1403</v>
      </c>
      <c r="H94" s="52" t="s">
        <v>1403</v>
      </c>
      <c r="I94" s="52" t="s">
        <v>1403</v>
      </c>
      <c r="J94" s="52"/>
      <c r="K94" s="52"/>
      <c r="L94" s="52"/>
      <c r="M94" s="52" t="s">
        <v>1025</v>
      </c>
      <c r="N94" s="52" t="s">
        <v>1025</v>
      </c>
      <c r="O94" s="52" t="s">
        <v>1025</v>
      </c>
      <c r="P94" s="52" t="s">
        <v>3310</v>
      </c>
      <c r="Q94" s="52" t="s">
        <v>3340</v>
      </c>
      <c r="R94" s="52" t="s">
        <v>3341</v>
      </c>
      <c r="S94" s="52" t="s">
        <v>3310</v>
      </c>
      <c r="T94" s="52" t="s">
        <v>3340</v>
      </c>
      <c r="U94" s="52" t="s">
        <v>3341</v>
      </c>
      <c r="V94" s="52" t="s">
        <v>5232</v>
      </c>
      <c r="W94" s="52" t="s">
        <v>3310</v>
      </c>
      <c r="X94" s="52" t="s">
        <v>3340</v>
      </c>
      <c r="Y94" s="52" t="s">
        <v>3341</v>
      </c>
      <c r="Z94" s="52"/>
      <c r="AA94" s="52"/>
      <c r="AB94" s="52"/>
      <c r="AC94" s="52"/>
      <c r="AD94" s="52"/>
      <c r="AE94" s="123" t="s">
        <v>5675</v>
      </c>
      <c r="AF94" s="52" t="s">
        <v>4691</v>
      </c>
      <c r="AG94" s="52" t="s">
        <v>4691</v>
      </c>
      <c r="AH94" s="52" t="s">
        <v>4690</v>
      </c>
      <c r="AI94" s="52"/>
      <c r="AJ94" s="52"/>
      <c r="AK94" s="52" t="s">
        <v>1696</v>
      </c>
      <c r="AL94" s="52" t="s">
        <v>1696</v>
      </c>
      <c r="AM94" s="52"/>
      <c r="AN94" s="52" t="s">
        <v>0</v>
      </c>
      <c r="AO94" s="52"/>
      <c r="AP94" s="52"/>
      <c r="AQ94" s="52" t="s">
        <v>0</v>
      </c>
      <c r="AR94" s="52" t="s">
        <v>0</v>
      </c>
      <c r="AS94" s="52" t="s">
        <v>0</v>
      </c>
      <c r="AT94" s="52" t="s">
        <v>0</v>
      </c>
      <c r="AU94" s="52"/>
      <c r="AV94" s="52"/>
      <c r="AW94" s="52" t="s">
        <v>2912</v>
      </c>
      <c r="AX94" s="52" t="s">
        <v>2912</v>
      </c>
      <c r="AY94" s="52" t="s">
        <v>2912</v>
      </c>
      <c r="AZ94" s="52"/>
      <c r="BA94" s="52" t="s">
        <v>0</v>
      </c>
      <c r="BB94" s="52"/>
      <c r="BC94" s="52"/>
      <c r="BD94" s="52" t="s">
        <v>1984</v>
      </c>
      <c r="BE94" s="52"/>
      <c r="BF94" s="52" t="s">
        <v>1984</v>
      </c>
      <c r="BG94" s="52" t="s">
        <v>4070</v>
      </c>
      <c r="BH94" s="52"/>
      <c r="BI94" s="52"/>
      <c r="BJ94" s="52"/>
      <c r="BK94" s="52" t="s">
        <v>1295</v>
      </c>
      <c r="BL94" s="52" t="s">
        <v>1295</v>
      </c>
      <c r="BM94" s="52"/>
      <c r="BN94" s="52"/>
      <c r="BO94" s="52" t="s">
        <v>4559</v>
      </c>
      <c r="BP94" s="52"/>
      <c r="BQ94" s="52"/>
      <c r="BR94" s="52"/>
      <c r="BS94" s="52"/>
      <c r="BT94" s="52" t="s">
        <v>3691</v>
      </c>
      <c r="BU94" s="52" t="s">
        <v>3608</v>
      </c>
      <c r="BV94" s="52" t="s">
        <v>3473</v>
      </c>
      <c r="BW94" s="52" t="s">
        <v>0</v>
      </c>
      <c r="BX94" s="52" t="s">
        <v>0</v>
      </c>
      <c r="BY94" s="52" t="s">
        <v>0</v>
      </c>
      <c r="BZ94" s="52" t="s">
        <v>0</v>
      </c>
      <c r="CA94" s="52"/>
      <c r="CB94" s="52"/>
      <c r="CC94" s="52"/>
      <c r="CD94" s="52" t="s">
        <v>2556</v>
      </c>
      <c r="CE94" s="52" t="s">
        <v>2547</v>
      </c>
      <c r="CF94" s="52"/>
      <c r="CG94" s="52" t="s">
        <v>2260</v>
      </c>
      <c r="CH94" s="52" t="s">
        <v>2260</v>
      </c>
      <c r="CI94" s="52" t="s">
        <v>0</v>
      </c>
      <c r="CJ94" s="52" t="s">
        <v>0</v>
      </c>
      <c r="CK94" s="52" t="s">
        <v>1025</v>
      </c>
      <c r="CL94" s="52"/>
      <c r="CM94" s="52"/>
      <c r="CN94" s="52"/>
      <c r="CO94" s="52" t="s">
        <v>2098</v>
      </c>
      <c r="CP94" s="52" t="s">
        <v>2828</v>
      </c>
      <c r="CQ94" s="52"/>
      <c r="CR94" s="52"/>
      <c r="CS94" s="52"/>
      <c r="CT94" s="52"/>
      <c r="CU94" s="52"/>
      <c r="CV94" s="52"/>
      <c r="CW94" s="52" t="s">
        <v>1150</v>
      </c>
      <c r="CX94" s="52"/>
    </row>
    <row r="95" spans="1:102" ht="22.5" customHeight="1">
      <c r="A95" s="12" t="s">
        <v>2</v>
      </c>
      <c r="B95" s="38" t="s">
        <v>0</v>
      </c>
      <c r="C95" s="38" t="s">
        <v>0</v>
      </c>
      <c r="D95" s="38" t="s">
        <v>57</v>
      </c>
      <c r="E95" s="38" t="s">
        <v>57</v>
      </c>
      <c r="F95" s="38" t="s">
        <v>57</v>
      </c>
      <c r="G95" s="38" t="s">
        <v>57</v>
      </c>
      <c r="H95" s="38" t="s">
        <v>57</v>
      </c>
      <c r="I95" s="38" t="s">
        <v>57</v>
      </c>
      <c r="J95" s="36" t="s">
        <v>26</v>
      </c>
      <c r="K95" s="36" t="s">
        <v>26</v>
      </c>
      <c r="L95" s="36" t="s">
        <v>26</v>
      </c>
      <c r="M95" s="36" t="s">
        <v>26</v>
      </c>
      <c r="N95" s="36" t="s">
        <v>26</v>
      </c>
      <c r="O95" s="36" t="s">
        <v>26</v>
      </c>
      <c r="P95" s="36" t="s">
        <v>26</v>
      </c>
      <c r="Q95" s="36" t="s">
        <v>26</v>
      </c>
      <c r="R95" s="36" t="s">
        <v>26</v>
      </c>
      <c r="S95" s="36" t="s">
        <v>26</v>
      </c>
      <c r="T95" s="36" t="s">
        <v>26</v>
      </c>
      <c r="U95" s="36" t="s">
        <v>26</v>
      </c>
      <c r="V95" s="36" t="s">
        <v>26</v>
      </c>
      <c r="W95" s="36" t="s">
        <v>26</v>
      </c>
      <c r="X95" s="36" t="s">
        <v>26</v>
      </c>
      <c r="Y95" s="36" t="s">
        <v>26</v>
      </c>
      <c r="Z95" s="38" t="s">
        <v>57</v>
      </c>
      <c r="AA95" s="38" t="s">
        <v>57</v>
      </c>
      <c r="AB95" s="38" t="s">
        <v>57</v>
      </c>
      <c r="AC95" s="38" t="s">
        <v>57</v>
      </c>
      <c r="AD95" s="38" t="s">
        <v>57</v>
      </c>
      <c r="AE95" s="124" t="s">
        <v>57</v>
      </c>
      <c r="AF95" s="36" t="s">
        <v>57</v>
      </c>
      <c r="AG95" s="38" t="s">
        <v>57</v>
      </c>
      <c r="AH95" s="38" t="s">
        <v>0</v>
      </c>
      <c r="AI95" s="7" t="s">
        <v>57</v>
      </c>
      <c r="AJ95" s="32" t="s">
        <v>57</v>
      </c>
      <c r="AK95" s="7" t="s">
        <v>57</v>
      </c>
      <c r="AL95" s="37" t="s">
        <v>57</v>
      </c>
      <c r="AM95" s="32" t="s">
        <v>57</v>
      </c>
      <c r="AN95" s="37" t="s">
        <v>57</v>
      </c>
      <c r="AO95" s="7" t="s">
        <v>57</v>
      </c>
      <c r="AP95" s="32" t="s">
        <v>57</v>
      </c>
      <c r="AQ95" s="7" t="s">
        <v>57</v>
      </c>
      <c r="AR95" s="7" t="s">
        <v>57</v>
      </c>
      <c r="AS95" s="7" t="s">
        <v>57</v>
      </c>
      <c r="AT95" s="7" t="s">
        <v>57</v>
      </c>
      <c r="AU95" s="38" t="s">
        <v>0</v>
      </c>
      <c r="AV95" s="38" t="s">
        <v>0</v>
      </c>
      <c r="AW95" s="34" t="s">
        <v>57</v>
      </c>
      <c r="AX95" s="34" t="s">
        <v>57</v>
      </c>
      <c r="AY95" s="34" t="s">
        <v>57</v>
      </c>
      <c r="AZ95" s="38" t="s">
        <v>57</v>
      </c>
      <c r="BA95" s="38" t="s">
        <v>57</v>
      </c>
      <c r="BB95" s="38" t="s">
        <v>57</v>
      </c>
      <c r="BC95" s="38" t="s">
        <v>57</v>
      </c>
      <c r="BD95" s="38" t="s">
        <v>57</v>
      </c>
      <c r="BE95" s="38" t="s">
        <v>26</v>
      </c>
      <c r="BF95" s="38" t="s">
        <v>26</v>
      </c>
      <c r="BG95" s="38" t="s">
        <v>0</v>
      </c>
      <c r="BH95" s="38" t="s">
        <v>0</v>
      </c>
      <c r="BI95" s="38" t="s">
        <v>57</v>
      </c>
      <c r="BJ95" s="38" t="s">
        <v>57</v>
      </c>
      <c r="BK95" s="36" t="s">
        <v>57</v>
      </c>
      <c r="BL95" s="36" t="s">
        <v>57</v>
      </c>
      <c r="BM95" s="38" t="s">
        <v>0</v>
      </c>
      <c r="BN95" s="38" t="s">
        <v>57</v>
      </c>
      <c r="BO95" s="38" t="s">
        <v>57</v>
      </c>
      <c r="BP95" s="38" t="s">
        <v>57</v>
      </c>
      <c r="BQ95" s="38" t="s">
        <v>57</v>
      </c>
      <c r="BR95" s="38" t="s">
        <v>57</v>
      </c>
      <c r="BS95" s="38" t="s">
        <v>57</v>
      </c>
      <c r="BT95" s="38" t="s">
        <v>0</v>
      </c>
      <c r="BU95" s="38" t="s">
        <v>57</v>
      </c>
      <c r="BV95" s="38" t="s">
        <v>57</v>
      </c>
      <c r="BW95" s="38" t="s">
        <v>57</v>
      </c>
      <c r="BX95" s="38" t="s">
        <v>57</v>
      </c>
      <c r="BY95" s="38" t="s">
        <v>57</v>
      </c>
      <c r="BZ95" s="38" t="s">
        <v>0</v>
      </c>
      <c r="CA95" s="38" t="s">
        <v>57</v>
      </c>
      <c r="CB95" s="38" t="s">
        <v>57</v>
      </c>
      <c r="CC95" s="38" t="s">
        <v>57</v>
      </c>
      <c r="CD95" s="38" t="s">
        <v>57</v>
      </c>
      <c r="CE95" s="38" t="s">
        <v>57</v>
      </c>
      <c r="CF95" s="38" t="s">
        <v>0</v>
      </c>
      <c r="CG95" s="38" t="s">
        <v>57</v>
      </c>
      <c r="CH95" s="38" t="s">
        <v>57</v>
      </c>
      <c r="CI95" s="38" t="s">
        <v>0</v>
      </c>
      <c r="CJ95" s="38" t="s">
        <v>0</v>
      </c>
      <c r="CK95" s="38" t="s">
        <v>0</v>
      </c>
      <c r="CL95" s="36" t="s">
        <v>57</v>
      </c>
      <c r="CM95" s="38" t="s">
        <v>0</v>
      </c>
      <c r="CN95" s="38" t="s">
        <v>0</v>
      </c>
      <c r="CO95" s="38" t="s">
        <v>0</v>
      </c>
      <c r="CP95" s="38" t="s">
        <v>57</v>
      </c>
      <c r="CQ95" s="38" t="s">
        <v>57</v>
      </c>
      <c r="CR95" s="38" t="s">
        <v>57</v>
      </c>
      <c r="CS95" s="38" t="s">
        <v>57</v>
      </c>
      <c r="CT95" s="38" t="s">
        <v>57</v>
      </c>
      <c r="CU95" s="38" t="s">
        <v>57</v>
      </c>
      <c r="CV95" s="38" t="s">
        <v>57</v>
      </c>
      <c r="CW95" s="38" t="s">
        <v>57</v>
      </c>
      <c r="CX95" s="38" t="s">
        <v>0</v>
      </c>
    </row>
    <row r="96" spans="1:102" ht="12" customHeight="1">
      <c r="A96" s="51" t="s">
        <v>935</v>
      </c>
      <c r="B96" s="52" t="s">
        <v>0</v>
      </c>
      <c r="C96" s="52"/>
      <c r="D96" s="52"/>
      <c r="E96" s="52"/>
      <c r="F96" s="52" t="s">
        <v>1403</v>
      </c>
      <c r="G96" s="52" t="s">
        <v>1403</v>
      </c>
      <c r="H96" s="52" t="s">
        <v>1403</v>
      </c>
      <c r="I96" s="52" t="s">
        <v>1403</v>
      </c>
      <c r="J96" s="52"/>
      <c r="K96" s="52"/>
      <c r="L96" s="52"/>
      <c r="M96" s="52" t="s">
        <v>1489</v>
      </c>
      <c r="N96" s="52" t="s">
        <v>1573</v>
      </c>
      <c r="O96" s="52" t="s">
        <v>1531</v>
      </c>
      <c r="P96" s="52" t="s">
        <v>3314</v>
      </c>
      <c r="Q96" s="52" t="s">
        <v>1574</v>
      </c>
      <c r="R96" s="52" t="s">
        <v>3395</v>
      </c>
      <c r="S96" s="52" t="s">
        <v>3314</v>
      </c>
      <c r="T96" s="52" t="s">
        <v>1574</v>
      </c>
      <c r="U96" s="52" t="s">
        <v>3395</v>
      </c>
      <c r="V96" s="52" t="s">
        <v>5234</v>
      </c>
      <c r="W96" s="52" t="s">
        <v>3314</v>
      </c>
      <c r="X96" s="52" t="s">
        <v>1574</v>
      </c>
      <c r="Y96" s="52" t="s">
        <v>3395</v>
      </c>
      <c r="Z96" s="52"/>
      <c r="AA96" s="52"/>
      <c r="AB96" s="52"/>
      <c r="AC96" s="52"/>
      <c r="AD96" s="52"/>
      <c r="AE96" s="123" t="s">
        <v>5676</v>
      </c>
      <c r="AF96" s="52" t="s">
        <v>4692</v>
      </c>
      <c r="AG96" s="52" t="s">
        <v>4692</v>
      </c>
      <c r="AH96" s="52" t="s">
        <v>0</v>
      </c>
      <c r="AI96" s="52"/>
      <c r="AJ96" s="52"/>
      <c r="AK96" s="52" t="s">
        <v>1697</v>
      </c>
      <c r="AL96" s="52" t="s">
        <v>1697</v>
      </c>
      <c r="AM96" s="52"/>
      <c r="AN96" s="52" t="s">
        <v>1806</v>
      </c>
      <c r="AO96" s="52"/>
      <c r="AP96" s="52"/>
      <c r="AQ96" s="52" t="s">
        <v>1913</v>
      </c>
      <c r="AR96" s="52" t="s">
        <v>1913</v>
      </c>
      <c r="AS96" s="52" t="s">
        <v>1913</v>
      </c>
      <c r="AT96" s="52" t="s">
        <v>1913</v>
      </c>
      <c r="AU96" s="52"/>
      <c r="AV96" s="52"/>
      <c r="AW96" s="52" t="s">
        <v>2914</v>
      </c>
      <c r="AX96" s="52" t="s">
        <v>2914</v>
      </c>
      <c r="AY96" s="52" t="s">
        <v>2913</v>
      </c>
      <c r="AZ96" s="52"/>
      <c r="BA96" s="52" t="s">
        <v>4117</v>
      </c>
      <c r="BB96" s="52"/>
      <c r="BC96" s="52"/>
      <c r="BD96" s="52" t="s">
        <v>1929</v>
      </c>
      <c r="BE96" s="52"/>
      <c r="BF96" s="52" t="s">
        <v>1969</v>
      </c>
      <c r="BG96" s="52" t="s">
        <v>0</v>
      </c>
      <c r="BH96" s="52"/>
      <c r="BI96" s="52"/>
      <c r="BJ96" s="52"/>
      <c r="BK96" s="52" t="s">
        <v>1294</v>
      </c>
      <c r="BL96" s="52" t="s">
        <v>1294</v>
      </c>
      <c r="BM96" s="52"/>
      <c r="BN96" s="52"/>
      <c r="BO96" s="52" t="s">
        <v>4560</v>
      </c>
      <c r="BP96" s="52"/>
      <c r="BQ96" s="52"/>
      <c r="BR96" s="52"/>
      <c r="BS96" s="52"/>
      <c r="BT96" s="52" t="s">
        <v>0</v>
      </c>
      <c r="BU96" s="52" t="s">
        <v>3572</v>
      </c>
      <c r="BV96" s="52" t="s">
        <v>3476</v>
      </c>
      <c r="BW96" s="52" t="s">
        <v>2469</v>
      </c>
      <c r="BX96" s="52" t="s">
        <v>2469</v>
      </c>
      <c r="BY96" s="52" t="s">
        <v>2469</v>
      </c>
      <c r="BZ96" s="52" t="s">
        <v>0</v>
      </c>
      <c r="CA96" s="52"/>
      <c r="CB96" s="52"/>
      <c r="CC96" s="52"/>
      <c r="CD96" s="52" t="s">
        <v>2556</v>
      </c>
      <c r="CE96" s="52" t="s">
        <v>2547</v>
      </c>
      <c r="CF96" s="52"/>
      <c r="CG96" s="52" t="s">
        <v>2266</v>
      </c>
      <c r="CH96" s="52" t="s">
        <v>2266</v>
      </c>
      <c r="CI96" s="52" t="s">
        <v>0</v>
      </c>
      <c r="CJ96" s="52" t="s">
        <v>0</v>
      </c>
      <c r="CK96" s="52" t="s">
        <v>0</v>
      </c>
      <c r="CL96" s="52"/>
      <c r="CM96" s="52"/>
      <c r="CN96" s="52"/>
      <c r="CO96" s="52" t="s">
        <v>0</v>
      </c>
      <c r="CP96" s="52" t="s">
        <v>2824</v>
      </c>
      <c r="CQ96" s="52"/>
      <c r="CR96" s="52"/>
      <c r="CS96" s="52"/>
      <c r="CT96" s="52"/>
      <c r="CU96" s="52"/>
      <c r="CV96" s="52"/>
      <c r="CW96" s="52" t="s">
        <v>1208</v>
      </c>
      <c r="CX96" s="52"/>
    </row>
    <row r="97" spans="1:102" ht="22.5" customHeight="1">
      <c r="A97" s="12" t="s">
        <v>121</v>
      </c>
      <c r="B97" s="38" t="s">
        <v>3964</v>
      </c>
      <c r="C97" s="38" t="s">
        <v>57</v>
      </c>
      <c r="D97" s="38" t="s">
        <v>0</v>
      </c>
      <c r="E97" s="38" t="s">
        <v>196</v>
      </c>
      <c r="F97" s="38" t="s">
        <v>0</v>
      </c>
      <c r="G97" s="38" t="s">
        <v>196</v>
      </c>
      <c r="H97" s="38" t="s">
        <v>192</v>
      </c>
      <c r="I97" s="38" t="s">
        <v>251</v>
      </c>
      <c r="J97" s="38" t="s">
        <v>57</v>
      </c>
      <c r="K97" s="38" t="s">
        <v>57</v>
      </c>
      <c r="L97" s="38" t="s">
        <v>57</v>
      </c>
      <c r="M97" s="38" t="s">
        <v>57</v>
      </c>
      <c r="N97" s="38" t="s">
        <v>57</v>
      </c>
      <c r="O97" s="38" t="s">
        <v>57</v>
      </c>
      <c r="P97" s="38" t="s">
        <v>57</v>
      </c>
      <c r="Q97" s="38" t="s">
        <v>57</v>
      </c>
      <c r="R97" s="38" t="s">
        <v>57</v>
      </c>
      <c r="S97" s="38" t="s">
        <v>57</v>
      </c>
      <c r="T97" s="38" t="s">
        <v>57</v>
      </c>
      <c r="U97" s="38" t="s">
        <v>57</v>
      </c>
      <c r="V97" s="36" t="s">
        <v>57</v>
      </c>
      <c r="W97" s="38" t="s">
        <v>57</v>
      </c>
      <c r="X97" s="38" t="s">
        <v>57</v>
      </c>
      <c r="Y97" s="38" t="s">
        <v>57</v>
      </c>
      <c r="Z97" s="36" t="s">
        <v>57</v>
      </c>
      <c r="AA97" s="38" t="s">
        <v>57</v>
      </c>
      <c r="AB97" s="38" t="s">
        <v>57</v>
      </c>
      <c r="AC97" s="38" t="s">
        <v>57</v>
      </c>
      <c r="AD97" s="36" t="s">
        <v>376</v>
      </c>
      <c r="AE97" s="124" t="s">
        <v>57</v>
      </c>
      <c r="AF97" s="36" t="s">
        <v>4533</v>
      </c>
      <c r="AG97" s="36" t="s">
        <v>4533</v>
      </c>
      <c r="AH97" s="36" t="s">
        <v>4693</v>
      </c>
      <c r="AI97" s="7" t="s">
        <v>57</v>
      </c>
      <c r="AJ97" s="7" t="s">
        <v>57</v>
      </c>
      <c r="AK97" s="7" t="s">
        <v>57</v>
      </c>
      <c r="AL97" s="7" t="s">
        <v>57</v>
      </c>
      <c r="AM97" s="7" t="s">
        <v>57</v>
      </c>
      <c r="AN97" s="7" t="s">
        <v>57</v>
      </c>
      <c r="AO97" s="7" t="s">
        <v>56</v>
      </c>
      <c r="AP97" s="33" t="s">
        <v>57</v>
      </c>
      <c r="AQ97" s="7" t="s">
        <v>1853</v>
      </c>
      <c r="AR97" s="34" t="s">
        <v>57</v>
      </c>
      <c r="AS97" s="7" t="s">
        <v>1853</v>
      </c>
      <c r="AT97" s="34" t="s">
        <v>57</v>
      </c>
      <c r="AU97" s="38" t="s">
        <v>57</v>
      </c>
      <c r="AV97" s="38" t="s">
        <v>57</v>
      </c>
      <c r="AW97" s="37" t="s">
        <v>2995</v>
      </c>
      <c r="AX97" s="37" t="s">
        <v>2916</v>
      </c>
      <c r="AY97" s="37" t="s">
        <v>2916</v>
      </c>
      <c r="AZ97" s="36" t="s">
        <v>899</v>
      </c>
      <c r="BA97" s="36" t="s">
        <v>57</v>
      </c>
      <c r="BB97" s="38" t="s">
        <v>57</v>
      </c>
      <c r="BC97" s="38" t="s">
        <v>57</v>
      </c>
      <c r="BD97" s="38" t="s">
        <v>57</v>
      </c>
      <c r="BE97" s="38" t="s">
        <v>269</v>
      </c>
      <c r="BF97" s="38" t="s">
        <v>269</v>
      </c>
      <c r="BG97" s="36" t="s">
        <v>0</v>
      </c>
      <c r="BH97" s="36" t="s">
        <v>586</v>
      </c>
      <c r="BI97" s="38" t="s">
        <v>57</v>
      </c>
      <c r="BJ97" s="38" t="s">
        <v>57</v>
      </c>
      <c r="BK97" s="38" t="s">
        <v>113</v>
      </c>
      <c r="BL97" s="38" t="s">
        <v>57</v>
      </c>
      <c r="BM97" s="38" t="s">
        <v>197</v>
      </c>
      <c r="BN97" s="38" t="s">
        <v>57</v>
      </c>
      <c r="BO97" s="38" t="s">
        <v>57</v>
      </c>
      <c r="BP97" s="38" t="s">
        <v>57</v>
      </c>
      <c r="BQ97" s="38" t="s">
        <v>57</v>
      </c>
      <c r="BR97" s="38" t="s">
        <v>57</v>
      </c>
      <c r="BS97" s="38" t="s">
        <v>57</v>
      </c>
      <c r="BT97" s="38" t="s">
        <v>111</v>
      </c>
      <c r="BU97" s="38" t="s">
        <v>57</v>
      </c>
      <c r="BV97" s="38" t="s">
        <v>57</v>
      </c>
      <c r="BW97" s="38" t="s">
        <v>26</v>
      </c>
      <c r="BX97" s="38" t="s">
        <v>26</v>
      </c>
      <c r="BY97" s="38" t="s">
        <v>26</v>
      </c>
      <c r="BZ97" s="38" t="s">
        <v>57</v>
      </c>
      <c r="CA97" s="38" t="s">
        <v>57</v>
      </c>
      <c r="CB97" s="38" t="s">
        <v>57</v>
      </c>
      <c r="CC97" s="38" t="s">
        <v>57</v>
      </c>
      <c r="CD97" s="38" t="s">
        <v>113</v>
      </c>
      <c r="CE97" s="38" t="s">
        <v>57</v>
      </c>
      <c r="CF97" s="38" t="s">
        <v>57</v>
      </c>
      <c r="CG97" s="38" t="s">
        <v>57</v>
      </c>
      <c r="CH97" s="38" t="s">
        <v>26</v>
      </c>
      <c r="CI97" s="36" t="s">
        <v>57</v>
      </c>
      <c r="CJ97" s="36" t="s">
        <v>57</v>
      </c>
      <c r="CK97" s="36" t="s">
        <v>57</v>
      </c>
      <c r="CL97" s="36" t="s">
        <v>57</v>
      </c>
      <c r="CM97" s="36" t="s">
        <v>622</v>
      </c>
      <c r="CN97" s="38" t="s">
        <v>56</v>
      </c>
      <c r="CO97" s="38" t="s">
        <v>56</v>
      </c>
      <c r="CP97" s="38" t="s">
        <v>56</v>
      </c>
      <c r="CQ97" s="36" t="s">
        <v>473</v>
      </c>
      <c r="CR97" s="36" t="s">
        <v>57</v>
      </c>
      <c r="CS97" s="38" t="s">
        <v>67</v>
      </c>
      <c r="CT97" s="38" t="s">
        <v>57</v>
      </c>
      <c r="CU97" s="38" t="s">
        <v>67</v>
      </c>
      <c r="CV97" s="38" t="s">
        <v>57</v>
      </c>
      <c r="CW97" s="38" t="s">
        <v>57</v>
      </c>
      <c r="CX97" s="38" t="s">
        <v>57</v>
      </c>
    </row>
    <row r="98" spans="1:102" ht="12" customHeight="1">
      <c r="A98" s="51" t="s">
        <v>935</v>
      </c>
      <c r="B98" s="52" t="s">
        <v>3965</v>
      </c>
      <c r="C98" s="52"/>
      <c r="D98" s="52"/>
      <c r="E98" s="52"/>
      <c r="F98" s="52" t="s">
        <v>0</v>
      </c>
      <c r="G98" s="52" t="s">
        <v>1408</v>
      </c>
      <c r="H98" s="52" t="s">
        <v>1408</v>
      </c>
      <c r="I98" s="52" t="s">
        <v>1408</v>
      </c>
      <c r="J98" s="52"/>
      <c r="K98" s="52"/>
      <c r="L98" s="52"/>
      <c r="M98" s="52" t="s">
        <v>1487</v>
      </c>
      <c r="N98" s="52" t="s">
        <v>1571</v>
      </c>
      <c r="O98" s="52" t="s">
        <v>1529</v>
      </c>
      <c r="P98" s="52" t="s">
        <v>3311</v>
      </c>
      <c r="Q98" s="52" t="s">
        <v>3342</v>
      </c>
      <c r="R98" s="52" t="s">
        <v>3393</v>
      </c>
      <c r="S98" s="52" t="s">
        <v>3311</v>
      </c>
      <c r="T98" s="52" t="s">
        <v>3342</v>
      </c>
      <c r="U98" s="52" t="s">
        <v>3393</v>
      </c>
      <c r="V98" s="52" t="s">
        <v>5877</v>
      </c>
      <c r="W98" s="52" t="s">
        <v>3311</v>
      </c>
      <c r="X98" s="52" t="s">
        <v>3342</v>
      </c>
      <c r="Y98" s="52" t="s">
        <v>3393</v>
      </c>
      <c r="Z98" s="52"/>
      <c r="AA98" s="52"/>
      <c r="AB98" s="52"/>
      <c r="AC98" s="52"/>
      <c r="AD98" s="52"/>
      <c r="AE98" s="123" t="s">
        <v>5677</v>
      </c>
      <c r="AF98" s="52" t="s">
        <v>4694</v>
      </c>
      <c r="AG98" s="52" t="s">
        <v>4694</v>
      </c>
      <c r="AH98" s="52" t="s">
        <v>4694</v>
      </c>
      <c r="AI98" s="52"/>
      <c r="AJ98" s="52"/>
      <c r="AK98" s="52" t="s">
        <v>1698</v>
      </c>
      <c r="AL98" s="52" t="s">
        <v>1698</v>
      </c>
      <c r="AM98" s="52"/>
      <c r="AN98" s="52" t="s">
        <v>1805</v>
      </c>
      <c r="AO98" s="52"/>
      <c r="AP98" s="52"/>
      <c r="AQ98" s="52" t="s">
        <v>1917</v>
      </c>
      <c r="AR98" s="52" t="s">
        <v>1854</v>
      </c>
      <c r="AS98" s="52" t="s">
        <v>1917</v>
      </c>
      <c r="AT98" s="52" t="s">
        <v>1854</v>
      </c>
      <c r="AU98" s="52"/>
      <c r="AV98" s="52"/>
      <c r="AW98" s="52" t="s">
        <v>2915</v>
      </c>
      <c r="AX98" s="52" t="s">
        <v>2915</v>
      </c>
      <c r="AY98" s="52" t="s">
        <v>2915</v>
      </c>
      <c r="AZ98" s="52"/>
      <c r="BA98" s="52" t="s">
        <v>4120</v>
      </c>
      <c r="BB98" s="52"/>
      <c r="BC98" s="52"/>
      <c r="BD98" s="52" t="s">
        <v>1928</v>
      </c>
      <c r="BE98" s="52"/>
      <c r="BF98" s="52" t="s">
        <v>1968</v>
      </c>
      <c r="BG98" s="52" t="s">
        <v>4071</v>
      </c>
      <c r="BH98" s="52"/>
      <c r="BI98" s="52"/>
      <c r="BJ98" s="52"/>
      <c r="BK98" s="52" t="s">
        <v>1299</v>
      </c>
      <c r="BL98" s="52" t="s">
        <v>1264</v>
      </c>
      <c r="BM98" s="52"/>
      <c r="BN98" s="52"/>
      <c r="BO98" s="52" t="s">
        <v>4561</v>
      </c>
      <c r="BP98" s="52"/>
      <c r="BQ98" s="52"/>
      <c r="BR98" s="52"/>
      <c r="BS98" s="52"/>
      <c r="BT98" s="52" t="s">
        <v>3692</v>
      </c>
      <c r="BU98" s="52" t="s">
        <v>3609</v>
      </c>
      <c r="BV98" s="52" t="s">
        <v>3478</v>
      </c>
      <c r="BW98" s="52" t="s">
        <v>2441</v>
      </c>
      <c r="BX98" s="52" t="s">
        <v>2441</v>
      </c>
      <c r="BY98" s="52" t="s">
        <v>2441</v>
      </c>
      <c r="BZ98" s="52" t="s">
        <v>3271</v>
      </c>
      <c r="CA98" s="52"/>
      <c r="CB98" s="52"/>
      <c r="CC98" s="52"/>
      <c r="CD98" s="52" t="s">
        <v>2556</v>
      </c>
      <c r="CE98" s="52" t="s">
        <v>2547</v>
      </c>
      <c r="CF98" s="52"/>
      <c r="CG98" s="52" t="s">
        <v>2248</v>
      </c>
      <c r="CH98" s="52" t="s">
        <v>2264</v>
      </c>
      <c r="CI98" s="52" t="s">
        <v>4019</v>
      </c>
      <c r="CJ98" s="52" t="s">
        <v>4019</v>
      </c>
      <c r="CK98" s="52" t="s">
        <v>2646</v>
      </c>
      <c r="CL98" s="52"/>
      <c r="CM98" s="52"/>
      <c r="CN98" s="52"/>
      <c r="CO98" s="52" t="s">
        <v>2069</v>
      </c>
      <c r="CP98" s="52" t="s">
        <v>2825</v>
      </c>
      <c r="CQ98" s="52"/>
      <c r="CR98" s="52"/>
      <c r="CS98" s="52"/>
      <c r="CT98" s="52"/>
      <c r="CU98" s="52"/>
      <c r="CV98" s="52"/>
      <c r="CW98" s="52" t="s">
        <v>1150</v>
      </c>
      <c r="CX98" s="52"/>
    </row>
    <row r="99" spans="1:102" ht="22.5" customHeight="1">
      <c r="A99" s="12" t="s">
        <v>122</v>
      </c>
      <c r="B99" s="36" t="s">
        <v>3974</v>
      </c>
      <c r="C99" s="38" t="s">
        <v>57</v>
      </c>
      <c r="D99" s="38" t="s">
        <v>0</v>
      </c>
      <c r="E99" s="36" t="s">
        <v>222</v>
      </c>
      <c r="F99" s="38" t="s">
        <v>0</v>
      </c>
      <c r="G99" s="36" t="s">
        <v>222</v>
      </c>
      <c r="H99" s="38" t="s">
        <v>659</v>
      </c>
      <c r="I99" s="36" t="s">
        <v>251</v>
      </c>
      <c r="J99" s="36" t="s">
        <v>6</v>
      </c>
      <c r="K99" s="36" t="s">
        <v>57</v>
      </c>
      <c r="L99" s="36" t="s">
        <v>159</v>
      </c>
      <c r="M99" s="36" t="s">
        <v>1492</v>
      </c>
      <c r="N99" s="36" t="s">
        <v>1578</v>
      </c>
      <c r="O99" s="36" t="s">
        <v>1535</v>
      </c>
      <c r="P99" s="36" t="s">
        <v>1492</v>
      </c>
      <c r="Q99" s="36" t="s">
        <v>1578</v>
      </c>
      <c r="R99" s="36" t="s">
        <v>3404</v>
      </c>
      <c r="S99" s="36" t="s">
        <v>1492</v>
      </c>
      <c r="T99" s="36" t="s">
        <v>1578</v>
      </c>
      <c r="U99" s="36" t="s">
        <v>3404</v>
      </c>
      <c r="V99" s="36" t="s">
        <v>57</v>
      </c>
      <c r="W99" s="36" t="s">
        <v>57</v>
      </c>
      <c r="X99" s="36" t="s">
        <v>57</v>
      </c>
      <c r="Y99" s="36" t="s">
        <v>57</v>
      </c>
      <c r="Z99" s="38" t="s">
        <v>57</v>
      </c>
      <c r="AA99" s="36" t="s">
        <v>197</v>
      </c>
      <c r="AB99" s="36" t="s">
        <v>6</v>
      </c>
      <c r="AC99" s="36" t="s">
        <v>6</v>
      </c>
      <c r="AD99" s="38" t="s">
        <v>14</v>
      </c>
      <c r="AE99" s="124" t="s">
        <v>57</v>
      </c>
      <c r="AF99" s="36" t="s">
        <v>4695</v>
      </c>
      <c r="AG99" s="36" t="s">
        <v>595</v>
      </c>
      <c r="AH99" s="36" t="s">
        <v>0</v>
      </c>
      <c r="AI99" s="7" t="s">
        <v>0</v>
      </c>
      <c r="AJ99" s="33" t="s">
        <v>6</v>
      </c>
      <c r="AK99" s="7" t="s">
        <v>0</v>
      </c>
      <c r="AL99" s="37" t="s">
        <v>1683</v>
      </c>
      <c r="AM99" s="33" t="s">
        <v>56</v>
      </c>
      <c r="AN99" s="37" t="s">
        <v>1849</v>
      </c>
      <c r="AO99" s="7" t="s">
        <v>0</v>
      </c>
      <c r="AP99" s="33" t="s">
        <v>57</v>
      </c>
      <c r="AQ99" s="7" t="s">
        <v>0</v>
      </c>
      <c r="AR99" s="34" t="s">
        <v>57</v>
      </c>
      <c r="AS99" s="7" t="s">
        <v>0</v>
      </c>
      <c r="AT99" s="34" t="s">
        <v>57</v>
      </c>
      <c r="AU99" s="38" t="s">
        <v>0</v>
      </c>
      <c r="AV99" s="38" t="s">
        <v>159</v>
      </c>
      <c r="AW99" s="34" t="s">
        <v>366</v>
      </c>
      <c r="AX99" s="34" t="s">
        <v>27</v>
      </c>
      <c r="AY99" s="34" t="s">
        <v>6</v>
      </c>
      <c r="AZ99" s="38" t="s">
        <v>897</v>
      </c>
      <c r="BA99" s="38" t="s">
        <v>57</v>
      </c>
      <c r="BB99" s="38" t="s">
        <v>57</v>
      </c>
      <c r="BC99" s="38" t="s">
        <v>57</v>
      </c>
      <c r="BD99" s="38" t="s">
        <v>57</v>
      </c>
      <c r="BE99" s="38" t="s">
        <v>57</v>
      </c>
      <c r="BF99" s="38" t="s">
        <v>57</v>
      </c>
      <c r="BG99" s="38" t="s">
        <v>0</v>
      </c>
      <c r="BH99" s="38" t="s">
        <v>17</v>
      </c>
      <c r="BI99" s="38" t="s">
        <v>57</v>
      </c>
      <c r="BJ99" s="38" t="s">
        <v>57</v>
      </c>
      <c r="BK99" s="38" t="s">
        <v>366</v>
      </c>
      <c r="BL99" s="38" t="s">
        <v>57</v>
      </c>
      <c r="BM99" s="38" t="s">
        <v>0</v>
      </c>
      <c r="BN99" s="38" t="s">
        <v>6</v>
      </c>
      <c r="BO99" s="38" t="s">
        <v>111</v>
      </c>
      <c r="BP99" s="38" t="s">
        <v>6</v>
      </c>
      <c r="BQ99" s="38" t="s">
        <v>111</v>
      </c>
      <c r="BR99" s="38" t="s">
        <v>57</v>
      </c>
      <c r="BS99" s="36" t="s">
        <v>595</v>
      </c>
      <c r="BT99" s="36" t="s">
        <v>0</v>
      </c>
      <c r="BU99" s="36" t="s">
        <v>57</v>
      </c>
      <c r="BV99" s="36" t="s">
        <v>595</v>
      </c>
      <c r="BW99" s="38" t="s">
        <v>6</v>
      </c>
      <c r="BX99" s="38" t="s">
        <v>6</v>
      </c>
      <c r="BY99" s="38" t="s">
        <v>0</v>
      </c>
      <c r="BZ99" s="36" t="s">
        <v>506</v>
      </c>
      <c r="CA99" s="38" t="s">
        <v>27</v>
      </c>
      <c r="CB99" s="38" t="s">
        <v>111</v>
      </c>
      <c r="CC99" s="38" t="s">
        <v>57</v>
      </c>
      <c r="CD99" s="38" t="s">
        <v>57</v>
      </c>
      <c r="CE99" s="38" t="s">
        <v>57</v>
      </c>
      <c r="CF99" s="38" t="s">
        <v>27</v>
      </c>
      <c r="CG99" s="38" t="s">
        <v>6</v>
      </c>
      <c r="CH99" s="38" t="s">
        <v>0</v>
      </c>
      <c r="CI99" s="38" t="s">
        <v>0</v>
      </c>
      <c r="CJ99" s="38" t="s">
        <v>350</v>
      </c>
      <c r="CK99" s="36" t="s">
        <v>2711</v>
      </c>
      <c r="CL99" s="36" t="s">
        <v>626</v>
      </c>
      <c r="CM99" s="38" t="s">
        <v>0</v>
      </c>
      <c r="CN99" s="38" t="s">
        <v>6</v>
      </c>
      <c r="CO99" s="38" t="s">
        <v>6</v>
      </c>
      <c r="CP99" s="38" t="s">
        <v>111</v>
      </c>
      <c r="CQ99" s="38" t="s">
        <v>57</v>
      </c>
      <c r="CR99" s="38" t="s">
        <v>57</v>
      </c>
      <c r="CS99" s="38" t="s">
        <v>57</v>
      </c>
      <c r="CT99" s="38" t="s">
        <v>57</v>
      </c>
      <c r="CU99" s="38" t="s">
        <v>57</v>
      </c>
      <c r="CV99" s="38" t="s">
        <v>57</v>
      </c>
      <c r="CW99" s="38" t="s">
        <v>111</v>
      </c>
      <c r="CX99" s="38" t="s">
        <v>6</v>
      </c>
    </row>
    <row r="100" spans="1:102" ht="12" customHeight="1">
      <c r="A100" s="51" t="s">
        <v>935</v>
      </c>
      <c r="B100" s="52" t="s">
        <v>3976</v>
      </c>
      <c r="C100" s="52"/>
      <c r="D100" s="52"/>
      <c r="E100" s="52"/>
      <c r="F100" s="52" t="s">
        <v>0</v>
      </c>
      <c r="G100" s="52" t="s">
        <v>1408</v>
      </c>
      <c r="H100" s="52" t="s">
        <v>0</v>
      </c>
      <c r="I100" s="52" t="s">
        <v>1408</v>
      </c>
      <c r="J100" s="52"/>
      <c r="K100" s="52"/>
      <c r="L100" s="52"/>
      <c r="M100" s="52" t="s">
        <v>1491</v>
      </c>
      <c r="N100" s="52" t="s">
        <v>1577</v>
      </c>
      <c r="O100" s="52" t="s">
        <v>1534</v>
      </c>
      <c r="P100" s="52" t="s">
        <v>3316</v>
      </c>
      <c r="Q100" s="52" t="s">
        <v>3402</v>
      </c>
      <c r="R100" s="52" t="s">
        <v>3403</v>
      </c>
      <c r="S100" s="52" t="s">
        <v>3316</v>
      </c>
      <c r="T100" s="52" t="s">
        <v>3402</v>
      </c>
      <c r="U100" s="52" t="s">
        <v>3403</v>
      </c>
      <c r="V100" s="52" t="s">
        <v>5236</v>
      </c>
      <c r="W100" s="52" t="s">
        <v>3316</v>
      </c>
      <c r="X100" s="52" t="s">
        <v>3402</v>
      </c>
      <c r="Y100" s="52" t="s">
        <v>3403</v>
      </c>
      <c r="Z100" s="52"/>
      <c r="AA100" s="52"/>
      <c r="AB100" s="52"/>
      <c r="AC100" s="52"/>
      <c r="AD100" s="52"/>
      <c r="AE100" s="123" t="s">
        <v>5678</v>
      </c>
      <c r="AF100" s="52" t="s">
        <v>4696</v>
      </c>
      <c r="AG100" s="52" t="s">
        <v>4696</v>
      </c>
      <c r="AH100" s="52" t="s">
        <v>0</v>
      </c>
      <c r="AI100" s="52"/>
      <c r="AJ100" s="52"/>
      <c r="AK100" s="52" t="s">
        <v>0</v>
      </c>
      <c r="AL100" s="52" t="s">
        <v>1682</v>
      </c>
      <c r="AM100" s="52"/>
      <c r="AN100" s="52" t="s">
        <v>1687</v>
      </c>
      <c r="AO100" s="52"/>
      <c r="AP100" s="52"/>
      <c r="AQ100" s="52" t="s">
        <v>0</v>
      </c>
      <c r="AR100" s="52" t="s">
        <v>1866</v>
      </c>
      <c r="AS100" s="52" t="s">
        <v>0</v>
      </c>
      <c r="AT100" s="52" t="s">
        <v>1866</v>
      </c>
      <c r="AU100" s="52"/>
      <c r="AV100" s="52"/>
      <c r="AW100" s="52" t="s">
        <v>2996</v>
      </c>
      <c r="AX100" s="52" t="s">
        <v>2976</v>
      </c>
      <c r="AY100" s="52" t="s">
        <v>2936</v>
      </c>
      <c r="AZ100" s="52"/>
      <c r="BA100" s="52" t="s">
        <v>4117</v>
      </c>
      <c r="BB100" s="52"/>
      <c r="BC100" s="52"/>
      <c r="BD100" s="52" t="s">
        <v>1990</v>
      </c>
      <c r="BE100" s="52"/>
      <c r="BF100" s="52" t="s">
        <v>1990</v>
      </c>
      <c r="BG100" s="52" t="s">
        <v>0</v>
      </c>
      <c r="BH100" s="52" t="s">
        <v>3192</v>
      </c>
      <c r="BI100" s="52"/>
      <c r="BJ100" s="52"/>
      <c r="BK100" s="52" t="s">
        <v>1298</v>
      </c>
      <c r="BL100" s="52" t="s">
        <v>1265</v>
      </c>
      <c r="BM100" s="52"/>
      <c r="BN100" s="52"/>
      <c r="BO100" s="52" t="s">
        <v>4562</v>
      </c>
      <c r="BP100" s="52"/>
      <c r="BQ100" s="52"/>
      <c r="BR100" s="52"/>
      <c r="BS100" s="52"/>
      <c r="BT100" s="52" t="s">
        <v>0</v>
      </c>
      <c r="BU100" s="52" t="s">
        <v>3610</v>
      </c>
      <c r="BV100" s="52" t="s">
        <v>3490</v>
      </c>
      <c r="BW100" s="52" t="s">
        <v>2460</v>
      </c>
      <c r="BX100" s="52" t="s">
        <v>2460</v>
      </c>
      <c r="BY100" s="52" t="s">
        <v>2459</v>
      </c>
      <c r="BZ100" s="52" t="s">
        <v>4610</v>
      </c>
      <c r="CA100" s="52"/>
      <c r="CB100" s="52"/>
      <c r="CC100" s="52"/>
      <c r="CD100" s="52" t="s">
        <v>2556</v>
      </c>
      <c r="CE100" s="52" t="s">
        <v>2547</v>
      </c>
      <c r="CF100" s="52"/>
      <c r="CG100" s="52" t="s">
        <v>2243</v>
      </c>
      <c r="CH100" s="52" t="s">
        <v>0</v>
      </c>
      <c r="CI100" s="52" t="s">
        <v>0</v>
      </c>
      <c r="CJ100" s="52" t="s">
        <v>4040</v>
      </c>
      <c r="CK100" s="52" t="s">
        <v>2647</v>
      </c>
      <c r="CL100" s="52"/>
      <c r="CM100" s="52"/>
      <c r="CN100" s="52"/>
      <c r="CO100" s="52" t="s">
        <v>2099</v>
      </c>
      <c r="CP100" s="52" t="s">
        <v>2830</v>
      </c>
      <c r="CQ100" s="52"/>
      <c r="CR100" s="52"/>
      <c r="CS100" s="52"/>
      <c r="CT100" s="52"/>
      <c r="CU100" s="52"/>
      <c r="CV100" s="52"/>
      <c r="CW100" s="52" t="s">
        <v>1155</v>
      </c>
      <c r="CX100" s="52"/>
    </row>
    <row r="101" spans="1:102" ht="22.5" customHeight="1">
      <c r="A101" s="11" t="s">
        <v>23</v>
      </c>
      <c r="B101" s="38" t="s">
        <v>0</v>
      </c>
      <c r="C101" s="38" t="s">
        <v>0</v>
      </c>
      <c r="D101" s="38" t="s">
        <v>0</v>
      </c>
      <c r="E101" s="38" t="s">
        <v>57</v>
      </c>
      <c r="F101" s="38" t="s">
        <v>0</v>
      </c>
      <c r="G101" s="38" t="s">
        <v>57</v>
      </c>
      <c r="H101" s="38" t="s">
        <v>57</v>
      </c>
      <c r="I101" s="38" t="s">
        <v>57</v>
      </c>
      <c r="J101" s="36" t="s">
        <v>26</v>
      </c>
      <c r="K101" s="36" t="s">
        <v>26</v>
      </c>
      <c r="L101" s="36" t="s">
        <v>26</v>
      </c>
      <c r="M101" s="36" t="s">
        <v>26</v>
      </c>
      <c r="N101" s="36" t="s">
        <v>26</v>
      </c>
      <c r="O101" s="36" t="s">
        <v>26</v>
      </c>
      <c r="P101" s="36" t="s">
        <v>26</v>
      </c>
      <c r="Q101" s="36" t="s">
        <v>26</v>
      </c>
      <c r="R101" s="36" t="s">
        <v>26</v>
      </c>
      <c r="S101" s="36" t="s">
        <v>26</v>
      </c>
      <c r="T101" s="36" t="s">
        <v>26</v>
      </c>
      <c r="U101" s="36" t="s">
        <v>26</v>
      </c>
      <c r="V101" s="36" t="s">
        <v>26</v>
      </c>
      <c r="W101" s="36" t="s">
        <v>26</v>
      </c>
      <c r="X101" s="36" t="s">
        <v>26</v>
      </c>
      <c r="Y101" s="36" t="s">
        <v>26</v>
      </c>
      <c r="Z101" s="38" t="s">
        <v>57</v>
      </c>
      <c r="AA101" s="38" t="s">
        <v>0</v>
      </c>
      <c r="AB101" s="38" t="s">
        <v>0</v>
      </c>
      <c r="AC101" s="38" t="s">
        <v>0</v>
      </c>
      <c r="AD101" s="38" t="s">
        <v>0</v>
      </c>
      <c r="AE101" s="124" t="s">
        <v>57</v>
      </c>
      <c r="AF101" s="36" t="s">
        <v>223</v>
      </c>
      <c r="AG101" s="38" t="s">
        <v>57</v>
      </c>
      <c r="AH101" s="36" t="s">
        <v>0</v>
      </c>
      <c r="AI101" s="7" t="s">
        <v>57</v>
      </c>
      <c r="AJ101" s="7" t="s">
        <v>57</v>
      </c>
      <c r="AK101" s="7" t="s">
        <v>57</v>
      </c>
      <c r="AL101" s="7" t="s">
        <v>57</v>
      </c>
      <c r="AM101" s="7" t="s">
        <v>454</v>
      </c>
      <c r="AN101" s="7" t="s">
        <v>454</v>
      </c>
      <c r="AO101" s="7" t="s">
        <v>0</v>
      </c>
      <c r="AP101" s="33" t="s">
        <v>6</v>
      </c>
      <c r="AQ101" s="7" t="s">
        <v>0</v>
      </c>
      <c r="AR101" s="34" t="s">
        <v>6</v>
      </c>
      <c r="AS101" s="7" t="s">
        <v>0</v>
      </c>
      <c r="AT101" s="34" t="s">
        <v>6</v>
      </c>
      <c r="AU101" s="38" t="s">
        <v>0</v>
      </c>
      <c r="AV101" s="38" t="s">
        <v>0</v>
      </c>
      <c r="AW101" s="34" t="s">
        <v>57</v>
      </c>
      <c r="AX101" s="34" t="s">
        <v>57</v>
      </c>
      <c r="AY101" s="34" t="s">
        <v>57</v>
      </c>
      <c r="AZ101" s="38" t="s">
        <v>57</v>
      </c>
      <c r="BA101" s="38" t="s">
        <v>57</v>
      </c>
      <c r="BB101" s="38" t="s">
        <v>57</v>
      </c>
      <c r="BC101" s="38" t="s">
        <v>57</v>
      </c>
      <c r="BD101" s="38" t="s">
        <v>57</v>
      </c>
      <c r="BE101" s="38" t="s">
        <v>26</v>
      </c>
      <c r="BF101" s="38" t="s">
        <v>26</v>
      </c>
      <c r="BG101" s="38" t="s">
        <v>0</v>
      </c>
      <c r="BH101" s="38" t="s">
        <v>0</v>
      </c>
      <c r="BI101" s="38" t="s">
        <v>0</v>
      </c>
      <c r="BJ101" s="38" t="s">
        <v>0</v>
      </c>
      <c r="BK101" s="36" t="s">
        <v>0</v>
      </c>
      <c r="BL101" s="38" t="s">
        <v>57</v>
      </c>
      <c r="BM101" s="38" t="s">
        <v>0</v>
      </c>
      <c r="BN101" s="38" t="s">
        <v>24</v>
      </c>
      <c r="BO101" s="36" t="s">
        <v>801</v>
      </c>
      <c r="BP101" s="38" t="s">
        <v>24</v>
      </c>
      <c r="BQ101" s="38" t="s">
        <v>123</v>
      </c>
      <c r="BR101" s="38" t="s">
        <v>57</v>
      </c>
      <c r="BS101" s="38" t="s">
        <v>57</v>
      </c>
      <c r="BT101" s="38" t="s">
        <v>0</v>
      </c>
      <c r="BU101" s="38" t="s">
        <v>57</v>
      </c>
      <c r="BV101" s="36" t="s">
        <v>3693</v>
      </c>
      <c r="BW101" s="38" t="s">
        <v>0</v>
      </c>
      <c r="BX101" s="38" t="s">
        <v>0</v>
      </c>
      <c r="BY101" s="38" t="s">
        <v>0</v>
      </c>
      <c r="BZ101" s="38" t="s">
        <v>57</v>
      </c>
      <c r="CA101" s="38" t="s">
        <v>57</v>
      </c>
      <c r="CB101" s="38" t="s">
        <v>57</v>
      </c>
      <c r="CC101" s="38" t="s">
        <v>57</v>
      </c>
      <c r="CD101" s="38" t="s">
        <v>57</v>
      </c>
      <c r="CE101" s="38" t="s">
        <v>57</v>
      </c>
      <c r="CF101" s="38" t="s">
        <v>0</v>
      </c>
      <c r="CG101" s="38" t="s">
        <v>111</v>
      </c>
      <c r="CH101" s="38" t="s">
        <v>0</v>
      </c>
      <c r="CI101" s="38" t="s">
        <v>0</v>
      </c>
      <c r="CJ101" s="38" t="s">
        <v>0</v>
      </c>
      <c r="CK101" s="38" t="s">
        <v>0</v>
      </c>
      <c r="CL101" s="38" t="s">
        <v>210</v>
      </c>
      <c r="CM101" s="38" t="s">
        <v>0</v>
      </c>
      <c r="CN101" s="38" t="s">
        <v>0</v>
      </c>
      <c r="CO101" s="38" t="s">
        <v>0</v>
      </c>
      <c r="CP101" s="38" t="s">
        <v>57</v>
      </c>
      <c r="CQ101" s="38" t="s">
        <v>57</v>
      </c>
      <c r="CR101" s="38" t="s">
        <v>57</v>
      </c>
      <c r="CS101" s="38" t="s">
        <v>57</v>
      </c>
      <c r="CT101" s="38" t="s">
        <v>57</v>
      </c>
      <c r="CU101" s="38" t="s">
        <v>57</v>
      </c>
      <c r="CV101" s="38" t="s">
        <v>57</v>
      </c>
      <c r="CW101" s="38" t="s">
        <v>0</v>
      </c>
      <c r="CX101" s="38" t="s">
        <v>0</v>
      </c>
    </row>
    <row r="102" spans="1:102" ht="12" customHeight="1">
      <c r="A102" s="51" t="s">
        <v>935</v>
      </c>
      <c r="B102" s="52" t="s">
        <v>0</v>
      </c>
      <c r="C102" s="52"/>
      <c r="D102" s="52"/>
      <c r="E102" s="52"/>
      <c r="F102" s="52" t="s">
        <v>0</v>
      </c>
      <c r="G102" s="52" t="s">
        <v>1417</v>
      </c>
      <c r="H102" s="52" t="s">
        <v>1417</v>
      </c>
      <c r="I102" s="52" t="s">
        <v>1417</v>
      </c>
      <c r="J102" s="52"/>
      <c r="K102" s="52"/>
      <c r="L102" s="52"/>
      <c r="M102" s="52" t="s">
        <v>1489</v>
      </c>
      <c r="N102" s="52" t="s">
        <v>1573</v>
      </c>
      <c r="O102" s="52" t="s">
        <v>1531</v>
      </c>
      <c r="P102" s="52" t="s">
        <v>3314</v>
      </c>
      <c r="Q102" s="52" t="s">
        <v>1574</v>
      </c>
      <c r="R102" s="52" t="s">
        <v>3395</v>
      </c>
      <c r="S102" s="52" t="s">
        <v>3314</v>
      </c>
      <c r="T102" s="52" t="s">
        <v>1574</v>
      </c>
      <c r="U102" s="52" t="s">
        <v>3395</v>
      </c>
      <c r="V102" s="52" t="s">
        <v>5234</v>
      </c>
      <c r="W102" s="52" t="s">
        <v>3314</v>
      </c>
      <c r="X102" s="52" t="s">
        <v>1574</v>
      </c>
      <c r="Y102" s="52" t="s">
        <v>3395</v>
      </c>
      <c r="Z102" s="52"/>
      <c r="AA102" s="52"/>
      <c r="AB102" s="52"/>
      <c r="AC102" s="52"/>
      <c r="AD102" s="52"/>
      <c r="AE102" s="123" t="s">
        <v>5215</v>
      </c>
      <c r="AF102" s="52" t="s">
        <v>4697</v>
      </c>
      <c r="AG102" s="52" t="s">
        <v>4697</v>
      </c>
      <c r="AH102" s="52" t="s">
        <v>0</v>
      </c>
      <c r="AI102" s="52"/>
      <c r="AJ102" s="52"/>
      <c r="AK102" s="52" t="s">
        <v>1699</v>
      </c>
      <c r="AL102" s="52" t="s">
        <v>1699</v>
      </c>
      <c r="AM102" s="52"/>
      <c r="AN102" s="52" t="s">
        <v>1806</v>
      </c>
      <c r="AO102" s="52"/>
      <c r="AP102" s="52"/>
      <c r="AQ102" s="52" t="s">
        <v>0</v>
      </c>
      <c r="AR102" s="52" t="s">
        <v>1880</v>
      </c>
      <c r="AS102" s="52" t="s">
        <v>0</v>
      </c>
      <c r="AT102" s="52" t="s">
        <v>1880</v>
      </c>
      <c r="AU102" s="52"/>
      <c r="AV102" s="52"/>
      <c r="AW102" s="52" t="s">
        <v>2914</v>
      </c>
      <c r="AX102" s="52" t="s">
        <v>2914</v>
      </c>
      <c r="AY102" s="52" t="s">
        <v>2913</v>
      </c>
      <c r="AZ102" s="52"/>
      <c r="BA102" s="52" t="s">
        <v>4117</v>
      </c>
      <c r="BB102" s="52"/>
      <c r="BC102" s="52"/>
      <c r="BD102" s="52" t="s">
        <v>1929</v>
      </c>
      <c r="BE102" s="52"/>
      <c r="BF102" s="52" t="s">
        <v>1969</v>
      </c>
      <c r="BG102" s="52" t="s">
        <v>0</v>
      </c>
      <c r="BH102" s="52"/>
      <c r="BI102" s="52"/>
      <c r="BJ102" s="52"/>
      <c r="BK102" s="52" t="s">
        <v>0</v>
      </c>
      <c r="BL102" s="52" t="s">
        <v>1271</v>
      </c>
      <c r="BM102" s="52"/>
      <c r="BN102" s="52"/>
      <c r="BO102" s="52" t="s">
        <v>4556</v>
      </c>
      <c r="BP102" s="52"/>
      <c r="BQ102" s="52"/>
      <c r="BR102" s="52"/>
      <c r="BS102" s="52"/>
      <c r="BT102" s="52" t="s">
        <v>0</v>
      </c>
      <c r="BU102" s="52" t="s">
        <v>3611</v>
      </c>
      <c r="BV102" s="52" t="s">
        <v>3491</v>
      </c>
      <c r="BW102" s="52" t="s">
        <v>0</v>
      </c>
      <c r="BX102" s="52" t="s">
        <v>0</v>
      </c>
      <c r="BY102" s="52" t="s">
        <v>0</v>
      </c>
      <c r="BZ102" s="52" t="s">
        <v>4587</v>
      </c>
      <c r="CA102" s="52"/>
      <c r="CB102" s="52"/>
      <c r="CC102" s="52"/>
      <c r="CD102" s="52" t="s">
        <v>2556</v>
      </c>
      <c r="CE102" s="52" t="s">
        <v>2547</v>
      </c>
      <c r="CF102" s="52"/>
      <c r="CG102" s="52" t="s">
        <v>2239</v>
      </c>
      <c r="CH102" s="52" t="s">
        <v>0</v>
      </c>
      <c r="CI102" s="52" t="s">
        <v>0</v>
      </c>
      <c r="CJ102" s="52" t="s">
        <v>0</v>
      </c>
      <c r="CK102" s="52" t="s">
        <v>0</v>
      </c>
      <c r="CL102" s="52"/>
      <c r="CM102" s="52"/>
      <c r="CN102" s="52"/>
      <c r="CO102" s="52" t="s">
        <v>0</v>
      </c>
      <c r="CP102" s="52" t="s">
        <v>2826</v>
      </c>
      <c r="CQ102" s="52"/>
      <c r="CR102" s="52"/>
      <c r="CS102" s="52"/>
      <c r="CT102" s="52"/>
      <c r="CU102" s="52"/>
      <c r="CV102" s="52"/>
      <c r="CW102" s="52" t="s">
        <v>0</v>
      </c>
      <c r="CX102" s="52"/>
    </row>
    <row r="103" spans="1:102" ht="22.5" customHeight="1">
      <c r="A103" s="11" t="s">
        <v>19</v>
      </c>
      <c r="B103" s="38" t="s">
        <v>0</v>
      </c>
      <c r="C103" s="38" t="s">
        <v>396</v>
      </c>
      <c r="D103" s="38" t="s">
        <v>0</v>
      </c>
      <c r="E103" s="36" t="s">
        <v>3306</v>
      </c>
      <c r="F103" s="38" t="s">
        <v>0</v>
      </c>
      <c r="G103" s="36" t="s">
        <v>290</v>
      </c>
      <c r="H103" s="38" t="s">
        <v>5504</v>
      </c>
      <c r="I103" s="36" t="s">
        <v>5503</v>
      </c>
      <c r="J103" s="36" t="s">
        <v>501</v>
      </c>
      <c r="K103" s="36" t="s">
        <v>778</v>
      </c>
      <c r="L103" s="36" t="s">
        <v>469</v>
      </c>
      <c r="M103" s="36" t="s">
        <v>3396</v>
      </c>
      <c r="N103" s="36" t="s">
        <v>3397</v>
      </c>
      <c r="O103" s="36" t="s">
        <v>3397</v>
      </c>
      <c r="P103" s="36" t="s">
        <v>3396</v>
      </c>
      <c r="Q103" s="36" t="s">
        <v>3398</v>
      </c>
      <c r="R103" s="36" t="s">
        <v>3398</v>
      </c>
      <c r="S103" s="36" t="s">
        <v>3396</v>
      </c>
      <c r="T103" s="36" t="s">
        <v>3398</v>
      </c>
      <c r="U103" s="36" t="s">
        <v>3398</v>
      </c>
      <c r="V103" s="36" t="s">
        <v>5878</v>
      </c>
      <c r="W103" s="36" t="s">
        <v>5287</v>
      </c>
      <c r="X103" s="36" t="s">
        <v>5879</v>
      </c>
      <c r="Y103" s="36" t="s">
        <v>5273</v>
      </c>
      <c r="Z103" s="36" t="s">
        <v>746</v>
      </c>
      <c r="AA103" s="36" t="s">
        <v>396</v>
      </c>
      <c r="AB103" s="36" t="s">
        <v>396</v>
      </c>
      <c r="AC103" s="36" t="s">
        <v>396</v>
      </c>
      <c r="AD103" s="36" t="s">
        <v>377</v>
      </c>
      <c r="AE103" s="124" t="s">
        <v>0</v>
      </c>
      <c r="AF103" s="36" t="s">
        <v>4698</v>
      </c>
      <c r="AG103" s="36" t="s">
        <v>4699</v>
      </c>
      <c r="AH103" s="36" t="s">
        <v>0</v>
      </c>
      <c r="AI103" s="7" t="s">
        <v>57</v>
      </c>
      <c r="AJ103" s="7" t="s">
        <v>57</v>
      </c>
      <c r="AK103" s="7" t="s">
        <v>57</v>
      </c>
      <c r="AL103" s="7" t="s">
        <v>57</v>
      </c>
      <c r="AM103" s="7" t="s">
        <v>111</v>
      </c>
      <c r="AN103" s="7" t="s">
        <v>993</v>
      </c>
      <c r="AO103" s="7" t="s">
        <v>0</v>
      </c>
      <c r="AP103" s="33" t="s">
        <v>6</v>
      </c>
      <c r="AQ103" s="7" t="s">
        <v>0</v>
      </c>
      <c r="AR103" s="37" t="s">
        <v>822</v>
      </c>
      <c r="AS103" s="7" t="s">
        <v>0</v>
      </c>
      <c r="AT103" s="37" t="s">
        <v>822</v>
      </c>
      <c r="AU103" s="36" t="s">
        <v>363</v>
      </c>
      <c r="AV103" s="36" t="s">
        <v>363</v>
      </c>
      <c r="AW103" s="34" t="s">
        <v>0</v>
      </c>
      <c r="AX103" s="34" t="s">
        <v>0</v>
      </c>
      <c r="AY103" s="37" t="s">
        <v>993</v>
      </c>
      <c r="AZ103" s="36" t="s">
        <v>898</v>
      </c>
      <c r="BA103" s="36" t="s">
        <v>197</v>
      </c>
      <c r="BB103" s="36" t="s">
        <v>783</v>
      </c>
      <c r="BC103" s="36" t="s">
        <v>801</v>
      </c>
      <c r="BD103" s="36" t="s">
        <v>801</v>
      </c>
      <c r="BE103" s="36" t="s">
        <v>289</v>
      </c>
      <c r="BF103" s="36" t="s">
        <v>289</v>
      </c>
      <c r="BG103" s="36" t="s">
        <v>0</v>
      </c>
      <c r="BH103" s="36" t="s">
        <v>0</v>
      </c>
      <c r="BI103" s="36" t="s">
        <v>861</v>
      </c>
      <c r="BJ103" s="36" t="s">
        <v>861</v>
      </c>
      <c r="BK103" s="36" t="s">
        <v>366</v>
      </c>
      <c r="BL103" s="36" t="s">
        <v>64</v>
      </c>
      <c r="BM103" s="38" t="s">
        <v>0</v>
      </c>
      <c r="BN103" s="38" t="s">
        <v>24</v>
      </c>
      <c r="BO103" s="36" t="s">
        <v>801</v>
      </c>
      <c r="BP103" s="38" t="s">
        <v>24</v>
      </c>
      <c r="BQ103" s="38" t="s">
        <v>123</v>
      </c>
      <c r="BR103" s="38" t="s">
        <v>57</v>
      </c>
      <c r="BS103" s="38" t="s">
        <v>57</v>
      </c>
      <c r="BT103" s="38" t="s">
        <v>0</v>
      </c>
      <c r="BU103" s="38" t="s">
        <v>57</v>
      </c>
      <c r="BV103" s="38" t="s">
        <v>57</v>
      </c>
      <c r="BW103" s="36" t="s">
        <v>2463</v>
      </c>
      <c r="BX103" s="36" t="s">
        <v>2463</v>
      </c>
      <c r="BY103" s="38" t="s">
        <v>0</v>
      </c>
      <c r="BZ103" s="36" t="s">
        <v>324</v>
      </c>
      <c r="CA103" s="36" t="s">
        <v>323</v>
      </c>
      <c r="CB103" s="36" t="s">
        <v>324</v>
      </c>
      <c r="CC103" s="36" t="s">
        <v>725</v>
      </c>
      <c r="CD103" s="38" t="s">
        <v>57</v>
      </c>
      <c r="CE103" s="38" t="s">
        <v>57</v>
      </c>
      <c r="CF103" s="36" t="s">
        <v>522</v>
      </c>
      <c r="CG103" s="36" t="s">
        <v>307</v>
      </c>
      <c r="CH103" s="36" t="s">
        <v>2263</v>
      </c>
      <c r="CI103" s="36" t="s">
        <v>4034</v>
      </c>
      <c r="CJ103" s="36" t="s">
        <v>4049</v>
      </c>
      <c r="CK103" s="36" t="s">
        <v>2644</v>
      </c>
      <c r="CL103" s="36" t="s">
        <v>324</v>
      </c>
      <c r="CM103" s="36" t="s">
        <v>0</v>
      </c>
      <c r="CN103" s="38" t="s">
        <v>0</v>
      </c>
      <c r="CO103" s="38" t="s">
        <v>0</v>
      </c>
      <c r="CP103" s="38" t="s">
        <v>6</v>
      </c>
      <c r="CQ103" s="38" t="s">
        <v>57</v>
      </c>
      <c r="CR103" s="38" t="s">
        <v>57</v>
      </c>
      <c r="CS103" s="38" t="s">
        <v>57</v>
      </c>
      <c r="CT103" s="38" t="s">
        <v>57</v>
      </c>
      <c r="CU103" s="38" t="s">
        <v>57</v>
      </c>
      <c r="CV103" s="38" t="s">
        <v>57</v>
      </c>
      <c r="CW103" s="36" t="s">
        <v>1244</v>
      </c>
      <c r="CX103" s="36" t="s">
        <v>822</v>
      </c>
    </row>
    <row r="104" spans="1:102" ht="12" customHeight="1">
      <c r="A104" s="51" t="s">
        <v>935</v>
      </c>
      <c r="B104" s="52" t="s">
        <v>3989</v>
      </c>
      <c r="C104" s="52"/>
      <c r="D104" s="52"/>
      <c r="E104" s="52"/>
      <c r="F104" s="52" t="s">
        <v>1436</v>
      </c>
      <c r="G104" s="52" t="s">
        <v>1408</v>
      </c>
      <c r="H104" s="52" t="s">
        <v>1436</v>
      </c>
      <c r="I104" s="52" t="s">
        <v>1408</v>
      </c>
      <c r="J104" s="52"/>
      <c r="K104" s="52"/>
      <c r="L104" s="52"/>
      <c r="M104" s="52" t="s">
        <v>1488</v>
      </c>
      <c r="N104" s="52" t="s">
        <v>1572</v>
      </c>
      <c r="O104" s="52" t="s">
        <v>1530</v>
      </c>
      <c r="P104" s="52" t="s">
        <v>3313</v>
      </c>
      <c r="Q104" s="52" t="s">
        <v>1573</v>
      </c>
      <c r="R104" s="52" t="s">
        <v>3394</v>
      </c>
      <c r="S104" s="52" t="s">
        <v>3313</v>
      </c>
      <c r="T104" s="52" t="s">
        <v>1573</v>
      </c>
      <c r="U104" s="52" t="s">
        <v>3394</v>
      </c>
      <c r="V104" s="52" t="s">
        <v>5233</v>
      </c>
      <c r="W104" s="52" t="s">
        <v>3313</v>
      </c>
      <c r="X104" s="52" t="s">
        <v>1573</v>
      </c>
      <c r="Y104" s="52" t="s">
        <v>3394</v>
      </c>
      <c r="Z104" s="52"/>
      <c r="AA104" s="52"/>
      <c r="AB104" s="52"/>
      <c r="AC104" s="52"/>
      <c r="AD104" s="52"/>
      <c r="AE104" s="123" t="s">
        <v>5679</v>
      </c>
      <c r="AF104" s="52" t="s">
        <v>4697</v>
      </c>
      <c r="AG104" s="52" t="s">
        <v>4697</v>
      </c>
      <c r="AH104" s="52" t="s">
        <v>4700</v>
      </c>
      <c r="AI104" s="52"/>
      <c r="AJ104" s="52"/>
      <c r="AK104" s="52" t="s">
        <v>1696</v>
      </c>
      <c r="AL104" s="52" t="s">
        <v>1696</v>
      </c>
      <c r="AM104" s="52"/>
      <c r="AN104" s="52" t="s">
        <v>1687</v>
      </c>
      <c r="AO104" s="52"/>
      <c r="AP104" s="52"/>
      <c r="AQ104" s="52" t="s">
        <v>0</v>
      </c>
      <c r="AR104" s="52" t="s">
        <v>1855</v>
      </c>
      <c r="AS104" s="52" t="s">
        <v>0</v>
      </c>
      <c r="AT104" s="52" t="s">
        <v>1855</v>
      </c>
      <c r="AU104" s="52"/>
      <c r="AV104" s="52"/>
      <c r="AW104" s="52" t="s">
        <v>3003</v>
      </c>
      <c r="AX104" s="52" t="s">
        <v>3003</v>
      </c>
      <c r="AY104" s="52" t="s">
        <v>2914</v>
      </c>
      <c r="AZ104" s="52"/>
      <c r="BA104" s="52" t="s">
        <v>4117</v>
      </c>
      <c r="BB104" s="52"/>
      <c r="BC104" s="52"/>
      <c r="BD104" s="52" t="s">
        <v>1930</v>
      </c>
      <c r="BE104" s="52"/>
      <c r="BF104" s="52" t="s">
        <v>1970</v>
      </c>
      <c r="BG104" s="52" t="s">
        <v>4072</v>
      </c>
      <c r="BH104" s="52"/>
      <c r="BI104" s="52"/>
      <c r="BJ104" s="52"/>
      <c r="BK104" s="52" t="s">
        <v>1296</v>
      </c>
      <c r="BL104" s="52" t="s">
        <v>1270</v>
      </c>
      <c r="BM104" s="52"/>
      <c r="BN104" s="52"/>
      <c r="BO104" s="52" t="s">
        <v>4557</v>
      </c>
      <c r="BP104" s="52"/>
      <c r="BQ104" s="52"/>
      <c r="BR104" s="52"/>
      <c r="BS104" s="52"/>
      <c r="BT104" s="52" t="s">
        <v>0</v>
      </c>
      <c r="BU104" s="52" t="s">
        <v>3612</v>
      </c>
      <c r="BV104" s="52" t="s">
        <v>3492</v>
      </c>
      <c r="BW104" s="52" t="s">
        <v>2462</v>
      </c>
      <c r="BX104" s="52" t="s">
        <v>2462</v>
      </c>
      <c r="BY104" s="52" t="s">
        <v>2461</v>
      </c>
      <c r="BZ104" s="52" t="s">
        <v>3274</v>
      </c>
      <c r="CA104" s="52"/>
      <c r="CB104" s="52"/>
      <c r="CC104" s="52"/>
      <c r="CD104" s="52" t="s">
        <v>2556</v>
      </c>
      <c r="CE104" s="52" t="s">
        <v>2547</v>
      </c>
      <c r="CF104" s="52"/>
      <c r="CG104" s="52" t="s">
        <v>2244</v>
      </c>
      <c r="CH104" s="52" t="s">
        <v>2262</v>
      </c>
      <c r="CI104" s="52" t="s">
        <v>4035</v>
      </c>
      <c r="CJ104" s="52" t="s">
        <v>4040</v>
      </c>
      <c r="CK104" s="52" t="s">
        <v>2643</v>
      </c>
      <c r="CL104" s="52"/>
      <c r="CM104" s="52"/>
      <c r="CN104" s="52"/>
      <c r="CO104" s="52" t="s">
        <v>2100</v>
      </c>
      <c r="CP104" s="52" t="s">
        <v>2827</v>
      </c>
      <c r="CQ104" s="52"/>
      <c r="CR104" s="52"/>
      <c r="CS104" s="52"/>
      <c r="CT104" s="52"/>
      <c r="CU104" s="52"/>
      <c r="CV104" s="52"/>
      <c r="CW104" s="52" t="s">
        <v>1245</v>
      </c>
      <c r="CX104" s="52"/>
    </row>
    <row r="105" spans="1:102" ht="22.5" customHeight="1">
      <c r="A105" s="11" t="s">
        <v>16</v>
      </c>
      <c r="B105" s="38" t="s">
        <v>0</v>
      </c>
      <c r="C105" s="38" t="s">
        <v>0</v>
      </c>
      <c r="D105" s="38" t="s">
        <v>0</v>
      </c>
      <c r="E105" s="38" t="s">
        <v>57</v>
      </c>
      <c r="F105" s="38" t="s">
        <v>0</v>
      </c>
      <c r="G105" s="38" t="s">
        <v>57</v>
      </c>
      <c r="H105" s="38" t="s">
        <v>57</v>
      </c>
      <c r="I105" s="38" t="s">
        <v>57</v>
      </c>
      <c r="J105" s="38" t="s">
        <v>57</v>
      </c>
      <c r="K105" s="38" t="s">
        <v>57</v>
      </c>
      <c r="L105" s="38" t="s">
        <v>57</v>
      </c>
      <c r="M105" s="38" t="s">
        <v>57</v>
      </c>
      <c r="N105" s="38" t="s">
        <v>57</v>
      </c>
      <c r="O105" s="38" t="s">
        <v>57</v>
      </c>
      <c r="P105" s="38" t="s">
        <v>57</v>
      </c>
      <c r="Q105" s="38" t="s">
        <v>57</v>
      </c>
      <c r="R105" s="38" t="s">
        <v>57</v>
      </c>
      <c r="S105" s="38" t="s">
        <v>57</v>
      </c>
      <c r="T105" s="38" t="s">
        <v>57</v>
      </c>
      <c r="U105" s="38" t="s">
        <v>57</v>
      </c>
      <c r="V105" s="38" t="s">
        <v>57</v>
      </c>
      <c r="W105" s="38" t="s">
        <v>57</v>
      </c>
      <c r="X105" s="38" t="s">
        <v>57</v>
      </c>
      <c r="Y105" s="38" t="s">
        <v>57</v>
      </c>
      <c r="Z105" s="38" t="s">
        <v>57</v>
      </c>
      <c r="AA105" s="38" t="s">
        <v>0</v>
      </c>
      <c r="AB105" s="38" t="s">
        <v>0</v>
      </c>
      <c r="AC105" s="38" t="s">
        <v>0</v>
      </c>
      <c r="AD105" s="38" t="s">
        <v>0</v>
      </c>
      <c r="AE105" s="124" t="s">
        <v>0</v>
      </c>
      <c r="AF105" s="38" t="s">
        <v>57</v>
      </c>
      <c r="AG105" s="38" t="s">
        <v>57</v>
      </c>
      <c r="AH105" s="38" t="s">
        <v>0</v>
      </c>
      <c r="AI105" s="7" t="s">
        <v>57</v>
      </c>
      <c r="AJ105" s="7" t="s">
        <v>57</v>
      </c>
      <c r="AK105" s="7" t="s">
        <v>57</v>
      </c>
      <c r="AL105" s="7" t="s">
        <v>57</v>
      </c>
      <c r="AM105" s="7" t="s">
        <v>57</v>
      </c>
      <c r="AN105" s="37" t="s">
        <v>57</v>
      </c>
      <c r="AO105" s="7" t="s">
        <v>0</v>
      </c>
      <c r="AP105" s="33" t="s">
        <v>0</v>
      </c>
      <c r="AQ105" s="7" t="s">
        <v>0</v>
      </c>
      <c r="AR105" s="7" t="s">
        <v>0</v>
      </c>
      <c r="AS105" s="7" t="s">
        <v>0</v>
      </c>
      <c r="AT105" s="7" t="s">
        <v>0</v>
      </c>
      <c r="AU105" s="38" t="s">
        <v>57</v>
      </c>
      <c r="AV105" s="38" t="s">
        <v>57</v>
      </c>
      <c r="AW105" s="34" t="s">
        <v>57</v>
      </c>
      <c r="AX105" s="34" t="s">
        <v>57</v>
      </c>
      <c r="AY105" s="34" t="s">
        <v>57</v>
      </c>
      <c r="AZ105" s="38" t="s">
        <v>57</v>
      </c>
      <c r="BA105" s="38" t="s">
        <v>57</v>
      </c>
      <c r="BB105" s="38" t="s">
        <v>57</v>
      </c>
      <c r="BC105" s="38" t="s">
        <v>57</v>
      </c>
      <c r="BD105" s="38" t="s">
        <v>57</v>
      </c>
      <c r="BE105" s="38" t="s">
        <v>26</v>
      </c>
      <c r="BF105" s="38" t="s">
        <v>26</v>
      </c>
      <c r="BG105" s="38" t="s">
        <v>0</v>
      </c>
      <c r="BH105" s="38" t="s">
        <v>0</v>
      </c>
      <c r="BI105" s="38" t="s">
        <v>57</v>
      </c>
      <c r="BJ105" s="38" t="s">
        <v>57</v>
      </c>
      <c r="BK105" s="38" t="s">
        <v>0</v>
      </c>
      <c r="BL105" s="38" t="s">
        <v>0</v>
      </c>
      <c r="BM105" s="38" t="s">
        <v>0</v>
      </c>
      <c r="BN105" s="38" t="s">
        <v>24</v>
      </c>
      <c r="BO105" s="38" t="s">
        <v>57</v>
      </c>
      <c r="BP105" s="38" t="s">
        <v>24</v>
      </c>
      <c r="BQ105" s="38" t="s">
        <v>57</v>
      </c>
      <c r="BR105" s="38" t="s">
        <v>57</v>
      </c>
      <c r="BS105" s="38" t="s">
        <v>57</v>
      </c>
      <c r="BT105" s="38" t="s">
        <v>0</v>
      </c>
      <c r="BU105" s="38" t="s">
        <v>57</v>
      </c>
      <c r="BV105" s="38" t="s">
        <v>57</v>
      </c>
      <c r="BW105" s="38" t="s">
        <v>0</v>
      </c>
      <c r="BX105" s="38" t="s">
        <v>0</v>
      </c>
      <c r="BY105" s="38" t="s">
        <v>0</v>
      </c>
      <c r="BZ105" s="38" t="s">
        <v>0</v>
      </c>
      <c r="CA105" s="38" t="s">
        <v>57</v>
      </c>
      <c r="CB105" s="38" t="s">
        <v>57</v>
      </c>
      <c r="CC105" s="38" t="s">
        <v>57</v>
      </c>
      <c r="CD105" s="38" t="s">
        <v>57</v>
      </c>
      <c r="CE105" s="38" t="s">
        <v>57</v>
      </c>
      <c r="CF105" s="38" t="s">
        <v>0</v>
      </c>
      <c r="CG105" s="38" t="s">
        <v>57</v>
      </c>
      <c r="CH105" s="38" t="s">
        <v>57</v>
      </c>
      <c r="CI105" s="38" t="s">
        <v>0</v>
      </c>
      <c r="CJ105" s="38" t="s">
        <v>0</v>
      </c>
      <c r="CK105" s="38" t="s">
        <v>0</v>
      </c>
      <c r="CL105" s="38" t="s">
        <v>0</v>
      </c>
      <c r="CM105" s="38" t="s">
        <v>0</v>
      </c>
      <c r="CN105" s="38" t="s">
        <v>57</v>
      </c>
      <c r="CO105" s="38" t="s">
        <v>57</v>
      </c>
      <c r="CP105" s="38" t="s">
        <v>57</v>
      </c>
      <c r="CQ105" s="38" t="s">
        <v>57</v>
      </c>
      <c r="CR105" s="38" t="s">
        <v>57</v>
      </c>
      <c r="CS105" s="38" t="s">
        <v>57</v>
      </c>
      <c r="CT105" s="38" t="s">
        <v>57</v>
      </c>
      <c r="CU105" s="38" t="s">
        <v>57</v>
      </c>
      <c r="CV105" s="38" t="s">
        <v>57</v>
      </c>
      <c r="CW105" s="38" t="s">
        <v>57</v>
      </c>
      <c r="CX105" s="38" t="s">
        <v>0</v>
      </c>
    </row>
    <row r="106" spans="1:102" ht="12" customHeight="1">
      <c r="A106" s="51" t="s">
        <v>935</v>
      </c>
      <c r="B106" s="52" t="s">
        <v>0</v>
      </c>
      <c r="C106" s="52"/>
      <c r="D106" s="52"/>
      <c r="E106" s="52"/>
      <c r="F106" s="52" t="s">
        <v>0</v>
      </c>
      <c r="G106" s="52" t="s">
        <v>1417</v>
      </c>
      <c r="H106" s="52" t="s">
        <v>1417</v>
      </c>
      <c r="I106" s="52" t="s">
        <v>1417</v>
      </c>
      <c r="J106" s="52"/>
      <c r="K106" s="52"/>
      <c r="L106" s="52"/>
      <c r="M106" s="52" t="s">
        <v>1490</v>
      </c>
      <c r="N106" s="52" t="s">
        <v>1574</v>
      </c>
      <c r="O106" s="52" t="s">
        <v>1532</v>
      </c>
      <c r="P106" s="52" t="s">
        <v>3312</v>
      </c>
      <c r="Q106" s="52" t="s">
        <v>3343</v>
      </c>
      <c r="R106" s="52" t="s">
        <v>3399</v>
      </c>
      <c r="S106" s="52" t="s">
        <v>3312</v>
      </c>
      <c r="T106" s="52" t="s">
        <v>3343</v>
      </c>
      <c r="U106" s="52" t="s">
        <v>3399</v>
      </c>
      <c r="V106" s="52" t="s">
        <v>5235</v>
      </c>
      <c r="W106" s="52" t="s">
        <v>3312</v>
      </c>
      <c r="X106" s="52" t="s">
        <v>3343</v>
      </c>
      <c r="Y106" s="52" t="s">
        <v>3399</v>
      </c>
      <c r="Z106" s="52"/>
      <c r="AA106" s="52"/>
      <c r="AB106" s="52"/>
      <c r="AC106" s="52"/>
      <c r="AD106" s="52"/>
      <c r="AE106" s="123" t="s">
        <v>0</v>
      </c>
      <c r="AF106" s="52" t="s">
        <v>4692</v>
      </c>
      <c r="AG106" s="52" t="s">
        <v>4692</v>
      </c>
      <c r="AH106" s="52" t="s">
        <v>0</v>
      </c>
      <c r="AI106" s="52"/>
      <c r="AJ106" s="52"/>
      <c r="AK106" s="52" t="s">
        <v>1701</v>
      </c>
      <c r="AL106" s="52" t="s">
        <v>1701</v>
      </c>
      <c r="AM106" s="52"/>
      <c r="AN106" s="52" t="s">
        <v>1806</v>
      </c>
      <c r="AO106" s="52"/>
      <c r="AP106" s="52"/>
      <c r="AQ106" s="52" t="s">
        <v>0</v>
      </c>
      <c r="AR106" s="52" t="s">
        <v>0</v>
      </c>
      <c r="AS106" s="52" t="s">
        <v>0</v>
      </c>
      <c r="AT106" s="52" t="s">
        <v>0</v>
      </c>
      <c r="AU106" s="52"/>
      <c r="AV106" s="52"/>
      <c r="AW106" s="52" t="s">
        <v>2917</v>
      </c>
      <c r="AX106" s="52" t="s">
        <v>2917</v>
      </c>
      <c r="AY106" s="52" t="s">
        <v>2917</v>
      </c>
      <c r="AZ106" s="52"/>
      <c r="BA106" s="52" t="s">
        <v>4117</v>
      </c>
      <c r="BB106" s="52"/>
      <c r="BC106" s="52"/>
      <c r="BD106" s="52" t="s">
        <v>1929</v>
      </c>
      <c r="BE106" s="52"/>
      <c r="BF106" s="52" t="s">
        <v>1969</v>
      </c>
      <c r="BG106" s="52" t="s">
        <v>0</v>
      </c>
      <c r="BH106" s="52"/>
      <c r="BI106" s="52"/>
      <c r="BJ106" s="52"/>
      <c r="BK106" s="52" t="s">
        <v>0</v>
      </c>
      <c r="BL106" s="52" t="s">
        <v>0</v>
      </c>
      <c r="BM106" s="52"/>
      <c r="BN106" s="52"/>
      <c r="BO106" s="52" t="s">
        <v>4563</v>
      </c>
      <c r="BP106" s="52"/>
      <c r="BQ106" s="52"/>
      <c r="BR106" s="52"/>
      <c r="BS106" s="52"/>
      <c r="BT106" s="52" t="s">
        <v>0</v>
      </c>
      <c r="BU106" s="52" t="s">
        <v>3574</v>
      </c>
      <c r="BV106" s="52" t="s">
        <v>3475</v>
      </c>
      <c r="BW106" s="52" t="s">
        <v>0</v>
      </c>
      <c r="BX106" s="52" t="s">
        <v>0</v>
      </c>
      <c r="BY106" s="52" t="s">
        <v>0</v>
      </c>
      <c r="BZ106" s="52" t="s">
        <v>0</v>
      </c>
      <c r="CA106" s="52"/>
      <c r="CB106" s="52"/>
      <c r="CC106" s="52"/>
      <c r="CD106" s="52" t="s">
        <v>2556</v>
      </c>
      <c r="CE106" s="52" t="s">
        <v>2547</v>
      </c>
      <c r="CF106" s="52"/>
      <c r="CG106" s="52" t="s">
        <v>2267</v>
      </c>
      <c r="CH106" s="52" t="s">
        <v>2267</v>
      </c>
      <c r="CI106" s="52" t="s">
        <v>0</v>
      </c>
      <c r="CJ106" s="52" t="s">
        <v>0</v>
      </c>
      <c r="CK106" s="52" t="s">
        <v>0</v>
      </c>
      <c r="CL106" s="52"/>
      <c r="CM106" s="52"/>
      <c r="CN106" s="52"/>
      <c r="CO106" s="52" t="s">
        <v>2101</v>
      </c>
      <c r="CP106" s="52" t="s">
        <v>2824</v>
      </c>
      <c r="CQ106" s="52"/>
      <c r="CR106" s="52"/>
      <c r="CS106" s="52"/>
      <c r="CT106" s="52"/>
      <c r="CU106" s="52"/>
      <c r="CV106" s="52"/>
      <c r="CW106" s="52" t="s">
        <v>1210</v>
      </c>
      <c r="CX106" s="52"/>
    </row>
    <row r="107" spans="1:102" ht="22.5" customHeight="1">
      <c r="A107" s="11" t="s">
        <v>124</v>
      </c>
      <c r="B107" s="38" t="s">
        <v>0</v>
      </c>
      <c r="C107" s="38" t="s">
        <v>0</v>
      </c>
      <c r="D107" s="38" t="s">
        <v>0</v>
      </c>
      <c r="E107" s="38" t="s">
        <v>0</v>
      </c>
      <c r="F107" s="38" t="s">
        <v>0</v>
      </c>
      <c r="G107" s="38" t="s">
        <v>0</v>
      </c>
      <c r="H107" s="38" t="s">
        <v>57</v>
      </c>
      <c r="I107" s="38" t="s">
        <v>57</v>
      </c>
      <c r="J107" s="38" t="s">
        <v>0</v>
      </c>
      <c r="K107" s="38" t="s">
        <v>0</v>
      </c>
      <c r="L107" s="38" t="s">
        <v>0</v>
      </c>
      <c r="M107" s="38" t="s">
        <v>0</v>
      </c>
      <c r="N107" s="38" t="s">
        <v>0</v>
      </c>
      <c r="O107" s="38" t="s">
        <v>0</v>
      </c>
      <c r="P107" s="38" t="s">
        <v>57</v>
      </c>
      <c r="Q107" s="38" t="s">
        <v>57</v>
      </c>
      <c r="R107" s="38" t="s">
        <v>57</v>
      </c>
      <c r="S107" s="38" t="s">
        <v>57</v>
      </c>
      <c r="T107" s="38" t="s">
        <v>57</v>
      </c>
      <c r="U107" s="38" t="s">
        <v>57</v>
      </c>
      <c r="V107" s="38" t="s">
        <v>0</v>
      </c>
      <c r="W107" s="38" t="s">
        <v>57</v>
      </c>
      <c r="X107" s="38" t="s">
        <v>57</v>
      </c>
      <c r="Y107" s="38" t="s">
        <v>57</v>
      </c>
      <c r="Z107" s="38" t="s">
        <v>57</v>
      </c>
      <c r="AA107" s="38" t="s">
        <v>0</v>
      </c>
      <c r="AB107" s="38" t="s">
        <v>0</v>
      </c>
      <c r="AC107" s="38" t="s">
        <v>0</v>
      </c>
      <c r="AD107" s="38" t="s">
        <v>0</v>
      </c>
      <c r="AE107" s="124" t="s">
        <v>57</v>
      </c>
      <c r="AF107" s="36" t="s">
        <v>0</v>
      </c>
      <c r="AG107" s="36" t="s">
        <v>0</v>
      </c>
      <c r="AH107" s="36" t="s">
        <v>0</v>
      </c>
      <c r="AI107" s="7" t="s">
        <v>0</v>
      </c>
      <c r="AJ107" s="34" t="s">
        <v>0</v>
      </c>
      <c r="AK107" s="7" t="s">
        <v>0</v>
      </c>
      <c r="AL107" s="7" t="s">
        <v>0</v>
      </c>
      <c r="AM107" s="34" t="s">
        <v>0</v>
      </c>
      <c r="AN107" s="34" t="s">
        <v>0</v>
      </c>
      <c r="AO107" s="7" t="s">
        <v>0</v>
      </c>
      <c r="AP107" s="34" t="s">
        <v>0</v>
      </c>
      <c r="AQ107" s="7" t="s">
        <v>0</v>
      </c>
      <c r="AR107" s="7" t="s">
        <v>0</v>
      </c>
      <c r="AS107" s="7" t="s">
        <v>0</v>
      </c>
      <c r="AT107" s="7" t="s">
        <v>0</v>
      </c>
      <c r="AU107" s="38" t="s">
        <v>57</v>
      </c>
      <c r="AV107" s="38" t="s">
        <v>57</v>
      </c>
      <c r="AW107" s="34" t="s">
        <v>0</v>
      </c>
      <c r="AX107" s="34" t="s">
        <v>0</v>
      </c>
      <c r="AY107" s="34" t="s">
        <v>0</v>
      </c>
      <c r="AZ107" s="38" t="s">
        <v>0</v>
      </c>
      <c r="BA107" s="38" t="s">
        <v>0</v>
      </c>
      <c r="BB107" s="38" t="s">
        <v>0</v>
      </c>
      <c r="BC107" s="38" t="s">
        <v>0</v>
      </c>
      <c r="BD107" s="38" t="s">
        <v>0</v>
      </c>
      <c r="BE107" s="38" t="s">
        <v>0</v>
      </c>
      <c r="BF107" s="38" t="s">
        <v>0</v>
      </c>
      <c r="BG107" s="38" t="s">
        <v>0</v>
      </c>
      <c r="BH107" s="38" t="s">
        <v>0</v>
      </c>
      <c r="BI107" s="38" t="s">
        <v>57</v>
      </c>
      <c r="BJ107" s="38" t="s">
        <v>57</v>
      </c>
      <c r="BK107" s="36" t="s">
        <v>0</v>
      </c>
      <c r="BL107" s="36" t="s">
        <v>0</v>
      </c>
      <c r="BM107" s="38" t="s">
        <v>0</v>
      </c>
      <c r="BN107" s="38" t="s">
        <v>0</v>
      </c>
      <c r="BO107" s="38" t="s">
        <v>57</v>
      </c>
      <c r="BP107" s="38" t="s">
        <v>0</v>
      </c>
      <c r="BQ107" s="38" t="s">
        <v>57</v>
      </c>
      <c r="BR107" s="38" t="s">
        <v>57</v>
      </c>
      <c r="BS107" s="38" t="s">
        <v>57</v>
      </c>
      <c r="BT107" s="38" t="s">
        <v>57</v>
      </c>
      <c r="BU107" s="38" t="s">
        <v>57</v>
      </c>
      <c r="BV107" s="38" t="s">
        <v>57</v>
      </c>
      <c r="BW107" s="38" t="s">
        <v>0</v>
      </c>
      <c r="BX107" s="38" t="s">
        <v>0</v>
      </c>
      <c r="BY107" s="38" t="s">
        <v>0</v>
      </c>
      <c r="BZ107" s="38" t="s">
        <v>0</v>
      </c>
      <c r="CA107" s="38" t="s">
        <v>0</v>
      </c>
      <c r="CB107" s="38" t="s">
        <v>0</v>
      </c>
      <c r="CC107" s="38" t="s">
        <v>0</v>
      </c>
      <c r="CD107" s="38" t="s">
        <v>0</v>
      </c>
      <c r="CE107" s="38" t="s">
        <v>0</v>
      </c>
      <c r="CF107" s="38" t="s">
        <v>0</v>
      </c>
      <c r="CG107" s="36" t="s">
        <v>0</v>
      </c>
      <c r="CH107" s="36" t="s">
        <v>0</v>
      </c>
      <c r="CI107" s="38" t="s">
        <v>0</v>
      </c>
      <c r="CJ107" s="38" t="s">
        <v>0</v>
      </c>
      <c r="CK107" s="38" t="s">
        <v>57</v>
      </c>
      <c r="CL107" s="38" t="s">
        <v>57</v>
      </c>
      <c r="CM107" s="38" t="s">
        <v>0</v>
      </c>
      <c r="CN107" s="38" t="s">
        <v>0</v>
      </c>
      <c r="CO107" s="38" t="s">
        <v>0</v>
      </c>
      <c r="CP107" s="38" t="s">
        <v>57</v>
      </c>
      <c r="CQ107" s="38" t="s">
        <v>57</v>
      </c>
      <c r="CR107" s="38" t="s">
        <v>57</v>
      </c>
      <c r="CS107" s="38" t="s">
        <v>0</v>
      </c>
      <c r="CT107" s="38" t="s">
        <v>0</v>
      </c>
      <c r="CU107" s="38" t="s">
        <v>0</v>
      </c>
      <c r="CV107" s="38" t="s">
        <v>0</v>
      </c>
      <c r="CW107" s="36" t="s">
        <v>57</v>
      </c>
      <c r="CX107" s="38" t="s">
        <v>0</v>
      </c>
    </row>
    <row r="108" spans="1:102" ht="12" customHeight="1">
      <c r="A108" s="51" t="s">
        <v>935</v>
      </c>
      <c r="B108" s="52" t="s">
        <v>0</v>
      </c>
      <c r="C108" s="52"/>
      <c r="D108" s="52"/>
      <c r="E108" s="52"/>
      <c r="F108" s="52" t="s">
        <v>0</v>
      </c>
      <c r="G108" s="52" t="s">
        <v>0</v>
      </c>
      <c r="H108" s="52" t="s">
        <v>5505</v>
      </c>
      <c r="I108" s="52" t="s">
        <v>5505</v>
      </c>
      <c r="J108" s="52"/>
      <c r="K108" s="52"/>
      <c r="L108" s="52"/>
      <c r="M108" s="52" t="s">
        <v>0</v>
      </c>
      <c r="N108" s="52" t="s">
        <v>0</v>
      </c>
      <c r="O108" s="52" t="s">
        <v>0</v>
      </c>
      <c r="P108" s="52" t="s">
        <v>3317</v>
      </c>
      <c r="Q108" s="52" t="s">
        <v>3345</v>
      </c>
      <c r="R108" s="52" t="s">
        <v>3401</v>
      </c>
      <c r="S108" s="52" t="s">
        <v>3317</v>
      </c>
      <c r="T108" s="52" t="s">
        <v>3345</v>
      </c>
      <c r="U108" s="52" t="s">
        <v>3401</v>
      </c>
      <c r="V108" s="52" t="s">
        <v>0</v>
      </c>
      <c r="W108" s="52" t="s">
        <v>3317</v>
      </c>
      <c r="X108" s="52" t="s">
        <v>3345</v>
      </c>
      <c r="Y108" s="52" t="s">
        <v>3401</v>
      </c>
      <c r="Z108" s="52"/>
      <c r="AA108" s="52"/>
      <c r="AB108" s="52"/>
      <c r="AC108" s="52"/>
      <c r="AD108" s="52"/>
      <c r="AE108" s="123" t="s">
        <v>5680</v>
      </c>
      <c r="AF108" s="52" t="s">
        <v>4701</v>
      </c>
      <c r="AG108" s="52" t="s">
        <v>4701</v>
      </c>
      <c r="AH108" s="52" t="s">
        <v>4701</v>
      </c>
      <c r="AI108" s="52"/>
      <c r="AJ108" s="52"/>
      <c r="AK108" s="52" t="s">
        <v>0</v>
      </c>
      <c r="AL108" s="52" t="s">
        <v>0</v>
      </c>
      <c r="AM108" s="52"/>
      <c r="AN108" s="52" t="s">
        <v>0</v>
      </c>
      <c r="AO108" s="52"/>
      <c r="AP108" s="52"/>
      <c r="AQ108" s="52" t="s">
        <v>0</v>
      </c>
      <c r="AR108" s="52" t="s">
        <v>0</v>
      </c>
      <c r="AS108" s="52" t="s">
        <v>0</v>
      </c>
      <c r="AT108" s="52" t="s">
        <v>0</v>
      </c>
      <c r="AU108" s="52"/>
      <c r="AV108" s="52"/>
      <c r="AW108" s="52" t="s">
        <v>0</v>
      </c>
      <c r="AX108" s="52" t="s">
        <v>0</v>
      </c>
      <c r="AY108" s="52" t="s">
        <v>0</v>
      </c>
      <c r="AZ108" s="52"/>
      <c r="BA108" s="52" t="s">
        <v>0</v>
      </c>
      <c r="BB108" s="52"/>
      <c r="BC108" s="52"/>
      <c r="BD108" s="52" t="s">
        <v>0</v>
      </c>
      <c r="BE108" s="52"/>
      <c r="BF108" s="52" t="s">
        <v>0</v>
      </c>
      <c r="BG108" s="52" t="s">
        <v>0</v>
      </c>
      <c r="BH108" s="52"/>
      <c r="BI108" s="52"/>
      <c r="BJ108" s="52"/>
      <c r="BK108" s="52" t="s">
        <v>0</v>
      </c>
      <c r="BL108" s="52" t="s">
        <v>0</v>
      </c>
      <c r="BM108" s="52"/>
      <c r="BN108" s="52"/>
      <c r="BO108" s="52" t="s">
        <v>4564</v>
      </c>
      <c r="BP108" s="52"/>
      <c r="BQ108" s="52"/>
      <c r="BR108" s="52"/>
      <c r="BS108" s="52"/>
      <c r="BT108" s="52" t="s">
        <v>3663</v>
      </c>
      <c r="BU108" s="52" t="s">
        <v>3573</v>
      </c>
      <c r="BV108" s="52" t="s">
        <v>3474</v>
      </c>
      <c r="BW108" s="52" t="s">
        <v>0</v>
      </c>
      <c r="BX108" s="52" t="s">
        <v>0</v>
      </c>
      <c r="BY108" s="52" t="s">
        <v>0</v>
      </c>
      <c r="BZ108" s="52" t="s">
        <v>3961</v>
      </c>
      <c r="CA108" s="52"/>
      <c r="CB108" s="52"/>
      <c r="CC108" s="52"/>
      <c r="CD108" s="52" t="s">
        <v>0</v>
      </c>
      <c r="CE108" s="52" t="s">
        <v>0</v>
      </c>
      <c r="CF108" s="52"/>
      <c r="CG108" s="52" t="s">
        <v>0</v>
      </c>
      <c r="CH108" s="52" t="s">
        <v>0</v>
      </c>
      <c r="CI108" s="52" t="s">
        <v>0</v>
      </c>
      <c r="CJ108" s="52" t="s">
        <v>0</v>
      </c>
      <c r="CK108" s="52" t="s">
        <v>2642</v>
      </c>
      <c r="CL108" s="52"/>
      <c r="CM108" s="52"/>
      <c r="CN108" s="52"/>
      <c r="CO108" s="52" t="s">
        <v>0</v>
      </c>
      <c r="CP108" s="52" t="s">
        <v>2829</v>
      </c>
      <c r="CQ108" s="52"/>
      <c r="CR108" s="52"/>
      <c r="CS108" s="52"/>
      <c r="CT108" s="52"/>
      <c r="CU108" s="52"/>
      <c r="CV108" s="52"/>
      <c r="CW108" s="52" t="s">
        <v>1211</v>
      </c>
      <c r="CX108" s="52"/>
    </row>
    <row r="109" spans="1:102" ht="22.5" customHeight="1">
      <c r="A109" s="11" t="s">
        <v>25</v>
      </c>
      <c r="B109" s="38" t="s">
        <v>0</v>
      </c>
      <c r="C109" s="38" t="s">
        <v>0</v>
      </c>
      <c r="D109" s="38" t="s">
        <v>0</v>
      </c>
      <c r="E109" s="36" t="s">
        <v>219</v>
      </c>
      <c r="F109" s="38" t="s">
        <v>0</v>
      </c>
      <c r="G109" s="36" t="s">
        <v>1418</v>
      </c>
      <c r="H109" s="38" t="s">
        <v>57</v>
      </c>
      <c r="I109" s="36" t="s">
        <v>57</v>
      </c>
      <c r="J109" s="36" t="s">
        <v>57</v>
      </c>
      <c r="K109" s="36" t="s">
        <v>57</v>
      </c>
      <c r="L109" s="36" t="s">
        <v>57</v>
      </c>
      <c r="M109" s="36" t="s">
        <v>57</v>
      </c>
      <c r="N109" s="36" t="s">
        <v>57</v>
      </c>
      <c r="O109" s="36" t="s">
        <v>57</v>
      </c>
      <c r="P109" s="36" t="s">
        <v>57</v>
      </c>
      <c r="Q109" s="36" t="s">
        <v>57</v>
      </c>
      <c r="R109" s="36" t="s">
        <v>57</v>
      </c>
      <c r="S109" s="36" t="s">
        <v>57</v>
      </c>
      <c r="T109" s="36" t="s">
        <v>57</v>
      </c>
      <c r="U109" s="36" t="s">
        <v>57</v>
      </c>
      <c r="V109" s="36" t="s">
        <v>57</v>
      </c>
      <c r="W109" s="36" t="s">
        <v>57</v>
      </c>
      <c r="X109" s="36" t="s">
        <v>57</v>
      </c>
      <c r="Y109" s="36" t="s">
        <v>57</v>
      </c>
      <c r="Z109" s="38" t="s">
        <v>57</v>
      </c>
      <c r="AA109" s="38" t="s">
        <v>0</v>
      </c>
      <c r="AB109" s="38" t="s">
        <v>0</v>
      </c>
      <c r="AC109" s="38" t="s">
        <v>0</v>
      </c>
      <c r="AD109" s="38" t="s">
        <v>0</v>
      </c>
      <c r="AE109" s="124" t="s">
        <v>0</v>
      </c>
      <c r="AF109" s="36" t="s">
        <v>57</v>
      </c>
      <c r="AG109" s="36" t="s">
        <v>57</v>
      </c>
      <c r="AH109" s="36" t="s">
        <v>0</v>
      </c>
      <c r="AI109" s="7" t="s">
        <v>57</v>
      </c>
      <c r="AJ109" s="7" t="s">
        <v>57</v>
      </c>
      <c r="AK109" s="7" t="s">
        <v>57</v>
      </c>
      <c r="AL109" s="7" t="s">
        <v>57</v>
      </c>
      <c r="AM109" s="7" t="s">
        <v>57</v>
      </c>
      <c r="AN109" s="7" t="s">
        <v>57</v>
      </c>
      <c r="AO109" s="7" t="s">
        <v>0</v>
      </c>
      <c r="AP109" s="32" t="s">
        <v>0</v>
      </c>
      <c r="AQ109" s="7" t="s">
        <v>0</v>
      </c>
      <c r="AR109" s="7" t="s">
        <v>0</v>
      </c>
      <c r="AS109" s="7" t="s">
        <v>0</v>
      </c>
      <c r="AT109" s="7" t="s">
        <v>0</v>
      </c>
      <c r="AU109" s="38" t="s">
        <v>57</v>
      </c>
      <c r="AV109" s="38" t="s">
        <v>57</v>
      </c>
      <c r="AW109" s="37" t="s">
        <v>0</v>
      </c>
      <c r="AX109" s="37" t="s">
        <v>0</v>
      </c>
      <c r="AY109" s="37" t="s">
        <v>0</v>
      </c>
      <c r="AZ109" s="38" t="s">
        <v>0</v>
      </c>
      <c r="BA109" s="38" t="s">
        <v>57</v>
      </c>
      <c r="BB109" s="38" t="s">
        <v>57</v>
      </c>
      <c r="BC109" s="38" t="s">
        <v>57</v>
      </c>
      <c r="BD109" s="38" t="s">
        <v>57</v>
      </c>
      <c r="BE109" s="38" t="s">
        <v>57</v>
      </c>
      <c r="BF109" s="38" t="s">
        <v>57</v>
      </c>
      <c r="BG109" s="36" t="s">
        <v>0</v>
      </c>
      <c r="BH109" s="38" t="s">
        <v>0</v>
      </c>
      <c r="BI109" s="38" t="s">
        <v>0</v>
      </c>
      <c r="BJ109" s="38" t="s">
        <v>0</v>
      </c>
      <c r="BK109" s="36" t="s">
        <v>0</v>
      </c>
      <c r="BL109" s="36" t="s">
        <v>0</v>
      </c>
      <c r="BM109" s="38" t="s">
        <v>0</v>
      </c>
      <c r="BN109" s="38" t="s">
        <v>24</v>
      </c>
      <c r="BO109" s="38" t="s">
        <v>57</v>
      </c>
      <c r="BP109" s="38" t="s">
        <v>24</v>
      </c>
      <c r="BQ109" s="38" t="s">
        <v>57</v>
      </c>
      <c r="BR109" s="38" t="s">
        <v>57</v>
      </c>
      <c r="BS109" s="38" t="s">
        <v>57</v>
      </c>
      <c r="BT109" s="36" t="s">
        <v>0</v>
      </c>
      <c r="BU109" s="38" t="s">
        <v>57</v>
      </c>
      <c r="BV109" s="38" t="s">
        <v>57</v>
      </c>
      <c r="BW109" s="38" t="s">
        <v>0</v>
      </c>
      <c r="BX109" s="38" t="s">
        <v>0</v>
      </c>
      <c r="BY109" s="38" t="s">
        <v>0</v>
      </c>
      <c r="BZ109" s="38" t="s">
        <v>0</v>
      </c>
      <c r="CA109" s="38" t="s">
        <v>57</v>
      </c>
      <c r="CB109" s="38" t="s">
        <v>57</v>
      </c>
      <c r="CC109" s="38" t="s">
        <v>0</v>
      </c>
      <c r="CD109" s="38" t="s">
        <v>0</v>
      </c>
      <c r="CE109" s="38" t="s">
        <v>57</v>
      </c>
      <c r="CF109" s="38" t="s">
        <v>0</v>
      </c>
      <c r="CG109" s="36" t="s">
        <v>0</v>
      </c>
      <c r="CH109" s="36" t="s">
        <v>0</v>
      </c>
      <c r="CI109" s="38" t="s">
        <v>0</v>
      </c>
      <c r="CJ109" s="38" t="s">
        <v>0</v>
      </c>
      <c r="CK109" s="38" t="s">
        <v>57</v>
      </c>
      <c r="CL109" s="38" t="s">
        <v>0</v>
      </c>
      <c r="CM109" s="38" t="s">
        <v>0</v>
      </c>
      <c r="CN109" s="38" t="s">
        <v>0</v>
      </c>
      <c r="CO109" s="38" t="s">
        <v>0</v>
      </c>
      <c r="CP109" s="38" t="s">
        <v>0</v>
      </c>
      <c r="CQ109" s="38" t="s">
        <v>57</v>
      </c>
      <c r="CR109" s="38" t="s">
        <v>57</v>
      </c>
      <c r="CS109" s="38" t="s">
        <v>50</v>
      </c>
      <c r="CT109" s="38" t="s">
        <v>50</v>
      </c>
      <c r="CU109" s="38" t="s">
        <v>50</v>
      </c>
      <c r="CV109" s="38" t="s">
        <v>50</v>
      </c>
      <c r="CW109" s="36" t="s">
        <v>0</v>
      </c>
      <c r="CX109" s="38" t="s">
        <v>0</v>
      </c>
    </row>
    <row r="110" spans="1:102" ht="12" customHeight="1">
      <c r="A110" s="51" t="s">
        <v>935</v>
      </c>
      <c r="B110" s="52" t="s">
        <v>3987</v>
      </c>
      <c r="C110" s="52"/>
      <c r="D110" s="52"/>
      <c r="E110" s="52"/>
      <c r="F110" s="52" t="s">
        <v>1441</v>
      </c>
      <c r="G110" s="52" t="s">
        <v>1413</v>
      </c>
      <c r="H110" s="52" t="s">
        <v>1413</v>
      </c>
      <c r="I110" s="52" t="s">
        <v>1413</v>
      </c>
      <c r="J110" s="52"/>
      <c r="K110" s="52"/>
      <c r="L110" s="52"/>
      <c r="M110" s="52" t="s">
        <v>1504</v>
      </c>
      <c r="N110" s="52" t="s">
        <v>1603</v>
      </c>
      <c r="O110" s="52" t="s">
        <v>1546</v>
      </c>
      <c r="P110" s="52" t="s">
        <v>1506</v>
      </c>
      <c r="Q110" s="52" t="s">
        <v>1605</v>
      </c>
      <c r="R110" s="52" t="s">
        <v>1548</v>
      </c>
      <c r="S110" s="52" t="s">
        <v>1506</v>
      </c>
      <c r="T110" s="52" t="s">
        <v>1605</v>
      </c>
      <c r="U110" s="52" t="s">
        <v>1548</v>
      </c>
      <c r="V110" s="52" t="s">
        <v>5291</v>
      </c>
      <c r="W110" s="52" t="s">
        <v>1506</v>
      </c>
      <c r="X110" s="52" t="s">
        <v>5256</v>
      </c>
      <c r="Y110" s="52" t="s">
        <v>3412</v>
      </c>
      <c r="Z110" s="52"/>
      <c r="AA110" s="52"/>
      <c r="AB110" s="52"/>
      <c r="AC110" s="52"/>
      <c r="AD110" s="52"/>
      <c r="AE110" s="123" t="s">
        <v>5681</v>
      </c>
      <c r="AF110" s="52" t="s">
        <v>4703</v>
      </c>
      <c r="AG110" s="52" t="s">
        <v>4704</v>
      </c>
      <c r="AH110" s="52" t="s">
        <v>4702</v>
      </c>
      <c r="AI110" s="52"/>
      <c r="AJ110" s="52"/>
      <c r="AK110" s="52" t="s">
        <v>1702</v>
      </c>
      <c r="AL110" s="52" t="s">
        <v>1702</v>
      </c>
      <c r="AM110" s="52"/>
      <c r="AN110" s="52" t="s">
        <v>1809</v>
      </c>
      <c r="AO110" s="52"/>
      <c r="AP110" s="52"/>
      <c r="AQ110" s="52" t="s">
        <v>1915</v>
      </c>
      <c r="AR110" s="52" t="s">
        <v>1915</v>
      </c>
      <c r="AS110" s="52" t="s">
        <v>1915</v>
      </c>
      <c r="AT110" s="52" t="s">
        <v>1915</v>
      </c>
      <c r="AU110" s="52"/>
      <c r="AV110" s="52"/>
      <c r="AW110" s="52" t="s">
        <v>3004</v>
      </c>
      <c r="AX110" s="52" t="s">
        <v>3004</v>
      </c>
      <c r="AY110" s="52" t="s">
        <v>3004</v>
      </c>
      <c r="AZ110" s="52"/>
      <c r="BA110" s="52" t="s">
        <v>4117</v>
      </c>
      <c r="BB110" s="52"/>
      <c r="BC110" s="52"/>
      <c r="BD110" s="52" t="s">
        <v>1991</v>
      </c>
      <c r="BE110" s="52"/>
      <c r="BF110" s="52" t="s">
        <v>1991</v>
      </c>
      <c r="BG110" s="52" t="s">
        <v>4057</v>
      </c>
      <c r="BH110" s="52"/>
      <c r="BI110" s="52"/>
      <c r="BJ110" s="52"/>
      <c r="BK110" s="52" t="s">
        <v>1376</v>
      </c>
      <c r="BL110" s="52" t="s">
        <v>1376</v>
      </c>
      <c r="BM110" s="52"/>
      <c r="BN110" s="52"/>
      <c r="BO110" s="52" t="s">
        <v>4565</v>
      </c>
      <c r="BP110" s="52"/>
      <c r="BQ110" s="52"/>
      <c r="BR110" s="52"/>
      <c r="BS110" s="52"/>
      <c r="BT110" s="52" t="s">
        <v>3694</v>
      </c>
      <c r="BU110" s="52" t="s">
        <v>3576</v>
      </c>
      <c r="BV110" s="52" t="s">
        <v>3479</v>
      </c>
      <c r="BW110" s="52" t="s">
        <v>2467</v>
      </c>
      <c r="BX110" s="52" t="s">
        <v>2467</v>
      </c>
      <c r="BY110" s="52" t="s">
        <v>2467</v>
      </c>
      <c r="BZ110" s="52" t="s">
        <v>3961</v>
      </c>
      <c r="CA110" s="52"/>
      <c r="CB110" s="52"/>
      <c r="CC110" s="52"/>
      <c r="CD110" s="52" t="s">
        <v>2605</v>
      </c>
      <c r="CE110" s="52" t="s">
        <v>2547</v>
      </c>
      <c r="CF110" s="52"/>
      <c r="CG110" s="52" t="s">
        <v>2288</v>
      </c>
      <c r="CH110" s="52" t="s">
        <v>2288</v>
      </c>
      <c r="CI110" s="52" t="s">
        <v>3961</v>
      </c>
      <c r="CJ110" s="52" t="s">
        <v>3961</v>
      </c>
      <c r="CK110" s="52" t="s">
        <v>2705</v>
      </c>
      <c r="CL110" s="52"/>
      <c r="CM110" s="52"/>
      <c r="CN110" s="52"/>
      <c r="CO110" s="52" t="s">
        <v>2102</v>
      </c>
      <c r="CP110" s="52" t="s">
        <v>2831</v>
      </c>
      <c r="CQ110" s="52"/>
      <c r="CR110" s="52"/>
      <c r="CS110" s="52"/>
      <c r="CT110" s="52"/>
      <c r="CU110" s="52"/>
      <c r="CV110" s="52"/>
      <c r="CW110" s="52" t="s">
        <v>1205</v>
      </c>
      <c r="CX110" s="52"/>
    </row>
    <row r="111" spans="1:102" ht="22.5" customHeight="1">
      <c r="A111" s="11" t="s">
        <v>125</v>
      </c>
      <c r="B111" s="38" t="s">
        <v>0</v>
      </c>
      <c r="C111" s="38" t="s">
        <v>0</v>
      </c>
      <c r="D111" s="38" t="s">
        <v>0</v>
      </c>
      <c r="E111" s="38" t="s">
        <v>57</v>
      </c>
      <c r="F111" s="38" t="s">
        <v>0</v>
      </c>
      <c r="G111" s="38" t="s">
        <v>57</v>
      </c>
      <c r="H111" s="38" t="s">
        <v>0</v>
      </c>
      <c r="I111" s="38" t="s">
        <v>57</v>
      </c>
      <c r="J111" s="38" t="s">
        <v>0</v>
      </c>
      <c r="K111" s="38" t="s">
        <v>0</v>
      </c>
      <c r="L111" s="38" t="s">
        <v>0</v>
      </c>
      <c r="M111" s="38" t="s">
        <v>0</v>
      </c>
      <c r="N111" s="38" t="s">
        <v>0</v>
      </c>
      <c r="O111" s="38" t="s">
        <v>0</v>
      </c>
      <c r="P111" s="38" t="s">
        <v>0</v>
      </c>
      <c r="Q111" s="38" t="s">
        <v>0</v>
      </c>
      <c r="R111" s="38" t="s">
        <v>0</v>
      </c>
      <c r="S111" s="38" t="s">
        <v>0</v>
      </c>
      <c r="T111" s="38" t="s">
        <v>0</v>
      </c>
      <c r="U111" s="38" t="s">
        <v>0</v>
      </c>
      <c r="V111" s="38" t="s">
        <v>0</v>
      </c>
      <c r="W111" s="38" t="s">
        <v>0</v>
      </c>
      <c r="X111" s="38" t="s">
        <v>0</v>
      </c>
      <c r="Y111" s="38" t="s">
        <v>0</v>
      </c>
      <c r="Z111" s="38" t="s">
        <v>57</v>
      </c>
      <c r="AA111" s="38" t="s">
        <v>0</v>
      </c>
      <c r="AB111" s="38" t="s">
        <v>0</v>
      </c>
      <c r="AC111" s="38" t="s">
        <v>0</v>
      </c>
      <c r="AD111" s="38" t="s">
        <v>0</v>
      </c>
      <c r="AE111" s="124" t="s">
        <v>0</v>
      </c>
      <c r="AF111" s="36" t="s">
        <v>0</v>
      </c>
      <c r="AG111" s="36" t="s">
        <v>0</v>
      </c>
      <c r="AH111" s="36" t="s">
        <v>0</v>
      </c>
      <c r="AI111" s="7" t="s">
        <v>426</v>
      </c>
      <c r="AJ111" s="7" t="s">
        <v>426</v>
      </c>
      <c r="AK111" s="7" t="s">
        <v>426</v>
      </c>
      <c r="AL111" s="7" t="s">
        <v>426</v>
      </c>
      <c r="AM111" s="7" t="s">
        <v>455</v>
      </c>
      <c r="AN111" s="7" t="s">
        <v>1825</v>
      </c>
      <c r="AO111" s="7" t="s">
        <v>0</v>
      </c>
      <c r="AP111" s="32" t="s">
        <v>0</v>
      </c>
      <c r="AQ111" s="7" t="s">
        <v>0</v>
      </c>
      <c r="AR111" s="7" t="s">
        <v>0</v>
      </c>
      <c r="AS111" s="7" t="s">
        <v>0</v>
      </c>
      <c r="AT111" s="7" t="s">
        <v>0</v>
      </c>
      <c r="AU111" s="38" t="s">
        <v>0</v>
      </c>
      <c r="AV111" s="38" t="s">
        <v>0</v>
      </c>
      <c r="AW111" s="37" t="s">
        <v>0</v>
      </c>
      <c r="AX111" s="37" t="s">
        <v>0</v>
      </c>
      <c r="AY111" s="37" t="s">
        <v>0</v>
      </c>
      <c r="AZ111" s="36" t="s">
        <v>886</v>
      </c>
      <c r="BA111" s="36" t="s">
        <v>0</v>
      </c>
      <c r="BB111" s="38" t="s">
        <v>0</v>
      </c>
      <c r="BC111" s="38" t="s">
        <v>0</v>
      </c>
      <c r="BD111" s="38" t="s">
        <v>0</v>
      </c>
      <c r="BE111" s="38" t="s">
        <v>0</v>
      </c>
      <c r="BF111" s="38" t="s">
        <v>0</v>
      </c>
      <c r="BG111" s="36" t="s">
        <v>0</v>
      </c>
      <c r="BH111" s="38" t="s">
        <v>0</v>
      </c>
      <c r="BI111" s="38" t="s">
        <v>0</v>
      </c>
      <c r="BJ111" s="38" t="s">
        <v>0</v>
      </c>
      <c r="BK111" s="36" t="s">
        <v>0</v>
      </c>
      <c r="BL111" s="36" t="s">
        <v>0</v>
      </c>
      <c r="BM111" s="38" t="s">
        <v>0</v>
      </c>
      <c r="BN111" s="38" t="s">
        <v>0</v>
      </c>
      <c r="BO111" s="38" t="s">
        <v>57</v>
      </c>
      <c r="BP111" s="38" t="s">
        <v>0</v>
      </c>
      <c r="BQ111" s="38" t="s">
        <v>57</v>
      </c>
      <c r="BR111" s="38" t="s">
        <v>57</v>
      </c>
      <c r="BS111" s="36" t="s">
        <v>57</v>
      </c>
      <c r="BT111" s="36" t="s">
        <v>0</v>
      </c>
      <c r="BU111" s="36" t="s">
        <v>0</v>
      </c>
      <c r="BV111" s="36" t="s">
        <v>543</v>
      </c>
      <c r="BW111" s="38" t="s">
        <v>0</v>
      </c>
      <c r="BX111" s="38" t="s">
        <v>0</v>
      </c>
      <c r="BY111" s="38" t="s">
        <v>0</v>
      </c>
      <c r="BZ111" s="38" t="s">
        <v>0</v>
      </c>
      <c r="CA111" s="38" t="s">
        <v>0</v>
      </c>
      <c r="CB111" s="38" t="s">
        <v>0</v>
      </c>
      <c r="CC111" s="38" t="s">
        <v>0</v>
      </c>
      <c r="CD111" s="38" t="s">
        <v>0</v>
      </c>
      <c r="CE111" s="38" t="s">
        <v>0</v>
      </c>
      <c r="CF111" s="38" t="s">
        <v>0</v>
      </c>
      <c r="CG111" s="36" t="s">
        <v>0</v>
      </c>
      <c r="CH111" s="36" t="s">
        <v>0</v>
      </c>
      <c r="CI111" s="38" t="s">
        <v>0</v>
      </c>
      <c r="CJ111" s="38" t="s">
        <v>0</v>
      </c>
      <c r="CK111" s="38" t="s">
        <v>0</v>
      </c>
      <c r="CL111" s="38" t="s">
        <v>0</v>
      </c>
      <c r="CM111" s="38" t="s">
        <v>0</v>
      </c>
      <c r="CN111" s="38" t="s">
        <v>0</v>
      </c>
      <c r="CO111" s="38" t="s">
        <v>0</v>
      </c>
      <c r="CP111" s="38" t="s">
        <v>0</v>
      </c>
      <c r="CQ111" s="38" t="s">
        <v>0</v>
      </c>
      <c r="CR111" s="38" t="s">
        <v>0</v>
      </c>
      <c r="CS111" s="38" t="s">
        <v>0</v>
      </c>
      <c r="CT111" s="38" t="s">
        <v>0</v>
      </c>
      <c r="CU111" s="38" t="s">
        <v>0</v>
      </c>
      <c r="CV111" s="38" t="s">
        <v>0</v>
      </c>
      <c r="CW111" s="36" t="s">
        <v>0</v>
      </c>
      <c r="CX111" s="38" t="s">
        <v>0</v>
      </c>
    </row>
    <row r="112" spans="1:102" ht="12" customHeight="1">
      <c r="A112" s="51" t="s">
        <v>935</v>
      </c>
      <c r="B112" s="52" t="s">
        <v>3988</v>
      </c>
      <c r="C112" s="52"/>
      <c r="D112" s="52"/>
      <c r="E112" s="52"/>
      <c r="F112" s="52" t="s">
        <v>1440</v>
      </c>
      <c r="G112" s="52" t="s">
        <v>1417</v>
      </c>
      <c r="H112" s="52" t="s">
        <v>1440</v>
      </c>
      <c r="I112" s="52" t="s">
        <v>1417</v>
      </c>
      <c r="J112" s="52"/>
      <c r="K112" s="52"/>
      <c r="L112" s="52"/>
      <c r="M112" s="52" t="s">
        <v>1659</v>
      </c>
      <c r="N112" s="52" t="s">
        <v>1659</v>
      </c>
      <c r="O112" s="52" t="s">
        <v>1659</v>
      </c>
      <c r="P112" s="52" t="s">
        <v>1659</v>
      </c>
      <c r="Q112" s="52" t="s">
        <v>1659</v>
      </c>
      <c r="R112" s="52" t="s">
        <v>1659</v>
      </c>
      <c r="S112" s="52" t="s">
        <v>1659</v>
      </c>
      <c r="T112" s="52" t="s">
        <v>1659</v>
      </c>
      <c r="U112" s="52" t="s">
        <v>1659</v>
      </c>
      <c r="V112" s="52" t="s">
        <v>1659</v>
      </c>
      <c r="W112" s="52" t="s">
        <v>1659</v>
      </c>
      <c r="X112" s="52" t="s">
        <v>1659</v>
      </c>
      <c r="Y112" s="52" t="s">
        <v>1659</v>
      </c>
      <c r="Z112" s="52"/>
      <c r="AA112" s="52"/>
      <c r="AB112" s="52"/>
      <c r="AC112" s="52"/>
      <c r="AD112" s="52"/>
      <c r="AE112" s="123" t="s">
        <v>0</v>
      </c>
      <c r="AF112" s="52" t="s">
        <v>4705</v>
      </c>
      <c r="AG112" s="52" t="s">
        <v>4705</v>
      </c>
      <c r="AH112" s="52" t="s">
        <v>4705</v>
      </c>
      <c r="AI112" s="52"/>
      <c r="AJ112" s="52"/>
      <c r="AK112" s="52" t="s">
        <v>1703</v>
      </c>
      <c r="AL112" s="52" t="s">
        <v>1703</v>
      </c>
      <c r="AM112" s="52"/>
      <c r="AN112" s="52" t="s">
        <v>1810</v>
      </c>
      <c r="AO112" s="52"/>
      <c r="AP112" s="52"/>
      <c r="AQ112" s="52" t="s">
        <v>1915</v>
      </c>
      <c r="AR112" s="52" t="s">
        <v>1915</v>
      </c>
      <c r="AS112" s="52" t="s">
        <v>1915</v>
      </c>
      <c r="AT112" s="52" t="s">
        <v>1915</v>
      </c>
      <c r="AU112" s="52"/>
      <c r="AV112" s="52"/>
      <c r="AW112" s="52" t="s">
        <v>3005</v>
      </c>
      <c r="AX112" s="52" t="s">
        <v>3005</v>
      </c>
      <c r="AY112" s="52" t="s">
        <v>3005</v>
      </c>
      <c r="AZ112" s="52"/>
      <c r="BA112" s="52" t="s">
        <v>3948</v>
      </c>
      <c r="BB112" s="52"/>
      <c r="BC112" s="52"/>
      <c r="BD112" s="52" t="s">
        <v>2052</v>
      </c>
      <c r="BE112" s="52"/>
      <c r="BF112" s="52" t="s">
        <v>2052</v>
      </c>
      <c r="BG112" s="52" t="s">
        <v>4057</v>
      </c>
      <c r="BH112" s="52"/>
      <c r="BI112" s="52"/>
      <c r="BJ112" s="52"/>
      <c r="BK112" s="52" t="s">
        <v>1376</v>
      </c>
      <c r="BL112" s="52" t="s">
        <v>1376</v>
      </c>
      <c r="BM112" s="52"/>
      <c r="BN112" s="52"/>
      <c r="BO112" s="52" t="s">
        <v>4566</v>
      </c>
      <c r="BP112" s="52"/>
      <c r="BQ112" s="52"/>
      <c r="BR112" s="52"/>
      <c r="BS112" s="52"/>
      <c r="BT112" s="52" t="s">
        <v>3695</v>
      </c>
      <c r="BU112" s="52" t="s">
        <v>3577</v>
      </c>
      <c r="BV112" s="52" t="s">
        <v>3472</v>
      </c>
      <c r="BW112" s="52" t="s">
        <v>2468</v>
      </c>
      <c r="BX112" s="52" t="s">
        <v>2468</v>
      </c>
      <c r="BY112" s="52" t="s">
        <v>2468</v>
      </c>
      <c r="BZ112" s="52" t="s">
        <v>3961</v>
      </c>
      <c r="CA112" s="52"/>
      <c r="CB112" s="52"/>
      <c r="CC112" s="52"/>
      <c r="CD112" s="52" t="s">
        <v>2606</v>
      </c>
      <c r="CE112" s="52" t="s">
        <v>2606</v>
      </c>
      <c r="CF112" s="52"/>
      <c r="CG112" s="52" t="s">
        <v>1206</v>
      </c>
      <c r="CH112" s="52" t="s">
        <v>1206</v>
      </c>
      <c r="CI112" s="52" t="s">
        <v>3961</v>
      </c>
      <c r="CJ112" s="52" t="s">
        <v>3961</v>
      </c>
      <c r="CK112" s="52" t="s">
        <v>2706</v>
      </c>
      <c r="CL112" s="52"/>
      <c r="CM112" s="52"/>
      <c r="CN112" s="52"/>
      <c r="CO112" s="52" t="s">
        <v>2103</v>
      </c>
      <c r="CP112" s="52" t="s">
        <v>2831</v>
      </c>
      <c r="CQ112" s="52"/>
      <c r="CR112" s="52"/>
      <c r="CS112" s="52"/>
      <c r="CT112" s="52"/>
      <c r="CU112" s="52"/>
      <c r="CV112" s="52"/>
      <c r="CW112" s="52" t="s">
        <v>1206</v>
      </c>
      <c r="CX112" s="52"/>
    </row>
    <row r="113" spans="1:102" ht="22.5" customHeight="1">
      <c r="A113" s="11" t="s">
        <v>126</v>
      </c>
      <c r="B113" s="36" t="s">
        <v>211</v>
      </c>
      <c r="C113" s="36" t="s">
        <v>211</v>
      </c>
      <c r="D113" s="36" t="s">
        <v>211</v>
      </c>
      <c r="E113" s="36" t="s">
        <v>57</v>
      </c>
      <c r="F113" s="36" t="s">
        <v>211</v>
      </c>
      <c r="G113" s="36" t="s">
        <v>1409</v>
      </c>
      <c r="H113" s="36" t="s">
        <v>57</v>
      </c>
      <c r="I113" s="36" t="s">
        <v>57</v>
      </c>
      <c r="J113" s="36" t="s">
        <v>470</v>
      </c>
      <c r="K113" s="36" t="s">
        <v>470</v>
      </c>
      <c r="L113" s="36" t="s">
        <v>470</v>
      </c>
      <c r="M113" s="36" t="s">
        <v>470</v>
      </c>
      <c r="N113" s="36" t="s">
        <v>1576</v>
      </c>
      <c r="O113" s="36" t="s">
        <v>470</v>
      </c>
      <c r="P113" s="36" t="s">
        <v>470</v>
      </c>
      <c r="Q113" s="36" t="s">
        <v>1576</v>
      </c>
      <c r="R113" s="36" t="s">
        <v>470</v>
      </c>
      <c r="S113" s="36" t="s">
        <v>470</v>
      </c>
      <c r="T113" s="36" t="s">
        <v>1576</v>
      </c>
      <c r="U113" s="36" t="s">
        <v>470</v>
      </c>
      <c r="V113" s="36" t="s">
        <v>5253</v>
      </c>
      <c r="W113" s="36" t="s">
        <v>5253</v>
      </c>
      <c r="X113" s="36" t="s">
        <v>5252</v>
      </c>
      <c r="Y113" s="36" t="s">
        <v>5253</v>
      </c>
      <c r="Z113" s="36" t="s">
        <v>57</v>
      </c>
      <c r="AA113" s="36" t="s">
        <v>57</v>
      </c>
      <c r="AB113" s="36" t="s">
        <v>57</v>
      </c>
      <c r="AC113" s="36" t="s">
        <v>57</v>
      </c>
      <c r="AD113" s="36" t="s">
        <v>259</v>
      </c>
      <c r="AE113" s="124" t="s">
        <v>57</v>
      </c>
      <c r="AF113" s="36" t="s">
        <v>57</v>
      </c>
      <c r="AG113" s="36" t="s">
        <v>57</v>
      </c>
      <c r="AH113" s="36" t="s">
        <v>57</v>
      </c>
      <c r="AI113" s="7" t="s">
        <v>57</v>
      </c>
      <c r="AJ113" s="7" t="s">
        <v>57</v>
      </c>
      <c r="AK113" s="7" t="s">
        <v>57</v>
      </c>
      <c r="AL113" s="7" t="s">
        <v>57</v>
      </c>
      <c r="AM113" s="7" t="s">
        <v>232</v>
      </c>
      <c r="AN113" s="37" t="s">
        <v>1808</v>
      </c>
      <c r="AO113" s="7" t="s">
        <v>211</v>
      </c>
      <c r="AP113" s="32" t="s">
        <v>232</v>
      </c>
      <c r="AQ113" s="7" t="s">
        <v>211</v>
      </c>
      <c r="AR113" s="37" t="s">
        <v>232</v>
      </c>
      <c r="AS113" s="7" t="s">
        <v>211</v>
      </c>
      <c r="AT113" s="37" t="s">
        <v>232</v>
      </c>
      <c r="AU113" s="36" t="s">
        <v>57</v>
      </c>
      <c r="AV113" s="36" t="s">
        <v>57</v>
      </c>
      <c r="AW113" s="34" t="s">
        <v>57</v>
      </c>
      <c r="AX113" s="34" t="s">
        <v>57</v>
      </c>
      <c r="AY113" s="34" t="s">
        <v>57</v>
      </c>
      <c r="AZ113" s="36" t="s">
        <v>57</v>
      </c>
      <c r="BA113" s="36" t="s">
        <v>232</v>
      </c>
      <c r="BB113" s="36" t="s">
        <v>57</v>
      </c>
      <c r="BC113" s="36" t="s">
        <v>57</v>
      </c>
      <c r="BD113" s="36" t="s">
        <v>57</v>
      </c>
      <c r="BE113" s="36" t="s">
        <v>57</v>
      </c>
      <c r="BF113" s="36" t="s">
        <v>57</v>
      </c>
      <c r="BG113" s="36" t="s">
        <v>4053</v>
      </c>
      <c r="BH113" s="36" t="s">
        <v>3193</v>
      </c>
      <c r="BI113" s="36" t="s">
        <v>865</v>
      </c>
      <c r="BJ113" s="36" t="s">
        <v>865</v>
      </c>
      <c r="BK113" s="36" t="s">
        <v>232</v>
      </c>
      <c r="BL113" s="36" t="s">
        <v>232</v>
      </c>
      <c r="BM113" s="36" t="s">
        <v>211</v>
      </c>
      <c r="BN113" s="38" t="s">
        <v>57</v>
      </c>
      <c r="BO113" s="38" t="s">
        <v>57</v>
      </c>
      <c r="BP113" s="38" t="s">
        <v>57</v>
      </c>
      <c r="BQ113" s="38" t="s">
        <v>57</v>
      </c>
      <c r="BR113" s="36" t="s">
        <v>57</v>
      </c>
      <c r="BS113" s="36" t="s">
        <v>57</v>
      </c>
      <c r="BT113" s="36" t="s">
        <v>211</v>
      </c>
      <c r="BU113" s="36" t="s">
        <v>57</v>
      </c>
      <c r="BV113" s="36" t="s">
        <v>57</v>
      </c>
      <c r="BW113" s="36" t="s">
        <v>2457</v>
      </c>
      <c r="BX113" s="36" t="s">
        <v>2457</v>
      </c>
      <c r="BY113" s="38" t="s">
        <v>211</v>
      </c>
      <c r="BZ113" s="38" t="s">
        <v>57</v>
      </c>
      <c r="CA113" s="38" t="s">
        <v>57</v>
      </c>
      <c r="CB113" s="38" t="s">
        <v>57</v>
      </c>
      <c r="CC113" s="38" t="s">
        <v>232</v>
      </c>
      <c r="CD113" s="38" t="s">
        <v>57</v>
      </c>
      <c r="CE113" s="38" t="s">
        <v>57</v>
      </c>
      <c r="CF113" s="38" t="s">
        <v>232</v>
      </c>
      <c r="CG113" s="36" t="s">
        <v>232</v>
      </c>
      <c r="CH113" s="36" t="s">
        <v>232</v>
      </c>
      <c r="CI113" s="36" t="s">
        <v>211</v>
      </c>
      <c r="CJ113" s="38" t="s">
        <v>351</v>
      </c>
      <c r="CK113" s="38" t="s">
        <v>57</v>
      </c>
      <c r="CL113" s="38" t="s">
        <v>232</v>
      </c>
      <c r="CM113" s="36" t="s">
        <v>627</v>
      </c>
      <c r="CN113" s="36" t="s">
        <v>232</v>
      </c>
      <c r="CO113" s="36" t="s">
        <v>232</v>
      </c>
      <c r="CP113" s="38" t="s">
        <v>57</v>
      </c>
      <c r="CQ113" s="36" t="s">
        <v>57</v>
      </c>
      <c r="CR113" s="36" t="s">
        <v>57</v>
      </c>
      <c r="CS113" s="38" t="s">
        <v>232</v>
      </c>
      <c r="CT113" s="38" t="s">
        <v>232</v>
      </c>
      <c r="CU113" s="38" t="s">
        <v>57</v>
      </c>
      <c r="CV113" s="38" t="s">
        <v>57</v>
      </c>
      <c r="CW113" s="36" t="s">
        <v>1151</v>
      </c>
      <c r="CX113" s="38" t="s">
        <v>232</v>
      </c>
    </row>
    <row r="114" spans="1:102" ht="12" customHeight="1">
      <c r="A114" s="51" t="s">
        <v>935</v>
      </c>
      <c r="B114" s="52" t="s">
        <v>3990</v>
      </c>
      <c r="C114" s="52"/>
      <c r="D114" s="52"/>
      <c r="E114" s="52"/>
      <c r="F114" s="52" t="s">
        <v>1439</v>
      </c>
      <c r="G114" s="52" t="s">
        <v>1408</v>
      </c>
      <c r="H114" s="52" t="s">
        <v>5505</v>
      </c>
      <c r="I114" s="52" t="s">
        <v>5505</v>
      </c>
      <c r="J114" s="52"/>
      <c r="K114" s="52"/>
      <c r="L114" s="52"/>
      <c r="M114" s="52" t="s">
        <v>1493</v>
      </c>
      <c r="N114" s="52" t="s">
        <v>1575</v>
      </c>
      <c r="O114" s="52" t="s">
        <v>1533</v>
      </c>
      <c r="P114" s="52" t="s">
        <v>3315</v>
      </c>
      <c r="Q114" s="52" t="s">
        <v>3344</v>
      </c>
      <c r="R114" s="52" t="s">
        <v>3400</v>
      </c>
      <c r="S114" s="52" t="s">
        <v>5238</v>
      </c>
      <c r="T114" s="52" t="s">
        <v>5239</v>
      </c>
      <c r="U114" s="52" t="s">
        <v>3400</v>
      </c>
      <c r="V114" s="52" t="s">
        <v>5237</v>
      </c>
      <c r="W114" s="52" t="s">
        <v>5238</v>
      </c>
      <c r="X114" s="52" t="s">
        <v>5239</v>
      </c>
      <c r="Y114" s="52" t="s">
        <v>3400</v>
      </c>
      <c r="Z114" s="52"/>
      <c r="AA114" s="52"/>
      <c r="AB114" s="52"/>
      <c r="AC114" s="52"/>
      <c r="AD114" s="52"/>
      <c r="AE114" s="123" t="s">
        <v>5674</v>
      </c>
      <c r="AF114" s="52" t="s">
        <v>4707</v>
      </c>
      <c r="AG114" s="52" t="s">
        <v>4707</v>
      </c>
      <c r="AH114" s="52" t="s">
        <v>4706</v>
      </c>
      <c r="AI114" s="52"/>
      <c r="AJ114" s="52"/>
      <c r="AK114" s="52" t="s">
        <v>1700</v>
      </c>
      <c r="AL114" s="52" t="s">
        <v>1700</v>
      </c>
      <c r="AM114" s="52"/>
      <c r="AN114" s="52" t="s">
        <v>1807</v>
      </c>
      <c r="AO114" s="52"/>
      <c r="AP114" s="52"/>
      <c r="AQ114" s="52" t="s">
        <v>1914</v>
      </c>
      <c r="AR114" s="52" t="s">
        <v>1916</v>
      </c>
      <c r="AS114" s="52" t="s">
        <v>1914</v>
      </c>
      <c r="AT114" s="52" t="s">
        <v>1916</v>
      </c>
      <c r="AU114" s="52"/>
      <c r="AV114" s="52"/>
      <c r="AW114" s="52" t="s">
        <v>3009</v>
      </c>
      <c r="AX114" s="52" t="s">
        <v>3009</v>
      </c>
      <c r="AY114" s="52" t="s">
        <v>3009</v>
      </c>
      <c r="AZ114" s="52"/>
      <c r="BA114" s="52" t="s">
        <v>4117</v>
      </c>
      <c r="BB114" s="52"/>
      <c r="BC114" s="52"/>
      <c r="BD114" s="52" t="s">
        <v>2015</v>
      </c>
      <c r="BE114" s="52"/>
      <c r="BF114" s="52" t="s">
        <v>2015</v>
      </c>
      <c r="BG114" s="52" t="s">
        <v>4054</v>
      </c>
      <c r="BH114" s="52" t="s">
        <v>3192</v>
      </c>
      <c r="BI114" s="52"/>
      <c r="BJ114" s="52"/>
      <c r="BK114" s="52" t="s">
        <v>1297</v>
      </c>
      <c r="BL114" s="52" t="s">
        <v>1297</v>
      </c>
      <c r="BM114" s="52"/>
      <c r="BN114" s="52"/>
      <c r="BO114" s="52" t="s">
        <v>4567</v>
      </c>
      <c r="BP114" s="52"/>
      <c r="BQ114" s="52"/>
      <c r="BR114" s="52"/>
      <c r="BS114" s="52"/>
      <c r="BT114" s="52" t="s">
        <v>3696</v>
      </c>
      <c r="BU114" s="52" t="s">
        <v>3575</v>
      </c>
      <c r="BV114" s="52" t="s">
        <v>3477</v>
      </c>
      <c r="BW114" s="52" t="s">
        <v>2456</v>
      </c>
      <c r="BX114" s="52" t="s">
        <v>2456</v>
      </c>
      <c r="BY114" s="52" t="s">
        <v>2458</v>
      </c>
      <c r="BZ114" s="52" t="s">
        <v>4583</v>
      </c>
      <c r="CA114" s="52"/>
      <c r="CB114" s="52"/>
      <c r="CC114" s="52"/>
      <c r="CD114" s="52" t="s">
        <v>2557</v>
      </c>
      <c r="CE114" s="52" t="s">
        <v>2550</v>
      </c>
      <c r="CF114" s="52"/>
      <c r="CG114" s="52" t="s">
        <v>2282</v>
      </c>
      <c r="CH114" s="52" t="s">
        <v>2282</v>
      </c>
      <c r="CI114" s="52" t="s">
        <v>3990</v>
      </c>
      <c r="CJ114" s="52" t="s">
        <v>4040</v>
      </c>
      <c r="CK114" s="52" t="s">
        <v>2645</v>
      </c>
      <c r="CL114" s="52"/>
      <c r="CM114" s="52"/>
      <c r="CN114" s="52"/>
      <c r="CO114" s="52" t="s">
        <v>2104</v>
      </c>
      <c r="CP114" s="52" t="s">
        <v>2824</v>
      </c>
      <c r="CQ114" s="52"/>
      <c r="CR114" s="52"/>
      <c r="CS114" s="52"/>
      <c r="CT114" s="52"/>
      <c r="CU114" s="52"/>
      <c r="CV114" s="52"/>
      <c r="CW114" s="52" t="s">
        <v>1152</v>
      </c>
      <c r="CX114" s="52"/>
    </row>
    <row r="115" spans="1:102" ht="15" customHeight="1">
      <c r="AE115" s="131"/>
    </row>
    <row r="116" spans="1:102" ht="22.5" customHeight="1">
      <c r="A116" s="26" t="s">
        <v>127</v>
      </c>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129"/>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105"/>
      <c r="CK116" s="60"/>
      <c r="CL116" s="60"/>
      <c r="CM116" s="60"/>
      <c r="CN116" s="60"/>
      <c r="CO116" s="60"/>
      <c r="CP116" s="60"/>
      <c r="CQ116" s="60"/>
      <c r="CR116" s="60"/>
      <c r="CS116" s="60"/>
      <c r="CT116" s="60"/>
      <c r="CU116" s="60"/>
      <c r="CV116" s="60"/>
      <c r="CW116" s="60"/>
      <c r="CX116" s="60"/>
    </row>
    <row r="117" spans="1:102" ht="45" customHeight="1">
      <c r="A117" s="28" t="s">
        <v>128</v>
      </c>
      <c r="B117" s="36" t="s">
        <v>129</v>
      </c>
      <c r="C117" s="36" t="s">
        <v>129</v>
      </c>
      <c r="D117" s="36" t="s">
        <v>129</v>
      </c>
      <c r="E117" s="36" t="s">
        <v>129</v>
      </c>
      <c r="F117" s="36" t="s">
        <v>129</v>
      </c>
      <c r="G117" s="36" t="s">
        <v>129</v>
      </c>
      <c r="H117" s="36" t="s">
        <v>5217</v>
      </c>
      <c r="I117" s="36" t="s">
        <v>5217</v>
      </c>
      <c r="J117" s="7" t="s">
        <v>412</v>
      </c>
      <c r="K117" s="7" t="s">
        <v>412</v>
      </c>
      <c r="L117" s="7" t="s">
        <v>412</v>
      </c>
      <c r="M117" s="7" t="s">
        <v>412</v>
      </c>
      <c r="N117" s="7" t="s">
        <v>412</v>
      </c>
      <c r="O117" s="7" t="s">
        <v>412</v>
      </c>
      <c r="P117" s="7" t="s">
        <v>412</v>
      </c>
      <c r="Q117" s="7" t="s">
        <v>412</v>
      </c>
      <c r="R117" s="7" t="s">
        <v>412</v>
      </c>
      <c r="S117" s="36" t="s">
        <v>5217</v>
      </c>
      <c r="T117" s="36" t="s">
        <v>5217</v>
      </c>
      <c r="U117" s="36" t="s">
        <v>5217</v>
      </c>
      <c r="V117" s="36" t="s">
        <v>5217</v>
      </c>
      <c r="W117" s="36" t="s">
        <v>5217</v>
      </c>
      <c r="X117" s="36" t="s">
        <v>5217</v>
      </c>
      <c r="Y117" s="36" t="s">
        <v>5217</v>
      </c>
      <c r="Z117" s="36" t="s">
        <v>129</v>
      </c>
      <c r="AA117" s="36" t="s">
        <v>395</v>
      </c>
      <c r="AB117" s="36" t="s">
        <v>395</v>
      </c>
      <c r="AC117" s="36" t="s">
        <v>395</v>
      </c>
      <c r="AD117" s="36" t="s">
        <v>5217</v>
      </c>
      <c r="AE117" s="122" t="s">
        <v>5682</v>
      </c>
      <c r="AF117" s="36" t="s">
        <v>5217</v>
      </c>
      <c r="AG117" s="36" t="s">
        <v>5217</v>
      </c>
      <c r="AH117" s="36" t="s">
        <v>5217</v>
      </c>
      <c r="AI117" s="7" t="s">
        <v>412</v>
      </c>
      <c r="AJ117" s="7" t="s">
        <v>412</v>
      </c>
      <c r="AK117" s="36" t="s">
        <v>5218</v>
      </c>
      <c r="AL117" s="36" t="s">
        <v>5218</v>
      </c>
      <c r="AM117" s="7" t="s">
        <v>412</v>
      </c>
      <c r="AN117" s="7" t="s">
        <v>412</v>
      </c>
      <c r="AO117" s="7" t="s">
        <v>412</v>
      </c>
      <c r="AP117" s="7" t="s">
        <v>412</v>
      </c>
      <c r="AQ117" s="7" t="s">
        <v>412</v>
      </c>
      <c r="AR117" s="7" t="s">
        <v>412</v>
      </c>
      <c r="AS117" s="7" t="s">
        <v>412</v>
      </c>
      <c r="AT117" s="7" t="s">
        <v>412</v>
      </c>
      <c r="AU117" s="36" t="s">
        <v>129</v>
      </c>
      <c r="AV117" s="36" t="s">
        <v>129</v>
      </c>
      <c r="AW117" s="36" t="s">
        <v>129</v>
      </c>
      <c r="AX117" s="36" t="s">
        <v>129</v>
      </c>
      <c r="AY117" s="36" t="s">
        <v>129</v>
      </c>
      <c r="AZ117" s="36" t="s">
        <v>129</v>
      </c>
      <c r="BA117" s="36" t="s">
        <v>5217</v>
      </c>
      <c r="BB117" s="36" t="s">
        <v>129</v>
      </c>
      <c r="BC117" s="36" t="s">
        <v>129</v>
      </c>
      <c r="BD117" s="36" t="s">
        <v>129</v>
      </c>
      <c r="BE117" s="36" t="s">
        <v>129</v>
      </c>
      <c r="BF117" s="36" t="s">
        <v>129</v>
      </c>
      <c r="BG117" s="36" t="s">
        <v>4085</v>
      </c>
      <c r="BH117" s="36" t="s">
        <v>129</v>
      </c>
      <c r="BI117" s="36" t="s">
        <v>129</v>
      </c>
      <c r="BJ117" s="36" t="s">
        <v>129</v>
      </c>
      <c r="BK117" s="36" t="s">
        <v>129</v>
      </c>
      <c r="BL117" s="36" t="s">
        <v>129</v>
      </c>
      <c r="BM117" s="36" t="s">
        <v>5218</v>
      </c>
      <c r="BN117" s="36" t="s">
        <v>129</v>
      </c>
      <c r="BO117" s="36" t="s">
        <v>129</v>
      </c>
      <c r="BP117" s="36" t="s">
        <v>129</v>
      </c>
      <c r="BQ117" s="36" t="s">
        <v>129</v>
      </c>
      <c r="BR117" s="36" t="s">
        <v>257</v>
      </c>
      <c r="BS117" s="36" t="s">
        <v>600</v>
      </c>
      <c r="BT117" s="36" t="s">
        <v>3698</v>
      </c>
      <c r="BU117" s="36" t="s">
        <v>129</v>
      </c>
      <c r="BV117" s="36" t="s">
        <v>600</v>
      </c>
      <c r="BW117" s="36" t="s">
        <v>5217</v>
      </c>
      <c r="BX117" s="36" t="s">
        <v>5217</v>
      </c>
      <c r="BY117" s="36" t="s">
        <v>5217</v>
      </c>
      <c r="BZ117" s="36" t="s">
        <v>129</v>
      </c>
      <c r="CA117" s="36" t="s">
        <v>129</v>
      </c>
      <c r="CB117" s="36" t="s">
        <v>129</v>
      </c>
      <c r="CC117" s="36" t="s">
        <v>129</v>
      </c>
      <c r="CD117" s="36" t="s">
        <v>5217</v>
      </c>
      <c r="CE117" s="36" t="s">
        <v>5217</v>
      </c>
      <c r="CF117" s="36" t="s">
        <v>526</v>
      </c>
      <c r="CG117" s="36" t="s">
        <v>129</v>
      </c>
      <c r="CH117" s="36" t="s">
        <v>129</v>
      </c>
      <c r="CI117" s="36" t="s">
        <v>129</v>
      </c>
      <c r="CJ117" s="36" t="s">
        <v>129</v>
      </c>
      <c r="CK117" s="36" t="s">
        <v>129</v>
      </c>
      <c r="CL117" s="36" t="s">
        <v>129</v>
      </c>
      <c r="CM117" s="36" t="s">
        <v>129</v>
      </c>
      <c r="CN117" s="7" t="s">
        <v>412</v>
      </c>
      <c r="CO117" s="7" t="s">
        <v>412</v>
      </c>
      <c r="CP117" s="7" t="s">
        <v>412</v>
      </c>
      <c r="CQ117" s="36" t="s">
        <v>5217</v>
      </c>
      <c r="CR117" s="36" t="s">
        <v>5217</v>
      </c>
      <c r="CS117" s="36" t="s">
        <v>129</v>
      </c>
      <c r="CT117" s="36" t="s">
        <v>129</v>
      </c>
      <c r="CU117" s="36" t="s">
        <v>129</v>
      </c>
      <c r="CV117" s="36" t="s">
        <v>129</v>
      </c>
      <c r="CW117" s="36" t="s">
        <v>129</v>
      </c>
      <c r="CX117" s="36" t="s">
        <v>129</v>
      </c>
    </row>
    <row r="118" spans="1:102" ht="12" customHeight="1">
      <c r="A118" s="51" t="s">
        <v>935</v>
      </c>
      <c r="B118" s="52" t="s">
        <v>3979</v>
      </c>
      <c r="C118" s="52"/>
      <c r="D118" s="52"/>
      <c r="E118" s="52"/>
      <c r="F118" s="52" t="s">
        <v>1452</v>
      </c>
      <c r="G118" s="52" t="s">
        <v>1452</v>
      </c>
      <c r="H118" s="52" t="s">
        <v>1452</v>
      </c>
      <c r="I118" s="52" t="s">
        <v>1452</v>
      </c>
      <c r="J118" s="52"/>
      <c r="K118" s="52"/>
      <c r="L118" s="52"/>
      <c r="M118" s="52" t="s">
        <v>1664</v>
      </c>
      <c r="N118" s="52" t="s">
        <v>1664</v>
      </c>
      <c r="O118" s="52" t="s">
        <v>1664</v>
      </c>
      <c r="P118" s="52" t="s">
        <v>1664</v>
      </c>
      <c r="Q118" s="52" t="s">
        <v>1664</v>
      </c>
      <c r="R118" s="52" t="s">
        <v>1664</v>
      </c>
      <c r="S118" s="52" t="s">
        <v>1664</v>
      </c>
      <c r="T118" s="52" t="s">
        <v>1664</v>
      </c>
      <c r="U118" s="52" t="s">
        <v>1664</v>
      </c>
      <c r="V118" s="52" t="s">
        <v>1664</v>
      </c>
      <c r="W118" s="52" t="s">
        <v>1664</v>
      </c>
      <c r="X118" s="52" t="s">
        <v>1664</v>
      </c>
      <c r="Y118" s="52" t="s">
        <v>1664</v>
      </c>
      <c r="Z118" s="52"/>
      <c r="AA118" s="52"/>
      <c r="AB118" s="52"/>
      <c r="AC118" s="52"/>
      <c r="AD118" s="52"/>
      <c r="AE118" s="123" t="s">
        <v>1664</v>
      </c>
      <c r="AF118" s="52" t="s">
        <v>4708</v>
      </c>
      <c r="AG118" s="52" t="s">
        <v>4708</v>
      </c>
      <c r="AH118" s="52" t="s">
        <v>4708</v>
      </c>
      <c r="AI118" s="52"/>
      <c r="AJ118" s="52"/>
      <c r="AK118" s="52" t="s">
        <v>1724</v>
      </c>
      <c r="AL118" s="52" t="s">
        <v>1724</v>
      </c>
      <c r="AM118" s="52"/>
      <c r="AN118" s="52" t="s">
        <v>1804</v>
      </c>
      <c r="AO118" s="52"/>
      <c r="AP118" s="52"/>
      <c r="AQ118" s="52" t="s">
        <v>1910</v>
      </c>
      <c r="AR118" s="52" t="s">
        <v>1910</v>
      </c>
      <c r="AS118" s="52" t="s">
        <v>1910</v>
      </c>
      <c r="AT118" s="52" t="s">
        <v>1910</v>
      </c>
      <c r="AU118" s="52"/>
      <c r="AV118" s="52"/>
      <c r="AW118" s="52" t="s">
        <v>3020</v>
      </c>
      <c r="AX118" s="52" t="s">
        <v>3020</v>
      </c>
      <c r="AY118" s="52" t="s">
        <v>3020</v>
      </c>
      <c r="AZ118" s="52"/>
      <c r="BA118" s="52" t="s">
        <v>4154</v>
      </c>
      <c r="BB118" s="52"/>
      <c r="BC118" s="52"/>
      <c r="BD118" s="52" t="s">
        <v>2021</v>
      </c>
      <c r="BE118" s="52"/>
      <c r="BF118" s="52" t="s">
        <v>2021</v>
      </c>
      <c r="BG118" s="52" t="s">
        <v>4084</v>
      </c>
      <c r="BH118" s="52"/>
      <c r="BI118" s="52"/>
      <c r="BJ118" s="52"/>
      <c r="BK118" s="52" t="s">
        <v>1369</v>
      </c>
      <c r="BL118" s="52" t="s">
        <v>1369</v>
      </c>
      <c r="BM118" s="52"/>
      <c r="BN118" s="52"/>
      <c r="BO118" s="52"/>
      <c r="BP118" s="52"/>
      <c r="BQ118" s="52"/>
      <c r="BR118" s="52"/>
      <c r="BS118" s="52"/>
      <c r="BT118" s="52" t="s">
        <v>3697</v>
      </c>
      <c r="BU118" s="52" t="s">
        <v>3613</v>
      </c>
      <c r="BV118" s="52" t="s">
        <v>3515</v>
      </c>
      <c r="BW118" s="52" t="s">
        <v>2486</v>
      </c>
      <c r="BX118" s="52" t="s">
        <v>2486</v>
      </c>
      <c r="BY118" s="52" t="s">
        <v>2486</v>
      </c>
      <c r="BZ118" s="52" t="s">
        <v>2039</v>
      </c>
      <c r="CA118" s="52"/>
      <c r="CB118" s="52"/>
      <c r="CC118" s="52"/>
      <c r="CD118" s="52" t="s">
        <v>2607</v>
      </c>
      <c r="CE118" s="52" t="s">
        <v>2607</v>
      </c>
      <c r="CF118" s="52"/>
      <c r="CG118" s="52" t="s">
        <v>2289</v>
      </c>
      <c r="CH118" s="52" t="s">
        <v>2289</v>
      </c>
      <c r="CI118" s="52" t="s">
        <v>2039</v>
      </c>
      <c r="CJ118" s="52" t="s">
        <v>2039</v>
      </c>
      <c r="CK118" s="52" t="s">
        <v>2717</v>
      </c>
      <c r="CL118" s="52"/>
      <c r="CM118" s="52"/>
      <c r="CN118" s="52"/>
      <c r="CO118" s="52" t="s">
        <v>2110</v>
      </c>
      <c r="CP118" s="52" t="s">
        <v>2850</v>
      </c>
      <c r="CQ118" s="52"/>
      <c r="CR118" s="52"/>
      <c r="CS118" s="52"/>
      <c r="CT118" s="52"/>
      <c r="CU118" s="52"/>
      <c r="CV118" s="52"/>
      <c r="CW118" s="52" t="s">
        <v>1186</v>
      </c>
      <c r="CX118" s="52"/>
    </row>
    <row r="119" spans="1:102" ht="22.5" customHeight="1">
      <c r="A119" s="12" t="s">
        <v>130</v>
      </c>
      <c r="B119" s="38" t="s">
        <v>57</v>
      </c>
      <c r="C119" s="38" t="s">
        <v>57</v>
      </c>
      <c r="D119" s="38" t="s">
        <v>57</v>
      </c>
      <c r="E119" s="38" t="s">
        <v>57</v>
      </c>
      <c r="F119" s="38" t="s">
        <v>57</v>
      </c>
      <c r="G119" s="38" t="s">
        <v>57</v>
      </c>
      <c r="H119" s="38" t="s">
        <v>57</v>
      </c>
      <c r="I119" s="38" t="s">
        <v>57</v>
      </c>
      <c r="J119" s="38" t="s">
        <v>57</v>
      </c>
      <c r="K119" s="38" t="s">
        <v>57</v>
      </c>
      <c r="L119" s="38" t="s">
        <v>57</v>
      </c>
      <c r="M119" s="38" t="s">
        <v>57</v>
      </c>
      <c r="N119" s="38" t="s">
        <v>57</v>
      </c>
      <c r="O119" s="38" t="s">
        <v>57</v>
      </c>
      <c r="P119" s="38" t="s">
        <v>57</v>
      </c>
      <c r="Q119" s="38" t="s">
        <v>57</v>
      </c>
      <c r="R119" s="38" t="s">
        <v>57</v>
      </c>
      <c r="S119" s="38" t="s">
        <v>57</v>
      </c>
      <c r="T119" s="38" t="s">
        <v>57</v>
      </c>
      <c r="U119" s="38" t="s">
        <v>57</v>
      </c>
      <c r="V119" s="38" t="s">
        <v>57</v>
      </c>
      <c r="W119" s="38" t="s">
        <v>57</v>
      </c>
      <c r="X119" s="38" t="s">
        <v>57</v>
      </c>
      <c r="Y119" s="38" t="s">
        <v>57</v>
      </c>
      <c r="Z119" s="38" t="s">
        <v>57</v>
      </c>
      <c r="AA119" s="38" t="s">
        <v>57</v>
      </c>
      <c r="AB119" s="38" t="s">
        <v>57</v>
      </c>
      <c r="AC119" s="38" t="s">
        <v>57</v>
      </c>
      <c r="AD119" s="38" t="s">
        <v>57</v>
      </c>
      <c r="AE119" s="124" t="s">
        <v>57</v>
      </c>
      <c r="AF119" s="38" t="s">
        <v>57</v>
      </c>
      <c r="AG119" s="38" t="s">
        <v>57</v>
      </c>
      <c r="AH119" s="38" t="s">
        <v>57</v>
      </c>
      <c r="AI119" s="7" t="s">
        <v>57</v>
      </c>
      <c r="AJ119" s="33" t="s">
        <v>57</v>
      </c>
      <c r="AK119" s="7" t="s">
        <v>57</v>
      </c>
      <c r="AL119" s="7" t="s">
        <v>57</v>
      </c>
      <c r="AM119" s="34" t="s">
        <v>57</v>
      </c>
      <c r="AN119" s="34" t="s">
        <v>57</v>
      </c>
      <c r="AO119" s="7" t="s">
        <v>57</v>
      </c>
      <c r="AP119" s="33" t="s">
        <v>57</v>
      </c>
      <c r="AQ119" s="7" t="s">
        <v>57</v>
      </c>
      <c r="AR119" s="7" t="s">
        <v>57</v>
      </c>
      <c r="AS119" s="7" t="s">
        <v>57</v>
      </c>
      <c r="AT119" s="7" t="s">
        <v>57</v>
      </c>
      <c r="AU119" s="38" t="s">
        <v>57</v>
      </c>
      <c r="AV119" s="38" t="s">
        <v>57</v>
      </c>
      <c r="AW119" s="34" t="s">
        <v>57</v>
      </c>
      <c r="AX119" s="34" t="s">
        <v>57</v>
      </c>
      <c r="AY119" s="34" t="s">
        <v>57</v>
      </c>
      <c r="AZ119" s="38" t="s">
        <v>57</v>
      </c>
      <c r="BA119" s="38" t="s">
        <v>57</v>
      </c>
      <c r="BB119" s="38" t="s">
        <v>57</v>
      </c>
      <c r="BC119" s="38" t="s">
        <v>57</v>
      </c>
      <c r="BD119" s="38" t="s">
        <v>57</v>
      </c>
      <c r="BE119" s="38" t="s">
        <v>57</v>
      </c>
      <c r="BF119" s="38" t="s">
        <v>57</v>
      </c>
      <c r="BG119" s="38" t="s">
        <v>57</v>
      </c>
      <c r="BH119" s="38" t="s">
        <v>57</v>
      </c>
      <c r="BI119" s="38" t="s">
        <v>57</v>
      </c>
      <c r="BJ119" s="38" t="s">
        <v>57</v>
      </c>
      <c r="BK119" s="38" t="s">
        <v>57</v>
      </c>
      <c r="BL119" s="38" t="s">
        <v>57</v>
      </c>
      <c r="BM119" s="38" t="s">
        <v>57</v>
      </c>
      <c r="BN119" s="38" t="s">
        <v>57</v>
      </c>
      <c r="BO119" s="38" t="s">
        <v>57</v>
      </c>
      <c r="BP119" s="38" t="s">
        <v>57</v>
      </c>
      <c r="BQ119" s="38" t="s">
        <v>57</v>
      </c>
      <c r="BR119" s="38" t="s">
        <v>57</v>
      </c>
      <c r="BS119" s="38" t="s">
        <v>57</v>
      </c>
      <c r="BT119" s="38" t="s">
        <v>57</v>
      </c>
      <c r="BU119" s="38" t="s">
        <v>57</v>
      </c>
      <c r="BV119" s="38" t="s">
        <v>57</v>
      </c>
      <c r="BW119" s="38" t="s">
        <v>57</v>
      </c>
      <c r="BX119" s="38" t="s">
        <v>57</v>
      </c>
      <c r="BY119" s="38" t="s">
        <v>57</v>
      </c>
      <c r="BZ119" s="36" t="s">
        <v>57</v>
      </c>
      <c r="CA119" s="38" t="s">
        <v>57</v>
      </c>
      <c r="CB119" s="38" t="s">
        <v>57</v>
      </c>
      <c r="CC119" s="38" t="s">
        <v>57</v>
      </c>
      <c r="CD119" s="38" t="s">
        <v>57</v>
      </c>
      <c r="CE119" s="38" t="s">
        <v>57</v>
      </c>
      <c r="CF119" s="38" t="s">
        <v>57</v>
      </c>
      <c r="CG119" s="38" t="s">
        <v>57</v>
      </c>
      <c r="CH119" s="38" t="s">
        <v>57</v>
      </c>
      <c r="CI119" s="38" t="s">
        <v>57</v>
      </c>
      <c r="CJ119" s="38" t="s">
        <v>57</v>
      </c>
      <c r="CK119" s="38" t="s">
        <v>57</v>
      </c>
      <c r="CL119" s="38" t="s">
        <v>57</v>
      </c>
      <c r="CM119" s="38" t="s">
        <v>57</v>
      </c>
      <c r="CN119" s="38" t="s">
        <v>57</v>
      </c>
      <c r="CO119" s="38" t="s">
        <v>57</v>
      </c>
      <c r="CP119" s="38" t="s">
        <v>57</v>
      </c>
      <c r="CQ119" s="38" t="s">
        <v>57</v>
      </c>
      <c r="CR119" s="38" t="s">
        <v>57</v>
      </c>
      <c r="CS119" s="38" t="s">
        <v>57</v>
      </c>
      <c r="CT119" s="38" t="s">
        <v>57</v>
      </c>
      <c r="CU119" s="38" t="s">
        <v>57</v>
      </c>
      <c r="CV119" s="38" t="s">
        <v>57</v>
      </c>
      <c r="CW119" s="38" t="s">
        <v>57</v>
      </c>
      <c r="CX119" s="38" t="s">
        <v>57</v>
      </c>
    </row>
    <row r="120" spans="1:102" ht="12" customHeight="1">
      <c r="A120" s="51" t="s">
        <v>935</v>
      </c>
      <c r="B120" s="52" t="s">
        <v>3980</v>
      </c>
      <c r="C120" s="52"/>
      <c r="D120" s="52"/>
      <c r="E120" s="52"/>
      <c r="F120" s="52" t="s">
        <v>1452</v>
      </c>
      <c r="G120" s="52" t="s">
        <v>1452</v>
      </c>
      <c r="H120" s="52" t="s">
        <v>1452</v>
      </c>
      <c r="I120" s="52" t="s">
        <v>1452</v>
      </c>
      <c r="J120" s="52"/>
      <c r="K120" s="52"/>
      <c r="L120" s="52"/>
      <c r="M120" s="52" t="s">
        <v>1664</v>
      </c>
      <c r="N120" s="52" t="s">
        <v>1664</v>
      </c>
      <c r="O120" s="52" t="s">
        <v>1664</v>
      </c>
      <c r="P120" s="52" t="s">
        <v>1664</v>
      </c>
      <c r="Q120" s="52" t="s">
        <v>1664</v>
      </c>
      <c r="R120" s="52" t="s">
        <v>1664</v>
      </c>
      <c r="S120" s="52" t="s">
        <v>1664</v>
      </c>
      <c r="T120" s="52" t="s">
        <v>1664</v>
      </c>
      <c r="U120" s="52" t="s">
        <v>1664</v>
      </c>
      <c r="V120" s="52" t="s">
        <v>1664</v>
      </c>
      <c r="W120" s="52" t="s">
        <v>1664</v>
      </c>
      <c r="X120" s="52" t="s">
        <v>1664</v>
      </c>
      <c r="Y120" s="52" t="s">
        <v>1664</v>
      </c>
      <c r="Z120" s="52"/>
      <c r="AA120" s="52"/>
      <c r="AB120" s="52"/>
      <c r="AC120" s="52"/>
      <c r="AD120" s="52"/>
      <c r="AE120" s="123" t="s">
        <v>1664</v>
      </c>
      <c r="AF120" s="52" t="s">
        <v>4708</v>
      </c>
      <c r="AG120" s="52" t="s">
        <v>4708</v>
      </c>
      <c r="AH120" s="52" t="s">
        <v>4708</v>
      </c>
      <c r="AI120" s="52"/>
      <c r="AJ120" s="52"/>
      <c r="AK120" s="52" t="s">
        <v>1725</v>
      </c>
      <c r="AL120" s="52" t="s">
        <v>1725</v>
      </c>
      <c r="AM120" s="52"/>
      <c r="AN120" s="52" t="s">
        <v>1804</v>
      </c>
      <c r="AO120" s="52"/>
      <c r="AP120" s="52"/>
      <c r="AQ120" s="52" t="s">
        <v>1909</v>
      </c>
      <c r="AR120" s="52" t="s">
        <v>1909</v>
      </c>
      <c r="AS120" s="52" t="s">
        <v>1909</v>
      </c>
      <c r="AT120" s="52" t="s">
        <v>1909</v>
      </c>
      <c r="AU120" s="52"/>
      <c r="AV120" s="52"/>
      <c r="AW120" s="52" t="s">
        <v>3020</v>
      </c>
      <c r="AX120" s="52" t="s">
        <v>3020</v>
      </c>
      <c r="AY120" s="52" t="s">
        <v>3020</v>
      </c>
      <c r="AZ120" s="52"/>
      <c r="BA120" s="52" t="s">
        <v>4154</v>
      </c>
      <c r="BB120" s="52"/>
      <c r="BC120" s="52"/>
      <c r="BD120" s="52" t="s">
        <v>2022</v>
      </c>
      <c r="BE120" s="52"/>
      <c r="BF120" s="52" t="s">
        <v>2022</v>
      </c>
      <c r="BG120" s="52" t="s">
        <v>4084</v>
      </c>
      <c r="BH120" s="52"/>
      <c r="BI120" s="52"/>
      <c r="BJ120" s="52"/>
      <c r="BK120" s="52" t="s">
        <v>1369</v>
      </c>
      <c r="BL120" s="52" t="s">
        <v>1369</v>
      </c>
      <c r="BM120" s="52"/>
      <c r="BN120" s="52"/>
      <c r="BO120" s="52"/>
      <c r="BP120" s="52"/>
      <c r="BQ120" s="52"/>
      <c r="BR120" s="52"/>
      <c r="BS120" s="52"/>
      <c r="BT120" s="52" t="s">
        <v>3708</v>
      </c>
      <c r="BU120" s="52" t="s">
        <v>3699</v>
      </c>
      <c r="BV120" s="52" t="s">
        <v>3700</v>
      </c>
      <c r="BW120" s="52" t="s">
        <v>2486</v>
      </c>
      <c r="BX120" s="52" t="s">
        <v>2486</v>
      </c>
      <c r="BY120" s="52" t="s">
        <v>2486</v>
      </c>
      <c r="BZ120" s="52" t="s">
        <v>3980</v>
      </c>
      <c r="CA120" s="52"/>
      <c r="CB120" s="52"/>
      <c r="CC120" s="52"/>
      <c r="CD120" s="52" t="s">
        <v>2607</v>
      </c>
      <c r="CE120" s="52" t="s">
        <v>2607</v>
      </c>
      <c r="CF120" s="52"/>
      <c r="CG120" s="52" t="s">
        <v>2289</v>
      </c>
      <c r="CH120" s="52" t="s">
        <v>2289</v>
      </c>
      <c r="CI120" s="52" t="s">
        <v>3980</v>
      </c>
      <c r="CJ120" s="52" t="s">
        <v>3980</v>
      </c>
      <c r="CK120" s="52" t="s">
        <v>2718</v>
      </c>
      <c r="CL120" s="52"/>
      <c r="CM120" s="52"/>
      <c r="CN120" s="52"/>
      <c r="CO120" s="52" t="s">
        <v>2111</v>
      </c>
      <c r="CP120" s="52" t="s">
        <v>2851</v>
      </c>
      <c r="CQ120" s="52"/>
      <c r="CR120" s="52"/>
      <c r="CS120" s="52"/>
      <c r="CT120" s="52"/>
      <c r="CU120" s="52"/>
      <c r="CV120" s="52"/>
      <c r="CW120" s="52" t="s">
        <v>1186</v>
      </c>
      <c r="CX120" s="52"/>
    </row>
    <row r="121" spans="1:102" ht="22.5" customHeight="1">
      <c r="A121" s="12" t="s">
        <v>131</v>
      </c>
      <c r="B121" s="38" t="s">
        <v>57</v>
      </c>
      <c r="C121" s="38" t="s">
        <v>57</v>
      </c>
      <c r="D121" s="38" t="s">
        <v>57</v>
      </c>
      <c r="E121" s="38" t="s">
        <v>57</v>
      </c>
      <c r="F121" s="38" t="s">
        <v>57</v>
      </c>
      <c r="G121" s="38" t="s">
        <v>57</v>
      </c>
      <c r="H121" s="38" t="s">
        <v>57</v>
      </c>
      <c r="I121" s="38" t="s">
        <v>57</v>
      </c>
      <c r="J121" s="38" t="s">
        <v>57</v>
      </c>
      <c r="K121" s="38" t="s">
        <v>57</v>
      </c>
      <c r="L121" s="38" t="s">
        <v>57</v>
      </c>
      <c r="M121" s="38" t="s">
        <v>57</v>
      </c>
      <c r="N121" s="38" t="s">
        <v>57</v>
      </c>
      <c r="O121" s="38" t="s">
        <v>57</v>
      </c>
      <c r="P121" s="38" t="s">
        <v>57</v>
      </c>
      <c r="Q121" s="38" t="s">
        <v>57</v>
      </c>
      <c r="R121" s="38" t="s">
        <v>57</v>
      </c>
      <c r="S121" s="38" t="s">
        <v>57</v>
      </c>
      <c r="T121" s="38" t="s">
        <v>57</v>
      </c>
      <c r="U121" s="38" t="s">
        <v>57</v>
      </c>
      <c r="V121" s="38" t="s">
        <v>57</v>
      </c>
      <c r="W121" s="38" t="s">
        <v>57</v>
      </c>
      <c r="X121" s="38" t="s">
        <v>57</v>
      </c>
      <c r="Y121" s="38" t="s">
        <v>57</v>
      </c>
      <c r="Z121" s="38" t="s">
        <v>57</v>
      </c>
      <c r="AA121" s="38" t="s">
        <v>57</v>
      </c>
      <c r="AB121" s="38" t="s">
        <v>57</v>
      </c>
      <c r="AC121" s="38" t="s">
        <v>57</v>
      </c>
      <c r="AD121" s="38" t="s">
        <v>57</v>
      </c>
      <c r="AE121" s="124" t="s">
        <v>57</v>
      </c>
      <c r="AF121" s="38" t="s">
        <v>57</v>
      </c>
      <c r="AG121" s="38" t="s">
        <v>57</v>
      </c>
      <c r="AH121" s="38" t="s">
        <v>57</v>
      </c>
      <c r="AI121" s="7" t="s">
        <v>57</v>
      </c>
      <c r="AJ121" s="33" t="s">
        <v>57</v>
      </c>
      <c r="AK121" s="7" t="s">
        <v>57</v>
      </c>
      <c r="AL121" s="7" t="s">
        <v>57</v>
      </c>
      <c r="AM121" s="34" t="s">
        <v>57</v>
      </c>
      <c r="AN121" s="34" t="s">
        <v>57</v>
      </c>
      <c r="AO121" s="7" t="s">
        <v>57</v>
      </c>
      <c r="AP121" s="33" t="s">
        <v>57</v>
      </c>
      <c r="AQ121" s="7" t="s">
        <v>57</v>
      </c>
      <c r="AR121" s="7" t="s">
        <v>57</v>
      </c>
      <c r="AS121" s="7" t="s">
        <v>57</v>
      </c>
      <c r="AT121" s="7" t="s">
        <v>57</v>
      </c>
      <c r="AU121" s="38" t="s">
        <v>57</v>
      </c>
      <c r="AV121" s="38" t="s">
        <v>57</v>
      </c>
      <c r="AW121" s="34" t="s">
        <v>57</v>
      </c>
      <c r="AX121" s="34" t="s">
        <v>57</v>
      </c>
      <c r="AY121" s="34" t="s">
        <v>57</v>
      </c>
      <c r="AZ121" s="38" t="s">
        <v>57</v>
      </c>
      <c r="BA121" s="38" t="s">
        <v>57</v>
      </c>
      <c r="BB121" s="38" t="s">
        <v>57</v>
      </c>
      <c r="BC121" s="38" t="s">
        <v>57</v>
      </c>
      <c r="BD121" s="38" t="s">
        <v>57</v>
      </c>
      <c r="BE121" s="38" t="s">
        <v>57</v>
      </c>
      <c r="BF121" s="38" t="s">
        <v>57</v>
      </c>
      <c r="BG121" s="38" t="s">
        <v>57</v>
      </c>
      <c r="BH121" s="38" t="s">
        <v>57</v>
      </c>
      <c r="BI121" s="38" t="s">
        <v>57</v>
      </c>
      <c r="BJ121" s="38" t="s">
        <v>57</v>
      </c>
      <c r="BK121" s="38" t="s">
        <v>57</v>
      </c>
      <c r="BL121" s="38" t="s">
        <v>57</v>
      </c>
      <c r="BM121" s="38" t="s">
        <v>57</v>
      </c>
      <c r="BN121" s="38" t="s">
        <v>57</v>
      </c>
      <c r="BO121" s="38" t="s">
        <v>57</v>
      </c>
      <c r="BP121" s="38" t="s">
        <v>57</v>
      </c>
      <c r="BQ121" s="38" t="s">
        <v>57</v>
      </c>
      <c r="BR121" s="38" t="s">
        <v>57</v>
      </c>
      <c r="BS121" s="38" t="s">
        <v>57</v>
      </c>
      <c r="BT121" s="38" t="s">
        <v>57</v>
      </c>
      <c r="BU121" s="38" t="s">
        <v>57</v>
      </c>
      <c r="BV121" s="38" t="s">
        <v>57</v>
      </c>
      <c r="BW121" s="38" t="s">
        <v>57</v>
      </c>
      <c r="BX121" s="38" t="s">
        <v>57</v>
      </c>
      <c r="BY121" s="38" t="s">
        <v>57</v>
      </c>
      <c r="BZ121" s="36" t="s">
        <v>57</v>
      </c>
      <c r="CA121" s="38" t="s">
        <v>57</v>
      </c>
      <c r="CB121" s="38" t="s">
        <v>57</v>
      </c>
      <c r="CC121" s="38" t="s">
        <v>57</v>
      </c>
      <c r="CD121" s="38" t="s">
        <v>57</v>
      </c>
      <c r="CE121" s="38" t="s">
        <v>57</v>
      </c>
      <c r="CF121" s="38" t="s">
        <v>57</v>
      </c>
      <c r="CG121" s="38" t="s">
        <v>57</v>
      </c>
      <c r="CH121" s="38" t="s">
        <v>57</v>
      </c>
      <c r="CI121" s="38" t="s">
        <v>57</v>
      </c>
      <c r="CJ121" s="38" t="s">
        <v>57</v>
      </c>
      <c r="CK121" s="38" t="s">
        <v>57</v>
      </c>
      <c r="CL121" s="38" t="s">
        <v>57</v>
      </c>
      <c r="CM121" s="38" t="s">
        <v>57</v>
      </c>
      <c r="CN121" s="38" t="s">
        <v>57</v>
      </c>
      <c r="CO121" s="38" t="s">
        <v>57</v>
      </c>
      <c r="CP121" s="38" t="s">
        <v>57</v>
      </c>
      <c r="CQ121" s="38" t="s">
        <v>57</v>
      </c>
      <c r="CR121" s="38" t="s">
        <v>57</v>
      </c>
      <c r="CS121" s="38" t="s">
        <v>57</v>
      </c>
      <c r="CT121" s="38" t="s">
        <v>57</v>
      </c>
      <c r="CU121" s="38" t="s">
        <v>57</v>
      </c>
      <c r="CV121" s="38" t="s">
        <v>57</v>
      </c>
      <c r="CW121" s="38" t="s">
        <v>57</v>
      </c>
      <c r="CX121" s="38" t="s">
        <v>57</v>
      </c>
    </row>
    <row r="122" spans="1:102" ht="12" customHeight="1">
      <c r="A122" s="51" t="s">
        <v>935</v>
      </c>
      <c r="B122" s="52" t="s">
        <v>3981</v>
      </c>
      <c r="C122" s="52"/>
      <c r="D122" s="52"/>
      <c r="E122" s="52"/>
      <c r="F122" s="52" t="s">
        <v>1452</v>
      </c>
      <c r="G122" s="52" t="s">
        <v>1452</v>
      </c>
      <c r="H122" s="52" t="s">
        <v>1452</v>
      </c>
      <c r="I122" s="52" t="s">
        <v>1452</v>
      </c>
      <c r="J122" s="52"/>
      <c r="K122" s="52"/>
      <c r="L122" s="52"/>
      <c r="M122" s="52" t="s">
        <v>1664</v>
      </c>
      <c r="N122" s="52" t="s">
        <v>1664</v>
      </c>
      <c r="O122" s="52" t="s">
        <v>1664</v>
      </c>
      <c r="P122" s="52" t="s">
        <v>1664</v>
      </c>
      <c r="Q122" s="52" t="s">
        <v>1664</v>
      </c>
      <c r="R122" s="52" t="s">
        <v>1664</v>
      </c>
      <c r="S122" s="52" t="s">
        <v>1664</v>
      </c>
      <c r="T122" s="52" t="s">
        <v>1664</v>
      </c>
      <c r="U122" s="52" t="s">
        <v>1664</v>
      </c>
      <c r="V122" s="52" t="s">
        <v>1664</v>
      </c>
      <c r="W122" s="52" t="s">
        <v>1664</v>
      </c>
      <c r="X122" s="52" t="s">
        <v>1664</v>
      </c>
      <c r="Y122" s="52" t="s">
        <v>1664</v>
      </c>
      <c r="Z122" s="52"/>
      <c r="AA122" s="52"/>
      <c r="AB122" s="52"/>
      <c r="AC122" s="52"/>
      <c r="AD122" s="52"/>
      <c r="AE122" s="123" t="s">
        <v>1664</v>
      </c>
      <c r="AF122" s="52" t="s">
        <v>4708</v>
      </c>
      <c r="AG122" s="52" t="s">
        <v>4708</v>
      </c>
      <c r="AH122" s="52" t="s">
        <v>4708</v>
      </c>
      <c r="AI122" s="52"/>
      <c r="AJ122" s="52"/>
      <c r="AK122" s="52" t="s">
        <v>1726</v>
      </c>
      <c r="AL122" s="52" t="s">
        <v>1726</v>
      </c>
      <c r="AM122" s="52"/>
      <c r="AN122" s="52" t="s">
        <v>1804</v>
      </c>
      <c r="AO122" s="52"/>
      <c r="AP122" s="52"/>
      <c r="AQ122" s="52" t="s">
        <v>1909</v>
      </c>
      <c r="AR122" s="52" t="s">
        <v>1909</v>
      </c>
      <c r="AS122" s="52" t="s">
        <v>1909</v>
      </c>
      <c r="AT122" s="52" t="s">
        <v>1909</v>
      </c>
      <c r="AU122" s="52"/>
      <c r="AV122" s="52"/>
      <c r="AW122" s="52" t="s">
        <v>3020</v>
      </c>
      <c r="AX122" s="52" t="s">
        <v>3020</v>
      </c>
      <c r="AY122" s="52" t="s">
        <v>3020</v>
      </c>
      <c r="AZ122" s="52"/>
      <c r="BA122" s="52" t="s">
        <v>4154</v>
      </c>
      <c r="BB122" s="52"/>
      <c r="BC122" s="52"/>
      <c r="BD122" s="52" t="s">
        <v>2022</v>
      </c>
      <c r="BE122" s="52"/>
      <c r="BF122" s="52" t="s">
        <v>2022</v>
      </c>
      <c r="BG122" s="52" t="s">
        <v>4084</v>
      </c>
      <c r="BH122" s="52"/>
      <c r="BI122" s="52"/>
      <c r="BJ122" s="52"/>
      <c r="BK122" s="52" t="s">
        <v>1369</v>
      </c>
      <c r="BL122" s="52" t="s">
        <v>1369</v>
      </c>
      <c r="BM122" s="52"/>
      <c r="BN122" s="52"/>
      <c r="BO122" s="52"/>
      <c r="BP122" s="52"/>
      <c r="BQ122" s="52"/>
      <c r="BR122" s="52"/>
      <c r="BS122" s="52"/>
      <c r="BT122" s="52" t="s">
        <v>3709</v>
      </c>
      <c r="BU122" s="52" t="s">
        <v>3707</v>
      </c>
      <c r="BV122" s="52" t="s">
        <v>3701</v>
      </c>
      <c r="BW122" s="52" t="s">
        <v>2486</v>
      </c>
      <c r="BX122" s="52" t="s">
        <v>2486</v>
      </c>
      <c r="BY122" s="52" t="s">
        <v>2486</v>
      </c>
      <c r="BZ122" s="52" t="s">
        <v>3981</v>
      </c>
      <c r="CA122" s="52"/>
      <c r="CB122" s="52"/>
      <c r="CC122" s="52"/>
      <c r="CD122" s="52" t="s">
        <v>2607</v>
      </c>
      <c r="CE122" s="52" t="s">
        <v>2607</v>
      </c>
      <c r="CF122" s="52"/>
      <c r="CG122" s="52" t="s">
        <v>2289</v>
      </c>
      <c r="CH122" s="52" t="s">
        <v>2289</v>
      </c>
      <c r="CI122" s="52" t="s">
        <v>3981</v>
      </c>
      <c r="CJ122" s="52" t="s">
        <v>3981</v>
      </c>
      <c r="CK122" s="52" t="s">
        <v>2718</v>
      </c>
      <c r="CL122" s="52"/>
      <c r="CM122" s="52"/>
      <c r="CN122" s="52"/>
      <c r="CO122" s="52" t="s">
        <v>2112</v>
      </c>
      <c r="CP122" s="52" t="s">
        <v>2851</v>
      </c>
      <c r="CQ122" s="52"/>
      <c r="CR122" s="52"/>
      <c r="CS122" s="52"/>
      <c r="CT122" s="52"/>
      <c r="CU122" s="52"/>
      <c r="CV122" s="52"/>
      <c r="CW122" s="52" t="s">
        <v>1186</v>
      </c>
      <c r="CX122" s="52"/>
    </row>
    <row r="123" spans="1:102" ht="22.5" customHeight="1">
      <c r="A123" s="11" t="s">
        <v>132</v>
      </c>
      <c r="B123" s="38" t="s">
        <v>57</v>
      </c>
      <c r="C123" s="38" t="s">
        <v>57</v>
      </c>
      <c r="D123" s="38" t="s">
        <v>57</v>
      </c>
      <c r="E123" s="38" t="s">
        <v>57</v>
      </c>
      <c r="F123" s="38" t="s">
        <v>57</v>
      </c>
      <c r="G123" s="38" t="s">
        <v>57</v>
      </c>
      <c r="H123" s="38" t="s">
        <v>57</v>
      </c>
      <c r="I123" s="38" t="s">
        <v>57</v>
      </c>
      <c r="J123" s="38" t="s">
        <v>57</v>
      </c>
      <c r="K123" s="38" t="s">
        <v>57</v>
      </c>
      <c r="L123" s="38" t="s">
        <v>57</v>
      </c>
      <c r="M123" s="38" t="s">
        <v>57</v>
      </c>
      <c r="N123" s="38" t="s">
        <v>57</v>
      </c>
      <c r="O123" s="38" t="s">
        <v>57</v>
      </c>
      <c r="P123" s="38" t="s">
        <v>57</v>
      </c>
      <c r="Q123" s="38" t="s">
        <v>57</v>
      </c>
      <c r="R123" s="38" t="s">
        <v>57</v>
      </c>
      <c r="S123" s="38" t="s">
        <v>57</v>
      </c>
      <c r="T123" s="38" t="s">
        <v>57</v>
      </c>
      <c r="U123" s="38" t="s">
        <v>57</v>
      </c>
      <c r="V123" s="38" t="s">
        <v>57</v>
      </c>
      <c r="W123" s="38" t="s">
        <v>57</v>
      </c>
      <c r="X123" s="38" t="s">
        <v>57</v>
      </c>
      <c r="Y123" s="38" t="s">
        <v>57</v>
      </c>
      <c r="Z123" s="38" t="s">
        <v>57</v>
      </c>
      <c r="AA123" s="38" t="s">
        <v>57</v>
      </c>
      <c r="AB123" s="38" t="s">
        <v>57</v>
      </c>
      <c r="AC123" s="38" t="s">
        <v>57</v>
      </c>
      <c r="AD123" s="38" t="s">
        <v>57</v>
      </c>
      <c r="AE123" s="124" t="s">
        <v>57</v>
      </c>
      <c r="AF123" s="38" t="s">
        <v>57</v>
      </c>
      <c r="AG123" s="38" t="s">
        <v>57</v>
      </c>
      <c r="AH123" s="38" t="s">
        <v>57</v>
      </c>
      <c r="AI123" s="7" t="s">
        <v>57</v>
      </c>
      <c r="AJ123" s="32" t="s">
        <v>57</v>
      </c>
      <c r="AK123" s="7" t="s">
        <v>57</v>
      </c>
      <c r="AL123" s="7" t="s">
        <v>57</v>
      </c>
      <c r="AM123" s="37" t="s">
        <v>57</v>
      </c>
      <c r="AN123" s="34" t="s">
        <v>57</v>
      </c>
      <c r="AO123" s="7" t="s">
        <v>57</v>
      </c>
      <c r="AP123" s="32" t="s">
        <v>57</v>
      </c>
      <c r="AQ123" s="7" t="s">
        <v>57</v>
      </c>
      <c r="AR123" s="7" t="s">
        <v>57</v>
      </c>
      <c r="AS123" s="7" t="s">
        <v>57</v>
      </c>
      <c r="AT123" s="7" t="s">
        <v>57</v>
      </c>
      <c r="AU123" s="38" t="s">
        <v>57</v>
      </c>
      <c r="AV123" s="38" t="s">
        <v>57</v>
      </c>
      <c r="AW123" s="34" t="s">
        <v>57</v>
      </c>
      <c r="AX123" s="34" t="s">
        <v>57</v>
      </c>
      <c r="AY123" s="34" t="s">
        <v>57</v>
      </c>
      <c r="AZ123" s="38" t="s">
        <v>57</v>
      </c>
      <c r="BA123" s="38" t="s">
        <v>57</v>
      </c>
      <c r="BB123" s="38" t="s">
        <v>57</v>
      </c>
      <c r="BC123" s="38" t="s">
        <v>57</v>
      </c>
      <c r="BD123" s="38" t="s">
        <v>57</v>
      </c>
      <c r="BE123" s="38" t="s">
        <v>57</v>
      </c>
      <c r="BF123" s="38" t="s">
        <v>57</v>
      </c>
      <c r="BG123" s="36" t="s">
        <v>4086</v>
      </c>
      <c r="BH123" s="38" t="s">
        <v>57</v>
      </c>
      <c r="BI123" s="38" t="s">
        <v>57</v>
      </c>
      <c r="BJ123" s="38" t="s">
        <v>57</v>
      </c>
      <c r="BK123" s="38" t="s">
        <v>57</v>
      </c>
      <c r="BL123" s="38" t="s">
        <v>57</v>
      </c>
      <c r="BM123" s="38" t="s">
        <v>57</v>
      </c>
      <c r="BN123" s="38" t="s">
        <v>57</v>
      </c>
      <c r="BO123" s="38" t="s">
        <v>57</v>
      </c>
      <c r="BP123" s="38" t="s">
        <v>57</v>
      </c>
      <c r="BQ123" s="38" t="s">
        <v>57</v>
      </c>
      <c r="BR123" s="38" t="s">
        <v>57</v>
      </c>
      <c r="BS123" s="38" t="s">
        <v>57</v>
      </c>
      <c r="BT123" s="38" t="s">
        <v>57</v>
      </c>
      <c r="BU123" s="38" t="s">
        <v>57</v>
      </c>
      <c r="BV123" s="38" t="s">
        <v>57</v>
      </c>
      <c r="BW123" s="38" t="s">
        <v>57</v>
      </c>
      <c r="BX123" s="38" t="s">
        <v>57</v>
      </c>
      <c r="BY123" s="38" t="s">
        <v>57</v>
      </c>
      <c r="BZ123" s="36" t="s">
        <v>57</v>
      </c>
      <c r="CA123" s="38" t="s">
        <v>57</v>
      </c>
      <c r="CB123" s="38" t="s">
        <v>57</v>
      </c>
      <c r="CC123" s="38" t="s">
        <v>57</v>
      </c>
      <c r="CD123" s="38" t="s">
        <v>57</v>
      </c>
      <c r="CE123" s="38" t="s">
        <v>57</v>
      </c>
      <c r="CF123" s="38" t="s">
        <v>57</v>
      </c>
      <c r="CG123" s="38" t="s">
        <v>57</v>
      </c>
      <c r="CH123" s="38" t="s">
        <v>57</v>
      </c>
      <c r="CI123" s="38" t="s">
        <v>57</v>
      </c>
      <c r="CJ123" s="38" t="s">
        <v>57</v>
      </c>
      <c r="CK123" s="38" t="s">
        <v>57</v>
      </c>
      <c r="CL123" s="38" t="s">
        <v>57</v>
      </c>
      <c r="CM123" s="38" t="s">
        <v>57</v>
      </c>
      <c r="CN123" s="38" t="s">
        <v>57</v>
      </c>
      <c r="CO123" s="38" t="s">
        <v>57</v>
      </c>
      <c r="CP123" s="38" t="s">
        <v>57</v>
      </c>
      <c r="CQ123" s="38" t="s">
        <v>57</v>
      </c>
      <c r="CR123" s="38" t="s">
        <v>57</v>
      </c>
      <c r="CS123" s="38" t="s">
        <v>57</v>
      </c>
      <c r="CT123" s="38" t="s">
        <v>57</v>
      </c>
      <c r="CU123" s="38" t="s">
        <v>57</v>
      </c>
      <c r="CV123" s="38" t="s">
        <v>57</v>
      </c>
      <c r="CW123" s="38" t="s">
        <v>57</v>
      </c>
      <c r="CX123" s="38" t="s">
        <v>57</v>
      </c>
    </row>
    <row r="124" spans="1:102" ht="12" customHeight="1">
      <c r="A124" s="51" t="s">
        <v>935</v>
      </c>
      <c r="B124" s="52" t="s">
        <v>3982</v>
      </c>
      <c r="C124" s="52"/>
      <c r="D124" s="52"/>
      <c r="E124" s="52"/>
      <c r="F124" s="52" t="s">
        <v>1452</v>
      </c>
      <c r="G124" s="52" t="s">
        <v>1452</v>
      </c>
      <c r="H124" s="52" t="s">
        <v>1452</v>
      </c>
      <c r="I124" s="52" t="s">
        <v>1452</v>
      </c>
      <c r="J124" s="52"/>
      <c r="K124" s="52"/>
      <c r="L124" s="52"/>
      <c r="M124" s="52" t="s">
        <v>1664</v>
      </c>
      <c r="N124" s="52" t="s">
        <v>1664</v>
      </c>
      <c r="O124" s="52" t="s">
        <v>1664</v>
      </c>
      <c r="P124" s="52" t="s">
        <v>1664</v>
      </c>
      <c r="Q124" s="52" t="s">
        <v>1664</v>
      </c>
      <c r="R124" s="52" t="s">
        <v>1664</v>
      </c>
      <c r="S124" s="52" t="s">
        <v>1664</v>
      </c>
      <c r="T124" s="52" t="s">
        <v>1664</v>
      </c>
      <c r="U124" s="52" t="s">
        <v>1664</v>
      </c>
      <c r="V124" s="52" t="s">
        <v>1664</v>
      </c>
      <c r="W124" s="52" t="s">
        <v>1664</v>
      </c>
      <c r="X124" s="52" t="s">
        <v>1664</v>
      </c>
      <c r="Y124" s="52" t="s">
        <v>1664</v>
      </c>
      <c r="Z124" s="52"/>
      <c r="AA124" s="52"/>
      <c r="AB124" s="52"/>
      <c r="AC124" s="52"/>
      <c r="AD124" s="52"/>
      <c r="AE124" s="123" t="s">
        <v>1664</v>
      </c>
      <c r="AF124" s="52" t="s">
        <v>4708</v>
      </c>
      <c r="AG124" s="52" t="s">
        <v>4708</v>
      </c>
      <c r="AH124" s="52" t="s">
        <v>4708</v>
      </c>
      <c r="AI124" s="52"/>
      <c r="AJ124" s="52"/>
      <c r="AK124" s="52" t="s">
        <v>1727</v>
      </c>
      <c r="AL124" s="52" t="s">
        <v>1727</v>
      </c>
      <c r="AM124" s="52"/>
      <c r="AN124" s="52" t="s">
        <v>1804</v>
      </c>
      <c r="AO124" s="52"/>
      <c r="AP124" s="52"/>
      <c r="AQ124" s="52" t="s">
        <v>1909</v>
      </c>
      <c r="AR124" s="52" t="s">
        <v>1909</v>
      </c>
      <c r="AS124" s="52" t="s">
        <v>1909</v>
      </c>
      <c r="AT124" s="52" t="s">
        <v>1909</v>
      </c>
      <c r="AU124" s="52"/>
      <c r="AV124" s="52"/>
      <c r="AW124" s="52" t="s">
        <v>3020</v>
      </c>
      <c r="AX124" s="52" t="s">
        <v>3020</v>
      </c>
      <c r="AY124" s="52" t="s">
        <v>3020</v>
      </c>
      <c r="AZ124" s="52"/>
      <c r="BA124" s="52" t="s">
        <v>4154</v>
      </c>
      <c r="BB124" s="52"/>
      <c r="BC124" s="52"/>
      <c r="BD124" s="52" t="s">
        <v>2022</v>
      </c>
      <c r="BE124" s="52"/>
      <c r="BF124" s="52" t="s">
        <v>2022</v>
      </c>
      <c r="BG124" s="52" t="s">
        <v>4084</v>
      </c>
      <c r="BH124" s="52"/>
      <c r="BI124" s="52"/>
      <c r="BJ124" s="52"/>
      <c r="BK124" s="52" t="s">
        <v>1369</v>
      </c>
      <c r="BL124" s="52" t="s">
        <v>1369</v>
      </c>
      <c r="BM124" s="52"/>
      <c r="BN124" s="52"/>
      <c r="BO124" s="52"/>
      <c r="BP124" s="52"/>
      <c r="BQ124" s="52"/>
      <c r="BR124" s="52"/>
      <c r="BS124" s="52"/>
      <c r="BT124" s="52" t="s">
        <v>3710</v>
      </c>
      <c r="BU124" s="52" t="s">
        <v>3706</v>
      </c>
      <c r="BV124" s="52" t="s">
        <v>3702</v>
      </c>
      <c r="BW124" s="52" t="s">
        <v>2486</v>
      </c>
      <c r="BX124" s="52" t="s">
        <v>2486</v>
      </c>
      <c r="BY124" s="52" t="s">
        <v>2486</v>
      </c>
      <c r="BZ124" s="52" t="s">
        <v>4043</v>
      </c>
      <c r="CA124" s="52"/>
      <c r="CB124" s="52"/>
      <c r="CC124" s="52"/>
      <c r="CD124" s="52" t="s">
        <v>2607</v>
      </c>
      <c r="CE124" s="52" t="s">
        <v>2607</v>
      </c>
      <c r="CF124" s="52"/>
      <c r="CG124" s="52" t="s">
        <v>2289</v>
      </c>
      <c r="CH124" s="52" t="s">
        <v>2289</v>
      </c>
      <c r="CI124" s="52" t="s">
        <v>4043</v>
      </c>
      <c r="CJ124" s="52" t="s">
        <v>4043</v>
      </c>
      <c r="CK124" s="52" t="s">
        <v>2718</v>
      </c>
      <c r="CL124" s="52"/>
      <c r="CM124" s="52"/>
      <c r="CN124" s="52"/>
      <c r="CO124" s="52" t="s">
        <v>2113</v>
      </c>
      <c r="CP124" s="52" t="s">
        <v>2852</v>
      </c>
      <c r="CQ124" s="52"/>
      <c r="CR124" s="52"/>
      <c r="CS124" s="52"/>
      <c r="CT124" s="52"/>
      <c r="CU124" s="52"/>
      <c r="CV124" s="52"/>
      <c r="CW124" s="52" t="s">
        <v>1186</v>
      </c>
      <c r="CX124" s="52"/>
    </row>
    <row r="125" spans="1:102" ht="22.5" customHeight="1">
      <c r="A125" s="12" t="s">
        <v>133</v>
      </c>
      <c r="B125" s="38" t="s">
        <v>0</v>
      </c>
      <c r="C125" s="38" t="s">
        <v>0</v>
      </c>
      <c r="D125" s="38" t="s">
        <v>57</v>
      </c>
      <c r="E125" s="38" t="s">
        <v>57</v>
      </c>
      <c r="F125" s="38" t="s">
        <v>57</v>
      </c>
      <c r="G125" s="38" t="s">
        <v>57</v>
      </c>
      <c r="H125" s="38" t="s">
        <v>57</v>
      </c>
      <c r="I125" s="38" t="s">
        <v>57</v>
      </c>
      <c r="J125" s="38" t="s">
        <v>57</v>
      </c>
      <c r="K125" s="38" t="s">
        <v>57</v>
      </c>
      <c r="L125" s="38" t="s">
        <v>57</v>
      </c>
      <c r="M125" s="38" t="s">
        <v>57</v>
      </c>
      <c r="N125" s="38" t="s">
        <v>57</v>
      </c>
      <c r="O125" s="38" t="s">
        <v>57</v>
      </c>
      <c r="P125" s="38" t="s">
        <v>57</v>
      </c>
      <c r="Q125" s="38" t="s">
        <v>57</v>
      </c>
      <c r="R125" s="38" t="s">
        <v>57</v>
      </c>
      <c r="S125" s="38" t="s">
        <v>57</v>
      </c>
      <c r="T125" s="38" t="s">
        <v>57</v>
      </c>
      <c r="U125" s="38" t="s">
        <v>57</v>
      </c>
      <c r="V125" s="38" t="s">
        <v>57</v>
      </c>
      <c r="W125" s="38" t="s">
        <v>57</v>
      </c>
      <c r="X125" s="38" t="s">
        <v>57</v>
      </c>
      <c r="Y125" s="38" t="s">
        <v>57</v>
      </c>
      <c r="Z125" s="38" t="s">
        <v>57</v>
      </c>
      <c r="AA125" s="38" t="s">
        <v>57</v>
      </c>
      <c r="AB125" s="38" t="s">
        <v>57</v>
      </c>
      <c r="AC125" s="38" t="s">
        <v>57</v>
      </c>
      <c r="AD125" s="38" t="s">
        <v>57</v>
      </c>
      <c r="AE125" s="124" t="s">
        <v>57</v>
      </c>
      <c r="AF125" s="38" t="s">
        <v>57</v>
      </c>
      <c r="AG125" s="38" t="s">
        <v>57</v>
      </c>
      <c r="AH125" s="38" t="s">
        <v>57</v>
      </c>
      <c r="AI125" s="7" t="s">
        <v>57</v>
      </c>
      <c r="AJ125" s="32" t="s">
        <v>57</v>
      </c>
      <c r="AK125" s="7" t="s">
        <v>57</v>
      </c>
      <c r="AL125" s="7" t="s">
        <v>57</v>
      </c>
      <c r="AM125" s="37" t="s">
        <v>57</v>
      </c>
      <c r="AN125" s="34" t="s">
        <v>57</v>
      </c>
      <c r="AO125" s="7" t="s">
        <v>57</v>
      </c>
      <c r="AP125" s="32" t="s">
        <v>57</v>
      </c>
      <c r="AQ125" s="7" t="s">
        <v>57</v>
      </c>
      <c r="AR125" s="7" t="s">
        <v>57</v>
      </c>
      <c r="AS125" s="7" t="s">
        <v>57</v>
      </c>
      <c r="AT125" s="7" t="s">
        <v>57</v>
      </c>
      <c r="AU125" s="38" t="s">
        <v>57</v>
      </c>
      <c r="AV125" s="38" t="s">
        <v>57</v>
      </c>
      <c r="AW125" s="34" t="s">
        <v>57</v>
      </c>
      <c r="AX125" s="34" t="s">
        <v>57</v>
      </c>
      <c r="AY125" s="34" t="s">
        <v>57</v>
      </c>
      <c r="AZ125" s="38" t="s">
        <v>57</v>
      </c>
      <c r="BA125" s="38" t="s">
        <v>57</v>
      </c>
      <c r="BB125" s="38" t="s">
        <v>57</v>
      </c>
      <c r="BC125" s="38" t="s">
        <v>57</v>
      </c>
      <c r="BD125" s="38" t="s">
        <v>57</v>
      </c>
      <c r="BE125" s="38" t="s">
        <v>57</v>
      </c>
      <c r="BF125" s="38" t="s">
        <v>57</v>
      </c>
      <c r="BG125" s="38" t="s">
        <v>0</v>
      </c>
      <c r="BH125" s="38" t="s">
        <v>57</v>
      </c>
      <c r="BI125" s="38" t="s">
        <v>57</v>
      </c>
      <c r="BJ125" s="38" t="s">
        <v>57</v>
      </c>
      <c r="BK125" s="38" t="s">
        <v>57</v>
      </c>
      <c r="BL125" s="38" t="s">
        <v>57</v>
      </c>
      <c r="BM125" s="38" t="s">
        <v>0</v>
      </c>
      <c r="BN125" s="38" t="s">
        <v>0</v>
      </c>
      <c r="BO125" s="38" t="s">
        <v>57</v>
      </c>
      <c r="BP125" s="38" t="s">
        <v>0</v>
      </c>
      <c r="BQ125" s="38" t="s">
        <v>57</v>
      </c>
      <c r="BR125" s="38" t="s">
        <v>57</v>
      </c>
      <c r="BS125" s="38" t="s">
        <v>57</v>
      </c>
      <c r="BT125" s="38" t="s">
        <v>57</v>
      </c>
      <c r="BU125" s="38" t="s">
        <v>57</v>
      </c>
      <c r="BV125" s="38" t="s">
        <v>57</v>
      </c>
      <c r="BW125" s="38" t="s">
        <v>57</v>
      </c>
      <c r="BX125" s="38" t="s">
        <v>57</v>
      </c>
      <c r="BY125" s="38" t="s">
        <v>57</v>
      </c>
      <c r="BZ125" s="38" t="s">
        <v>57</v>
      </c>
      <c r="CA125" s="38" t="s">
        <v>57</v>
      </c>
      <c r="CB125" s="38" t="s">
        <v>57</v>
      </c>
      <c r="CC125" s="38" t="s">
        <v>57</v>
      </c>
      <c r="CD125" s="38" t="s">
        <v>57</v>
      </c>
      <c r="CE125" s="38" t="s">
        <v>57</v>
      </c>
      <c r="CF125" s="38" t="s">
        <v>57</v>
      </c>
      <c r="CG125" s="38" t="s">
        <v>57</v>
      </c>
      <c r="CH125" s="38" t="s">
        <v>57</v>
      </c>
      <c r="CI125" s="38" t="s">
        <v>57</v>
      </c>
      <c r="CJ125" s="38" t="s">
        <v>57</v>
      </c>
      <c r="CK125" s="38" t="s">
        <v>57</v>
      </c>
      <c r="CL125" s="38" t="s">
        <v>57</v>
      </c>
      <c r="CM125" s="38" t="s">
        <v>57</v>
      </c>
      <c r="CN125" s="38" t="s">
        <v>57</v>
      </c>
      <c r="CO125" s="38" t="s">
        <v>57</v>
      </c>
      <c r="CP125" s="38" t="s">
        <v>57</v>
      </c>
      <c r="CQ125" s="38" t="s">
        <v>57</v>
      </c>
      <c r="CR125" s="38" t="s">
        <v>57</v>
      </c>
      <c r="CS125" s="38" t="s">
        <v>57</v>
      </c>
      <c r="CT125" s="38" t="s">
        <v>57</v>
      </c>
      <c r="CU125" s="38" t="s">
        <v>57</v>
      </c>
      <c r="CV125" s="38" t="s">
        <v>57</v>
      </c>
      <c r="CW125" s="38" t="s">
        <v>57</v>
      </c>
      <c r="CX125" s="38" t="s">
        <v>57</v>
      </c>
    </row>
    <row r="126" spans="1:102" ht="12" customHeight="1">
      <c r="A126" s="51" t="s">
        <v>935</v>
      </c>
      <c r="B126" s="52" t="s">
        <v>0</v>
      </c>
      <c r="C126" s="52"/>
      <c r="D126" s="52"/>
      <c r="E126" s="52"/>
      <c r="F126" s="52" t="s">
        <v>1452</v>
      </c>
      <c r="G126" s="52" t="s">
        <v>1452</v>
      </c>
      <c r="H126" s="52" t="s">
        <v>1452</v>
      </c>
      <c r="I126" s="52" t="s">
        <v>1452</v>
      </c>
      <c r="J126" s="52"/>
      <c r="K126" s="52"/>
      <c r="L126" s="52"/>
      <c r="M126" s="52" t="s">
        <v>1664</v>
      </c>
      <c r="N126" s="52" t="s">
        <v>1664</v>
      </c>
      <c r="O126" s="52" t="s">
        <v>1664</v>
      </c>
      <c r="P126" s="52" t="s">
        <v>1664</v>
      </c>
      <c r="Q126" s="52" t="s">
        <v>1664</v>
      </c>
      <c r="R126" s="52" t="s">
        <v>1664</v>
      </c>
      <c r="S126" s="52" t="s">
        <v>1664</v>
      </c>
      <c r="T126" s="52" t="s">
        <v>1664</v>
      </c>
      <c r="U126" s="52" t="s">
        <v>1664</v>
      </c>
      <c r="V126" s="52" t="s">
        <v>1664</v>
      </c>
      <c r="W126" s="52" t="s">
        <v>1664</v>
      </c>
      <c r="X126" s="52" t="s">
        <v>1664</v>
      </c>
      <c r="Y126" s="52" t="s">
        <v>1664</v>
      </c>
      <c r="Z126" s="52"/>
      <c r="AA126" s="52"/>
      <c r="AB126" s="52"/>
      <c r="AC126" s="52"/>
      <c r="AD126" s="52"/>
      <c r="AE126" s="123" t="s">
        <v>1664</v>
      </c>
      <c r="AF126" s="52" t="s">
        <v>4708</v>
      </c>
      <c r="AG126" s="52" t="s">
        <v>4708</v>
      </c>
      <c r="AH126" s="52" t="s">
        <v>4708</v>
      </c>
      <c r="AI126" s="52"/>
      <c r="AJ126" s="52"/>
      <c r="AK126" s="52" t="s">
        <v>1728</v>
      </c>
      <c r="AL126" s="52" t="s">
        <v>1728</v>
      </c>
      <c r="AM126" s="52"/>
      <c r="AN126" s="52" t="s">
        <v>1804</v>
      </c>
      <c r="AO126" s="52"/>
      <c r="AP126" s="52"/>
      <c r="AQ126" s="52" t="s">
        <v>1909</v>
      </c>
      <c r="AR126" s="52" t="s">
        <v>1909</v>
      </c>
      <c r="AS126" s="52" t="s">
        <v>1909</v>
      </c>
      <c r="AT126" s="52" t="s">
        <v>1909</v>
      </c>
      <c r="AU126" s="52"/>
      <c r="AV126" s="52"/>
      <c r="AW126" s="52" t="s">
        <v>3020</v>
      </c>
      <c r="AX126" s="52" t="s">
        <v>3020</v>
      </c>
      <c r="AY126" s="52" t="s">
        <v>3020</v>
      </c>
      <c r="AZ126" s="52"/>
      <c r="BA126" s="52" t="s">
        <v>4154</v>
      </c>
      <c r="BB126" s="52"/>
      <c r="BC126" s="52"/>
      <c r="BD126" s="52" t="s">
        <v>2022</v>
      </c>
      <c r="BE126" s="52"/>
      <c r="BF126" s="52" t="s">
        <v>2022</v>
      </c>
      <c r="BG126" s="52" t="s">
        <v>4093</v>
      </c>
      <c r="BH126" s="52"/>
      <c r="BI126" s="52"/>
      <c r="BJ126" s="52"/>
      <c r="BK126" s="52" t="s">
        <v>1369</v>
      </c>
      <c r="BL126" s="52" t="s">
        <v>1369</v>
      </c>
      <c r="BM126" s="52"/>
      <c r="BN126" s="52"/>
      <c r="BO126" s="52"/>
      <c r="BP126" s="52"/>
      <c r="BQ126" s="52"/>
      <c r="BR126" s="52"/>
      <c r="BS126" s="52"/>
      <c r="BT126" s="52" t="s">
        <v>3710</v>
      </c>
      <c r="BU126" s="52" t="s">
        <v>3706</v>
      </c>
      <c r="BV126" s="52" t="s">
        <v>3702</v>
      </c>
      <c r="BW126" s="52" t="s">
        <v>2486</v>
      </c>
      <c r="BX126" s="52" t="s">
        <v>2486</v>
      </c>
      <c r="BY126" s="52" t="s">
        <v>2486</v>
      </c>
      <c r="BZ126" s="52" t="s">
        <v>4599</v>
      </c>
      <c r="CA126" s="52"/>
      <c r="CB126" s="52"/>
      <c r="CC126" s="52"/>
      <c r="CD126" s="52" t="s">
        <v>2607</v>
      </c>
      <c r="CE126" s="52" t="s">
        <v>2607</v>
      </c>
      <c r="CF126" s="52"/>
      <c r="CG126" s="52" t="s">
        <v>2289</v>
      </c>
      <c r="CH126" s="52" t="s">
        <v>2289</v>
      </c>
      <c r="CI126" s="52" t="s">
        <v>3982</v>
      </c>
      <c r="CJ126" s="52" t="s">
        <v>3982</v>
      </c>
      <c r="CK126" s="52" t="s">
        <v>2718</v>
      </c>
      <c r="CL126" s="52"/>
      <c r="CM126" s="52"/>
      <c r="CN126" s="52"/>
      <c r="CO126" s="52" t="s">
        <v>2114</v>
      </c>
      <c r="CP126" s="52" t="s">
        <v>2853</v>
      </c>
      <c r="CQ126" s="52"/>
      <c r="CR126" s="52"/>
      <c r="CS126" s="52"/>
      <c r="CT126" s="52"/>
      <c r="CU126" s="52"/>
      <c r="CV126" s="52"/>
      <c r="CW126" s="52" t="s">
        <v>1186</v>
      </c>
      <c r="CX126" s="52"/>
    </row>
    <row r="127" spans="1:102" ht="22.5" customHeight="1">
      <c r="A127" s="12" t="s">
        <v>134</v>
      </c>
      <c r="B127" s="38" t="s">
        <v>0</v>
      </c>
      <c r="C127" s="38" t="s">
        <v>0</v>
      </c>
      <c r="D127" s="38" t="s">
        <v>0</v>
      </c>
      <c r="E127" s="38" t="s">
        <v>0</v>
      </c>
      <c r="F127" s="38" t="s">
        <v>0</v>
      </c>
      <c r="G127" s="38" t="s">
        <v>0</v>
      </c>
      <c r="H127" s="38" t="s">
        <v>0</v>
      </c>
      <c r="I127" s="38" t="s">
        <v>0</v>
      </c>
      <c r="J127" s="38" t="s">
        <v>0</v>
      </c>
      <c r="K127" s="38" t="s">
        <v>0</v>
      </c>
      <c r="L127" s="38" t="s">
        <v>0</v>
      </c>
      <c r="M127" s="38" t="s">
        <v>0</v>
      </c>
      <c r="N127" s="38" t="s">
        <v>0</v>
      </c>
      <c r="O127" s="38" t="s">
        <v>0</v>
      </c>
      <c r="P127" s="38" t="s">
        <v>0</v>
      </c>
      <c r="Q127" s="38" t="s">
        <v>0</v>
      </c>
      <c r="R127" s="38" t="s">
        <v>0</v>
      </c>
      <c r="S127" s="38" t="s">
        <v>0</v>
      </c>
      <c r="T127" s="38" t="s">
        <v>0</v>
      </c>
      <c r="U127" s="38" t="s">
        <v>0</v>
      </c>
      <c r="V127" s="38" t="s">
        <v>0</v>
      </c>
      <c r="W127" s="38" t="s">
        <v>0</v>
      </c>
      <c r="X127" s="38" t="s">
        <v>0</v>
      </c>
      <c r="Y127" s="38" t="s">
        <v>0</v>
      </c>
      <c r="Z127" s="36" t="s">
        <v>765</v>
      </c>
      <c r="AA127" s="38" t="s">
        <v>57</v>
      </c>
      <c r="AB127" s="38" t="s">
        <v>57</v>
      </c>
      <c r="AC127" s="38" t="s">
        <v>57</v>
      </c>
      <c r="AD127" s="38" t="s">
        <v>0</v>
      </c>
      <c r="AE127" s="124" t="s">
        <v>0</v>
      </c>
      <c r="AF127" s="38" t="s">
        <v>0</v>
      </c>
      <c r="AG127" s="38" t="s">
        <v>0</v>
      </c>
      <c r="AH127" s="38" t="s">
        <v>0</v>
      </c>
      <c r="AI127" s="7" t="s">
        <v>57</v>
      </c>
      <c r="AJ127" s="7" t="s">
        <v>57</v>
      </c>
      <c r="AK127" s="7" t="s">
        <v>57</v>
      </c>
      <c r="AL127" s="7" t="s">
        <v>57</v>
      </c>
      <c r="AM127" s="7" t="s">
        <v>57</v>
      </c>
      <c r="AN127" s="34" t="s">
        <v>57</v>
      </c>
      <c r="AO127" s="7" t="s">
        <v>0</v>
      </c>
      <c r="AP127" s="34" t="s">
        <v>0</v>
      </c>
      <c r="AQ127" s="7" t="s">
        <v>0</v>
      </c>
      <c r="AR127" s="7" t="s">
        <v>0</v>
      </c>
      <c r="AS127" s="7" t="s">
        <v>0</v>
      </c>
      <c r="AT127" s="7" t="s">
        <v>0</v>
      </c>
      <c r="AU127" s="38" t="s">
        <v>0</v>
      </c>
      <c r="AV127" s="38" t="s">
        <v>0</v>
      </c>
      <c r="AW127" s="34" t="s">
        <v>0</v>
      </c>
      <c r="AX127" s="34" t="s">
        <v>0</v>
      </c>
      <c r="AY127" s="34" t="s">
        <v>0</v>
      </c>
      <c r="AZ127" s="38" t="s">
        <v>0</v>
      </c>
      <c r="BA127" s="38" t="s">
        <v>0</v>
      </c>
      <c r="BB127" s="38" t="s">
        <v>0</v>
      </c>
      <c r="BC127" s="38" t="s">
        <v>57</v>
      </c>
      <c r="BD127" s="38" t="s">
        <v>57</v>
      </c>
      <c r="BE127" s="38" t="s">
        <v>0</v>
      </c>
      <c r="BF127" s="38" t="s">
        <v>57</v>
      </c>
      <c r="BG127" s="38" t="s">
        <v>0</v>
      </c>
      <c r="BH127" s="38" t="s">
        <v>0</v>
      </c>
      <c r="BI127" s="38" t="s">
        <v>875</v>
      </c>
      <c r="BJ127" s="38" t="s">
        <v>875</v>
      </c>
      <c r="BK127" s="38" t="s">
        <v>0</v>
      </c>
      <c r="BL127" s="38" t="s">
        <v>0</v>
      </c>
      <c r="BM127" s="38" t="s">
        <v>0</v>
      </c>
      <c r="BN127" s="38" t="s">
        <v>0</v>
      </c>
      <c r="BO127" s="38" t="s">
        <v>57</v>
      </c>
      <c r="BP127" s="38" t="s">
        <v>0</v>
      </c>
      <c r="BQ127" s="38" t="s">
        <v>57</v>
      </c>
      <c r="BR127" s="38" t="s">
        <v>57</v>
      </c>
      <c r="BS127" s="38" t="s">
        <v>57</v>
      </c>
      <c r="BT127" s="38" t="s">
        <v>0</v>
      </c>
      <c r="BU127" s="38" t="s">
        <v>57</v>
      </c>
      <c r="BV127" s="38" t="s">
        <v>57</v>
      </c>
      <c r="BW127" s="38" t="s">
        <v>0</v>
      </c>
      <c r="BX127" s="38" t="s">
        <v>0</v>
      </c>
      <c r="BY127" s="38" t="s">
        <v>0</v>
      </c>
      <c r="BZ127" s="38" t="s">
        <v>0</v>
      </c>
      <c r="CA127" s="38" t="s">
        <v>0</v>
      </c>
      <c r="CB127" s="38" t="s">
        <v>0</v>
      </c>
      <c r="CC127" s="38" t="s">
        <v>0</v>
      </c>
      <c r="CD127" s="38" t="s">
        <v>0</v>
      </c>
      <c r="CE127" s="38" t="s">
        <v>0</v>
      </c>
      <c r="CF127" s="38" t="s">
        <v>0</v>
      </c>
      <c r="CG127" s="38" t="s">
        <v>0</v>
      </c>
      <c r="CH127" s="38" t="s">
        <v>0</v>
      </c>
      <c r="CI127" s="38" t="s">
        <v>0</v>
      </c>
      <c r="CJ127" s="38" t="s">
        <v>0</v>
      </c>
      <c r="CK127" s="38" t="s">
        <v>0</v>
      </c>
      <c r="CL127" s="38" t="s">
        <v>57</v>
      </c>
      <c r="CM127" s="38" t="s">
        <v>0</v>
      </c>
      <c r="CN127" s="38" t="s">
        <v>57</v>
      </c>
      <c r="CO127" s="38" t="s">
        <v>57</v>
      </c>
      <c r="CP127" s="38" t="s">
        <v>57</v>
      </c>
      <c r="CQ127" s="36" t="s">
        <v>0</v>
      </c>
      <c r="CR127" s="36" t="s">
        <v>0</v>
      </c>
      <c r="CS127" s="38" t="s">
        <v>0</v>
      </c>
      <c r="CT127" s="38" t="s">
        <v>0</v>
      </c>
      <c r="CU127" s="38" t="s">
        <v>0</v>
      </c>
      <c r="CV127" s="38" t="s">
        <v>0</v>
      </c>
      <c r="CW127" s="38" t="s">
        <v>0</v>
      </c>
      <c r="CX127" s="38" t="s">
        <v>0</v>
      </c>
    </row>
    <row r="128" spans="1:102" ht="12" customHeight="1">
      <c r="A128" s="51" t="s">
        <v>935</v>
      </c>
      <c r="B128" s="52" t="s">
        <v>0</v>
      </c>
      <c r="C128" s="52"/>
      <c r="D128" s="52"/>
      <c r="E128" s="52"/>
      <c r="F128" s="52" t="s">
        <v>0</v>
      </c>
      <c r="G128" s="52" t="s">
        <v>0</v>
      </c>
      <c r="H128" s="52" t="s">
        <v>0</v>
      </c>
      <c r="I128" s="52" t="s">
        <v>0</v>
      </c>
      <c r="J128" s="52"/>
      <c r="K128" s="52"/>
      <c r="L128" s="52"/>
      <c r="M128" s="52" t="s">
        <v>0</v>
      </c>
      <c r="N128" s="52" t="s">
        <v>0</v>
      </c>
      <c r="O128" s="52" t="s">
        <v>0</v>
      </c>
      <c r="P128" s="52" t="s">
        <v>0</v>
      </c>
      <c r="Q128" s="52" t="s">
        <v>0</v>
      </c>
      <c r="R128" s="52" t="s">
        <v>0</v>
      </c>
      <c r="S128" s="52" t="s">
        <v>0</v>
      </c>
      <c r="T128" s="52" t="s">
        <v>0</v>
      </c>
      <c r="U128" s="52" t="s">
        <v>0</v>
      </c>
      <c r="V128" s="52" t="s">
        <v>0</v>
      </c>
      <c r="W128" s="52" t="s">
        <v>0</v>
      </c>
      <c r="X128" s="52" t="s">
        <v>0</v>
      </c>
      <c r="Y128" s="52" t="s">
        <v>0</v>
      </c>
      <c r="Z128" s="52"/>
      <c r="AA128" s="52"/>
      <c r="AB128" s="52"/>
      <c r="AC128" s="52"/>
      <c r="AD128" s="52"/>
      <c r="AE128" s="123" t="s">
        <v>0</v>
      </c>
      <c r="AF128" s="52" t="s">
        <v>0</v>
      </c>
      <c r="AG128" s="52" t="s">
        <v>0</v>
      </c>
      <c r="AH128" s="52" t="s">
        <v>0</v>
      </c>
      <c r="AI128" s="52"/>
      <c r="AJ128" s="52"/>
      <c r="AK128" s="52" t="s">
        <v>1729</v>
      </c>
      <c r="AL128" s="52" t="s">
        <v>1729</v>
      </c>
      <c r="AM128" s="52"/>
      <c r="AN128" s="52" t="s">
        <v>1804</v>
      </c>
      <c r="AO128" s="52"/>
      <c r="AP128" s="52"/>
      <c r="AQ128" s="52" t="s">
        <v>0</v>
      </c>
      <c r="AR128" s="52" t="s">
        <v>0</v>
      </c>
      <c r="AS128" s="52" t="s">
        <v>0</v>
      </c>
      <c r="AT128" s="52" t="s">
        <v>0</v>
      </c>
      <c r="AU128" s="52"/>
      <c r="AV128" s="52"/>
      <c r="AW128" s="52" t="s">
        <v>0</v>
      </c>
      <c r="AX128" s="52" t="s">
        <v>0</v>
      </c>
      <c r="AY128" s="52" t="s">
        <v>0</v>
      </c>
      <c r="AZ128" s="52"/>
      <c r="BA128" s="52" t="s">
        <v>0</v>
      </c>
      <c r="BB128" s="52"/>
      <c r="BC128" s="52"/>
      <c r="BD128" s="52" t="s">
        <v>1988</v>
      </c>
      <c r="BE128" s="52"/>
      <c r="BF128" s="52" t="s">
        <v>1988</v>
      </c>
      <c r="BG128" s="52" t="s">
        <v>0</v>
      </c>
      <c r="BH128" s="52"/>
      <c r="BI128" s="52"/>
      <c r="BJ128" s="52"/>
      <c r="BK128" s="52" t="s">
        <v>0</v>
      </c>
      <c r="BL128" s="52" t="s">
        <v>0</v>
      </c>
      <c r="BM128" s="52"/>
      <c r="BN128" s="52"/>
      <c r="BO128" s="52"/>
      <c r="BP128" s="52"/>
      <c r="BQ128" s="52"/>
      <c r="BR128" s="52"/>
      <c r="BS128" s="52"/>
      <c r="BT128" s="52" t="s">
        <v>0</v>
      </c>
      <c r="BU128" s="52" t="s">
        <v>3613</v>
      </c>
      <c r="BV128" s="52" t="s">
        <v>3702</v>
      </c>
      <c r="BW128" s="52" t="s">
        <v>0</v>
      </c>
      <c r="BX128" s="52" t="s">
        <v>0</v>
      </c>
      <c r="BY128" s="52" t="s">
        <v>0</v>
      </c>
      <c r="BZ128" s="52" t="s">
        <v>0</v>
      </c>
      <c r="CA128" s="52"/>
      <c r="CB128" s="52"/>
      <c r="CC128" s="52"/>
      <c r="CD128" s="52" t="s">
        <v>0</v>
      </c>
      <c r="CE128" s="52" t="s">
        <v>0</v>
      </c>
      <c r="CF128" s="52"/>
      <c r="CG128" s="52" t="s">
        <v>0</v>
      </c>
      <c r="CH128" s="52" t="s">
        <v>0</v>
      </c>
      <c r="CI128" s="52" t="s">
        <v>0</v>
      </c>
      <c r="CJ128" s="52" t="s">
        <v>0</v>
      </c>
      <c r="CK128" s="52" t="s">
        <v>0</v>
      </c>
      <c r="CL128" s="52"/>
      <c r="CM128" s="52"/>
      <c r="CN128" s="52"/>
      <c r="CO128" s="52" t="s">
        <v>2116</v>
      </c>
      <c r="CP128" s="52" t="s">
        <v>2855</v>
      </c>
      <c r="CQ128" s="52"/>
      <c r="CR128" s="52"/>
      <c r="CS128" s="52"/>
      <c r="CT128" s="52"/>
      <c r="CU128" s="52"/>
      <c r="CV128" s="52"/>
      <c r="CW128" s="52" t="s">
        <v>0</v>
      </c>
      <c r="CX128" s="52"/>
    </row>
    <row r="129" spans="1:102" ht="22.5" customHeight="1">
      <c r="A129" s="12" t="s">
        <v>135</v>
      </c>
      <c r="B129" s="38" t="s">
        <v>57</v>
      </c>
      <c r="C129" s="38" t="s">
        <v>57</v>
      </c>
      <c r="D129" s="38" t="s">
        <v>0</v>
      </c>
      <c r="E129" s="38" t="s">
        <v>195</v>
      </c>
      <c r="F129" s="38" t="s">
        <v>0</v>
      </c>
      <c r="G129" s="38" t="s">
        <v>195</v>
      </c>
      <c r="H129" s="38" t="s">
        <v>5506</v>
      </c>
      <c r="I129" s="38" t="s">
        <v>57</v>
      </c>
      <c r="J129" s="38" t="s">
        <v>57</v>
      </c>
      <c r="K129" s="38" t="s">
        <v>57</v>
      </c>
      <c r="L129" s="38" t="s">
        <v>57</v>
      </c>
      <c r="M129" s="38" t="s">
        <v>57</v>
      </c>
      <c r="N129" s="38" t="s">
        <v>57</v>
      </c>
      <c r="O129" s="38" t="s">
        <v>57</v>
      </c>
      <c r="P129" s="38" t="s">
        <v>57</v>
      </c>
      <c r="Q129" s="38" t="s">
        <v>57</v>
      </c>
      <c r="R129" s="38" t="s">
        <v>57</v>
      </c>
      <c r="S129" s="38" t="s">
        <v>57</v>
      </c>
      <c r="T129" s="38" t="s">
        <v>57</v>
      </c>
      <c r="U129" s="38" t="s">
        <v>57</v>
      </c>
      <c r="V129" s="38" t="s">
        <v>57</v>
      </c>
      <c r="W129" s="38" t="s">
        <v>57</v>
      </c>
      <c r="X129" s="38" t="s">
        <v>57</v>
      </c>
      <c r="Y129" s="38" t="s">
        <v>57</v>
      </c>
      <c r="Z129" s="36" t="s">
        <v>765</v>
      </c>
      <c r="AA129" s="38" t="s">
        <v>57</v>
      </c>
      <c r="AB129" s="38" t="s">
        <v>57</v>
      </c>
      <c r="AC129" s="38" t="s">
        <v>57</v>
      </c>
      <c r="AD129" s="38" t="s">
        <v>57</v>
      </c>
      <c r="AE129" s="124" t="s">
        <v>57</v>
      </c>
      <c r="AF129" s="38" t="s">
        <v>57</v>
      </c>
      <c r="AG129" s="38" t="s">
        <v>57</v>
      </c>
      <c r="AH129" s="38" t="s">
        <v>0</v>
      </c>
      <c r="AI129" s="7" t="s">
        <v>57</v>
      </c>
      <c r="AJ129" s="33" t="s">
        <v>57</v>
      </c>
      <c r="AK129" s="7" t="s">
        <v>57</v>
      </c>
      <c r="AL129" s="7" t="s">
        <v>57</v>
      </c>
      <c r="AM129" s="34" t="s">
        <v>57</v>
      </c>
      <c r="AN129" s="34" t="s">
        <v>57</v>
      </c>
      <c r="AO129" s="7" t="s">
        <v>0</v>
      </c>
      <c r="AP129" s="34" t="s">
        <v>0</v>
      </c>
      <c r="AQ129" s="7" t="s">
        <v>0</v>
      </c>
      <c r="AR129" s="7" t="s">
        <v>0</v>
      </c>
      <c r="AS129" s="7" t="s">
        <v>0</v>
      </c>
      <c r="AT129" s="7" t="s">
        <v>0</v>
      </c>
      <c r="AU129" s="38" t="s">
        <v>57</v>
      </c>
      <c r="AV129" s="38" t="s">
        <v>57</v>
      </c>
      <c r="AW129" s="34" t="s">
        <v>0</v>
      </c>
      <c r="AX129" s="34" t="s">
        <v>57</v>
      </c>
      <c r="AY129" s="34" t="s">
        <v>57</v>
      </c>
      <c r="AZ129" s="38" t="s">
        <v>57</v>
      </c>
      <c r="BA129" s="38" t="s">
        <v>57</v>
      </c>
      <c r="BB129" s="38" t="s">
        <v>57</v>
      </c>
      <c r="BC129" s="38" t="s">
        <v>57</v>
      </c>
      <c r="BD129" s="38" t="s">
        <v>57</v>
      </c>
      <c r="BE129" s="38" t="s">
        <v>57</v>
      </c>
      <c r="BF129" s="38" t="s">
        <v>57</v>
      </c>
      <c r="BG129" s="38" t="s">
        <v>0</v>
      </c>
      <c r="BH129" s="38" t="s">
        <v>0</v>
      </c>
      <c r="BI129" s="38" t="s">
        <v>57</v>
      </c>
      <c r="BJ129" s="38" t="s">
        <v>57</v>
      </c>
      <c r="BK129" s="36" t="s">
        <v>57</v>
      </c>
      <c r="BL129" s="36" t="s">
        <v>57</v>
      </c>
      <c r="BM129" s="38" t="s">
        <v>0</v>
      </c>
      <c r="BN129" s="38" t="s">
        <v>0</v>
      </c>
      <c r="BO129" s="38" t="s">
        <v>57</v>
      </c>
      <c r="BP129" s="38" t="s">
        <v>0</v>
      </c>
      <c r="BQ129" s="38" t="s">
        <v>57</v>
      </c>
      <c r="BR129" s="38" t="s">
        <v>57</v>
      </c>
      <c r="BS129" s="38" t="s">
        <v>57</v>
      </c>
      <c r="BT129" s="38" t="s">
        <v>0</v>
      </c>
      <c r="BU129" s="38" t="s">
        <v>57</v>
      </c>
      <c r="BV129" s="38" t="s">
        <v>57</v>
      </c>
      <c r="BW129" s="38" t="s">
        <v>57</v>
      </c>
      <c r="BX129" s="38" t="s">
        <v>57</v>
      </c>
      <c r="BY129" s="38" t="s">
        <v>0</v>
      </c>
      <c r="BZ129" s="38" t="s">
        <v>0</v>
      </c>
      <c r="CA129" s="38" t="s">
        <v>0</v>
      </c>
      <c r="CB129" s="38" t="s">
        <v>57</v>
      </c>
      <c r="CC129" s="38" t="s">
        <v>57</v>
      </c>
      <c r="CD129" s="38" t="s">
        <v>57</v>
      </c>
      <c r="CE129" s="38" t="s">
        <v>57</v>
      </c>
      <c r="CF129" s="38" t="s">
        <v>57</v>
      </c>
      <c r="CG129" s="38" t="s">
        <v>57</v>
      </c>
      <c r="CH129" s="38" t="s">
        <v>57</v>
      </c>
      <c r="CI129" s="38" t="s">
        <v>0</v>
      </c>
      <c r="CJ129" s="38" t="s">
        <v>57</v>
      </c>
      <c r="CK129" s="38" t="s">
        <v>57</v>
      </c>
      <c r="CL129" s="38" t="s">
        <v>57</v>
      </c>
      <c r="CM129" s="38" t="s">
        <v>0</v>
      </c>
      <c r="CN129" s="38" t="s">
        <v>57</v>
      </c>
      <c r="CO129" s="38" t="s">
        <v>57</v>
      </c>
      <c r="CP129" s="38" t="s">
        <v>57</v>
      </c>
      <c r="CQ129" s="38" t="s">
        <v>57</v>
      </c>
      <c r="CR129" s="38" t="s">
        <v>57</v>
      </c>
      <c r="CS129" s="38" t="s">
        <v>57</v>
      </c>
      <c r="CT129" s="38" t="s">
        <v>57</v>
      </c>
      <c r="CU129" s="38" t="s">
        <v>57</v>
      </c>
      <c r="CV129" s="38" t="s">
        <v>57</v>
      </c>
      <c r="CW129" s="38" t="s">
        <v>57</v>
      </c>
      <c r="CX129" s="38" t="s">
        <v>57</v>
      </c>
    </row>
    <row r="130" spans="1:102" ht="12" customHeight="1">
      <c r="A130" s="51" t="s">
        <v>935</v>
      </c>
      <c r="B130" s="52" t="s">
        <v>3983</v>
      </c>
      <c r="C130" s="52"/>
      <c r="D130" s="52"/>
      <c r="E130" s="52"/>
      <c r="F130" s="52" t="s">
        <v>0</v>
      </c>
      <c r="G130" s="52" t="s">
        <v>1413</v>
      </c>
      <c r="H130" s="52" t="s">
        <v>5507</v>
      </c>
      <c r="I130" s="52" t="s">
        <v>5508</v>
      </c>
      <c r="J130" s="52"/>
      <c r="K130" s="52"/>
      <c r="L130" s="52"/>
      <c r="M130" s="52" t="s">
        <v>1505</v>
      </c>
      <c r="N130" s="52" t="s">
        <v>1604</v>
      </c>
      <c r="O130" s="52" t="s">
        <v>1547</v>
      </c>
      <c r="P130" s="52" t="s">
        <v>1508</v>
      </c>
      <c r="Q130" s="52" t="s">
        <v>3362</v>
      </c>
      <c r="R130" s="52" t="s">
        <v>3412</v>
      </c>
      <c r="S130" s="52" t="s">
        <v>1508</v>
      </c>
      <c r="T130" s="52" t="s">
        <v>3362</v>
      </c>
      <c r="U130" s="52" t="s">
        <v>3412</v>
      </c>
      <c r="V130" s="52" t="s">
        <v>5299</v>
      </c>
      <c r="W130" s="52" t="s">
        <v>1508</v>
      </c>
      <c r="X130" s="52" t="s">
        <v>3363</v>
      </c>
      <c r="Y130" s="52" t="s">
        <v>1549</v>
      </c>
      <c r="Z130" s="52"/>
      <c r="AA130" s="52"/>
      <c r="AB130" s="52"/>
      <c r="AC130" s="52"/>
      <c r="AD130" s="52"/>
      <c r="AE130" s="123" t="s">
        <v>1664</v>
      </c>
      <c r="AF130" s="52" t="s">
        <v>4709</v>
      </c>
      <c r="AG130" s="52" t="s">
        <v>4709</v>
      </c>
      <c r="AH130" s="52" t="s">
        <v>0</v>
      </c>
      <c r="AI130" s="52"/>
      <c r="AJ130" s="52"/>
      <c r="AK130" s="52" t="s">
        <v>1730</v>
      </c>
      <c r="AL130" s="52" t="s">
        <v>1730</v>
      </c>
      <c r="AM130" s="52"/>
      <c r="AN130" s="52" t="s">
        <v>1804</v>
      </c>
      <c r="AO130" s="52"/>
      <c r="AP130" s="52"/>
      <c r="AQ130" s="52" t="s">
        <v>0</v>
      </c>
      <c r="AR130" s="52" t="s">
        <v>0</v>
      </c>
      <c r="AS130" s="52" t="s">
        <v>0</v>
      </c>
      <c r="AT130" s="52" t="s">
        <v>0</v>
      </c>
      <c r="AU130" s="52"/>
      <c r="AV130" s="52"/>
      <c r="AW130" s="52" t="s">
        <v>0</v>
      </c>
      <c r="AX130" s="52" t="s">
        <v>2975</v>
      </c>
      <c r="AY130" s="52" t="s">
        <v>2935</v>
      </c>
      <c r="AZ130" s="52"/>
      <c r="BA130" s="52" t="s">
        <v>4117</v>
      </c>
      <c r="BB130" s="52"/>
      <c r="BC130" s="52"/>
      <c r="BD130" s="52" t="s">
        <v>1988</v>
      </c>
      <c r="BE130" s="52"/>
      <c r="BF130" s="52" t="s">
        <v>1988</v>
      </c>
      <c r="BG130" s="52" t="s">
        <v>0</v>
      </c>
      <c r="BH130" s="52"/>
      <c r="BI130" s="52"/>
      <c r="BJ130" s="52"/>
      <c r="BK130" s="52" t="s">
        <v>1302</v>
      </c>
      <c r="BL130" s="52" t="s">
        <v>1302</v>
      </c>
      <c r="BM130" s="52"/>
      <c r="BN130" s="52"/>
      <c r="BO130" s="52"/>
      <c r="BP130" s="52"/>
      <c r="BQ130" s="52"/>
      <c r="BR130" s="52"/>
      <c r="BS130" s="52"/>
      <c r="BT130" s="52" t="s">
        <v>0</v>
      </c>
      <c r="BU130" s="52" t="s">
        <v>3613</v>
      </c>
      <c r="BV130" s="52" t="s">
        <v>3703</v>
      </c>
      <c r="BW130" s="52" t="s">
        <v>2464</v>
      </c>
      <c r="BX130" s="52" t="s">
        <v>2464</v>
      </c>
      <c r="BY130" s="52" t="s">
        <v>2464</v>
      </c>
      <c r="BZ130" s="52" t="s">
        <v>0</v>
      </c>
      <c r="CA130" s="52"/>
      <c r="CB130" s="52"/>
      <c r="CC130" s="52"/>
      <c r="CD130" s="52" t="s">
        <v>2556</v>
      </c>
      <c r="CE130" s="52" t="s">
        <v>2547</v>
      </c>
      <c r="CF130" s="52"/>
      <c r="CG130" s="52" t="s">
        <v>2272</v>
      </c>
      <c r="CH130" s="52" t="s">
        <v>2272</v>
      </c>
      <c r="CI130" s="52" t="s">
        <v>0</v>
      </c>
      <c r="CJ130" s="52" t="s">
        <v>4040</v>
      </c>
      <c r="CK130" s="52" t="s">
        <v>2648</v>
      </c>
      <c r="CL130" s="52"/>
      <c r="CM130" s="52"/>
      <c r="CN130" s="52"/>
      <c r="CO130" s="52" t="s">
        <v>2058</v>
      </c>
      <c r="CP130" s="52" t="s">
        <v>2850</v>
      </c>
      <c r="CQ130" s="52"/>
      <c r="CR130" s="52"/>
      <c r="CS130" s="52"/>
      <c r="CT130" s="52"/>
      <c r="CU130" s="52"/>
      <c r="CV130" s="52"/>
      <c r="CW130" s="52" t="s">
        <v>1186</v>
      </c>
      <c r="CX130" s="52"/>
    </row>
    <row r="131" spans="1:102" ht="22.5" customHeight="1">
      <c r="A131" s="12" t="s">
        <v>136</v>
      </c>
      <c r="B131" s="38" t="s">
        <v>0</v>
      </c>
      <c r="C131" s="38" t="s">
        <v>0</v>
      </c>
      <c r="D131" s="38" t="s">
        <v>0</v>
      </c>
      <c r="E131" s="38" t="s">
        <v>0</v>
      </c>
      <c r="F131" s="38" t="s">
        <v>0</v>
      </c>
      <c r="G131" s="38" t="s">
        <v>0</v>
      </c>
      <c r="H131" s="38" t="s">
        <v>0</v>
      </c>
      <c r="I131" s="38" t="s">
        <v>0</v>
      </c>
      <c r="J131" s="38" t="s">
        <v>0</v>
      </c>
      <c r="K131" s="38" t="s">
        <v>0</v>
      </c>
      <c r="L131" s="38" t="s">
        <v>0</v>
      </c>
      <c r="M131" s="38" t="s">
        <v>0</v>
      </c>
      <c r="N131" s="38" t="s">
        <v>0</v>
      </c>
      <c r="O131" s="38" t="s">
        <v>0</v>
      </c>
      <c r="P131" s="38" t="s">
        <v>0</v>
      </c>
      <c r="Q131" s="38" t="s">
        <v>0</v>
      </c>
      <c r="R131" s="38" t="s">
        <v>0</v>
      </c>
      <c r="S131" s="38" t="s">
        <v>0</v>
      </c>
      <c r="T131" s="38" t="s">
        <v>0</v>
      </c>
      <c r="U131" s="38" t="s">
        <v>0</v>
      </c>
      <c r="V131" s="38" t="s">
        <v>0</v>
      </c>
      <c r="W131" s="38" t="s">
        <v>0</v>
      </c>
      <c r="X131" s="38" t="s">
        <v>0</v>
      </c>
      <c r="Y131" s="38" t="s">
        <v>0</v>
      </c>
      <c r="Z131" s="38" t="s">
        <v>0</v>
      </c>
      <c r="AA131" s="38" t="s">
        <v>0</v>
      </c>
      <c r="AB131" s="38" t="s">
        <v>0</v>
      </c>
      <c r="AC131" s="38" t="s">
        <v>0</v>
      </c>
      <c r="AD131" s="38" t="s">
        <v>0</v>
      </c>
      <c r="AE131" s="124" t="s">
        <v>0</v>
      </c>
      <c r="AF131" s="38" t="s">
        <v>0</v>
      </c>
      <c r="AG131" s="38" t="s">
        <v>0</v>
      </c>
      <c r="AH131" s="38" t="s">
        <v>0</v>
      </c>
      <c r="AI131" s="7" t="s">
        <v>427</v>
      </c>
      <c r="AJ131" s="7" t="s">
        <v>427</v>
      </c>
      <c r="AK131" s="7" t="s">
        <v>427</v>
      </c>
      <c r="AL131" s="7" t="s">
        <v>427</v>
      </c>
      <c r="AM131" s="7" t="s">
        <v>0</v>
      </c>
      <c r="AN131" s="7" t="s">
        <v>0</v>
      </c>
      <c r="AO131" s="7" t="s">
        <v>0</v>
      </c>
      <c r="AP131" s="34" t="s">
        <v>0</v>
      </c>
      <c r="AQ131" s="7" t="s">
        <v>0</v>
      </c>
      <c r="AR131" s="7" t="s">
        <v>0</v>
      </c>
      <c r="AS131" s="7" t="s">
        <v>0</v>
      </c>
      <c r="AT131" s="7" t="s">
        <v>0</v>
      </c>
      <c r="AU131" s="38" t="s">
        <v>0</v>
      </c>
      <c r="AV131" s="38" t="s">
        <v>0</v>
      </c>
      <c r="AW131" s="34" t="s">
        <v>0</v>
      </c>
      <c r="AX131" s="34" t="s">
        <v>0</v>
      </c>
      <c r="AY131" s="34" t="s">
        <v>0</v>
      </c>
      <c r="AZ131" s="38" t="s">
        <v>0</v>
      </c>
      <c r="BA131" s="38" t="s">
        <v>0</v>
      </c>
      <c r="BB131" s="38" t="s">
        <v>0</v>
      </c>
      <c r="BC131" s="38" t="s">
        <v>0</v>
      </c>
      <c r="BD131" s="38" t="s">
        <v>0</v>
      </c>
      <c r="BE131" s="38" t="s">
        <v>0</v>
      </c>
      <c r="BF131" s="38" t="s">
        <v>0</v>
      </c>
      <c r="BG131" s="38" t="s">
        <v>0</v>
      </c>
      <c r="BH131" s="38" t="s">
        <v>0</v>
      </c>
      <c r="BI131" s="38" t="s">
        <v>0</v>
      </c>
      <c r="BJ131" s="38" t="s">
        <v>0</v>
      </c>
      <c r="BK131" s="38" t="s">
        <v>0</v>
      </c>
      <c r="BL131" s="38" t="s">
        <v>0</v>
      </c>
      <c r="BM131" s="38" t="s">
        <v>0</v>
      </c>
      <c r="BN131" s="38" t="s">
        <v>0</v>
      </c>
      <c r="BO131" s="38" t="s">
        <v>57</v>
      </c>
      <c r="BP131" s="38" t="s">
        <v>0</v>
      </c>
      <c r="BQ131" s="38" t="s">
        <v>57</v>
      </c>
      <c r="BR131" s="38" t="s">
        <v>57</v>
      </c>
      <c r="BS131" s="36" t="s">
        <v>601</v>
      </c>
      <c r="BT131" s="36" t="s">
        <v>0</v>
      </c>
      <c r="BU131" s="36" t="s">
        <v>0</v>
      </c>
      <c r="BV131" s="36" t="s">
        <v>601</v>
      </c>
      <c r="BW131" s="38" t="s">
        <v>0</v>
      </c>
      <c r="BX131" s="38" t="s">
        <v>0</v>
      </c>
      <c r="BY131" s="38" t="s">
        <v>0</v>
      </c>
      <c r="BZ131" s="38" t="s">
        <v>0</v>
      </c>
      <c r="CA131" s="38" t="s">
        <v>0</v>
      </c>
      <c r="CB131" s="38" t="s">
        <v>0</v>
      </c>
      <c r="CC131" s="38" t="s">
        <v>0</v>
      </c>
      <c r="CD131" s="38" t="s">
        <v>0</v>
      </c>
      <c r="CE131" s="38" t="s">
        <v>0</v>
      </c>
      <c r="CF131" s="38" t="s">
        <v>0</v>
      </c>
      <c r="CG131" s="38" t="s">
        <v>0</v>
      </c>
      <c r="CH131" s="38" t="s">
        <v>0</v>
      </c>
      <c r="CI131" s="38" t="s">
        <v>0</v>
      </c>
      <c r="CJ131" s="38" t="s">
        <v>0</v>
      </c>
      <c r="CK131" s="38" t="s">
        <v>0</v>
      </c>
      <c r="CL131" s="38" t="s">
        <v>0</v>
      </c>
      <c r="CM131" s="38" t="s">
        <v>0</v>
      </c>
      <c r="CN131" s="38" t="s">
        <v>0</v>
      </c>
      <c r="CO131" s="38" t="s">
        <v>0</v>
      </c>
      <c r="CP131" s="38" t="s">
        <v>0</v>
      </c>
      <c r="CQ131" s="36" t="s">
        <v>707</v>
      </c>
      <c r="CR131" s="36" t="s">
        <v>707</v>
      </c>
      <c r="CS131" s="38" t="s">
        <v>0</v>
      </c>
      <c r="CT131" s="38" t="s">
        <v>0</v>
      </c>
      <c r="CU131" s="38" t="s">
        <v>0</v>
      </c>
      <c r="CV131" s="38" t="s">
        <v>0</v>
      </c>
      <c r="CW131" s="38" t="s">
        <v>0</v>
      </c>
      <c r="CX131" s="38" t="s">
        <v>0</v>
      </c>
    </row>
    <row r="132" spans="1:102" ht="12" customHeight="1">
      <c r="A132" s="51" t="s">
        <v>935</v>
      </c>
      <c r="B132" s="52" t="s">
        <v>0</v>
      </c>
      <c r="C132" s="52"/>
      <c r="D132" s="52"/>
      <c r="E132" s="52"/>
      <c r="F132" s="52" t="s">
        <v>0</v>
      </c>
      <c r="G132" s="52" t="s">
        <v>0</v>
      </c>
      <c r="H132" s="52" t="s">
        <v>0</v>
      </c>
      <c r="I132" s="52" t="s">
        <v>0</v>
      </c>
      <c r="J132" s="52"/>
      <c r="K132" s="52"/>
      <c r="L132" s="52"/>
      <c r="M132" s="52" t="s">
        <v>0</v>
      </c>
      <c r="N132" s="52" t="s">
        <v>0</v>
      </c>
      <c r="O132" s="52" t="s">
        <v>0</v>
      </c>
      <c r="P132" s="52" t="s">
        <v>0</v>
      </c>
      <c r="Q132" s="52" t="s">
        <v>0</v>
      </c>
      <c r="R132" s="52" t="s">
        <v>0</v>
      </c>
      <c r="S132" s="52" t="s">
        <v>0</v>
      </c>
      <c r="T132" s="52" t="s">
        <v>0</v>
      </c>
      <c r="U132" s="52" t="s">
        <v>0</v>
      </c>
      <c r="V132" s="52" t="s">
        <v>0</v>
      </c>
      <c r="W132" s="52" t="s">
        <v>0</v>
      </c>
      <c r="X132" s="52" t="s">
        <v>0</v>
      </c>
      <c r="Y132" s="52" t="s">
        <v>0</v>
      </c>
      <c r="Z132" s="52"/>
      <c r="AA132" s="52"/>
      <c r="AB132" s="52"/>
      <c r="AC132" s="52"/>
      <c r="AD132" s="52"/>
      <c r="AE132" s="123" t="s">
        <v>0</v>
      </c>
      <c r="AF132" s="52" t="s">
        <v>0</v>
      </c>
      <c r="AG132" s="52" t="s">
        <v>0</v>
      </c>
      <c r="AH132" s="52" t="s">
        <v>0</v>
      </c>
      <c r="AI132" s="52"/>
      <c r="AJ132" s="52"/>
      <c r="AK132" s="52" t="s">
        <v>1731</v>
      </c>
      <c r="AL132" s="52" t="s">
        <v>1731</v>
      </c>
      <c r="AM132" s="52"/>
      <c r="AN132" s="52" t="s">
        <v>0</v>
      </c>
      <c r="AO132" s="52"/>
      <c r="AP132" s="52"/>
      <c r="AQ132" s="52" t="s">
        <v>0</v>
      </c>
      <c r="AR132" s="52" t="s">
        <v>0</v>
      </c>
      <c r="AS132" s="52" t="s">
        <v>0</v>
      </c>
      <c r="AT132" s="52" t="s">
        <v>0</v>
      </c>
      <c r="AU132" s="52"/>
      <c r="AV132" s="52"/>
      <c r="AW132" s="52" t="s">
        <v>0</v>
      </c>
      <c r="AX132" s="52" t="s">
        <v>0</v>
      </c>
      <c r="AY132" s="52" t="s">
        <v>0</v>
      </c>
      <c r="AZ132" s="52"/>
      <c r="BA132" s="52" t="s">
        <v>0</v>
      </c>
      <c r="BB132" s="52"/>
      <c r="BC132" s="52"/>
      <c r="BD132" s="52" t="s">
        <v>0</v>
      </c>
      <c r="BE132" s="52"/>
      <c r="BF132" s="52" t="s">
        <v>0</v>
      </c>
      <c r="BG132" s="52" t="s">
        <v>0</v>
      </c>
      <c r="BH132" s="52"/>
      <c r="BI132" s="52"/>
      <c r="BJ132" s="52"/>
      <c r="BK132" s="52" t="s">
        <v>0</v>
      </c>
      <c r="BL132" s="52" t="s">
        <v>0</v>
      </c>
      <c r="BM132" s="52"/>
      <c r="BN132" s="52"/>
      <c r="BO132" s="52"/>
      <c r="BP132" s="52"/>
      <c r="BQ132" s="52"/>
      <c r="BR132" s="52"/>
      <c r="BS132" s="52"/>
      <c r="BT132" s="52" t="s">
        <v>0</v>
      </c>
      <c r="BU132" s="52" t="s">
        <v>0</v>
      </c>
      <c r="BV132" s="52" t="s">
        <v>3703</v>
      </c>
      <c r="BW132" s="52" t="s">
        <v>0</v>
      </c>
      <c r="BX132" s="52" t="s">
        <v>0</v>
      </c>
      <c r="BY132" s="52" t="s">
        <v>0</v>
      </c>
      <c r="BZ132" s="52" t="s">
        <v>0</v>
      </c>
      <c r="CA132" s="52"/>
      <c r="CB132" s="52"/>
      <c r="CC132" s="52"/>
      <c r="CD132" s="52" t="s">
        <v>0</v>
      </c>
      <c r="CE132" s="52" t="s">
        <v>0</v>
      </c>
      <c r="CF132" s="52"/>
      <c r="CG132" s="52" t="s">
        <v>0</v>
      </c>
      <c r="CH132" s="52" t="s">
        <v>0</v>
      </c>
      <c r="CI132" s="52" t="s">
        <v>0</v>
      </c>
      <c r="CJ132" s="52" t="s">
        <v>0</v>
      </c>
      <c r="CK132" s="52" t="s">
        <v>0</v>
      </c>
      <c r="CL132" s="52"/>
      <c r="CM132" s="52"/>
      <c r="CN132" s="52"/>
      <c r="CO132" s="52" t="s">
        <v>0</v>
      </c>
      <c r="CP132" s="52" t="s">
        <v>0</v>
      </c>
      <c r="CQ132" s="52"/>
      <c r="CR132" s="52"/>
      <c r="CS132" s="52"/>
      <c r="CT132" s="52"/>
      <c r="CU132" s="52"/>
      <c r="CV132" s="52"/>
      <c r="CW132" s="52" t="s">
        <v>0</v>
      </c>
      <c r="CX132" s="52"/>
    </row>
    <row r="133" spans="1:102" ht="22.5" customHeight="1">
      <c r="A133" s="12" t="s">
        <v>137</v>
      </c>
      <c r="B133" s="38" t="s">
        <v>57</v>
      </c>
      <c r="C133" s="38" t="s">
        <v>57</v>
      </c>
      <c r="D133" s="38" t="s">
        <v>57</v>
      </c>
      <c r="E133" s="38" t="s">
        <v>57</v>
      </c>
      <c r="F133" s="38" t="s">
        <v>57</v>
      </c>
      <c r="G133" s="38" t="s">
        <v>57</v>
      </c>
      <c r="H133" s="38" t="s">
        <v>57</v>
      </c>
      <c r="I133" s="38" t="s">
        <v>57</v>
      </c>
      <c r="J133" s="38" t="s">
        <v>57</v>
      </c>
      <c r="K133" s="38" t="s">
        <v>57</v>
      </c>
      <c r="L133" s="38" t="s">
        <v>57</v>
      </c>
      <c r="M133" s="38" t="s">
        <v>57</v>
      </c>
      <c r="N133" s="38" t="s">
        <v>57</v>
      </c>
      <c r="O133" s="38" t="s">
        <v>57</v>
      </c>
      <c r="P133" s="38" t="s">
        <v>57</v>
      </c>
      <c r="Q133" s="38" t="s">
        <v>57</v>
      </c>
      <c r="R133" s="38" t="s">
        <v>57</v>
      </c>
      <c r="S133" s="38" t="s">
        <v>57</v>
      </c>
      <c r="T133" s="38" t="s">
        <v>57</v>
      </c>
      <c r="U133" s="38" t="s">
        <v>57</v>
      </c>
      <c r="V133" s="38" t="s">
        <v>57</v>
      </c>
      <c r="W133" s="38" t="s">
        <v>57</v>
      </c>
      <c r="X133" s="38" t="s">
        <v>57</v>
      </c>
      <c r="Y133" s="38" t="s">
        <v>57</v>
      </c>
      <c r="Z133" s="36" t="s">
        <v>758</v>
      </c>
      <c r="AA133" s="38" t="s">
        <v>57</v>
      </c>
      <c r="AB133" s="38" t="s">
        <v>57</v>
      </c>
      <c r="AC133" s="38" t="s">
        <v>57</v>
      </c>
      <c r="AD133" s="38" t="s">
        <v>57</v>
      </c>
      <c r="AE133" s="124" t="s">
        <v>57</v>
      </c>
      <c r="AF133" s="38" t="s">
        <v>57</v>
      </c>
      <c r="AG133" s="38" t="s">
        <v>57</v>
      </c>
      <c r="AH133" s="38" t="s">
        <v>57</v>
      </c>
      <c r="AI133" s="7" t="s">
        <v>57</v>
      </c>
      <c r="AJ133" s="7" t="s">
        <v>57</v>
      </c>
      <c r="AK133" s="7" t="s">
        <v>57</v>
      </c>
      <c r="AL133" s="7" t="s">
        <v>57</v>
      </c>
      <c r="AM133" s="7" t="s">
        <v>57</v>
      </c>
      <c r="AN133" s="34" t="s">
        <v>57</v>
      </c>
      <c r="AO133" s="7" t="s">
        <v>0</v>
      </c>
      <c r="AP133" s="33" t="s">
        <v>57</v>
      </c>
      <c r="AQ133" s="7" t="s">
        <v>0</v>
      </c>
      <c r="AR133" s="34" t="s">
        <v>57</v>
      </c>
      <c r="AS133" s="7" t="s">
        <v>0</v>
      </c>
      <c r="AT133" s="34" t="s">
        <v>57</v>
      </c>
      <c r="AU133" s="38" t="s">
        <v>57</v>
      </c>
      <c r="AV133" s="38" t="s">
        <v>57</v>
      </c>
      <c r="AW133" s="34" t="s">
        <v>57</v>
      </c>
      <c r="AX133" s="34" t="s">
        <v>57</v>
      </c>
      <c r="AY133" s="34" t="s">
        <v>57</v>
      </c>
      <c r="AZ133" s="38" t="s">
        <v>57</v>
      </c>
      <c r="BA133" s="38" t="s">
        <v>57</v>
      </c>
      <c r="BB133" s="38" t="s">
        <v>57</v>
      </c>
      <c r="BC133" s="38" t="s">
        <v>57</v>
      </c>
      <c r="BD133" s="36" t="s">
        <v>1989</v>
      </c>
      <c r="BE133" s="38" t="s">
        <v>57</v>
      </c>
      <c r="BF133" s="36" t="s">
        <v>1989</v>
      </c>
      <c r="BG133" s="38" t="s">
        <v>0</v>
      </c>
      <c r="BH133" s="38" t="s">
        <v>56</v>
      </c>
      <c r="BI133" s="38" t="s">
        <v>57</v>
      </c>
      <c r="BJ133" s="38" t="s">
        <v>57</v>
      </c>
      <c r="BK133" s="38" t="s">
        <v>57</v>
      </c>
      <c r="BL133" s="38" t="s">
        <v>57</v>
      </c>
      <c r="BM133" s="38" t="s">
        <v>197</v>
      </c>
      <c r="BN133" s="38" t="s">
        <v>57</v>
      </c>
      <c r="BO133" s="38" t="s">
        <v>57</v>
      </c>
      <c r="BP133" s="38" t="s">
        <v>57</v>
      </c>
      <c r="BQ133" s="38" t="s">
        <v>57</v>
      </c>
      <c r="BR133" s="38" t="s">
        <v>57</v>
      </c>
      <c r="BS133" s="38" t="s">
        <v>57</v>
      </c>
      <c r="BT133" s="38" t="s">
        <v>57</v>
      </c>
      <c r="BU133" s="38" t="s">
        <v>57</v>
      </c>
      <c r="BV133" s="38" t="s">
        <v>57</v>
      </c>
      <c r="BW133" s="38" t="s">
        <v>57</v>
      </c>
      <c r="BX133" s="38" t="s">
        <v>57</v>
      </c>
      <c r="BY133" s="38" t="s">
        <v>57</v>
      </c>
      <c r="BZ133" s="38" t="s">
        <v>57</v>
      </c>
      <c r="CA133" s="38" t="s">
        <v>57</v>
      </c>
      <c r="CB133" s="38" t="s">
        <v>57</v>
      </c>
      <c r="CC133" s="38" t="s">
        <v>57</v>
      </c>
      <c r="CD133" s="38" t="s">
        <v>57</v>
      </c>
      <c r="CE133" s="38" t="s">
        <v>57</v>
      </c>
      <c r="CF133" s="38" t="s">
        <v>57</v>
      </c>
      <c r="CG133" s="38" t="s">
        <v>57</v>
      </c>
      <c r="CH133" s="38" t="s">
        <v>57</v>
      </c>
      <c r="CI133" s="38" t="s">
        <v>57</v>
      </c>
      <c r="CJ133" s="38" t="s">
        <v>57</v>
      </c>
      <c r="CK133" s="38" t="s">
        <v>57</v>
      </c>
      <c r="CL133" s="38" t="s">
        <v>614</v>
      </c>
      <c r="CM133" s="38" t="s">
        <v>614</v>
      </c>
      <c r="CN133" s="38" t="s">
        <v>57</v>
      </c>
      <c r="CO133" s="38" t="s">
        <v>57</v>
      </c>
      <c r="CP133" s="38" t="s">
        <v>57</v>
      </c>
      <c r="CQ133" s="38" t="s">
        <v>57</v>
      </c>
      <c r="CR133" s="38" t="s">
        <v>57</v>
      </c>
      <c r="CS133" s="38" t="s">
        <v>57</v>
      </c>
      <c r="CT133" s="38" t="s">
        <v>57</v>
      </c>
      <c r="CU133" s="38" t="s">
        <v>57</v>
      </c>
      <c r="CV133" s="38" t="s">
        <v>57</v>
      </c>
      <c r="CW133" s="38" t="s">
        <v>57</v>
      </c>
      <c r="CX133" s="38" t="s">
        <v>57</v>
      </c>
    </row>
    <row r="134" spans="1:102" ht="12" customHeight="1">
      <c r="A134" s="51" t="s">
        <v>935</v>
      </c>
      <c r="B134" s="52" t="s">
        <v>3984</v>
      </c>
      <c r="C134" s="52"/>
      <c r="D134" s="52"/>
      <c r="E134" s="52"/>
      <c r="F134" s="52" t="s">
        <v>1452</v>
      </c>
      <c r="G134" s="52" t="s">
        <v>1452</v>
      </c>
      <c r="H134" s="52" t="s">
        <v>1452</v>
      </c>
      <c r="I134" s="52" t="s">
        <v>1452</v>
      </c>
      <c r="J134" s="52"/>
      <c r="K134" s="52"/>
      <c r="L134" s="52"/>
      <c r="M134" s="52" t="s">
        <v>1664</v>
      </c>
      <c r="N134" s="52" t="s">
        <v>1664</v>
      </c>
      <c r="O134" s="52" t="s">
        <v>1664</v>
      </c>
      <c r="P134" s="52" t="s">
        <v>1664</v>
      </c>
      <c r="Q134" s="52" t="s">
        <v>1664</v>
      </c>
      <c r="R134" s="52" t="s">
        <v>1664</v>
      </c>
      <c r="S134" s="52" t="s">
        <v>1664</v>
      </c>
      <c r="T134" s="52" t="s">
        <v>1664</v>
      </c>
      <c r="U134" s="52" t="s">
        <v>1664</v>
      </c>
      <c r="V134" s="52" t="s">
        <v>1664</v>
      </c>
      <c r="W134" s="52" t="s">
        <v>1664</v>
      </c>
      <c r="X134" s="52" t="s">
        <v>1664</v>
      </c>
      <c r="Y134" s="52" t="s">
        <v>1664</v>
      </c>
      <c r="Z134" s="52"/>
      <c r="AA134" s="52"/>
      <c r="AB134" s="52"/>
      <c r="AC134" s="52"/>
      <c r="AD134" s="52"/>
      <c r="AE134" s="123" t="s">
        <v>1664</v>
      </c>
      <c r="AF134" s="52" t="s">
        <v>4708</v>
      </c>
      <c r="AG134" s="52" t="s">
        <v>4708</v>
      </c>
      <c r="AH134" s="52" t="s">
        <v>4708</v>
      </c>
      <c r="AI134" s="52"/>
      <c r="AJ134" s="52"/>
      <c r="AK134" s="52" t="s">
        <v>1732</v>
      </c>
      <c r="AL134" s="52" t="s">
        <v>1732</v>
      </c>
      <c r="AM134" s="52"/>
      <c r="AN134" s="52" t="s">
        <v>1804</v>
      </c>
      <c r="AO134" s="52"/>
      <c r="AP134" s="52"/>
      <c r="AQ134" s="52" t="s">
        <v>0</v>
      </c>
      <c r="AR134" s="52" t="s">
        <v>1856</v>
      </c>
      <c r="AS134" s="52" t="s">
        <v>0</v>
      </c>
      <c r="AT134" s="52" t="s">
        <v>1856</v>
      </c>
      <c r="AU134" s="52"/>
      <c r="AV134" s="52"/>
      <c r="AW134" s="52" t="s">
        <v>3020</v>
      </c>
      <c r="AX134" s="52" t="s">
        <v>3020</v>
      </c>
      <c r="AY134" s="52" t="s">
        <v>3020</v>
      </c>
      <c r="AZ134" s="52"/>
      <c r="BA134" s="52" t="s">
        <v>4154</v>
      </c>
      <c r="BB134" s="52"/>
      <c r="BC134" s="52"/>
      <c r="BD134" s="52" t="s">
        <v>2023</v>
      </c>
      <c r="BE134" s="52"/>
      <c r="BF134" s="52" t="s">
        <v>2023</v>
      </c>
      <c r="BG134" s="52" t="s">
        <v>0</v>
      </c>
      <c r="BH134" s="52"/>
      <c r="BI134" s="52"/>
      <c r="BJ134" s="52"/>
      <c r="BK134" s="52" t="s">
        <v>1369</v>
      </c>
      <c r="BL134" s="52" t="s">
        <v>1369</v>
      </c>
      <c r="BM134" s="52"/>
      <c r="BN134" s="52"/>
      <c r="BO134" s="52"/>
      <c r="BP134" s="52"/>
      <c r="BQ134" s="52"/>
      <c r="BR134" s="52"/>
      <c r="BS134" s="52"/>
      <c r="BT134" s="52" t="s">
        <v>3711</v>
      </c>
      <c r="BU134" s="52" t="s">
        <v>3705</v>
      </c>
      <c r="BV134" s="52" t="s">
        <v>3704</v>
      </c>
      <c r="BW134" s="52" t="s">
        <v>2486</v>
      </c>
      <c r="BX134" s="52" t="s">
        <v>2486</v>
      </c>
      <c r="BY134" s="52" t="s">
        <v>2486</v>
      </c>
      <c r="BZ134" s="52" t="s">
        <v>4598</v>
      </c>
      <c r="CA134" s="52"/>
      <c r="CB134" s="52"/>
      <c r="CC134" s="52"/>
      <c r="CD134" s="52" t="s">
        <v>2607</v>
      </c>
      <c r="CE134" s="52" t="s">
        <v>2607</v>
      </c>
      <c r="CF134" s="52"/>
      <c r="CG134" s="52" t="s">
        <v>2289</v>
      </c>
      <c r="CH134" s="52" t="s">
        <v>2289</v>
      </c>
      <c r="CI134" s="52" t="s">
        <v>3984</v>
      </c>
      <c r="CJ134" s="52" t="s">
        <v>3984</v>
      </c>
      <c r="CK134" s="52" t="s">
        <v>2718</v>
      </c>
      <c r="CL134" s="52"/>
      <c r="CM134" s="52"/>
      <c r="CN134" s="52"/>
      <c r="CO134" s="52" t="s">
        <v>2115</v>
      </c>
      <c r="CP134" s="52" t="s">
        <v>2854</v>
      </c>
      <c r="CQ134" s="52"/>
      <c r="CR134" s="52"/>
      <c r="CS134" s="52"/>
      <c r="CT134" s="52"/>
      <c r="CU134" s="52"/>
      <c r="CV134" s="52"/>
      <c r="CW134" s="52" t="s">
        <v>1186</v>
      </c>
      <c r="CX134" s="52"/>
    </row>
    <row r="135" spans="1:102" ht="22.5" customHeight="1">
      <c r="A135" s="12" t="s">
        <v>138</v>
      </c>
      <c r="B135" s="38" t="s">
        <v>0</v>
      </c>
      <c r="C135" s="38" t="s">
        <v>0</v>
      </c>
      <c r="D135" s="38" t="s">
        <v>57</v>
      </c>
      <c r="E135" s="38" t="s">
        <v>57</v>
      </c>
      <c r="F135" s="38" t="s">
        <v>57</v>
      </c>
      <c r="G135" s="38" t="s">
        <v>57</v>
      </c>
      <c r="H135" s="38" t="s">
        <v>57</v>
      </c>
      <c r="I135" s="38" t="s">
        <v>57</v>
      </c>
      <c r="J135" s="38" t="s">
        <v>0</v>
      </c>
      <c r="K135" s="38" t="s">
        <v>0</v>
      </c>
      <c r="L135" s="38" t="s">
        <v>0</v>
      </c>
      <c r="M135" s="38" t="s">
        <v>0</v>
      </c>
      <c r="N135" s="38" t="s">
        <v>0</v>
      </c>
      <c r="O135" s="38" t="s">
        <v>0</v>
      </c>
      <c r="P135" s="38" t="s">
        <v>0</v>
      </c>
      <c r="Q135" s="38" t="s">
        <v>0</v>
      </c>
      <c r="R135" s="38" t="s">
        <v>0</v>
      </c>
      <c r="S135" s="38" t="s">
        <v>0</v>
      </c>
      <c r="T135" s="38" t="s">
        <v>0</v>
      </c>
      <c r="U135" s="38" t="s">
        <v>0</v>
      </c>
      <c r="V135" s="38" t="s">
        <v>0</v>
      </c>
      <c r="W135" s="38" t="s">
        <v>0</v>
      </c>
      <c r="X135" s="38" t="s">
        <v>0</v>
      </c>
      <c r="Y135" s="38" t="s">
        <v>0</v>
      </c>
      <c r="Z135" s="38" t="s">
        <v>57</v>
      </c>
      <c r="AA135" s="38" t="s">
        <v>57</v>
      </c>
      <c r="AB135" s="38" t="s">
        <v>57</v>
      </c>
      <c r="AC135" s="38" t="s">
        <v>57</v>
      </c>
      <c r="AD135" s="38" t="s">
        <v>57</v>
      </c>
      <c r="AE135" s="124" t="s">
        <v>0</v>
      </c>
      <c r="AF135" s="38" t="s">
        <v>57</v>
      </c>
      <c r="AG135" s="38" t="s">
        <v>57</v>
      </c>
      <c r="AH135" s="38" t="s">
        <v>0</v>
      </c>
      <c r="AI135" s="7" t="s">
        <v>0</v>
      </c>
      <c r="AJ135" s="38" t="s">
        <v>0</v>
      </c>
      <c r="AK135" s="7" t="s">
        <v>1733</v>
      </c>
      <c r="AL135" s="7" t="s">
        <v>1733</v>
      </c>
      <c r="AM135" s="34" t="s">
        <v>0</v>
      </c>
      <c r="AN135" s="7" t="s">
        <v>0</v>
      </c>
      <c r="AO135" s="7" t="s">
        <v>0</v>
      </c>
      <c r="AP135" s="33" t="s">
        <v>0</v>
      </c>
      <c r="AQ135" s="7" t="s">
        <v>0</v>
      </c>
      <c r="AR135" s="7" t="s">
        <v>0</v>
      </c>
      <c r="AS135" s="7" t="s">
        <v>0</v>
      </c>
      <c r="AT135" s="7" t="s">
        <v>0</v>
      </c>
      <c r="AU135" s="38" t="s">
        <v>0</v>
      </c>
      <c r="AV135" s="38" t="s">
        <v>0</v>
      </c>
      <c r="AW135" s="34" t="s">
        <v>0</v>
      </c>
      <c r="AX135" s="34" t="s">
        <v>0</v>
      </c>
      <c r="AY135" s="34" t="s">
        <v>0</v>
      </c>
      <c r="AZ135" s="38" t="s">
        <v>0</v>
      </c>
      <c r="BA135" s="38" t="s">
        <v>57</v>
      </c>
      <c r="BB135" s="38" t="s">
        <v>0</v>
      </c>
      <c r="BC135" s="38" t="s">
        <v>57</v>
      </c>
      <c r="BD135" s="38" t="s">
        <v>57</v>
      </c>
      <c r="BE135" s="38" t="s">
        <v>0</v>
      </c>
      <c r="BF135" s="38" t="s">
        <v>57</v>
      </c>
      <c r="BG135" s="38" t="s">
        <v>0</v>
      </c>
      <c r="BH135" s="38" t="s">
        <v>0</v>
      </c>
      <c r="BI135" s="38" t="s">
        <v>0</v>
      </c>
      <c r="BJ135" s="38" t="s">
        <v>0</v>
      </c>
      <c r="BK135" s="36" t="s">
        <v>1301</v>
      </c>
      <c r="BL135" s="36" t="s">
        <v>1301</v>
      </c>
      <c r="BM135" s="38" t="s">
        <v>0</v>
      </c>
      <c r="BN135" s="38" t="s">
        <v>0</v>
      </c>
      <c r="BO135" s="38" t="s">
        <v>57</v>
      </c>
      <c r="BP135" s="38" t="s">
        <v>0</v>
      </c>
      <c r="BQ135" s="38" t="s">
        <v>57</v>
      </c>
      <c r="BR135" s="38" t="s">
        <v>57</v>
      </c>
      <c r="BS135" s="38" t="s">
        <v>57</v>
      </c>
      <c r="BT135" s="38" t="s">
        <v>57</v>
      </c>
      <c r="BU135" s="38" t="s">
        <v>57</v>
      </c>
      <c r="BV135" s="38" t="s">
        <v>57</v>
      </c>
      <c r="BW135" s="38" t="s">
        <v>0</v>
      </c>
      <c r="BX135" s="38" t="s">
        <v>0</v>
      </c>
      <c r="BY135" s="38" t="s">
        <v>0</v>
      </c>
      <c r="BZ135" s="38" t="s">
        <v>0</v>
      </c>
      <c r="CA135" s="38" t="s">
        <v>0</v>
      </c>
      <c r="CB135" s="38" t="s">
        <v>0</v>
      </c>
      <c r="CC135" s="38" t="s">
        <v>57</v>
      </c>
      <c r="CD135" s="38" t="s">
        <v>57</v>
      </c>
      <c r="CE135" s="38" t="s">
        <v>57</v>
      </c>
      <c r="CF135" s="38" t="s">
        <v>0</v>
      </c>
      <c r="CG135" s="38" t="s">
        <v>57</v>
      </c>
      <c r="CH135" s="38" t="s">
        <v>57</v>
      </c>
      <c r="CI135" s="38" t="s">
        <v>0</v>
      </c>
      <c r="CJ135" s="38" t="s">
        <v>0</v>
      </c>
      <c r="CK135" s="38" t="s">
        <v>0</v>
      </c>
      <c r="CL135" s="38" t="s">
        <v>57</v>
      </c>
      <c r="CM135" s="38" t="s">
        <v>0</v>
      </c>
      <c r="CN135" s="38" t="s">
        <v>0</v>
      </c>
      <c r="CO135" s="38" t="s">
        <v>0</v>
      </c>
      <c r="CP135" s="38" t="s">
        <v>57</v>
      </c>
      <c r="CQ135" s="38" t="s">
        <v>57</v>
      </c>
      <c r="CR135" s="38" t="s">
        <v>57</v>
      </c>
      <c r="CS135" s="38" t="s">
        <v>57</v>
      </c>
      <c r="CT135" s="38" t="s">
        <v>57</v>
      </c>
      <c r="CU135" s="38" t="s">
        <v>57</v>
      </c>
      <c r="CV135" s="38" t="s">
        <v>57</v>
      </c>
      <c r="CW135" s="38" t="s">
        <v>57</v>
      </c>
      <c r="CX135" s="38" t="s">
        <v>0</v>
      </c>
    </row>
    <row r="136" spans="1:102" ht="12" customHeight="1">
      <c r="A136" s="51" t="s">
        <v>935</v>
      </c>
      <c r="B136" s="52" t="s">
        <v>0</v>
      </c>
      <c r="C136" s="52"/>
      <c r="D136" s="52"/>
      <c r="E136" s="52"/>
      <c r="F136" s="52" t="s">
        <v>1403</v>
      </c>
      <c r="G136" s="52" t="s">
        <v>1403</v>
      </c>
      <c r="H136" s="52" t="s">
        <v>1403</v>
      </c>
      <c r="I136" s="52" t="s">
        <v>1403</v>
      </c>
      <c r="J136" s="52"/>
      <c r="K136" s="52"/>
      <c r="L136" s="52"/>
      <c r="M136" s="52" t="s">
        <v>0</v>
      </c>
      <c r="N136" s="52" t="s">
        <v>0</v>
      </c>
      <c r="O136" s="52" t="s">
        <v>0</v>
      </c>
      <c r="P136" s="52" t="s">
        <v>0</v>
      </c>
      <c r="Q136" s="52" t="s">
        <v>0</v>
      </c>
      <c r="R136" s="52" t="s">
        <v>0</v>
      </c>
      <c r="S136" s="52" t="s">
        <v>0</v>
      </c>
      <c r="T136" s="52" t="s">
        <v>0</v>
      </c>
      <c r="U136" s="52" t="s">
        <v>0</v>
      </c>
      <c r="V136" s="52" t="s">
        <v>0</v>
      </c>
      <c r="W136" s="52" t="s">
        <v>0</v>
      </c>
      <c r="X136" s="52" t="s">
        <v>0</v>
      </c>
      <c r="Y136" s="52" t="s">
        <v>0</v>
      </c>
      <c r="Z136" s="52"/>
      <c r="AA136" s="52"/>
      <c r="AB136" s="52"/>
      <c r="AC136" s="52"/>
      <c r="AD136" s="52"/>
      <c r="AE136" s="123" t="s">
        <v>0</v>
      </c>
      <c r="AF136" s="52" t="s">
        <v>4709</v>
      </c>
      <c r="AG136" s="52" t="s">
        <v>4709</v>
      </c>
      <c r="AH136" s="52" t="s">
        <v>0</v>
      </c>
      <c r="AI136" s="52"/>
      <c r="AJ136" s="52"/>
      <c r="AK136" s="52" t="s">
        <v>1732</v>
      </c>
      <c r="AL136" s="52" t="s">
        <v>1732</v>
      </c>
      <c r="AM136" s="52"/>
      <c r="AN136" s="52" t="s">
        <v>0</v>
      </c>
      <c r="AO136" s="52"/>
      <c r="AP136" s="52"/>
      <c r="AQ136" s="52" t="s">
        <v>0</v>
      </c>
      <c r="AR136" s="52" t="s">
        <v>0</v>
      </c>
      <c r="AS136" s="52" t="s">
        <v>0</v>
      </c>
      <c r="AT136" s="52" t="s">
        <v>0</v>
      </c>
      <c r="AU136" s="52"/>
      <c r="AV136" s="52"/>
      <c r="AW136" s="52" t="s">
        <v>0</v>
      </c>
      <c r="AX136" s="52" t="s">
        <v>0</v>
      </c>
      <c r="AY136" s="52" t="s">
        <v>0</v>
      </c>
      <c r="AZ136" s="52"/>
      <c r="BA136" s="52" t="s">
        <v>4117</v>
      </c>
      <c r="BB136" s="52"/>
      <c r="BC136" s="52"/>
      <c r="BD136" s="52" t="s">
        <v>1988</v>
      </c>
      <c r="BE136" s="52"/>
      <c r="BF136" s="52" t="s">
        <v>1988</v>
      </c>
      <c r="BG136" s="52" t="s">
        <v>0</v>
      </c>
      <c r="BH136" s="52"/>
      <c r="BI136" s="52"/>
      <c r="BJ136" s="52"/>
      <c r="BK136" s="52" t="s">
        <v>1300</v>
      </c>
      <c r="BL136" s="52" t="s">
        <v>1300</v>
      </c>
      <c r="BM136" s="52"/>
      <c r="BN136" s="52"/>
      <c r="BO136" s="52"/>
      <c r="BP136" s="52"/>
      <c r="BQ136" s="52"/>
      <c r="BR136" s="52"/>
      <c r="BS136" s="52"/>
      <c r="BT136" s="52" t="s">
        <v>3711</v>
      </c>
      <c r="BU136" s="52" t="s">
        <v>3705</v>
      </c>
      <c r="BV136" s="52" t="s">
        <v>3704</v>
      </c>
      <c r="BW136" s="52" t="s">
        <v>0</v>
      </c>
      <c r="BX136" s="52" t="s">
        <v>0</v>
      </c>
      <c r="BY136" s="52" t="s">
        <v>0</v>
      </c>
      <c r="BZ136" s="52" t="s">
        <v>0</v>
      </c>
      <c r="CA136" s="52"/>
      <c r="CB136" s="52"/>
      <c r="CC136" s="52"/>
      <c r="CD136" s="52" t="s">
        <v>2556</v>
      </c>
      <c r="CE136" s="52" t="s">
        <v>2547</v>
      </c>
      <c r="CF136" s="52"/>
      <c r="CG136" s="52" t="s">
        <v>2273</v>
      </c>
      <c r="CH136" s="52" t="s">
        <v>2273</v>
      </c>
      <c r="CI136" s="52" t="s">
        <v>0</v>
      </c>
      <c r="CJ136" s="52" t="s">
        <v>0</v>
      </c>
      <c r="CK136" s="52" t="s">
        <v>0</v>
      </c>
      <c r="CL136" s="52"/>
      <c r="CM136" s="52"/>
      <c r="CN136" s="52"/>
      <c r="CO136" s="52" t="s">
        <v>0</v>
      </c>
      <c r="CP136" s="52" t="s">
        <v>2854</v>
      </c>
      <c r="CQ136" s="52"/>
      <c r="CR136" s="52"/>
      <c r="CS136" s="52"/>
      <c r="CT136" s="52"/>
      <c r="CU136" s="52"/>
      <c r="CV136" s="52"/>
      <c r="CW136" s="52" t="s">
        <v>1186</v>
      </c>
      <c r="CX136" s="52"/>
    </row>
    <row r="137" spans="1:102" ht="22.5" customHeight="1">
      <c r="A137" s="12" t="s">
        <v>139</v>
      </c>
      <c r="B137" s="38" t="s">
        <v>0</v>
      </c>
      <c r="C137" s="38" t="s">
        <v>0</v>
      </c>
      <c r="D137" s="38" t="s">
        <v>0</v>
      </c>
      <c r="E137" s="38" t="s">
        <v>0</v>
      </c>
      <c r="F137" s="38" t="s">
        <v>0</v>
      </c>
      <c r="G137" s="38" t="s">
        <v>0</v>
      </c>
      <c r="H137" s="38" t="s">
        <v>0</v>
      </c>
      <c r="I137" s="38" t="s">
        <v>0</v>
      </c>
      <c r="J137" s="38" t="s">
        <v>0</v>
      </c>
      <c r="K137" s="38" t="s">
        <v>0</v>
      </c>
      <c r="L137" s="38" t="s">
        <v>0</v>
      </c>
      <c r="M137" s="38" t="s">
        <v>0</v>
      </c>
      <c r="N137" s="38" t="s">
        <v>0</v>
      </c>
      <c r="O137" s="38" t="s">
        <v>0</v>
      </c>
      <c r="P137" s="38" t="s">
        <v>0</v>
      </c>
      <c r="Q137" s="38" t="s">
        <v>0</v>
      </c>
      <c r="R137" s="38" t="s">
        <v>0</v>
      </c>
      <c r="S137" s="38" t="s">
        <v>0</v>
      </c>
      <c r="T137" s="38" t="s">
        <v>0</v>
      </c>
      <c r="U137" s="38" t="s">
        <v>0</v>
      </c>
      <c r="V137" s="38" t="s">
        <v>0</v>
      </c>
      <c r="W137" s="38" t="s">
        <v>0</v>
      </c>
      <c r="X137" s="38" t="s">
        <v>0</v>
      </c>
      <c r="Y137" s="38" t="s">
        <v>0</v>
      </c>
      <c r="Z137" s="38" t="s">
        <v>57</v>
      </c>
      <c r="AA137" s="38" t="s">
        <v>0</v>
      </c>
      <c r="AB137" s="38" t="s">
        <v>0</v>
      </c>
      <c r="AC137" s="38" t="s">
        <v>0</v>
      </c>
      <c r="AD137" s="38" t="s">
        <v>0</v>
      </c>
      <c r="AE137" s="124" t="s">
        <v>0</v>
      </c>
      <c r="AF137" s="36" t="s">
        <v>4710</v>
      </c>
      <c r="AG137" s="36" t="s">
        <v>4710</v>
      </c>
      <c r="AH137" s="38" t="s">
        <v>0</v>
      </c>
      <c r="AI137" s="7" t="s">
        <v>57</v>
      </c>
      <c r="AJ137" s="7" t="s">
        <v>57</v>
      </c>
      <c r="AK137" s="7" t="s">
        <v>57</v>
      </c>
      <c r="AL137" s="7" t="s">
        <v>57</v>
      </c>
      <c r="AM137" s="7" t="s">
        <v>0</v>
      </c>
      <c r="AN137" s="7" t="s">
        <v>0</v>
      </c>
      <c r="AO137" s="7" t="s">
        <v>0</v>
      </c>
      <c r="AP137" s="33" t="s">
        <v>0</v>
      </c>
      <c r="AQ137" s="7" t="s">
        <v>0</v>
      </c>
      <c r="AR137" s="7" t="s">
        <v>0</v>
      </c>
      <c r="AS137" s="7" t="s">
        <v>0</v>
      </c>
      <c r="AT137" s="7" t="s">
        <v>0</v>
      </c>
      <c r="AU137" s="38" t="s">
        <v>0</v>
      </c>
      <c r="AV137" s="38" t="s">
        <v>0</v>
      </c>
      <c r="AW137" s="34" t="s">
        <v>0</v>
      </c>
      <c r="AX137" s="34" t="s">
        <v>0</v>
      </c>
      <c r="AY137" s="34" t="s">
        <v>0</v>
      </c>
      <c r="AZ137" s="38" t="s">
        <v>0</v>
      </c>
      <c r="BA137" s="38" t="s">
        <v>0</v>
      </c>
      <c r="BB137" s="38" t="s">
        <v>0</v>
      </c>
      <c r="BC137" s="38" t="s">
        <v>0</v>
      </c>
      <c r="BD137" s="38" t="s">
        <v>0</v>
      </c>
      <c r="BE137" s="38" t="s">
        <v>0</v>
      </c>
      <c r="BF137" s="38" t="s">
        <v>0</v>
      </c>
      <c r="BG137" s="38" t="s">
        <v>0</v>
      </c>
      <c r="BH137" s="38" t="s">
        <v>0</v>
      </c>
      <c r="BI137" s="38" t="s">
        <v>0</v>
      </c>
      <c r="BJ137" s="38" t="s">
        <v>0</v>
      </c>
      <c r="BK137" s="38" t="s">
        <v>0</v>
      </c>
      <c r="BL137" s="38" t="s">
        <v>0</v>
      </c>
      <c r="BM137" s="38" t="s">
        <v>0</v>
      </c>
      <c r="BN137" s="38" t="s">
        <v>57</v>
      </c>
      <c r="BO137" s="38" t="s">
        <v>57</v>
      </c>
      <c r="BP137" s="38" t="s">
        <v>57</v>
      </c>
      <c r="BQ137" s="38" t="s">
        <v>57</v>
      </c>
      <c r="BR137" s="38" t="s">
        <v>57</v>
      </c>
      <c r="BS137" s="38" t="s">
        <v>57</v>
      </c>
      <c r="BT137" s="38" t="s">
        <v>57</v>
      </c>
      <c r="BU137" s="38" t="s">
        <v>57</v>
      </c>
      <c r="BV137" s="38" t="s">
        <v>57</v>
      </c>
      <c r="BW137" s="38" t="s">
        <v>0</v>
      </c>
      <c r="BX137" s="38" t="s">
        <v>0</v>
      </c>
      <c r="BY137" s="38" t="s">
        <v>0</v>
      </c>
      <c r="BZ137" s="38" t="s">
        <v>0</v>
      </c>
      <c r="CA137" s="38" t="s">
        <v>0</v>
      </c>
      <c r="CB137" s="38" t="s">
        <v>0</v>
      </c>
      <c r="CC137" s="38" t="s">
        <v>0</v>
      </c>
      <c r="CD137" s="38" t="s">
        <v>0</v>
      </c>
      <c r="CE137" s="38" t="s">
        <v>0</v>
      </c>
      <c r="CF137" s="38" t="s">
        <v>0</v>
      </c>
      <c r="CG137" s="38" t="s">
        <v>0</v>
      </c>
      <c r="CH137" s="38" t="s">
        <v>0</v>
      </c>
      <c r="CI137" s="38" t="s">
        <v>0</v>
      </c>
      <c r="CJ137" s="38" t="s">
        <v>0</v>
      </c>
      <c r="CK137" s="38" t="s">
        <v>0</v>
      </c>
      <c r="CL137" s="38" t="s">
        <v>0</v>
      </c>
      <c r="CM137" s="38" t="s">
        <v>0</v>
      </c>
      <c r="CN137" s="38" t="s">
        <v>0</v>
      </c>
      <c r="CO137" s="38" t="s">
        <v>0</v>
      </c>
      <c r="CP137" s="38" t="s">
        <v>0</v>
      </c>
      <c r="CQ137" s="38" t="s">
        <v>0</v>
      </c>
      <c r="CR137" s="38" t="s">
        <v>0</v>
      </c>
      <c r="CS137" s="38" t="s">
        <v>0</v>
      </c>
      <c r="CT137" s="38" t="s">
        <v>0</v>
      </c>
      <c r="CU137" s="38" t="s">
        <v>0</v>
      </c>
      <c r="CV137" s="38" t="s">
        <v>0</v>
      </c>
      <c r="CW137" s="38" t="s">
        <v>0</v>
      </c>
      <c r="CX137" s="38" t="s">
        <v>57</v>
      </c>
    </row>
    <row r="138" spans="1:102" ht="12" customHeight="1">
      <c r="A138" s="51" t="s">
        <v>935</v>
      </c>
      <c r="B138" s="52" t="s">
        <v>0</v>
      </c>
      <c r="C138" s="52"/>
      <c r="D138" s="52"/>
      <c r="E138" s="52"/>
      <c r="F138" s="52" t="s">
        <v>0</v>
      </c>
      <c r="G138" s="52" t="s">
        <v>0</v>
      </c>
      <c r="H138" s="52" t="s">
        <v>0</v>
      </c>
      <c r="I138" s="52" t="s">
        <v>0</v>
      </c>
      <c r="J138" s="52"/>
      <c r="K138" s="52"/>
      <c r="L138" s="52"/>
      <c r="M138" s="52" t="s">
        <v>0</v>
      </c>
      <c r="N138" s="52" t="s">
        <v>0</v>
      </c>
      <c r="O138" s="52" t="s">
        <v>0</v>
      </c>
      <c r="P138" s="52" t="s">
        <v>0</v>
      </c>
      <c r="Q138" s="52" t="s">
        <v>0</v>
      </c>
      <c r="R138" s="52" t="s">
        <v>0</v>
      </c>
      <c r="S138" s="52" t="s">
        <v>0</v>
      </c>
      <c r="T138" s="52" t="s">
        <v>0</v>
      </c>
      <c r="U138" s="52" t="s">
        <v>0</v>
      </c>
      <c r="V138" s="52" t="s">
        <v>0</v>
      </c>
      <c r="W138" s="52" t="s">
        <v>0</v>
      </c>
      <c r="X138" s="52" t="s">
        <v>0</v>
      </c>
      <c r="Y138" s="52" t="s">
        <v>0</v>
      </c>
      <c r="Z138" s="52"/>
      <c r="AA138" s="52"/>
      <c r="AB138" s="52"/>
      <c r="AC138" s="52"/>
      <c r="AD138" s="52"/>
      <c r="AE138" s="123" t="s">
        <v>0</v>
      </c>
      <c r="AF138" s="52" t="s">
        <v>4709</v>
      </c>
      <c r="AG138" s="52" t="s">
        <v>4709</v>
      </c>
      <c r="AH138" s="52" t="s">
        <v>0</v>
      </c>
      <c r="AI138" s="52"/>
      <c r="AJ138" s="52"/>
      <c r="AK138" s="52" t="s">
        <v>1734</v>
      </c>
      <c r="AL138" s="52" t="s">
        <v>1734</v>
      </c>
      <c r="AM138" s="52"/>
      <c r="AN138" s="52" t="s">
        <v>0</v>
      </c>
      <c r="AO138" s="52"/>
      <c r="AP138" s="52"/>
      <c r="AQ138" s="52" t="s">
        <v>0</v>
      </c>
      <c r="AR138" s="52" t="s">
        <v>0</v>
      </c>
      <c r="AS138" s="52" t="s">
        <v>0</v>
      </c>
      <c r="AT138" s="52" t="s">
        <v>0</v>
      </c>
      <c r="AU138" s="52"/>
      <c r="AV138" s="52"/>
      <c r="AW138" s="52" t="s">
        <v>0</v>
      </c>
      <c r="AX138" s="52" t="s">
        <v>0</v>
      </c>
      <c r="AY138" s="52" t="s">
        <v>0</v>
      </c>
      <c r="AZ138" s="52"/>
      <c r="BA138" s="52" t="s">
        <v>0</v>
      </c>
      <c r="BB138" s="52"/>
      <c r="BC138" s="52"/>
      <c r="BD138" s="52" t="s">
        <v>0</v>
      </c>
      <c r="BE138" s="52"/>
      <c r="BF138" s="52" t="s">
        <v>0</v>
      </c>
      <c r="BG138" s="52" t="s">
        <v>0</v>
      </c>
      <c r="BH138" s="52"/>
      <c r="BI138" s="52"/>
      <c r="BJ138" s="52"/>
      <c r="BK138" s="52" t="s">
        <v>0</v>
      </c>
      <c r="BL138" s="52" t="s">
        <v>0</v>
      </c>
      <c r="BM138" s="52"/>
      <c r="BN138" s="52"/>
      <c r="BO138" s="52"/>
      <c r="BP138" s="52"/>
      <c r="BQ138" s="52"/>
      <c r="BR138" s="52"/>
      <c r="BS138" s="52"/>
      <c r="BT138" s="52" t="s">
        <v>3711</v>
      </c>
      <c r="BU138" s="52" t="s">
        <v>3705</v>
      </c>
      <c r="BV138" s="52" t="s">
        <v>3704</v>
      </c>
      <c r="BW138" s="52" t="s">
        <v>0</v>
      </c>
      <c r="BX138" s="52" t="s">
        <v>0</v>
      </c>
      <c r="BY138" s="52" t="s">
        <v>0</v>
      </c>
      <c r="BZ138" s="52" t="s">
        <v>0</v>
      </c>
      <c r="CA138" s="52"/>
      <c r="CB138" s="52"/>
      <c r="CC138" s="52"/>
      <c r="CD138" s="52" t="s">
        <v>0</v>
      </c>
      <c r="CE138" s="52" t="s">
        <v>0</v>
      </c>
      <c r="CF138" s="52"/>
      <c r="CG138" s="52" t="s">
        <v>0</v>
      </c>
      <c r="CH138" s="52" t="s">
        <v>0</v>
      </c>
      <c r="CI138" s="52" t="s">
        <v>0</v>
      </c>
      <c r="CJ138" s="52" t="s">
        <v>0</v>
      </c>
      <c r="CK138" s="52" t="s">
        <v>0</v>
      </c>
      <c r="CL138" s="52"/>
      <c r="CM138" s="52"/>
      <c r="CN138" s="52"/>
      <c r="CO138" s="52" t="s">
        <v>0</v>
      </c>
      <c r="CP138" s="52" t="s">
        <v>0</v>
      </c>
      <c r="CQ138" s="52"/>
      <c r="CR138" s="52"/>
      <c r="CS138" s="52"/>
      <c r="CT138" s="52"/>
      <c r="CU138" s="52"/>
      <c r="CV138" s="52"/>
      <c r="CW138" s="52" t="s">
        <v>0</v>
      </c>
      <c r="CX138" s="52"/>
    </row>
    <row r="139" spans="1:102" ht="22.5" customHeight="1">
      <c r="A139" s="12" t="s">
        <v>141</v>
      </c>
      <c r="B139" s="38" t="s">
        <v>0</v>
      </c>
      <c r="C139" s="38" t="s">
        <v>0</v>
      </c>
      <c r="D139" s="38" t="s">
        <v>0</v>
      </c>
      <c r="E139" s="38" t="s">
        <v>0</v>
      </c>
      <c r="F139" s="38" t="s">
        <v>0</v>
      </c>
      <c r="G139" s="38" t="s">
        <v>0</v>
      </c>
      <c r="H139" s="38" t="s">
        <v>0</v>
      </c>
      <c r="I139" s="38" t="s">
        <v>0</v>
      </c>
      <c r="J139" s="38" t="s">
        <v>0</v>
      </c>
      <c r="K139" s="38" t="s">
        <v>0</v>
      </c>
      <c r="L139" s="38" t="s">
        <v>0</v>
      </c>
      <c r="M139" s="38" t="s">
        <v>0</v>
      </c>
      <c r="N139" s="38" t="s">
        <v>0</v>
      </c>
      <c r="O139" s="38" t="s">
        <v>0</v>
      </c>
      <c r="P139" s="38" t="s">
        <v>0</v>
      </c>
      <c r="Q139" s="38" t="s">
        <v>0</v>
      </c>
      <c r="R139" s="38" t="s">
        <v>0</v>
      </c>
      <c r="S139" s="38" t="s">
        <v>0</v>
      </c>
      <c r="T139" s="38" t="s">
        <v>0</v>
      </c>
      <c r="U139" s="38" t="s">
        <v>0</v>
      </c>
      <c r="V139" s="38" t="s">
        <v>0</v>
      </c>
      <c r="W139" s="38" t="s">
        <v>0</v>
      </c>
      <c r="X139" s="38" t="s">
        <v>0</v>
      </c>
      <c r="Y139" s="38" t="s">
        <v>0</v>
      </c>
      <c r="Z139" s="36" t="s">
        <v>750</v>
      </c>
      <c r="AA139" s="38" t="s">
        <v>0</v>
      </c>
      <c r="AB139" s="38" t="s">
        <v>0</v>
      </c>
      <c r="AC139" s="38" t="s">
        <v>0</v>
      </c>
      <c r="AD139" s="38" t="s">
        <v>0</v>
      </c>
      <c r="AE139" s="124" t="s">
        <v>0</v>
      </c>
      <c r="AF139" s="38" t="s">
        <v>0</v>
      </c>
      <c r="AG139" s="38" t="s">
        <v>0</v>
      </c>
      <c r="AH139" s="38" t="s">
        <v>0</v>
      </c>
      <c r="AI139" s="7" t="s">
        <v>0</v>
      </c>
      <c r="AJ139" s="33" t="s">
        <v>0</v>
      </c>
      <c r="AK139" s="7" t="s">
        <v>0</v>
      </c>
      <c r="AL139" s="7" t="s">
        <v>0</v>
      </c>
      <c r="AM139" s="34" t="s">
        <v>0</v>
      </c>
      <c r="AN139" s="7" t="s">
        <v>0</v>
      </c>
      <c r="AO139" s="7" t="s">
        <v>0</v>
      </c>
      <c r="AP139" s="33" t="s">
        <v>0</v>
      </c>
      <c r="AQ139" s="7" t="s">
        <v>0</v>
      </c>
      <c r="AR139" s="7" t="s">
        <v>0</v>
      </c>
      <c r="AS139" s="7" t="s">
        <v>0</v>
      </c>
      <c r="AT139" s="7" t="s">
        <v>0</v>
      </c>
      <c r="AU139" s="38" t="s">
        <v>0</v>
      </c>
      <c r="AV139" s="38" t="s">
        <v>0</v>
      </c>
      <c r="AW139" s="34" t="s">
        <v>0</v>
      </c>
      <c r="AX139" s="34" t="s">
        <v>0</v>
      </c>
      <c r="AY139" s="34" t="s">
        <v>0</v>
      </c>
      <c r="AZ139" s="38" t="s">
        <v>0</v>
      </c>
      <c r="BA139" s="38" t="s">
        <v>0</v>
      </c>
      <c r="BB139" s="38" t="s">
        <v>0</v>
      </c>
      <c r="BC139" s="38" t="s">
        <v>0</v>
      </c>
      <c r="BD139" s="38" t="s">
        <v>0</v>
      </c>
      <c r="BE139" s="38" t="s">
        <v>0</v>
      </c>
      <c r="BF139" s="38" t="s">
        <v>0</v>
      </c>
      <c r="BG139" s="38" t="s">
        <v>0</v>
      </c>
      <c r="BH139" s="38" t="s">
        <v>0</v>
      </c>
      <c r="BI139" s="36" t="s">
        <v>880</v>
      </c>
      <c r="BJ139" s="36" t="s">
        <v>880</v>
      </c>
      <c r="BK139" s="38" t="s">
        <v>0</v>
      </c>
      <c r="BL139" s="38" t="s">
        <v>57</v>
      </c>
      <c r="BM139" s="38" t="s">
        <v>0</v>
      </c>
      <c r="BN139" s="38" t="s">
        <v>0</v>
      </c>
      <c r="BO139" s="38" t="s">
        <v>57</v>
      </c>
      <c r="BP139" s="38" t="s">
        <v>0</v>
      </c>
      <c r="BQ139" s="38" t="s">
        <v>57</v>
      </c>
      <c r="BR139" s="38" t="s">
        <v>0</v>
      </c>
      <c r="BS139" s="38" t="s">
        <v>0</v>
      </c>
      <c r="BT139" s="38" t="s">
        <v>0</v>
      </c>
      <c r="BU139" s="38" t="s">
        <v>0</v>
      </c>
      <c r="BV139" s="38" t="s">
        <v>0</v>
      </c>
      <c r="BW139" s="38" t="s">
        <v>0</v>
      </c>
      <c r="BX139" s="38" t="s">
        <v>0</v>
      </c>
      <c r="BY139" s="38" t="s">
        <v>0</v>
      </c>
      <c r="BZ139" s="38" t="s">
        <v>0</v>
      </c>
      <c r="CA139" s="38" t="s">
        <v>0</v>
      </c>
      <c r="CB139" s="38" t="s">
        <v>0</v>
      </c>
      <c r="CC139" s="38" t="s">
        <v>0</v>
      </c>
      <c r="CD139" s="38" t="s">
        <v>0</v>
      </c>
      <c r="CE139" s="38" t="s">
        <v>0</v>
      </c>
      <c r="CF139" s="38" t="s">
        <v>0</v>
      </c>
      <c r="CG139" s="38" t="s">
        <v>0</v>
      </c>
      <c r="CH139" s="38" t="s">
        <v>0</v>
      </c>
      <c r="CI139" s="38" t="s">
        <v>0</v>
      </c>
      <c r="CJ139" s="38" t="s">
        <v>0</v>
      </c>
      <c r="CK139" s="38" t="s">
        <v>0</v>
      </c>
      <c r="CL139" s="38" t="s">
        <v>0</v>
      </c>
      <c r="CM139" s="38" t="s">
        <v>0</v>
      </c>
      <c r="CN139" s="38" t="s">
        <v>0</v>
      </c>
      <c r="CO139" s="38" t="s">
        <v>0</v>
      </c>
      <c r="CP139" s="38" t="s">
        <v>0</v>
      </c>
      <c r="CQ139" s="38" t="s">
        <v>0</v>
      </c>
      <c r="CR139" s="38" t="s">
        <v>0</v>
      </c>
      <c r="CS139" s="38" t="s">
        <v>0</v>
      </c>
      <c r="CT139" s="38" t="s">
        <v>0</v>
      </c>
      <c r="CU139" s="38" t="s">
        <v>0</v>
      </c>
      <c r="CV139" s="38" t="s">
        <v>0</v>
      </c>
      <c r="CW139" s="38" t="s">
        <v>0</v>
      </c>
      <c r="CX139" s="38" t="s">
        <v>0</v>
      </c>
    </row>
    <row r="140" spans="1:102" ht="12" customHeight="1">
      <c r="A140" s="51" t="s">
        <v>935</v>
      </c>
      <c r="B140" s="52" t="s">
        <v>3991</v>
      </c>
      <c r="C140" s="52"/>
      <c r="D140" s="52"/>
      <c r="E140" s="52"/>
      <c r="F140" s="52" t="s">
        <v>1453</v>
      </c>
      <c r="G140" s="52" t="s">
        <v>1453</v>
      </c>
      <c r="H140" s="52" t="s">
        <v>1453</v>
      </c>
      <c r="I140" s="52" t="s">
        <v>1453</v>
      </c>
      <c r="J140" s="52"/>
      <c r="K140" s="52"/>
      <c r="L140" s="52"/>
      <c r="M140" s="52" t="s">
        <v>1675</v>
      </c>
      <c r="N140" s="52" t="s">
        <v>1675</v>
      </c>
      <c r="O140" s="52" t="s">
        <v>1675</v>
      </c>
      <c r="P140" s="52" t="s">
        <v>1675</v>
      </c>
      <c r="Q140" s="52" t="s">
        <v>1675</v>
      </c>
      <c r="R140" s="52" t="s">
        <v>1675</v>
      </c>
      <c r="S140" s="52" t="s">
        <v>1675</v>
      </c>
      <c r="T140" s="52" t="s">
        <v>1675</v>
      </c>
      <c r="U140" s="52" t="s">
        <v>1675</v>
      </c>
      <c r="V140" s="52" t="s">
        <v>1675</v>
      </c>
      <c r="W140" s="52" t="s">
        <v>1675</v>
      </c>
      <c r="X140" s="52" t="s">
        <v>1675</v>
      </c>
      <c r="Y140" s="52" t="s">
        <v>1675</v>
      </c>
      <c r="Z140" s="52"/>
      <c r="AA140" s="52"/>
      <c r="AB140" s="52"/>
      <c r="AC140" s="52"/>
      <c r="AD140" s="52"/>
      <c r="AE140" s="123" t="s">
        <v>5683</v>
      </c>
      <c r="AF140" s="52" t="s">
        <v>4711</v>
      </c>
      <c r="AG140" s="52" t="s">
        <v>4711</v>
      </c>
      <c r="AH140" s="52" t="s">
        <v>4711</v>
      </c>
      <c r="AI140" s="52"/>
      <c r="AJ140" s="52"/>
      <c r="AK140" s="52" t="s">
        <v>1735</v>
      </c>
      <c r="AL140" s="52" t="s">
        <v>1735</v>
      </c>
      <c r="AM140" s="52"/>
      <c r="AN140" s="52" t="s">
        <v>0</v>
      </c>
      <c r="AO140" s="52"/>
      <c r="AP140" s="52"/>
      <c r="AQ140" s="52" t="s">
        <v>1911</v>
      </c>
      <c r="AR140" s="52" t="s">
        <v>1911</v>
      </c>
      <c r="AS140" s="52" t="s">
        <v>1911</v>
      </c>
      <c r="AT140" s="52" t="s">
        <v>1911</v>
      </c>
      <c r="AU140" s="52"/>
      <c r="AV140" s="52"/>
      <c r="AW140" s="52" t="s">
        <v>3021</v>
      </c>
      <c r="AX140" s="52" t="s">
        <v>3021</v>
      </c>
      <c r="AY140" s="52" t="s">
        <v>3021</v>
      </c>
      <c r="AZ140" s="52"/>
      <c r="BA140" s="52" t="s">
        <v>2024</v>
      </c>
      <c r="BB140" s="52"/>
      <c r="BC140" s="52"/>
      <c r="BD140" s="52" t="s">
        <v>2024</v>
      </c>
      <c r="BE140" s="52"/>
      <c r="BF140" s="52" t="s">
        <v>2024</v>
      </c>
      <c r="BG140" s="52" t="s">
        <v>4093</v>
      </c>
      <c r="BH140" s="52"/>
      <c r="BI140" s="52"/>
      <c r="BJ140" s="52"/>
      <c r="BK140" s="52" t="s">
        <v>1345</v>
      </c>
      <c r="BL140" s="52" t="s">
        <v>1269</v>
      </c>
      <c r="BM140" s="52"/>
      <c r="BN140" s="52"/>
      <c r="BO140" s="52"/>
      <c r="BP140" s="52"/>
      <c r="BQ140" s="52"/>
      <c r="BR140" s="52"/>
      <c r="BS140" s="52"/>
      <c r="BT140" s="52" t="s">
        <v>3712</v>
      </c>
      <c r="BU140" s="52" t="s">
        <v>3614</v>
      </c>
      <c r="BV140" s="52" t="s">
        <v>3517</v>
      </c>
      <c r="BW140" s="52" t="s">
        <v>2485</v>
      </c>
      <c r="BX140" s="52" t="s">
        <v>2485</v>
      </c>
      <c r="BY140" s="52" t="s">
        <v>2485</v>
      </c>
      <c r="BZ140" s="52" t="s">
        <v>4044</v>
      </c>
      <c r="CA140" s="52"/>
      <c r="CB140" s="52"/>
      <c r="CC140" s="52"/>
      <c r="CD140" s="52" t="s">
        <v>2608</v>
      </c>
      <c r="CE140" s="52" t="s">
        <v>2608</v>
      </c>
      <c r="CF140" s="52"/>
      <c r="CG140" s="52" t="s">
        <v>2290</v>
      </c>
      <c r="CH140" s="52" t="s">
        <v>2290</v>
      </c>
      <c r="CI140" s="52" t="s">
        <v>4044</v>
      </c>
      <c r="CJ140" s="52" t="s">
        <v>4044</v>
      </c>
      <c r="CK140" s="52" t="s">
        <v>2719</v>
      </c>
      <c r="CL140" s="52"/>
      <c r="CM140" s="52"/>
      <c r="CN140" s="52"/>
      <c r="CO140" s="52" t="s">
        <v>2117</v>
      </c>
      <c r="CP140" s="52" t="s">
        <v>2856</v>
      </c>
      <c r="CQ140" s="52"/>
      <c r="CR140" s="52"/>
      <c r="CS140" s="52"/>
      <c r="CT140" s="52"/>
      <c r="CU140" s="52"/>
      <c r="CV140" s="52"/>
      <c r="CW140" s="52" t="s">
        <v>1215</v>
      </c>
      <c r="CX140" s="52"/>
    </row>
    <row r="141" spans="1:102" s="40" customFormat="1" ht="22.5" customHeight="1">
      <c r="A141" s="29" t="s">
        <v>128</v>
      </c>
      <c r="B141" s="38" t="s">
        <v>140</v>
      </c>
      <c r="C141" s="38" t="s">
        <v>140</v>
      </c>
      <c r="D141" s="38" t="s">
        <v>0</v>
      </c>
      <c r="E141" s="38" t="s">
        <v>140</v>
      </c>
      <c r="F141" s="38" t="s">
        <v>0</v>
      </c>
      <c r="G141" s="38" t="s">
        <v>140</v>
      </c>
      <c r="H141" s="38" t="s">
        <v>0</v>
      </c>
      <c r="I141" s="38" t="s">
        <v>140</v>
      </c>
      <c r="J141" s="38" t="s">
        <v>140</v>
      </c>
      <c r="K141" s="38" t="s">
        <v>140</v>
      </c>
      <c r="L141" s="38" t="s">
        <v>140</v>
      </c>
      <c r="M141" s="38" t="s">
        <v>140</v>
      </c>
      <c r="N141" s="38" t="s">
        <v>140</v>
      </c>
      <c r="O141" s="38" t="s">
        <v>140</v>
      </c>
      <c r="P141" s="38" t="s">
        <v>140</v>
      </c>
      <c r="Q141" s="38" t="s">
        <v>140</v>
      </c>
      <c r="R141" s="38" t="s">
        <v>140</v>
      </c>
      <c r="S141" s="38" t="s">
        <v>140</v>
      </c>
      <c r="T141" s="38" t="s">
        <v>140</v>
      </c>
      <c r="U141" s="38" t="s">
        <v>140</v>
      </c>
      <c r="V141" s="38" t="s">
        <v>140</v>
      </c>
      <c r="W141" s="38" t="s">
        <v>140</v>
      </c>
      <c r="X141" s="38" t="s">
        <v>140</v>
      </c>
      <c r="Y141" s="38" t="s">
        <v>140</v>
      </c>
      <c r="Z141" s="38" t="s">
        <v>140</v>
      </c>
      <c r="AA141" s="38" t="s">
        <v>140</v>
      </c>
      <c r="AB141" s="38" t="s">
        <v>140</v>
      </c>
      <c r="AC141" s="38" t="s">
        <v>140</v>
      </c>
      <c r="AD141" s="38" t="s">
        <v>140</v>
      </c>
      <c r="AE141" s="124" t="s">
        <v>0</v>
      </c>
      <c r="AF141" s="38" t="s">
        <v>140</v>
      </c>
      <c r="AG141" s="38" t="s">
        <v>140</v>
      </c>
      <c r="AH141" s="38" t="s">
        <v>0</v>
      </c>
      <c r="AI141" s="7" t="s">
        <v>428</v>
      </c>
      <c r="AJ141" s="7" t="s">
        <v>428</v>
      </c>
      <c r="AK141" s="38" t="s">
        <v>140</v>
      </c>
      <c r="AL141" s="38" t="s">
        <v>140</v>
      </c>
      <c r="AM141" s="7" t="s">
        <v>140</v>
      </c>
      <c r="AN141" s="7" t="s">
        <v>140</v>
      </c>
      <c r="AO141" s="7" t="s">
        <v>0</v>
      </c>
      <c r="AP141" s="34" t="s">
        <v>0</v>
      </c>
      <c r="AQ141" s="7" t="s">
        <v>0</v>
      </c>
      <c r="AR141" s="7" t="s">
        <v>0</v>
      </c>
      <c r="AS141" s="7" t="s">
        <v>0</v>
      </c>
      <c r="AT141" s="7" t="s">
        <v>0</v>
      </c>
      <c r="AU141" s="38" t="s">
        <v>140</v>
      </c>
      <c r="AV141" s="38" t="s">
        <v>140</v>
      </c>
      <c r="AW141" s="34" t="s">
        <v>0</v>
      </c>
      <c r="AX141" s="34" t="s">
        <v>140</v>
      </c>
      <c r="AY141" s="34" t="s">
        <v>140</v>
      </c>
      <c r="AZ141" s="38" t="s">
        <v>140</v>
      </c>
      <c r="BA141" s="38" t="s">
        <v>140</v>
      </c>
      <c r="BB141" s="38" t="s">
        <v>140</v>
      </c>
      <c r="BC141" s="38" t="s">
        <v>140</v>
      </c>
      <c r="BD141" s="38" t="s">
        <v>140</v>
      </c>
      <c r="BE141" s="38" t="s">
        <v>140</v>
      </c>
      <c r="BF141" s="38" t="s">
        <v>140</v>
      </c>
      <c r="BG141" s="38" t="s">
        <v>0</v>
      </c>
      <c r="BH141" s="38" t="s">
        <v>0</v>
      </c>
      <c r="BI141" s="38" t="s">
        <v>140</v>
      </c>
      <c r="BJ141" s="38" t="s">
        <v>140</v>
      </c>
      <c r="BK141" s="38" t="s">
        <v>352</v>
      </c>
      <c r="BL141" s="38" t="s">
        <v>352</v>
      </c>
      <c r="BM141" s="38" t="s">
        <v>0</v>
      </c>
      <c r="BN141" s="38" t="s">
        <v>140</v>
      </c>
      <c r="BO141" s="38" t="s">
        <v>140</v>
      </c>
      <c r="BP141" s="38" t="s">
        <v>140</v>
      </c>
      <c r="BQ141" s="38" t="s">
        <v>140</v>
      </c>
      <c r="BR141" s="38" t="s">
        <v>140</v>
      </c>
      <c r="BS141" s="38" t="s">
        <v>140</v>
      </c>
      <c r="BT141" s="36" t="s">
        <v>0</v>
      </c>
      <c r="BU141" s="38" t="s">
        <v>140</v>
      </c>
      <c r="BV141" s="38" t="s">
        <v>140</v>
      </c>
      <c r="BW141" s="38" t="s">
        <v>140</v>
      </c>
      <c r="BX141" s="38" t="s">
        <v>140</v>
      </c>
      <c r="BY141" s="38" t="s">
        <v>140</v>
      </c>
      <c r="BZ141" s="38" t="s">
        <v>0</v>
      </c>
      <c r="CA141" s="38" t="s">
        <v>0</v>
      </c>
      <c r="CB141" s="38" t="s">
        <v>0</v>
      </c>
      <c r="CC141" s="38" t="s">
        <v>140</v>
      </c>
      <c r="CD141" s="38" t="s">
        <v>140</v>
      </c>
      <c r="CE141" s="38" t="s">
        <v>140</v>
      </c>
      <c r="CF141" s="38" t="s">
        <v>140</v>
      </c>
      <c r="CG141" s="38" t="s">
        <v>140</v>
      </c>
      <c r="CH141" s="38" t="s">
        <v>140</v>
      </c>
      <c r="CI141" s="38" t="s">
        <v>0</v>
      </c>
      <c r="CJ141" s="38" t="s">
        <v>352</v>
      </c>
      <c r="CK141" s="38" t="s">
        <v>140</v>
      </c>
      <c r="CL141" s="38" t="s">
        <v>140</v>
      </c>
      <c r="CM141" s="38" t="s">
        <v>0</v>
      </c>
      <c r="CN141" s="38" t="s">
        <v>140</v>
      </c>
      <c r="CO141" s="38" t="s">
        <v>140</v>
      </c>
      <c r="CP141" s="38" t="s">
        <v>140</v>
      </c>
      <c r="CQ141" s="38" t="s">
        <v>140</v>
      </c>
      <c r="CR141" s="38" t="s">
        <v>140</v>
      </c>
      <c r="CS141" s="38" t="s">
        <v>140</v>
      </c>
      <c r="CT141" s="38" t="s">
        <v>140</v>
      </c>
      <c r="CU141" s="38" t="s">
        <v>140</v>
      </c>
      <c r="CV141" s="38" t="s">
        <v>140</v>
      </c>
      <c r="CW141" s="38" t="s">
        <v>352</v>
      </c>
      <c r="CX141" s="38" t="s">
        <v>140</v>
      </c>
    </row>
    <row r="142" spans="1:102" ht="12" customHeight="1">
      <c r="A142" s="51" t="s">
        <v>935</v>
      </c>
      <c r="B142" s="52" t="s">
        <v>0</v>
      </c>
      <c r="C142" s="52"/>
      <c r="D142" s="52"/>
      <c r="E142" s="52"/>
      <c r="F142" s="52" t="s">
        <v>0</v>
      </c>
      <c r="G142" s="52" t="s">
        <v>0</v>
      </c>
      <c r="H142" s="52" t="s">
        <v>0</v>
      </c>
      <c r="I142" s="52" t="s">
        <v>0</v>
      </c>
      <c r="J142" s="52"/>
      <c r="K142" s="52"/>
      <c r="L142" s="52"/>
      <c r="M142" s="52" t="s">
        <v>0</v>
      </c>
      <c r="N142" s="52" t="s">
        <v>0</v>
      </c>
      <c r="O142" s="52" t="s">
        <v>0</v>
      </c>
      <c r="P142" s="52" t="s">
        <v>0</v>
      </c>
      <c r="Q142" s="52" t="s">
        <v>0</v>
      </c>
      <c r="R142" s="52" t="s">
        <v>0</v>
      </c>
      <c r="S142" s="52" t="s">
        <v>0</v>
      </c>
      <c r="T142" s="52" t="s">
        <v>0</v>
      </c>
      <c r="U142" s="52" t="s">
        <v>0</v>
      </c>
      <c r="V142" s="52" t="s">
        <v>0</v>
      </c>
      <c r="W142" s="52" t="s">
        <v>0</v>
      </c>
      <c r="X142" s="52" t="s">
        <v>0</v>
      </c>
      <c r="Y142" s="52" t="s">
        <v>0</v>
      </c>
      <c r="Z142" s="52"/>
      <c r="AA142" s="52"/>
      <c r="AB142" s="52"/>
      <c r="AC142" s="52"/>
      <c r="AD142" s="52"/>
      <c r="AE142" s="123" t="s">
        <v>0</v>
      </c>
      <c r="AF142" s="52" t="s">
        <v>0</v>
      </c>
      <c r="AG142" s="52" t="s">
        <v>0</v>
      </c>
      <c r="AH142" s="52" t="s">
        <v>0</v>
      </c>
      <c r="AI142" s="52"/>
      <c r="AJ142" s="52"/>
      <c r="AK142" s="52" t="s">
        <v>0</v>
      </c>
      <c r="AL142" s="52" t="s">
        <v>0</v>
      </c>
      <c r="AM142" s="52"/>
      <c r="AN142" s="52" t="s">
        <v>0</v>
      </c>
      <c r="AO142" s="52"/>
      <c r="AP142" s="52"/>
      <c r="AQ142" s="52" t="s">
        <v>0</v>
      </c>
      <c r="AR142" s="52" t="s">
        <v>0</v>
      </c>
      <c r="AS142" s="52" t="s">
        <v>0</v>
      </c>
      <c r="AT142" s="52" t="s">
        <v>0</v>
      </c>
      <c r="AU142" s="52"/>
      <c r="AV142" s="52"/>
      <c r="AW142" s="52" t="s">
        <v>0</v>
      </c>
      <c r="AX142" s="52" t="s">
        <v>0</v>
      </c>
      <c r="AY142" s="52" t="s">
        <v>0</v>
      </c>
      <c r="AZ142" s="52"/>
      <c r="BA142" s="52" t="s">
        <v>4117</v>
      </c>
      <c r="BB142" s="52"/>
      <c r="BC142" s="52"/>
      <c r="BD142" s="52" t="s">
        <v>0</v>
      </c>
      <c r="BE142" s="52"/>
      <c r="BF142" s="52" t="s">
        <v>0</v>
      </c>
      <c r="BG142" s="52" t="s">
        <v>0</v>
      </c>
      <c r="BH142" s="52"/>
      <c r="BI142" s="52"/>
      <c r="BJ142" s="52"/>
      <c r="BK142" s="52" t="s">
        <v>0</v>
      </c>
      <c r="BL142" s="52" t="s">
        <v>0</v>
      </c>
      <c r="BM142" s="52"/>
      <c r="BN142" s="52"/>
      <c r="BO142" s="52"/>
      <c r="BP142" s="52"/>
      <c r="BQ142" s="52"/>
      <c r="BR142" s="52"/>
      <c r="BS142" s="52"/>
      <c r="BT142" s="52" t="s">
        <v>0</v>
      </c>
      <c r="BU142" s="52" t="s">
        <v>3613</v>
      </c>
      <c r="BV142" s="52" t="s">
        <v>3515</v>
      </c>
      <c r="BW142" s="52" t="s">
        <v>0</v>
      </c>
      <c r="BX142" s="52" t="s">
        <v>0</v>
      </c>
      <c r="BY142" s="52" t="s">
        <v>0</v>
      </c>
      <c r="BZ142" s="52" t="s">
        <v>0</v>
      </c>
      <c r="CA142" s="52"/>
      <c r="CB142" s="52"/>
      <c r="CC142" s="52"/>
      <c r="CD142" s="52" t="s">
        <v>0</v>
      </c>
      <c r="CE142" s="52" t="s">
        <v>0</v>
      </c>
      <c r="CF142" s="52"/>
      <c r="CG142" s="52" t="s">
        <v>0</v>
      </c>
      <c r="CH142" s="52" t="s">
        <v>0</v>
      </c>
      <c r="CI142" s="52" t="s">
        <v>0</v>
      </c>
      <c r="CJ142" s="52" t="s">
        <v>4040</v>
      </c>
      <c r="CK142" s="52" t="s">
        <v>2648</v>
      </c>
      <c r="CL142" s="52"/>
      <c r="CM142" s="52"/>
      <c r="CN142" s="52"/>
      <c r="CO142" s="52" t="s">
        <v>0</v>
      </c>
      <c r="CP142" s="52" t="s">
        <v>0</v>
      </c>
      <c r="CQ142" s="52"/>
      <c r="CR142" s="52"/>
      <c r="CS142" s="52"/>
      <c r="CT142" s="52"/>
      <c r="CU142" s="52"/>
      <c r="CV142" s="52"/>
      <c r="CW142" s="52" t="s">
        <v>0</v>
      </c>
      <c r="CX142" s="52"/>
    </row>
    <row r="143" spans="1:102" s="40" customFormat="1" ht="22.5" customHeight="1">
      <c r="A143" s="6" t="s">
        <v>134</v>
      </c>
      <c r="B143" s="38" t="s">
        <v>0</v>
      </c>
      <c r="C143" s="38" t="s">
        <v>0</v>
      </c>
      <c r="D143" s="38" t="s">
        <v>0</v>
      </c>
      <c r="E143" s="38" t="s">
        <v>0</v>
      </c>
      <c r="F143" s="38" t="s">
        <v>0</v>
      </c>
      <c r="G143" s="38" t="s">
        <v>0</v>
      </c>
      <c r="H143" s="38" t="s">
        <v>0</v>
      </c>
      <c r="I143" s="38" t="s">
        <v>0</v>
      </c>
      <c r="J143" s="38" t="s">
        <v>0</v>
      </c>
      <c r="K143" s="38" t="s">
        <v>0</v>
      </c>
      <c r="L143" s="38" t="s">
        <v>0</v>
      </c>
      <c r="M143" s="38" t="s">
        <v>0</v>
      </c>
      <c r="N143" s="38" t="s">
        <v>0</v>
      </c>
      <c r="O143" s="38" t="s">
        <v>0</v>
      </c>
      <c r="P143" s="38" t="s">
        <v>0</v>
      </c>
      <c r="Q143" s="38" t="s">
        <v>0</v>
      </c>
      <c r="R143" s="38" t="s">
        <v>0</v>
      </c>
      <c r="S143" s="38" t="s">
        <v>0</v>
      </c>
      <c r="T143" s="38" t="s">
        <v>0</v>
      </c>
      <c r="U143" s="38" t="s">
        <v>0</v>
      </c>
      <c r="V143" s="38" t="s">
        <v>0</v>
      </c>
      <c r="W143" s="38" t="s">
        <v>0</v>
      </c>
      <c r="X143" s="38" t="s">
        <v>0</v>
      </c>
      <c r="Y143" s="38" t="s">
        <v>0</v>
      </c>
      <c r="Z143" s="36" t="s">
        <v>765</v>
      </c>
      <c r="AA143" s="38" t="s">
        <v>57</v>
      </c>
      <c r="AB143" s="38" t="s">
        <v>57</v>
      </c>
      <c r="AC143" s="38" t="s">
        <v>57</v>
      </c>
      <c r="AD143" s="38" t="s">
        <v>0</v>
      </c>
      <c r="AE143" s="124" t="s">
        <v>0</v>
      </c>
      <c r="AF143" s="38" t="s">
        <v>0</v>
      </c>
      <c r="AG143" s="38" t="s">
        <v>0</v>
      </c>
      <c r="AH143" s="38" t="s">
        <v>0</v>
      </c>
      <c r="AI143" s="7" t="s">
        <v>57</v>
      </c>
      <c r="AJ143" s="33" t="s">
        <v>57</v>
      </c>
      <c r="AK143" s="7" t="s">
        <v>57</v>
      </c>
      <c r="AL143" s="7" t="s">
        <v>57</v>
      </c>
      <c r="AM143" s="34" t="s">
        <v>57</v>
      </c>
      <c r="AN143" s="34" t="s">
        <v>57</v>
      </c>
      <c r="AO143" s="7" t="s">
        <v>0</v>
      </c>
      <c r="AP143" s="34" t="s">
        <v>0</v>
      </c>
      <c r="AQ143" s="7" t="s">
        <v>0</v>
      </c>
      <c r="AR143" s="7" t="s">
        <v>0</v>
      </c>
      <c r="AS143" s="7" t="s">
        <v>0</v>
      </c>
      <c r="AT143" s="7" t="s">
        <v>0</v>
      </c>
      <c r="AU143" s="38" t="s">
        <v>0</v>
      </c>
      <c r="AV143" s="38" t="s">
        <v>0</v>
      </c>
      <c r="AW143" s="34" t="s">
        <v>0</v>
      </c>
      <c r="AX143" s="34" t="s">
        <v>0</v>
      </c>
      <c r="AY143" s="34" t="s">
        <v>0</v>
      </c>
      <c r="AZ143" s="38" t="s">
        <v>0</v>
      </c>
      <c r="BA143" s="38" t="s">
        <v>0</v>
      </c>
      <c r="BB143" s="38" t="s">
        <v>0</v>
      </c>
      <c r="BC143" s="38" t="s">
        <v>57</v>
      </c>
      <c r="BD143" s="38" t="s">
        <v>57</v>
      </c>
      <c r="BE143" s="38" t="s">
        <v>0</v>
      </c>
      <c r="BF143" s="38" t="s">
        <v>57</v>
      </c>
      <c r="BG143" s="38" t="s">
        <v>0</v>
      </c>
      <c r="BH143" s="38" t="s">
        <v>0</v>
      </c>
      <c r="BI143" s="38" t="s">
        <v>875</v>
      </c>
      <c r="BJ143" s="38" t="s">
        <v>875</v>
      </c>
      <c r="BK143" s="38" t="s">
        <v>0</v>
      </c>
      <c r="BL143" s="38" t="s">
        <v>0</v>
      </c>
      <c r="BM143" s="38" t="s">
        <v>0</v>
      </c>
      <c r="BN143" s="38" t="s">
        <v>0</v>
      </c>
      <c r="BO143" s="38" t="s">
        <v>57</v>
      </c>
      <c r="BP143" s="38" t="s">
        <v>0</v>
      </c>
      <c r="BQ143" s="38" t="s">
        <v>57</v>
      </c>
      <c r="BR143" s="38" t="s">
        <v>57</v>
      </c>
      <c r="BS143" s="38" t="s">
        <v>57</v>
      </c>
      <c r="BT143" s="36" t="s">
        <v>0</v>
      </c>
      <c r="BU143" s="38" t="s">
        <v>57</v>
      </c>
      <c r="BV143" s="38" t="s">
        <v>57</v>
      </c>
      <c r="BW143" s="38" t="s">
        <v>0</v>
      </c>
      <c r="BX143" s="38" t="s">
        <v>0</v>
      </c>
      <c r="BY143" s="38" t="s">
        <v>0</v>
      </c>
      <c r="BZ143" s="38" t="s">
        <v>0</v>
      </c>
      <c r="CA143" s="38" t="s">
        <v>0</v>
      </c>
      <c r="CB143" s="38" t="s">
        <v>0</v>
      </c>
      <c r="CC143" s="38" t="s">
        <v>0</v>
      </c>
      <c r="CD143" s="38" t="s">
        <v>0</v>
      </c>
      <c r="CE143" s="38" t="s">
        <v>0</v>
      </c>
      <c r="CF143" s="38" t="s">
        <v>0</v>
      </c>
      <c r="CG143" s="38" t="s">
        <v>0</v>
      </c>
      <c r="CH143" s="38" t="s">
        <v>0</v>
      </c>
      <c r="CI143" s="38" t="s">
        <v>0</v>
      </c>
      <c r="CJ143" s="38" t="s">
        <v>0</v>
      </c>
      <c r="CK143" s="38" t="s">
        <v>0</v>
      </c>
      <c r="CL143" s="38" t="s">
        <v>57</v>
      </c>
      <c r="CM143" s="38" t="s">
        <v>0</v>
      </c>
      <c r="CN143" s="38" t="s">
        <v>57</v>
      </c>
      <c r="CO143" s="38" t="s">
        <v>57</v>
      </c>
      <c r="CP143" s="38" t="s">
        <v>57</v>
      </c>
      <c r="CQ143" s="36" t="s">
        <v>0</v>
      </c>
      <c r="CR143" s="36" t="s">
        <v>0</v>
      </c>
      <c r="CS143" s="38" t="s">
        <v>0</v>
      </c>
      <c r="CT143" s="38" t="s">
        <v>0</v>
      </c>
      <c r="CU143" s="38" t="s">
        <v>0</v>
      </c>
      <c r="CV143" s="38" t="s">
        <v>0</v>
      </c>
      <c r="CW143" s="38" t="s">
        <v>0</v>
      </c>
      <c r="CX143" s="38" t="s">
        <v>0</v>
      </c>
    </row>
    <row r="144" spans="1:102" ht="12" customHeight="1">
      <c r="A144" s="51" t="s">
        <v>935</v>
      </c>
      <c r="B144" s="52" t="s">
        <v>0</v>
      </c>
      <c r="C144" s="52"/>
      <c r="D144" s="52"/>
      <c r="E144" s="52"/>
      <c r="F144" s="52" t="s">
        <v>0</v>
      </c>
      <c r="G144" s="52" t="s">
        <v>0</v>
      </c>
      <c r="H144" s="52" t="s">
        <v>0</v>
      </c>
      <c r="I144" s="52" t="s">
        <v>0</v>
      </c>
      <c r="J144" s="52"/>
      <c r="K144" s="52"/>
      <c r="L144" s="52"/>
      <c r="M144" s="52" t="s">
        <v>0</v>
      </c>
      <c r="N144" s="52" t="s">
        <v>0</v>
      </c>
      <c r="O144" s="52" t="s">
        <v>0</v>
      </c>
      <c r="P144" s="52" t="s">
        <v>0</v>
      </c>
      <c r="Q144" s="52" t="s">
        <v>0</v>
      </c>
      <c r="R144" s="52" t="s">
        <v>0</v>
      </c>
      <c r="S144" s="52" t="s">
        <v>0</v>
      </c>
      <c r="T144" s="52" t="s">
        <v>0</v>
      </c>
      <c r="U144" s="52" t="s">
        <v>0</v>
      </c>
      <c r="V144" s="52" t="s">
        <v>0</v>
      </c>
      <c r="W144" s="52" t="s">
        <v>0</v>
      </c>
      <c r="X144" s="52" t="s">
        <v>0</v>
      </c>
      <c r="Y144" s="52" t="s">
        <v>0</v>
      </c>
      <c r="Z144" s="52"/>
      <c r="AA144" s="52"/>
      <c r="AB144" s="52"/>
      <c r="AC144" s="52"/>
      <c r="AD144" s="52"/>
      <c r="AE144" s="123" t="s">
        <v>0</v>
      </c>
      <c r="AF144" s="52" t="s">
        <v>0</v>
      </c>
      <c r="AG144" s="52" t="s">
        <v>0</v>
      </c>
      <c r="AH144" s="52" t="s">
        <v>0</v>
      </c>
      <c r="AI144" s="52"/>
      <c r="AJ144" s="52"/>
      <c r="AK144" s="52" t="s">
        <v>1729</v>
      </c>
      <c r="AL144" s="52" t="s">
        <v>1729</v>
      </c>
      <c r="AM144" s="52"/>
      <c r="AN144" s="52" t="s">
        <v>1804</v>
      </c>
      <c r="AO144" s="52"/>
      <c r="AP144" s="52"/>
      <c r="AQ144" s="52" t="s">
        <v>0</v>
      </c>
      <c r="AR144" s="52" t="s">
        <v>0</v>
      </c>
      <c r="AS144" s="52" t="s">
        <v>0</v>
      </c>
      <c r="AT144" s="52" t="s">
        <v>0</v>
      </c>
      <c r="AU144" s="52"/>
      <c r="AV144" s="52"/>
      <c r="AW144" s="52" t="s">
        <v>0</v>
      </c>
      <c r="AX144" s="52" t="s">
        <v>0</v>
      </c>
      <c r="AY144" s="52" t="s">
        <v>0</v>
      </c>
      <c r="AZ144" s="52"/>
      <c r="BA144" s="52" t="s">
        <v>0</v>
      </c>
      <c r="BB144" s="52"/>
      <c r="BC144" s="52"/>
      <c r="BD144" s="52" t="s">
        <v>1988</v>
      </c>
      <c r="BE144" s="52"/>
      <c r="BF144" s="52" t="s">
        <v>1988</v>
      </c>
      <c r="BG144" s="52" t="s">
        <v>0</v>
      </c>
      <c r="BH144" s="52"/>
      <c r="BI144" s="52"/>
      <c r="BJ144" s="52"/>
      <c r="BK144" s="52" t="s">
        <v>0</v>
      </c>
      <c r="BL144" s="52" t="s">
        <v>0</v>
      </c>
      <c r="BM144" s="52"/>
      <c r="BN144" s="52"/>
      <c r="BO144" s="52"/>
      <c r="BP144" s="52"/>
      <c r="BQ144" s="52"/>
      <c r="BR144" s="52"/>
      <c r="BS144" s="52"/>
      <c r="BT144" s="52" t="s">
        <v>0</v>
      </c>
      <c r="BU144" s="52" t="s">
        <v>3613</v>
      </c>
      <c r="BV144" s="52" t="s">
        <v>3702</v>
      </c>
      <c r="BW144" s="52" t="s">
        <v>0</v>
      </c>
      <c r="BX144" s="52" t="s">
        <v>0</v>
      </c>
      <c r="BY144" s="52" t="s">
        <v>0</v>
      </c>
      <c r="BZ144" s="52" t="s">
        <v>0</v>
      </c>
      <c r="CA144" s="52"/>
      <c r="CB144" s="52"/>
      <c r="CC144" s="52"/>
      <c r="CD144" s="52" t="s">
        <v>0</v>
      </c>
      <c r="CE144" s="52" t="s">
        <v>0</v>
      </c>
      <c r="CF144" s="52"/>
      <c r="CG144" s="52" t="s">
        <v>0</v>
      </c>
      <c r="CH144" s="52" t="s">
        <v>0</v>
      </c>
      <c r="CI144" s="52" t="s">
        <v>0</v>
      </c>
      <c r="CJ144" s="52" t="s">
        <v>0</v>
      </c>
      <c r="CK144" s="52" t="s">
        <v>0</v>
      </c>
      <c r="CL144" s="52"/>
      <c r="CM144" s="52"/>
      <c r="CN144" s="52"/>
      <c r="CO144" s="52" t="s">
        <v>2116</v>
      </c>
      <c r="CP144" s="52" t="s">
        <v>2855</v>
      </c>
      <c r="CQ144" s="52"/>
      <c r="CR144" s="52"/>
      <c r="CS144" s="52"/>
      <c r="CT144" s="52"/>
      <c r="CU144" s="52"/>
      <c r="CV144" s="52"/>
      <c r="CW144" s="52" t="s">
        <v>0</v>
      </c>
      <c r="CX144" s="52"/>
    </row>
    <row r="145" spans="1:102" s="40" customFormat="1" ht="22.5" customHeight="1">
      <c r="A145" s="6" t="s">
        <v>135</v>
      </c>
      <c r="B145" s="38" t="s">
        <v>57</v>
      </c>
      <c r="C145" s="38" t="s">
        <v>57</v>
      </c>
      <c r="D145" s="38" t="s">
        <v>0</v>
      </c>
      <c r="E145" s="38" t="s">
        <v>195</v>
      </c>
      <c r="F145" s="38" t="s">
        <v>0</v>
      </c>
      <c r="G145" s="38" t="s">
        <v>195</v>
      </c>
      <c r="H145" s="38" t="s">
        <v>5509</v>
      </c>
      <c r="I145" s="38" t="s">
        <v>57</v>
      </c>
      <c r="J145" s="38" t="s">
        <v>57</v>
      </c>
      <c r="K145" s="38" t="s">
        <v>57</v>
      </c>
      <c r="L145" s="38" t="s">
        <v>57</v>
      </c>
      <c r="M145" s="38" t="s">
        <v>57</v>
      </c>
      <c r="N145" s="38" t="s">
        <v>57</v>
      </c>
      <c r="O145" s="38" t="s">
        <v>57</v>
      </c>
      <c r="P145" s="38" t="s">
        <v>57</v>
      </c>
      <c r="Q145" s="38" t="s">
        <v>57</v>
      </c>
      <c r="R145" s="38" t="s">
        <v>57</v>
      </c>
      <c r="S145" s="38" t="s">
        <v>57</v>
      </c>
      <c r="T145" s="38" t="s">
        <v>57</v>
      </c>
      <c r="U145" s="38" t="s">
        <v>57</v>
      </c>
      <c r="V145" s="38" t="s">
        <v>57</v>
      </c>
      <c r="W145" s="38" t="s">
        <v>57</v>
      </c>
      <c r="X145" s="38" t="s">
        <v>57</v>
      </c>
      <c r="Y145" s="38" t="s">
        <v>57</v>
      </c>
      <c r="Z145" s="38" t="s">
        <v>57</v>
      </c>
      <c r="AA145" s="38" t="s">
        <v>57</v>
      </c>
      <c r="AB145" s="38" t="s">
        <v>57</v>
      </c>
      <c r="AC145" s="38" t="s">
        <v>57</v>
      </c>
      <c r="AD145" s="38" t="s">
        <v>57</v>
      </c>
      <c r="AE145" s="124" t="s">
        <v>0</v>
      </c>
      <c r="AF145" s="38" t="s">
        <v>57</v>
      </c>
      <c r="AG145" s="38" t="s">
        <v>57</v>
      </c>
      <c r="AH145" s="38" t="s">
        <v>0</v>
      </c>
      <c r="AI145" s="7" t="s">
        <v>57</v>
      </c>
      <c r="AJ145" s="33" t="s">
        <v>57</v>
      </c>
      <c r="AK145" s="7" t="s">
        <v>57</v>
      </c>
      <c r="AL145" s="7" t="s">
        <v>57</v>
      </c>
      <c r="AM145" s="34" t="s">
        <v>57</v>
      </c>
      <c r="AN145" s="34" t="s">
        <v>57</v>
      </c>
      <c r="AO145" s="7" t="s">
        <v>0</v>
      </c>
      <c r="AP145" s="34" t="s">
        <v>0</v>
      </c>
      <c r="AQ145" s="7" t="s">
        <v>0</v>
      </c>
      <c r="AR145" s="7" t="s">
        <v>0</v>
      </c>
      <c r="AS145" s="7" t="s">
        <v>0</v>
      </c>
      <c r="AT145" s="7" t="s">
        <v>0</v>
      </c>
      <c r="AU145" s="38" t="s">
        <v>57</v>
      </c>
      <c r="AV145" s="38" t="s">
        <v>57</v>
      </c>
      <c r="AW145" s="34" t="s">
        <v>0</v>
      </c>
      <c r="AX145" s="34" t="s">
        <v>57</v>
      </c>
      <c r="AY145" s="34" t="s">
        <v>57</v>
      </c>
      <c r="AZ145" s="38" t="s">
        <v>57</v>
      </c>
      <c r="BA145" s="38" t="s">
        <v>57</v>
      </c>
      <c r="BB145" s="38" t="s">
        <v>57</v>
      </c>
      <c r="BC145" s="38" t="s">
        <v>57</v>
      </c>
      <c r="BD145" s="38" t="s">
        <v>57</v>
      </c>
      <c r="BE145" s="38" t="s">
        <v>57</v>
      </c>
      <c r="BF145" s="38" t="s">
        <v>57</v>
      </c>
      <c r="BG145" s="38" t="s">
        <v>0</v>
      </c>
      <c r="BH145" s="38" t="s">
        <v>0</v>
      </c>
      <c r="BI145" s="38" t="s">
        <v>57</v>
      </c>
      <c r="BJ145" s="38" t="s">
        <v>57</v>
      </c>
      <c r="BK145" s="36" t="s">
        <v>57</v>
      </c>
      <c r="BL145" s="36" t="s">
        <v>57</v>
      </c>
      <c r="BM145" s="38" t="s">
        <v>0</v>
      </c>
      <c r="BN145" s="38" t="s">
        <v>0</v>
      </c>
      <c r="BO145" s="38" t="s">
        <v>57</v>
      </c>
      <c r="BP145" s="38" t="s">
        <v>0</v>
      </c>
      <c r="BQ145" s="38" t="s">
        <v>57</v>
      </c>
      <c r="BR145" s="38" t="s">
        <v>57</v>
      </c>
      <c r="BS145" s="38" t="s">
        <v>57</v>
      </c>
      <c r="BT145" s="36" t="s">
        <v>0</v>
      </c>
      <c r="BU145" s="38" t="s">
        <v>57</v>
      </c>
      <c r="BV145" s="38" t="s">
        <v>57</v>
      </c>
      <c r="BW145" s="38" t="s">
        <v>57</v>
      </c>
      <c r="BX145" s="38" t="s">
        <v>57</v>
      </c>
      <c r="BY145" s="38" t="s">
        <v>0</v>
      </c>
      <c r="BZ145" s="38" t="s">
        <v>0</v>
      </c>
      <c r="CA145" s="38" t="s">
        <v>0</v>
      </c>
      <c r="CB145" s="38" t="s">
        <v>0</v>
      </c>
      <c r="CC145" s="38" t="s">
        <v>57</v>
      </c>
      <c r="CD145" s="38" t="s">
        <v>57</v>
      </c>
      <c r="CE145" s="38" t="s">
        <v>57</v>
      </c>
      <c r="CF145" s="38" t="s">
        <v>57</v>
      </c>
      <c r="CG145" s="38" t="s">
        <v>57</v>
      </c>
      <c r="CH145" s="38" t="s">
        <v>57</v>
      </c>
      <c r="CI145" s="38" t="s">
        <v>0</v>
      </c>
      <c r="CJ145" s="38" t="s">
        <v>57</v>
      </c>
      <c r="CK145" s="38" t="s">
        <v>57</v>
      </c>
      <c r="CL145" s="38" t="s">
        <v>57</v>
      </c>
      <c r="CM145" s="38" t="s">
        <v>0</v>
      </c>
      <c r="CN145" s="38" t="s">
        <v>57</v>
      </c>
      <c r="CO145" s="38" t="s">
        <v>57</v>
      </c>
      <c r="CP145" s="38" t="s">
        <v>57</v>
      </c>
      <c r="CQ145" s="38" t="s">
        <v>57</v>
      </c>
      <c r="CR145" s="38" t="s">
        <v>57</v>
      </c>
      <c r="CS145" s="38" t="s">
        <v>57</v>
      </c>
      <c r="CT145" s="38" t="s">
        <v>57</v>
      </c>
      <c r="CU145" s="38" t="s">
        <v>57</v>
      </c>
      <c r="CV145" s="38" t="s">
        <v>57</v>
      </c>
      <c r="CW145" s="38" t="s">
        <v>57</v>
      </c>
      <c r="CX145" s="38" t="s">
        <v>57</v>
      </c>
    </row>
    <row r="146" spans="1:102" ht="12" customHeight="1">
      <c r="A146" s="51" t="s">
        <v>935</v>
      </c>
      <c r="B146" s="52" t="s">
        <v>3983</v>
      </c>
      <c r="C146" s="52"/>
      <c r="D146" s="52"/>
      <c r="E146" s="52"/>
      <c r="F146" s="52" t="s">
        <v>0</v>
      </c>
      <c r="G146" s="52" t="s">
        <v>1413</v>
      </c>
      <c r="H146" s="52" t="s">
        <v>5510</v>
      </c>
      <c r="I146" s="52" t="s">
        <v>5508</v>
      </c>
      <c r="J146" s="52"/>
      <c r="K146" s="52"/>
      <c r="L146" s="52"/>
      <c r="M146" s="52" t="s">
        <v>1505</v>
      </c>
      <c r="N146" s="52" t="s">
        <v>1604</v>
      </c>
      <c r="O146" s="52" t="s">
        <v>1547</v>
      </c>
      <c r="P146" s="52" t="s">
        <v>1508</v>
      </c>
      <c r="Q146" s="52" t="s">
        <v>3362</v>
      </c>
      <c r="R146" s="52" t="s">
        <v>3412</v>
      </c>
      <c r="S146" s="52" t="s">
        <v>1508</v>
      </c>
      <c r="T146" s="52" t="s">
        <v>3362</v>
      </c>
      <c r="U146" s="52" t="s">
        <v>3412</v>
      </c>
      <c r="V146" s="52" t="s">
        <v>5299</v>
      </c>
      <c r="W146" s="52" t="s">
        <v>1508</v>
      </c>
      <c r="X146" s="52" t="s">
        <v>3363</v>
      </c>
      <c r="Y146" s="52" t="s">
        <v>1549</v>
      </c>
      <c r="Z146" s="52"/>
      <c r="AA146" s="52"/>
      <c r="AB146" s="52"/>
      <c r="AC146" s="52"/>
      <c r="AD146" s="52"/>
      <c r="AE146" s="123" t="s">
        <v>0</v>
      </c>
      <c r="AF146" s="52" t="s">
        <v>4709</v>
      </c>
      <c r="AG146" s="52" t="s">
        <v>4709</v>
      </c>
      <c r="AH146" s="52" t="s">
        <v>0</v>
      </c>
      <c r="AI146" s="52"/>
      <c r="AJ146" s="52"/>
      <c r="AK146" s="52" t="s">
        <v>1730</v>
      </c>
      <c r="AL146" s="52" t="s">
        <v>1730</v>
      </c>
      <c r="AM146" s="52"/>
      <c r="AN146" s="52" t="s">
        <v>1804</v>
      </c>
      <c r="AO146" s="52"/>
      <c r="AP146" s="52"/>
      <c r="AQ146" s="52" t="s">
        <v>0</v>
      </c>
      <c r="AR146" s="52" t="s">
        <v>0</v>
      </c>
      <c r="AS146" s="52" t="s">
        <v>0</v>
      </c>
      <c r="AT146" s="52" t="s">
        <v>0</v>
      </c>
      <c r="AU146" s="52"/>
      <c r="AV146" s="52"/>
      <c r="AW146" s="52" t="s">
        <v>0</v>
      </c>
      <c r="AX146" s="52" t="s">
        <v>2975</v>
      </c>
      <c r="AY146" s="52" t="s">
        <v>2935</v>
      </c>
      <c r="AZ146" s="52"/>
      <c r="BA146" s="52" t="s">
        <v>4117</v>
      </c>
      <c r="BB146" s="52"/>
      <c r="BC146" s="52"/>
      <c r="BD146" s="52" t="s">
        <v>1988</v>
      </c>
      <c r="BE146" s="52"/>
      <c r="BF146" s="52" t="s">
        <v>1988</v>
      </c>
      <c r="BG146" s="52" t="s">
        <v>0</v>
      </c>
      <c r="BH146" s="52"/>
      <c r="BI146" s="52"/>
      <c r="BJ146" s="52"/>
      <c r="BK146" s="52" t="s">
        <v>1302</v>
      </c>
      <c r="BL146" s="52" t="s">
        <v>1302</v>
      </c>
      <c r="BM146" s="52"/>
      <c r="BN146" s="52"/>
      <c r="BO146" s="52"/>
      <c r="BP146" s="52"/>
      <c r="BQ146" s="52"/>
      <c r="BR146" s="52"/>
      <c r="BS146" s="52"/>
      <c r="BT146" s="52" t="s">
        <v>0</v>
      </c>
      <c r="BU146" s="52" t="s">
        <v>3613</v>
      </c>
      <c r="BV146" s="52" t="s">
        <v>3703</v>
      </c>
      <c r="BW146" s="52" t="s">
        <v>2464</v>
      </c>
      <c r="BX146" s="52" t="s">
        <v>2464</v>
      </c>
      <c r="BY146" s="52" t="s">
        <v>2464</v>
      </c>
      <c r="BZ146" s="52" t="s">
        <v>0</v>
      </c>
      <c r="CA146" s="52"/>
      <c r="CB146" s="52"/>
      <c r="CC146" s="52"/>
      <c r="CD146" s="52" t="s">
        <v>2556</v>
      </c>
      <c r="CE146" s="52" t="s">
        <v>2547</v>
      </c>
      <c r="CF146" s="52"/>
      <c r="CG146" s="52" t="s">
        <v>2272</v>
      </c>
      <c r="CH146" s="52" t="s">
        <v>2272</v>
      </c>
      <c r="CI146" s="52" t="s">
        <v>0</v>
      </c>
      <c r="CJ146" s="52" t="s">
        <v>4040</v>
      </c>
      <c r="CK146" s="52" t="s">
        <v>2648</v>
      </c>
      <c r="CL146" s="52"/>
      <c r="CM146" s="52"/>
      <c r="CN146" s="52"/>
      <c r="CO146" s="52" t="s">
        <v>2058</v>
      </c>
      <c r="CP146" s="52" t="s">
        <v>2850</v>
      </c>
      <c r="CQ146" s="52"/>
      <c r="CR146" s="52"/>
      <c r="CS146" s="52"/>
      <c r="CT146" s="52"/>
      <c r="CU146" s="52"/>
      <c r="CV146" s="52"/>
      <c r="CW146" s="52" t="s">
        <v>1186</v>
      </c>
      <c r="CX146" s="52"/>
    </row>
    <row r="147" spans="1:102" ht="22.5" customHeight="1">
      <c r="AE147" s="132"/>
      <c r="AM147" s="40"/>
      <c r="AN147" s="40"/>
    </row>
    <row r="148" spans="1:102" ht="22.5" customHeight="1">
      <c r="A148" s="26" t="s">
        <v>142</v>
      </c>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129"/>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105"/>
      <c r="CK148" s="60"/>
      <c r="CL148" s="60"/>
      <c r="CM148" s="60"/>
      <c r="CN148" s="60"/>
      <c r="CO148" s="60"/>
      <c r="CP148" s="60"/>
      <c r="CQ148" s="60"/>
      <c r="CR148" s="60"/>
      <c r="CS148" s="60"/>
      <c r="CT148" s="60"/>
      <c r="CU148" s="60"/>
      <c r="CV148" s="60"/>
      <c r="CW148" s="60"/>
      <c r="CX148" s="60"/>
    </row>
    <row r="149" spans="1:102" ht="22.5" customHeight="1">
      <c r="A149" s="28" t="s">
        <v>143</v>
      </c>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125"/>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c r="BC149" s="53"/>
      <c r="BD149" s="53"/>
      <c r="BE149" s="53"/>
      <c r="BF149" s="53"/>
      <c r="BG149" s="53"/>
      <c r="BH149" s="65"/>
      <c r="BI149" s="53"/>
      <c r="BJ149" s="53"/>
      <c r="BK149" s="53"/>
      <c r="BL149" s="53"/>
      <c r="BM149" s="53"/>
      <c r="BN149" s="65"/>
      <c r="BO149" s="65"/>
      <c r="BP149" s="65"/>
      <c r="BQ149" s="65"/>
      <c r="BR149" s="53"/>
      <c r="BS149" s="53"/>
      <c r="BT149" s="53"/>
      <c r="BU149" s="53"/>
      <c r="BV149" s="53"/>
      <c r="BW149" s="65"/>
      <c r="BX149" s="65"/>
      <c r="BY149" s="65"/>
      <c r="BZ149" s="65"/>
      <c r="CA149" s="65"/>
      <c r="CB149" s="65"/>
      <c r="CC149" s="65"/>
      <c r="CD149" s="53"/>
      <c r="CE149" s="53"/>
      <c r="CF149" s="53"/>
      <c r="CG149" s="53"/>
      <c r="CH149" s="53"/>
      <c r="CI149" s="53"/>
      <c r="CJ149" s="53"/>
      <c r="CK149" s="53"/>
      <c r="CL149" s="53"/>
      <c r="CM149" s="53"/>
      <c r="CN149" s="53"/>
      <c r="CO149" s="53"/>
      <c r="CP149" s="53"/>
      <c r="CQ149" s="53"/>
      <c r="CR149" s="53"/>
      <c r="CS149" s="53"/>
      <c r="CT149" s="53"/>
      <c r="CU149" s="53"/>
      <c r="CV149" s="53"/>
      <c r="CW149" s="53"/>
      <c r="CX149" s="53"/>
    </row>
    <row r="150" spans="1:102" ht="22.5" customHeight="1">
      <c r="A150" s="12" t="s">
        <v>130</v>
      </c>
      <c r="B150" s="38" t="s">
        <v>57</v>
      </c>
      <c r="C150" s="38" t="s">
        <v>57</v>
      </c>
      <c r="D150" s="38" t="s">
        <v>57</v>
      </c>
      <c r="E150" s="38" t="s">
        <v>57</v>
      </c>
      <c r="F150" s="38" t="s">
        <v>57</v>
      </c>
      <c r="G150" s="38" t="s">
        <v>57</v>
      </c>
      <c r="H150" s="38" t="s">
        <v>57</v>
      </c>
      <c r="I150" s="38" t="s">
        <v>57</v>
      </c>
      <c r="J150" s="38" t="s">
        <v>57</v>
      </c>
      <c r="K150" s="38" t="s">
        <v>57</v>
      </c>
      <c r="L150" s="38" t="s">
        <v>57</v>
      </c>
      <c r="M150" s="38" t="s">
        <v>57</v>
      </c>
      <c r="N150" s="38" t="s">
        <v>57</v>
      </c>
      <c r="O150" s="38" t="s">
        <v>57</v>
      </c>
      <c r="P150" s="38" t="s">
        <v>57</v>
      </c>
      <c r="Q150" s="38" t="s">
        <v>57</v>
      </c>
      <c r="R150" s="38" t="s">
        <v>57</v>
      </c>
      <c r="S150" s="38" t="s">
        <v>57</v>
      </c>
      <c r="T150" s="38" t="s">
        <v>57</v>
      </c>
      <c r="U150" s="38" t="s">
        <v>57</v>
      </c>
      <c r="V150" s="38" t="s">
        <v>57</v>
      </c>
      <c r="W150" s="38" t="s">
        <v>57</v>
      </c>
      <c r="X150" s="38" t="s">
        <v>57</v>
      </c>
      <c r="Y150" s="38" t="s">
        <v>57</v>
      </c>
      <c r="Z150" s="38" t="s">
        <v>57</v>
      </c>
      <c r="AA150" s="38" t="s">
        <v>0</v>
      </c>
      <c r="AB150" s="38" t="s">
        <v>0</v>
      </c>
      <c r="AC150" s="38" t="s">
        <v>0</v>
      </c>
      <c r="AD150" s="38" t="s">
        <v>57</v>
      </c>
      <c r="AE150" s="124" t="s">
        <v>57</v>
      </c>
      <c r="AF150" s="38" t="s">
        <v>57</v>
      </c>
      <c r="AG150" s="38" t="s">
        <v>57</v>
      </c>
      <c r="AH150" s="38" t="s">
        <v>57</v>
      </c>
      <c r="AI150" s="7" t="s">
        <v>57</v>
      </c>
      <c r="AJ150" s="33" t="s">
        <v>57</v>
      </c>
      <c r="AK150" s="7" t="s">
        <v>57</v>
      </c>
      <c r="AL150" s="7" t="s">
        <v>57</v>
      </c>
      <c r="AM150" s="37" t="s">
        <v>57</v>
      </c>
      <c r="AN150" s="34" t="s">
        <v>57</v>
      </c>
      <c r="AO150" s="7" t="s">
        <v>57</v>
      </c>
      <c r="AP150" s="33" t="s">
        <v>57</v>
      </c>
      <c r="AQ150" s="7" t="s">
        <v>57</v>
      </c>
      <c r="AR150" s="7" t="s">
        <v>57</v>
      </c>
      <c r="AS150" s="7" t="s">
        <v>57</v>
      </c>
      <c r="AT150" s="7" t="s">
        <v>57</v>
      </c>
      <c r="AU150" s="38" t="s">
        <v>57</v>
      </c>
      <c r="AV150" s="38" t="s">
        <v>57</v>
      </c>
      <c r="AW150" s="34" t="s">
        <v>57</v>
      </c>
      <c r="AX150" s="34" t="s">
        <v>57</v>
      </c>
      <c r="AY150" s="34" t="s">
        <v>57</v>
      </c>
      <c r="AZ150" s="38" t="s">
        <v>391</v>
      </c>
      <c r="BA150" s="38" t="s">
        <v>57</v>
      </c>
      <c r="BB150" s="38" t="s">
        <v>57</v>
      </c>
      <c r="BC150" s="38" t="s">
        <v>57</v>
      </c>
      <c r="BD150" s="38" t="s">
        <v>57</v>
      </c>
      <c r="BE150" s="38" t="s">
        <v>57</v>
      </c>
      <c r="BF150" s="38" t="s">
        <v>57</v>
      </c>
      <c r="BG150" s="36" t="s">
        <v>4090</v>
      </c>
      <c r="BH150" s="38" t="s">
        <v>57</v>
      </c>
      <c r="BI150" s="38" t="s">
        <v>57</v>
      </c>
      <c r="BJ150" s="38" t="s">
        <v>57</v>
      </c>
      <c r="BK150" s="38" t="s">
        <v>57</v>
      </c>
      <c r="BL150" s="38" t="s">
        <v>57</v>
      </c>
      <c r="BM150" s="38" t="s">
        <v>391</v>
      </c>
      <c r="BN150" s="38" t="s">
        <v>57</v>
      </c>
      <c r="BO150" s="38" t="s">
        <v>57</v>
      </c>
      <c r="BP150" s="38" t="s">
        <v>57</v>
      </c>
      <c r="BQ150" s="38" t="s">
        <v>57</v>
      </c>
      <c r="BR150" s="38" t="s">
        <v>57</v>
      </c>
      <c r="BS150" s="38" t="s">
        <v>57</v>
      </c>
      <c r="BT150" s="38" t="s">
        <v>57</v>
      </c>
      <c r="BU150" s="38" t="s">
        <v>57</v>
      </c>
      <c r="BV150" s="38" t="s">
        <v>57</v>
      </c>
      <c r="BW150" s="38" t="s">
        <v>57</v>
      </c>
      <c r="BX150" s="38" t="s">
        <v>57</v>
      </c>
      <c r="BY150" s="38" t="s">
        <v>57</v>
      </c>
      <c r="BZ150" s="36" t="s">
        <v>839</v>
      </c>
      <c r="CA150" s="38" t="s">
        <v>57</v>
      </c>
      <c r="CB150" s="38" t="s">
        <v>57</v>
      </c>
      <c r="CC150" s="38" t="s">
        <v>57</v>
      </c>
      <c r="CD150" s="38" t="s">
        <v>57</v>
      </c>
      <c r="CE150" s="38" t="s">
        <v>57</v>
      </c>
      <c r="CF150" s="38" t="s">
        <v>57</v>
      </c>
      <c r="CG150" s="38" t="s">
        <v>57</v>
      </c>
      <c r="CH150" s="38" t="s">
        <v>57</v>
      </c>
      <c r="CI150" s="38" t="s">
        <v>57</v>
      </c>
      <c r="CJ150" s="38" t="s">
        <v>57</v>
      </c>
      <c r="CK150" s="36" t="s">
        <v>634</v>
      </c>
      <c r="CL150" s="38" t="s">
        <v>57</v>
      </c>
      <c r="CM150" s="38" t="s">
        <v>57</v>
      </c>
      <c r="CN150" s="36" t="s">
        <v>634</v>
      </c>
      <c r="CO150" s="36" t="s">
        <v>634</v>
      </c>
      <c r="CP150" s="36" t="s">
        <v>57</v>
      </c>
      <c r="CQ150" s="38" t="s">
        <v>57</v>
      </c>
      <c r="CR150" s="38" t="s">
        <v>57</v>
      </c>
      <c r="CS150" s="38" t="s">
        <v>57</v>
      </c>
      <c r="CT150" s="38" t="s">
        <v>57</v>
      </c>
      <c r="CU150" s="38" t="s">
        <v>57</v>
      </c>
      <c r="CV150" s="38" t="s">
        <v>57</v>
      </c>
      <c r="CW150" s="38" t="s">
        <v>57</v>
      </c>
      <c r="CX150" s="36" t="s">
        <v>839</v>
      </c>
    </row>
    <row r="151" spans="1:102" ht="12" customHeight="1">
      <c r="A151" s="51" t="s">
        <v>935</v>
      </c>
      <c r="B151" s="52" t="s">
        <v>2039</v>
      </c>
      <c r="C151" s="52"/>
      <c r="D151" s="52"/>
      <c r="E151" s="52"/>
      <c r="F151" s="52" t="s">
        <v>1447</v>
      </c>
      <c r="G151" s="52" t="s">
        <v>1447</v>
      </c>
      <c r="H151" s="52" t="s">
        <v>1447</v>
      </c>
      <c r="I151" s="52" t="s">
        <v>1447</v>
      </c>
      <c r="J151" s="52"/>
      <c r="K151" s="52"/>
      <c r="L151" s="52"/>
      <c r="M151" s="52" t="s">
        <v>1665</v>
      </c>
      <c r="N151" s="52" t="s">
        <v>1665</v>
      </c>
      <c r="O151" s="52" t="s">
        <v>1665</v>
      </c>
      <c r="P151" s="52" t="s">
        <v>1665</v>
      </c>
      <c r="Q151" s="52" t="s">
        <v>1665</v>
      </c>
      <c r="R151" s="52" t="s">
        <v>1665</v>
      </c>
      <c r="S151" s="52" t="s">
        <v>1665</v>
      </c>
      <c r="T151" s="52" t="s">
        <v>1665</v>
      </c>
      <c r="U151" s="52" t="s">
        <v>1665</v>
      </c>
      <c r="V151" s="52" t="s">
        <v>1665</v>
      </c>
      <c r="W151" s="52" t="s">
        <v>1665</v>
      </c>
      <c r="X151" s="52" t="s">
        <v>1665</v>
      </c>
      <c r="Y151" s="52" t="s">
        <v>1665</v>
      </c>
      <c r="Z151" s="52"/>
      <c r="AA151" s="52"/>
      <c r="AB151" s="52"/>
      <c r="AC151" s="52"/>
      <c r="AD151" s="52"/>
      <c r="AE151" s="123" t="s">
        <v>5684</v>
      </c>
      <c r="AF151" s="52" t="s">
        <v>4712</v>
      </c>
      <c r="AG151" s="52" t="s">
        <v>4712</v>
      </c>
      <c r="AH151" s="52" t="s">
        <v>4712</v>
      </c>
      <c r="AI151" s="52"/>
      <c r="AJ151" s="52"/>
      <c r="AK151" s="52" t="s">
        <v>1716</v>
      </c>
      <c r="AL151" s="52" t="s">
        <v>1716</v>
      </c>
      <c r="AM151" s="52"/>
      <c r="AN151" s="52" t="s">
        <v>1804</v>
      </c>
      <c r="AO151" s="52"/>
      <c r="AP151" s="52"/>
      <c r="AQ151" s="52" t="s">
        <v>1912</v>
      </c>
      <c r="AR151" s="52" t="s">
        <v>1912</v>
      </c>
      <c r="AS151" s="52" t="s">
        <v>1912</v>
      </c>
      <c r="AT151" s="52" t="s">
        <v>1912</v>
      </c>
      <c r="AU151" s="52"/>
      <c r="AV151" s="52"/>
      <c r="AW151" s="52" t="s">
        <v>3015</v>
      </c>
      <c r="AX151" s="52" t="s">
        <v>3015</v>
      </c>
      <c r="AY151" s="52" t="s">
        <v>3015</v>
      </c>
      <c r="AZ151" s="52"/>
      <c r="BA151" s="52" t="s">
        <v>2016</v>
      </c>
      <c r="BB151" s="52"/>
      <c r="BC151" s="52"/>
      <c r="BD151" s="52" t="s">
        <v>2016</v>
      </c>
      <c r="BE151" s="52"/>
      <c r="BF151" s="52" t="s">
        <v>2016</v>
      </c>
      <c r="BG151" s="52" t="s">
        <v>4089</v>
      </c>
      <c r="BH151" s="52"/>
      <c r="BI151" s="52"/>
      <c r="BJ151" s="52"/>
      <c r="BK151" s="52" t="s">
        <v>1370</v>
      </c>
      <c r="BL151" s="52" t="s">
        <v>1370</v>
      </c>
      <c r="BM151" s="52"/>
      <c r="BN151" s="52"/>
      <c r="BO151" s="52"/>
      <c r="BP151" s="52"/>
      <c r="BQ151" s="52"/>
      <c r="BR151" s="52"/>
      <c r="BS151" s="52"/>
      <c r="BT151" s="52" t="s">
        <v>3713</v>
      </c>
      <c r="BU151" s="52" t="s">
        <v>3615</v>
      </c>
      <c r="BV151" s="52" t="s">
        <v>3509</v>
      </c>
      <c r="BW151" s="52" t="s">
        <v>2479</v>
      </c>
      <c r="BX151" s="52" t="s">
        <v>2479</v>
      </c>
      <c r="BY151" s="52" t="s">
        <v>2479</v>
      </c>
      <c r="BZ151" s="52" t="s">
        <v>3979</v>
      </c>
      <c r="CA151" s="52"/>
      <c r="CB151" s="52"/>
      <c r="CC151" s="52"/>
      <c r="CD151" s="52" t="s">
        <v>2609</v>
      </c>
      <c r="CE151" s="52" t="s">
        <v>2609</v>
      </c>
      <c r="CF151" s="52"/>
      <c r="CG151" s="52" t="s">
        <v>2291</v>
      </c>
      <c r="CH151" s="52" t="s">
        <v>2291</v>
      </c>
      <c r="CI151" s="52" t="s">
        <v>3979</v>
      </c>
      <c r="CJ151" s="52" t="s">
        <v>3979</v>
      </c>
      <c r="CK151" s="52" t="s">
        <v>2650</v>
      </c>
      <c r="CL151" s="52"/>
      <c r="CM151" s="52"/>
      <c r="CN151" s="52"/>
      <c r="CO151" s="52" t="s">
        <v>2118</v>
      </c>
      <c r="CP151" s="52" t="s">
        <v>2844</v>
      </c>
      <c r="CQ151" s="52"/>
      <c r="CR151" s="52"/>
      <c r="CS151" s="52"/>
      <c r="CT151" s="52"/>
      <c r="CU151" s="52"/>
      <c r="CV151" s="52"/>
      <c r="CW151" s="52" t="s">
        <v>1190</v>
      </c>
      <c r="CX151" s="52"/>
    </row>
    <row r="152" spans="1:102" ht="22.5" customHeight="1">
      <c r="A152" s="12" t="s">
        <v>144</v>
      </c>
      <c r="B152" s="38" t="s">
        <v>525</v>
      </c>
      <c r="C152" s="38" t="s">
        <v>0</v>
      </c>
      <c r="D152" s="38" t="s">
        <v>0</v>
      </c>
      <c r="E152" s="38" t="s">
        <v>6</v>
      </c>
      <c r="F152" s="38" t="s">
        <v>0</v>
      </c>
      <c r="G152" s="38" t="s">
        <v>6</v>
      </c>
      <c r="H152" s="38" t="s">
        <v>5511</v>
      </c>
      <c r="I152" s="38" t="s">
        <v>6</v>
      </c>
      <c r="J152" s="38" t="s">
        <v>480</v>
      </c>
      <c r="K152" s="38" t="s">
        <v>480</v>
      </c>
      <c r="L152" s="38" t="s">
        <v>480</v>
      </c>
      <c r="M152" s="38" t="s">
        <v>0</v>
      </c>
      <c r="N152" s="38" t="s">
        <v>0</v>
      </c>
      <c r="O152" s="38" t="s">
        <v>0</v>
      </c>
      <c r="P152" s="38" t="s">
        <v>0</v>
      </c>
      <c r="Q152" s="38" t="s">
        <v>0</v>
      </c>
      <c r="R152" s="38" t="s">
        <v>0</v>
      </c>
      <c r="S152" s="38" t="s">
        <v>0</v>
      </c>
      <c r="T152" s="38" t="s">
        <v>0</v>
      </c>
      <c r="U152" s="38" t="s">
        <v>0</v>
      </c>
      <c r="V152" s="38" t="s">
        <v>0</v>
      </c>
      <c r="W152" s="38" t="s">
        <v>0</v>
      </c>
      <c r="X152" s="38" t="s">
        <v>0</v>
      </c>
      <c r="Y152" s="38" t="s">
        <v>0</v>
      </c>
      <c r="Z152" s="38" t="s">
        <v>111</v>
      </c>
      <c r="AA152" s="38" t="s">
        <v>57</v>
      </c>
      <c r="AB152" s="38" t="s">
        <v>57</v>
      </c>
      <c r="AC152" s="38" t="s">
        <v>57</v>
      </c>
      <c r="AD152" s="38" t="s">
        <v>0</v>
      </c>
      <c r="AE152" s="124" t="s">
        <v>0</v>
      </c>
      <c r="AF152" s="38" t="s">
        <v>6</v>
      </c>
      <c r="AG152" s="38" t="s">
        <v>57</v>
      </c>
      <c r="AH152" s="38" t="s">
        <v>525</v>
      </c>
      <c r="AI152" s="7" t="s">
        <v>0</v>
      </c>
      <c r="AJ152" s="35" t="s">
        <v>6</v>
      </c>
      <c r="AK152" s="7" t="s">
        <v>0</v>
      </c>
      <c r="AL152" s="37" t="s">
        <v>6</v>
      </c>
      <c r="AM152" s="35" t="s">
        <v>6</v>
      </c>
      <c r="AN152" s="76" t="s">
        <v>6</v>
      </c>
      <c r="AO152" s="7" t="s">
        <v>0</v>
      </c>
      <c r="AP152" s="76" t="s">
        <v>0</v>
      </c>
      <c r="AQ152" s="7" t="s">
        <v>0</v>
      </c>
      <c r="AR152" s="7" t="s">
        <v>0</v>
      </c>
      <c r="AS152" s="7" t="s">
        <v>0</v>
      </c>
      <c r="AT152" s="7" t="s">
        <v>0</v>
      </c>
      <c r="AU152" s="38" t="s">
        <v>0</v>
      </c>
      <c r="AV152" s="38" t="s">
        <v>159</v>
      </c>
      <c r="AW152" s="76" t="s">
        <v>0</v>
      </c>
      <c r="AX152" s="76" t="s">
        <v>0</v>
      </c>
      <c r="AY152" s="76" t="s">
        <v>0</v>
      </c>
      <c r="AZ152" s="38" t="s">
        <v>0</v>
      </c>
      <c r="BA152" s="38" t="s">
        <v>525</v>
      </c>
      <c r="BB152" s="38" t="s">
        <v>0</v>
      </c>
      <c r="BC152" s="38" t="s">
        <v>0</v>
      </c>
      <c r="BD152" s="38" t="s">
        <v>0</v>
      </c>
      <c r="BE152" s="38" t="s">
        <v>0</v>
      </c>
      <c r="BF152" s="38" t="s">
        <v>0</v>
      </c>
      <c r="BG152" s="38" t="s">
        <v>0</v>
      </c>
      <c r="BH152" s="36" t="s">
        <v>0</v>
      </c>
      <c r="BI152" s="38" t="s">
        <v>0</v>
      </c>
      <c r="BJ152" s="38" t="s">
        <v>0</v>
      </c>
      <c r="BK152" s="38" t="s">
        <v>0</v>
      </c>
      <c r="BL152" s="38" t="s">
        <v>0</v>
      </c>
      <c r="BM152" s="38" t="s">
        <v>0</v>
      </c>
      <c r="BN152" s="38" t="s">
        <v>0</v>
      </c>
      <c r="BO152" s="38" t="s">
        <v>6</v>
      </c>
      <c r="BP152" s="38" t="s">
        <v>0</v>
      </c>
      <c r="BQ152" s="38" t="s">
        <v>6</v>
      </c>
      <c r="BR152" s="38" t="s">
        <v>57</v>
      </c>
      <c r="BS152" s="38" t="s">
        <v>57</v>
      </c>
      <c r="BT152" s="38" t="s">
        <v>525</v>
      </c>
      <c r="BU152" s="38" t="s">
        <v>525</v>
      </c>
      <c r="BV152" s="38" t="s">
        <v>57</v>
      </c>
      <c r="BW152" s="38" t="s">
        <v>0</v>
      </c>
      <c r="BX152" s="38" t="s">
        <v>0</v>
      </c>
      <c r="BY152" s="38" t="s">
        <v>0</v>
      </c>
      <c r="BZ152" s="38" t="s">
        <v>525</v>
      </c>
      <c r="CA152" s="38" t="s">
        <v>0</v>
      </c>
      <c r="CB152" s="38" t="s">
        <v>0</v>
      </c>
      <c r="CC152" s="38" t="s">
        <v>525</v>
      </c>
      <c r="CD152" s="38" t="s">
        <v>0</v>
      </c>
      <c r="CE152" s="38" t="s">
        <v>0</v>
      </c>
      <c r="CF152" s="38" t="s">
        <v>525</v>
      </c>
      <c r="CG152" s="38" t="s">
        <v>308</v>
      </c>
      <c r="CH152" s="38" t="s">
        <v>308</v>
      </c>
      <c r="CI152" s="38" t="s">
        <v>0</v>
      </c>
      <c r="CJ152" s="38" t="s">
        <v>0</v>
      </c>
      <c r="CK152" s="38" t="s">
        <v>350</v>
      </c>
      <c r="CL152" s="38" t="s">
        <v>0</v>
      </c>
      <c r="CM152" s="38" t="s">
        <v>0</v>
      </c>
      <c r="CN152" s="38" t="s">
        <v>0</v>
      </c>
      <c r="CO152" s="38" t="s">
        <v>0</v>
      </c>
      <c r="CP152" s="38" t="s">
        <v>0</v>
      </c>
      <c r="CQ152" s="38" t="s">
        <v>6</v>
      </c>
      <c r="CR152" s="38" t="s">
        <v>57</v>
      </c>
      <c r="CS152" s="38" t="s">
        <v>0</v>
      </c>
      <c r="CT152" s="38" t="s">
        <v>0</v>
      </c>
      <c r="CU152" s="38" t="s">
        <v>0</v>
      </c>
      <c r="CV152" s="38" t="s">
        <v>0</v>
      </c>
      <c r="CW152" s="38" t="s">
        <v>57</v>
      </c>
      <c r="CX152" s="38" t="s">
        <v>27</v>
      </c>
    </row>
    <row r="153" spans="1:102" ht="12" customHeight="1">
      <c r="A153" s="51" t="s">
        <v>935</v>
      </c>
      <c r="B153" s="52" t="s">
        <v>3985</v>
      </c>
      <c r="C153" s="52"/>
      <c r="D153" s="52"/>
      <c r="E153" s="52"/>
      <c r="F153" s="52" t="s">
        <v>0</v>
      </c>
      <c r="G153" s="52" t="s">
        <v>1408</v>
      </c>
      <c r="H153" s="52" t="s">
        <v>1408</v>
      </c>
      <c r="I153" s="52" t="s">
        <v>1408</v>
      </c>
      <c r="J153" s="52"/>
      <c r="K153" s="52"/>
      <c r="L153" s="52"/>
      <c r="M153" s="52" t="s">
        <v>0</v>
      </c>
      <c r="N153" s="52" t="s">
        <v>0</v>
      </c>
      <c r="O153" s="52" t="s">
        <v>0</v>
      </c>
      <c r="P153" s="52" t="s">
        <v>0</v>
      </c>
      <c r="Q153" s="52" t="s">
        <v>0</v>
      </c>
      <c r="R153" s="52" t="s">
        <v>0</v>
      </c>
      <c r="S153" s="52" t="s">
        <v>0</v>
      </c>
      <c r="T153" s="52" t="s">
        <v>0</v>
      </c>
      <c r="U153" s="52" t="s">
        <v>0</v>
      </c>
      <c r="V153" s="52" t="s">
        <v>0</v>
      </c>
      <c r="W153" s="52" t="s">
        <v>0</v>
      </c>
      <c r="X153" s="52" t="s">
        <v>0</v>
      </c>
      <c r="Y153" s="52" t="s">
        <v>0</v>
      </c>
      <c r="Z153" s="52"/>
      <c r="AA153" s="52"/>
      <c r="AB153" s="52"/>
      <c r="AC153" s="52"/>
      <c r="AD153" s="52"/>
      <c r="AE153" s="123" t="s">
        <v>0</v>
      </c>
      <c r="AF153" s="52" t="s">
        <v>4714</v>
      </c>
      <c r="AG153" s="52" t="s">
        <v>4714</v>
      </c>
      <c r="AH153" s="52" t="s">
        <v>4713</v>
      </c>
      <c r="AI153" s="52"/>
      <c r="AJ153" s="52"/>
      <c r="AK153" s="52"/>
      <c r="AL153" s="52" t="s">
        <v>1682</v>
      </c>
      <c r="AM153" s="52"/>
      <c r="AN153" s="52" t="s">
        <v>1804</v>
      </c>
      <c r="AO153" s="52"/>
      <c r="AP153" s="52"/>
      <c r="AQ153" s="52" t="s">
        <v>0</v>
      </c>
      <c r="AR153" s="52" t="s">
        <v>0</v>
      </c>
      <c r="AS153" s="52" t="s">
        <v>0</v>
      </c>
      <c r="AT153" s="52" t="s">
        <v>0</v>
      </c>
      <c r="AU153" s="52"/>
      <c r="AV153" s="52"/>
      <c r="AW153" s="52" t="s">
        <v>0</v>
      </c>
      <c r="AX153" s="52" t="s">
        <v>0</v>
      </c>
      <c r="AY153" s="52" t="s">
        <v>0</v>
      </c>
      <c r="AZ153" s="52"/>
      <c r="BA153" s="52" t="s">
        <v>4153</v>
      </c>
      <c r="BB153" s="52"/>
      <c r="BC153" s="52"/>
      <c r="BD153" s="52" t="s">
        <v>0</v>
      </c>
      <c r="BE153" s="52"/>
      <c r="BF153" s="52" t="s">
        <v>0</v>
      </c>
      <c r="BG153" s="52" t="s">
        <v>0</v>
      </c>
      <c r="BH153" s="52"/>
      <c r="BI153" s="52"/>
      <c r="BJ153" s="52"/>
      <c r="BK153" s="52" t="s">
        <v>0</v>
      </c>
      <c r="BL153" s="52" t="s">
        <v>0</v>
      </c>
      <c r="BM153" s="52"/>
      <c r="BN153" s="52"/>
      <c r="BO153" s="52"/>
      <c r="BP153" s="52"/>
      <c r="BQ153" s="52"/>
      <c r="BR153" s="52"/>
      <c r="BS153" s="52"/>
      <c r="BT153" s="52" t="s">
        <v>3714</v>
      </c>
      <c r="BU153" s="52" t="s">
        <v>3616</v>
      </c>
      <c r="BV153" s="52" t="s">
        <v>3483</v>
      </c>
      <c r="BW153" s="52" t="s">
        <v>0</v>
      </c>
      <c r="BX153" s="52" t="s">
        <v>0</v>
      </c>
      <c r="BY153" s="52" t="s">
        <v>0</v>
      </c>
      <c r="BZ153" s="52" t="s">
        <v>3979</v>
      </c>
      <c r="CA153" s="52"/>
      <c r="CB153" s="52"/>
      <c r="CC153" s="52"/>
      <c r="CD153" s="52" t="s">
        <v>2610</v>
      </c>
      <c r="CE153" s="52" t="s">
        <v>2610</v>
      </c>
      <c r="CF153" s="52"/>
      <c r="CG153" s="52" t="s">
        <v>3186</v>
      </c>
      <c r="CH153" s="52" t="s">
        <v>3186</v>
      </c>
      <c r="CI153" s="52" t="s">
        <v>0</v>
      </c>
      <c r="CJ153" s="52" t="s">
        <v>0</v>
      </c>
      <c r="CK153" s="52" t="s">
        <v>2675</v>
      </c>
      <c r="CL153" s="52"/>
      <c r="CM153" s="52"/>
      <c r="CN153" s="52"/>
      <c r="CO153" s="52" t="s">
        <v>0</v>
      </c>
      <c r="CP153" s="52" t="s">
        <v>0</v>
      </c>
      <c r="CQ153" s="52"/>
      <c r="CR153" s="52"/>
      <c r="CS153" s="52"/>
      <c r="CT153" s="52"/>
      <c r="CU153" s="52"/>
      <c r="CV153" s="52"/>
      <c r="CW153" s="52" t="s">
        <v>1159</v>
      </c>
      <c r="CX153" s="52"/>
    </row>
    <row r="154" spans="1:102" ht="22.5" customHeight="1">
      <c r="A154" s="12" t="s">
        <v>145</v>
      </c>
      <c r="B154" s="36" t="s">
        <v>3992</v>
      </c>
      <c r="C154" s="38" t="s">
        <v>0</v>
      </c>
      <c r="D154" s="38" t="s">
        <v>57</v>
      </c>
      <c r="E154" s="38" t="s">
        <v>57</v>
      </c>
      <c r="F154" s="38" t="s">
        <v>57</v>
      </c>
      <c r="G154" s="38" t="s">
        <v>57</v>
      </c>
      <c r="H154" s="38" t="s">
        <v>57</v>
      </c>
      <c r="I154" s="38" t="s">
        <v>57</v>
      </c>
      <c r="J154" s="38" t="s">
        <v>57</v>
      </c>
      <c r="K154" s="38" t="s">
        <v>57</v>
      </c>
      <c r="L154" s="38" t="s">
        <v>57</v>
      </c>
      <c r="M154" s="38" t="s">
        <v>57</v>
      </c>
      <c r="N154" s="38" t="s">
        <v>57</v>
      </c>
      <c r="O154" s="38" t="s">
        <v>57</v>
      </c>
      <c r="P154" s="38" t="s">
        <v>57</v>
      </c>
      <c r="Q154" s="38" t="s">
        <v>57</v>
      </c>
      <c r="R154" s="38" t="s">
        <v>57</v>
      </c>
      <c r="S154" s="38" t="s">
        <v>57</v>
      </c>
      <c r="T154" s="38" t="s">
        <v>57</v>
      </c>
      <c r="U154" s="38" t="s">
        <v>57</v>
      </c>
      <c r="V154" s="38" t="s">
        <v>57</v>
      </c>
      <c r="W154" s="38" t="s">
        <v>57</v>
      </c>
      <c r="X154" s="38" t="s">
        <v>57</v>
      </c>
      <c r="Y154" s="38" t="s">
        <v>57</v>
      </c>
      <c r="Z154" s="38" t="s">
        <v>57</v>
      </c>
      <c r="AA154" s="38" t="s">
        <v>0</v>
      </c>
      <c r="AB154" s="38" t="s">
        <v>0</v>
      </c>
      <c r="AC154" s="38" t="s">
        <v>0</v>
      </c>
      <c r="AD154" s="38" t="s">
        <v>0</v>
      </c>
      <c r="AE154" s="124" t="s">
        <v>57</v>
      </c>
      <c r="AF154" s="38" t="s">
        <v>57</v>
      </c>
      <c r="AG154" s="38" t="s">
        <v>57</v>
      </c>
      <c r="AH154" s="38" t="s">
        <v>57</v>
      </c>
      <c r="AI154" s="7" t="s">
        <v>57</v>
      </c>
      <c r="AJ154" s="33" t="s">
        <v>57</v>
      </c>
      <c r="AK154" s="7" t="s">
        <v>57</v>
      </c>
      <c r="AL154" s="7" t="s">
        <v>57</v>
      </c>
      <c r="AM154" s="34" t="s">
        <v>0</v>
      </c>
      <c r="AN154" s="37" t="s">
        <v>1812</v>
      </c>
      <c r="AO154" s="7" t="s">
        <v>0</v>
      </c>
      <c r="AP154" s="34" t="s">
        <v>0</v>
      </c>
      <c r="AQ154" s="7" t="s">
        <v>0</v>
      </c>
      <c r="AR154" s="7" t="s">
        <v>0</v>
      </c>
      <c r="AS154" s="7" t="s">
        <v>0</v>
      </c>
      <c r="AT154" s="7" t="s">
        <v>0</v>
      </c>
      <c r="AU154" s="38" t="s">
        <v>57</v>
      </c>
      <c r="AV154" s="38" t="s">
        <v>57</v>
      </c>
      <c r="AW154" s="34" t="s">
        <v>57</v>
      </c>
      <c r="AX154" s="34" t="s">
        <v>57</v>
      </c>
      <c r="AY154" s="34" t="s">
        <v>57</v>
      </c>
      <c r="AZ154" s="38" t="s">
        <v>0</v>
      </c>
      <c r="BA154" s="38" t="s">
        <v>57</v>
      </c>
      <c r="BB154" s="38" t="s">
        <v>57</v>
      </c>
      <c r="BC154" s="38" t="s">
        <v>57</v>
      </c>
      <c r="BD154" s="38" t="s">
        <v>57</v>
      </c>
      <c r="BE154" s="38" t="s">
        <v>57</v>
      </c>
      <c r="BF154" s="38" t="s">
        <v>57</v>
      </c>
      <c r="BG154" s="38" t="s">
        <v>0</v>
      </c>
      <c r="BH154" s="36" t="s">
        <v>587</v>
      </c>
      <c r="BI154" s="38" t="s">
        <v>866</v>
      </c>
      <c r="BJ154" s="38" t="s">
        <v>866</v>
      </c>
      <c r="BK154" s="38" t="s">
        <v>57</v>
      </c>
      <c r="BL154" s="38" t="s">
        <v>57</v>
      </c>
      <c r="BM154" s="38" t="s">
        <v>0</v>
      </c>
      <c r="BN154" s="38" t="s">
        <v>57</v>
      </c>
      <c r="BO154" s="38" t="s">
        <v>57</v>
      </c>
      <c r="BP154" s="38" t="s">
        <v>57</v>
      </c>
      <c r="BQ154" s="38" t="s">
        <v>57</v>
      </c>
      <c r="BR154" s="38" t="s">
        <v>57</v>
      </c>
      <c r="BS154" s="38" t="s">
        <v>57</v>
      </c>
      <c r="BT154" s="38" t="s">
        <v>57</v>
      </c>
      <c r="BU154" s="38" t="s">
        <v>57</v>
      </c>
      <c r="BV154" s="38" t="s">
        <v>57</v>
      </c>
      <c r="BW154" s="38" t="s">
        <v>57</v>
      </c>
      <c r="BX154" s="38" t="s">
        <v>57</v>
      </c>
      <c r="BY154" s="38" t="s">
        <v>57</v>
      </c>
      <c r="BZ154" s="38" t="s">
        <v>0</v>
      </c>
      <c r="CA154" s="38" t="s">
        <v>57</v>
      </c>
      <c r="CB154" s="38" t="s">
        <v>57</v>
      </c>
      <c r="CC154" s="38" t="s">
        <v>57</v>
      </c>
      <c r="CD154" s="38" t="s">
        <v>57</v>
      </c>
      <c r="CE154" s="38" t="s">
        <v>57</v>
      </c>
      <c r="CF154" s="38" t="s">
        <v>57</v>
      </c>
      <c r="CG154" s="38" t="s">
        <v>57</v>
      </c>
      <c r="CH154" s="38" t="s">
        <v>57</v>
      </c>
      <c r="CI154" s="36" t="s">
        <v>0</v>
      </c>
      <c r="CJ154" s="36" t="s">
        <v>0</v>
      </c>
      <c r="CK154" s="38" t="s">
        <v>0</v>
      </c>
      <c r="CL154" s="38" t="s">
        <v>57</v>
      </c>
      <c r="CM154" s="38" t="s">
        <v>57</v>
      </c>
      <c r="CN154" s="38" t="s">
        <v>0</v>
      </c>
      <c r="CO154" s="38" t="s">
        <v>0</v>
      </c>
      <c r="CP154" s="38" t="s">
        <v>57</v>
      </c>
      <c r="CQ154" s="38" t="s">
        <v>57</v>
      </c>
      <c r="CR154" s="38" t="s">
        <v>57</v>
      </c>
      <c r="CS154" s="38" t="s">
        <v>57</v>
      </c>
      <c r="CT154" s="38" t="s">
        <v>57</v>
      </c>
      <c r="CU154" s="38" t="s">
        <v>57</v>
      </c>
      <c r="CV154" s="38" t="s">
        <v>57</v>
      </c>
      <c r="CW154" s="38" t="s">
        <v>57</v>
      </c>
      <c r="CX154" s="38" t="s">
        <v>0</v>
      </c>
    </row>
    <row r="155" spans="1:102" ht="12" customHeight="1">
      <c r="A155" s="51" t="s">
        <v>935</v>
      </c>
      <c r="B155" s="52" t="s">
        <v>2039</v>
      </c>
      <c r="C155" s="52"/>
      <c r="D155" s="52"/>
      <c r="E155" s="52"/>
      <c r="F155" s="52" t="s">
        <v>1448</v>
      </c>
      <c r="G155" s="52" t="s">
        <v>1448</v>
      </c>
      <c r="H155" s="52" t="s">
        <v>1448</v>
      </c>
      <c r="I155" s="52" t="s">
        <v>1448</v>
      </c>
      <c r="J155" s="52"/>
      <c r="K155" s="52"/>
      <c r="L155" s="52"/>
      <c r="M155" s="52" t="s">
        <v>1666</v>
      </c>
      <c r="N155" s="52" t="s">
        <v>1666</v>
      </c>
      <c r="O155" s="52" t="s">
        <v>1666</v>
      </c>
      <c r="P155" s="52" t="s">
        <v>1666</v>
      </c>
      <c r="Q155" s="52" t="s">
        <v>1666</v>
      </c>
      <c r="R155" s="52" t="s">
        <v>1666</v>
      </c>
      <c r="S155" s="52" t="s">
        <v>1666</v>
      </c>
      <c r="T155" s="52" t="s">
        <v>1666</v>
      </c>
      <c r="U155" s="52" t="s">
        <v>1666</v>
      </c>
      <c r="V155" s="52" t="s">
        <v>1666</v>
      </c>
      <c r="W155" s="52" t="s">
        <v>1666</v>
      </c>
      <c r="X155" s="52" t="s">
        <v>1666</v>
      </c>
      <c r="Y155" s="52" t="s">
        <v>1666</v>
      </c>
      <c r="Z155" s="52"/>
      <c r="AA155" s="52"/>
      <c r="AB155" s="52"/>
      <c r="AC155" s="52"/>
      <c r="AD155" s="52"/>
      <c r="AE155" s="123" t="s">
        <v>1666</v>
      </c>
      <c r="AF155" s="52" t="s">
        <v>4715</v>
      </c>
      <c r="AG155" s="52" t="s">
        <v>4715</v>
      </c>
      <c r="AH155" s="52" t="s">
        <v>4715</v>
      </c>
      <c r="AI155" s="52"/>
      <c r="AJ155" s="52"/>
      <c r="AK155" s="52" t="s">
        <v>1717</v>
      </c>
      <c r="AL155" s="52" t="s">
        <v>1717</v>
      </c>
      <c r="AM155" s="52"/>
      <c r="AN155" s="52" t="s">
        <v>1804</v>
      </c>
      <c r="AO155" s="52"/>
      <c r="AP155" s="52"/>
      <c r="AQ155" s="52" t="s">
        <v>0</v>
      </c>
      <c r="AR155" s="52" t="s">
        <v>0</v>
      </c>
      <c r="AS155" s="52" t="s">
        <v>0</v>
      </c>
      <c r="AT155" s="52" t="s">
        <v>0</v>
      </c>
      <c r="AU155" s="52"/>
      <c r="AV155" s="52"/>
      <c r="AW155" s="52" t="s">
        <v>3016</v>
      </c>
      <c r="AX155" s="52" t="s">
        <v>3016</v>
      </c>
      <c r="AY155" s="52" t="s">
        <v>3016</v>
      </c>
      <c r="AZ155" s="52"/>
      <c r="BA155" s="52" t="s">
        <v>4151</v>
      </c>
      <c r="BB155" s="52"/>
      <c r="BC155" s="52"/>
      <c r="BD155" s="52" t="s">
        <v>2017</v>
      </c>
      <c r="BE155" s="52"/>
      <c r="BF155" s="52" t="s">
        <v>2017</v>
      </c>
      <c r="BG155" s="52" t="s">
        <v>0</v>
      </c>
      <c r="BH155" s="52"/>
      <c r="BI155" s="52"/>
      <c r="BJ155" s="52"/>
      <c r="BK155" s="52" t="s">
        <v>1371</v>
      </c>
      <c r="BL155" s="52" t="s">
        <v>1371</v>
      </c>
      <c r="BM155" s="52"/>
      <c r="BN155" s="52"/>
      <c r="BO155" s="52"/>
      <c r="BP155" s="52"/>
      <c r="BQ155" s="52"/>
      <c r="BR155" s="52"/>
      <c r="BS155" s="52"/>
      <c r="BT155" s="52" t="s">
        <v>3716</v>
      </c>
      <c r="BU155" s="52" t="s">
        <v>3717</v>
      </c>
      <c r="BV155" s="52" t="s">
        <v>3718</v>
      </c>
      <c r="BW155" s="52" t="s">
        <v>2480</v>
      </c>
      <c r="BX155" s="52" t="s">
        <v>2480</v>
      </c>
      <c r="BY155" s="52" t="s">
        <v>2480</v>
      </c>
      <c r="BZ155" s="52" t="s">
        <v>3979</v>
      </c>
      <c r="CA155" s="52"/>
      <c r="CB155" s="52"/>
      <c r="CC155" s="52"/>
      <c r="CD155" s="52" t="s">
        <v>2611</v>
      </c>
      <c r="CE155" s="52" t="s">
        <v>2611</v>
      </c>
      <c r="CF155" s="52"/>
      <c r="CG155" s="52" t="s">
        <v>2292</v>
      </c>
      <c r="CH155" s="52" t="s">
        <v>2292</v>
      </c>
      <c r="CI155" s="52" t="s">
        <v>0</v>
      </c>
      <c r="CJ155" s="52" t="s">
        <v>0</v>
      </c>
      <c r="CK155" s="52" t="s">
        <v>0</v>
      </c>
      <c r="CL155" s="52"/>
      <c r="CM155" s="52"/>
      <c r="CN155" s="52"/>
      <c r="CO155" s="52" t="s">
        <v>0</v>
      </c>
      <c r="CP155" s="52" t="s">
        <v>2845</v>
      </c>
      <c r="CQ155" s="52"/>
      <c r="CR155" s="52"/>
      <c r="CS155" s="52"/>
      <c r="CT155" s="52"/>
      <c r="CU155" s="52"/>
      <c r="CV155" s="52"/>
      <c r="CW155" s="52" t="s">
        <v>1192</v>
      </c>
      <c r="CX155" s="52"/>
    </row>
    <row r="156" spans="1:102" ht="22.5" customHeight="1">
      <c r="A156" s="12" t="s">
        <v>146</v>
      </c>
      <c r="B156" s="36" t="s">
        <v>3992</v>
      </c>
      <c r="C156" s="38" t="s">
        <v>0</v>
      </c>
      <c r="D156" s="38" t="s">
        <v>57</v>
      </c>
      <c r="E156" s="38" t="s">
        <v>57</v>
      </c>
      <c r="F156" s="38" t="s">
        <v>57</v>
      </c>
      <c r="G156" s="38" t="s">
        <v>57</v>
      </c>
      <c r="H156" s="38" t="s">
        <v>57</v>
      </c>
      <c r="I156" s="38" t="s">
        <v>57</v>
      </c>
      <c r="J156" s="38" t="s">
        <v>57</v>
      </c>
      <c r="K156" s="38" t="s">
        <v>57</v>
      </c>
      <c r="L156" s="38" t="s">
        <v>57</v>
      </c>
      <c r="M156" s="38" t="s">
        <v>57</v>
      </c>
      <c r="N156" s="38" t="s">
        <v>57</v>
      </c>
      <c r="O156" s="38" t="s">
        <v>57</v>
      </c>
      <c r="P156" s="38" t="s">
        <v>57</v>
      </c>
      <c r="Q156" s="38" t="s">
        <v>57</v>
      </c>
      <c r="R156" s="38" t="s">
        <v>57</v>
      </c>
      <c r="S156" s="38" t="s">
        <v>57</v>
      </c>
      <c r="T156" s="38" t="s">
        <v>57</v>
      </c>
      <c r="U156" s="38" t="s">
        <v>57</v>
      </c>
      <c r="V156" s="38" t="s">
        <v>57</v>
      </c>
      <c r="W156" s="38" t="s">
        <v>57</v>
      </c>
      <c r="X156" s="38" t="s">
        <v>57</v>
      </c>
      <c r="Y156" s="38" t="s">
        <v>57</v>
      </c>
      <c r="Z156" s="38" t="s">
        <v>57</v>
      </c>
      <c r="AA156" s="38" t="s">
        <v>0</v>
      </c>
      <c r="AB156" s="38" t="s">
        <v>0</v>
      </c>
      <c r="AC156" s="38" t="s">
        <v>0</v>
      </c>
      <c r="AD156" s="38" t="s">
        <v>0</v>
      </c>
      <c r="AE156" s="124" t="s">
        <v>57</v>
      </c>
      <c r="AF156" s="38" t="s">
        <v>57</v>
      </c>
      <c r="AG156" s="38" t="s">
        <v>57</v>
      </c>
      <c r="AH156" s="38" t="s">
        <v>57</v>
      </c>
      <c r="AI156" s="7" t="s">
        <v>57</v>
      </c>
      <c r="AJ156" s="33" t="s">
        <v>57</v>
      </c>
      <c r="AK156" s="7" t="s">
        <v>57</v>
      </c>
      <c r="AL156" s="7" t="s">
        <v>57</v>
      </c>
      <c r="AM156" s="34" t="s">
        <v>0</v>
      </c>
      <c r="AN156" s="37" t="s">
        <v>1812</v>
      </c>
      <c r="AO156" s="7" t="s">
        <v>0</v>
      </c>
      <c r="AP156" s="34" t="s">
        <v>0</v>
      </c>
      <c r="AQ156" s="7" t="s">
        <v>0</v>
      </c>
      <c r="AR156" s="7" t="s">
        <v>0</v>
      </c>
      <c r="AS156" s="7" t="s">
        <v>0</v>
      </c>
      <c r="AT156" s="7" t="s">
        <v>0</v>
      </c>
      <c r="AU156" s="38" t="s">
        <v>57</v>
      </c>
      <c r="AV156" s="38" t="s">
        <v>57</v>
      </c>
      <c r="AW156" s="34" t="s">
        <v>57</v>
      </c>
      <c r="AX156" s="34" t="s">
        <v>57</v>
      </c>
      <c r="AY156" s="34" t="s">
        <v>57</v>
      </c>
      <c r="AZ156" s="38" t="s">
        <v>0</v>
      </c>
      <c r="BA156" s="38" t="s">
        <v>57</v>
      </c>
      <c r="BB156" s="38" t="s">
        <v>57</v>
      </c>
      <c r="BC156" s="38" t="s">
        <v>57</v>
      </c>
      <c r="BD156" s="38" t="s">
        <v>57</v>
      </c>
      <c r="BE156" s="38" t="s">
        <v>57</v>
      </c>
      <c r="BF156" s="38" t="s">
        <v>57</v>
      </c>
      <c r="BG156" s="38" t="s">
        <v>0</v>
      </c>
      <c r="BH156" s="36" t="s">
        <v>588</v>
      </c>
      <c r="BI156" s="38" t="s">
        <v>57</v>
      </c>
      <c r="BJ156" s="38" t="s">
        <v>57</v>
      </c>
      <c r="BK156" s="38" t="s">
        <v>57</v>
      </c>
      <c r="BL156" s="38" t="s">
        <v>57</v>
      </c>
      <c r="BM156" s="38" t="s">
        <v>0</v>
      </c>
      <c r="BN156" s="38" t="s">
        <v>0</v>
      </c>
      <c r="BO156" s="38" t="s">
        <v>57</v>
      </c>
      <c r="BP156" s="38" t="s">
        <v>0</v>
      </c>
      <c r="BQ156" s="38" t="s">
        <v>57</v>
      </c>
      <c r="BR156" s="38" t="s">
        <v>57</v>
      </c>
      <c r="BS156" s="38" t="s">
        <v>57</v>
      </c>
      <c r="BT156" s="38" t="s">
        <v>57</v>
      </c>
      <c r="BU156" s="38" t="s">
        <v>57</v>
      </c>
      <c r="BV156" s="38" t="s">
        <v>57</v>
      </c>
      <c r="BW156" s="38" t="s">
        <v>57</v>
      </c>
      <c r="BX156" s="38" t="s">
        <v>57</v>
      </c>
      <c r="BY156" s="38" t="s">
        <v>57</v>
      </c>
      <c r="BZ156" s="38" t="s">
        <v>57</v>
      </c>
      <c r="CA156" s="38" t="s">
        <v>57</v>
      </c>
      <c r="CB156" s="38" t="s">
        <v>57</v>
      </c>
      <c r="CC156" s="38" t="s">
        <v>57</v>
      </c>
      <c r="CD156" s="38" t="s">
        <v>57</v>
      </c>
      <c r="CE156" s="38" t="s">
        <v>57</v>
      </c>
      <c r="CF156" s="38" t="s">
        <v>57</v>
      </c>
      <c r="CG156" s="38" t="s">
        <v>57</v>
      </c>
      <c r="CH156" s="38" t="s">
        <v>57</v>
      </c>
      <c r="CI156" s="36" t="s">
        <v>0</v>
      </c>
      <c r="CJ156" s="36" t="s">
        <v>0</v>
      </c>
      <c r="CK156" s="38" t="s">
        <v>0</v>
      </c>
      <c r="CL156" s="38" t="s">
        <v>57</v>
      </c>
      <c r="CM156" s="38" t="s">
        <v>57</v>
      </c>
      <c r="CN156" s="38" t="s">
        <v>0</v>
      </c>
      <c r="CO156" s="38" t="s">
        <v>0</v>
      </c>
      <c r="CP156" s="38" t="s">
        <v>57</v>
      </c>
      <c r="CQ156" s="38" t="s">
        <v>57</v>
      </c>
      <c r="CR156" s="38" t="s">
        <v>57</v>
      </c>
      <c r="CS156" s="38" t="s">
        <v>57</v>
      </c>
      <c r="CT156" s="38" t="s">
        <v>57</v>
      </c>
      <c r="CU156" s="38" t="s">
        <v>57</v>
      </c>
      <c r="CV156" s="38" t="s">
        <v>57</v>
      </c>
      <c r="CW156" s="38" t="s">
        <v>57</v>
      </c>
      <c r="CX156" s="38" t="s">
        <v>0</v>
      </c>
    </row>
    <row r="157" spans="1:102" ht="12" customHeight="1">
      <c r="A157" s="51" t="s">
        <v>935</v>
      </c>
      <c r="B157" s="52" t="s">
        <v>2039</v>
      </c>
      <c r="C157" s="52"/>
      <c r="D157" s="52"/>
      <c r="E157" s="52"/>
      <c r="F157" s="52" t="s">
        <v>1449</v>
      </c>
      <c r="G157" s="52" t="s">
        <v>1449</v>
      </c>
      <c r="H157" s="52" t="s">
        <v>1449</v>
      </c>
      <c r="I157" s="52" t="s">
        <v>1449</v>
      </c>
      <c r="J157" s="52"/>
      <c r="K157" s="52"/>
      <c r="L157" s="52"/>
      <c r="M157" s="52" t="s">
        <v>1667</v>
      </c>
      <c r="N157" s="52" t="s">
        <v>1667</v>
      </c>
      <c r="O157" s="52" t="s">
        <v>1667</v>
      </c>
      <c r="P157" s="52" t="s">
        <v>1667</v>
      </c>
      <c r="Q157" s="52" t="s">
        <v>1667</v>
      </c>
      <c r="R157" s="52" t="s">
        <v>1667</v>
      </c>
      <c r="S157" s="52" t="s">
        <v>1667</v>
      </c>
      <c r="T157" s="52" t="s">
        <v>1667</v>
      </c>
      <c r="U157" s="52" t="s">
        <v>1667</v>
      </c>
      <c r="V157" s="52" t="s">
        <v>1667</v>
      </c>
      <c r="W157" s="52" t="s">
        <v>1667</v>
      </c>
      <c r="X157" s="52" t="s">
        <v>1667</v>
      </c>
      <c r="Y157" s="52" t="s">
        <v>1667</v>
      </c>
      <c r="Z157" s="52"/>
      <c r="AA157" s="52"/>
      <c r="AB157" s="52"/>
      <c r="AC157" s="52"/>
      <c r="AD157" s="52"/>
      <c r="AE157" s="123" t="s">
        <v>1667</v>
      </c>
      <c r="AF157" s="52" t="s">
        <v>4716</v>
      </c>
      <c r="AG157" s="52" t="s">
        <v>4716</v>
      </c>
      <c r="AH157" s="52" t="s">
        <v>4716</v>
      </c>
      <c r="AI157" s="52"/>
      <c r="AJ157" s="52"/>
      <c r="AK157" s="52" t="s">
        <v>1718</v>
      </c>
      <c r="AL157" s="52" t="s">
        <v>1718</v>
      </c>
      <c r="AM157" s="52"/>
      <c r="AN157" s="52" t="s">
        <v>1804</v>
      </c>
      <c r="AO157" s="52"/>
      <c r="AP157" s="52"/>
      <c r="AQ157" s="52" t="s">
        <v>0</v>
      </c>
      <c r="AR157" s="52" t="s">
        <v>0</v>
      </c>
      <c r="AS157" s="52" t="s">
        <v>0</v>
      </c>
      <c r="AT157" s="52" t="s">
        <v>0</v>
      </c>
      <c r="AU157" s="52"/>
      <c r="AV157" s="52"/>
      <c r="AW157" s="52" t="s">
        <v>3017</v>
      </c>
      <c r="AX157" s="52" t="s">
        <v>3017</v>
      </c>
      <c r="AY157" s="52" t="s">
        <v>3017</v>
      </c>
      <c r="AZ157" s="52"/>
      <c r="BA157" s="52" t="s">
        <v>4152</v>
      </c>
      <c r="BB157" s="52"/>
      <c r="BC157" s="52"/>
      <c r="BD157" s="52" t="s">
        <v>2018</v>
      </c>
      <c r="BE157" s="52"/>
      <c r="BF157" s="52" t="s">
        <v>2018</v>
      </c>
      <c r="BG157" s="52" t="s">
        <v>0</v>
      </c>
      <c r="BH157" s="52"/>
      <c r="BI157" s="52"/>
      <c r="BJ157" s="52"/>
      <c r="BK157" s="52" t="s">
        <v>1372</v>
      </c>
      <c r="BL157" s="52" t="s">
        <v>1372</v>
      </c>
      <c r="BM157" s="52"/>
      <c r="BN157" s="52"/>
      <c r="BO157" s="52"/>
      <c r="BP157" s="52"/>
      <c r="BQ157" s="52"/>
      <c r="BR157" s="52"/>
      <c r="BS157" s="52"/>
      <c r="BT157" s="52" t="s">
        <v>3719</v>
      </c>
      <c r="BU157" s="52" t="s">
        <v>3618</v>
      </c>
      <c r="BV157" s="52" t="s">
        <v>3510</v>
      </c>
      <c r="BW157" s="52" t="s">
        <v>2481</v>
      </c>
      <c r="BX157" s="52" t="s">
        <v>2481</v>
      </c>
      <c r="BY157" s="52" t="s">
        <v>2481</v>
      </c>
      <c r="BZ157" s="52" t="s">
        <v>4599</v>
      </c>
      <c r="CA157" s="52"/>
      <c r="CB157" s="52"/>
      <c r="CC157" s="52"/>
      <c r="CD157" s="52" t="s">
        <v>2612</v>
      </c>
      <c r="CE157" s="52" t="s">
        <v>2612</v>
      </c>
      <c r="CF157" s="52"/>
      <c r="CG157" s="52" t="s">
        <v>2293</v>
      </c>
      <c r="CH157" s="52" t="s">
        <v>2293</v>
      </c>
      <c r="CI157" s="52" t="s">
        <v>0</v>
      </c>
      <c r="CJ157" s="52" t="s">
        <v>0</v>
      </c>
      <c r="CK157" s="52" t="s">
        <v>0</v>
      </c>
      <c r="CL157" s="52"/>
      <c r="CM157" s="52"/>
      <c r="CN157" s="52"/>
      <c r="CO157" s="52" t="s">
        <v>0</v>
      </c>
      <c r="CP157" s="52" t="s">
        <v>2846</v>
      </c>
      <c r="CQ157" s="52"/>
      <c r="CR157" s="52"/>
      <c r="CS157" s="52"/>
      <c r="CT157" s="52"/>
      <c r="CU157" s="52"/>
      <c r="CV157" s="52"/>
      <c r="CW157" s="52" t="s">
        <v>1193</v>
      </c>
      <c r="CX157" s="52"/>
    </row>
    <row r="158" spans="1:102" ht="22.5" customHeight="1">
      <c r="A158" s="12" t="s">
        <v>134</v>
      </c>
      <c r="B158" s="38" t="s">
        <v>0</v>
      </c>
      <c r="C158" s="38" t="s">
        <v>0</v>
      </c>
      <c r="D158" s="38" t="s">
        <v>0</v>
      </c>
      <c r="E158" s="38" t="s">
        <v>0</v>
      </c>
      <c r="F158" s="38" t="s">
        <v>0</v>
      </c>
      <c r="G158" s="38" t="s">
        <v>0</v>
      </c>
      <c r="H158" s="38" t="s">
        <v>0</v>
      </c>
      <c r="I158" s="38" t="s">
        <v>0</v>
      </c>
      <c r="J158" s="38" t="s">
        <v>0</v>
      </c>
      <c r="K158" s="38" t="s">
        <v>0</v>
      </c>
      <c r="L158" s="38" t="s">
        <v>0</v>
      </c>
      <c r="M158" s="38" t="s">
        <v>0</v>
      </c>
      <c r="N158" s="38" t="s">
        <v>0</v>
      </c>
      <c r="O158" s="38" t="s">
        <v>0</v>
      </c>
      <c r="P158" s="38" t="s">
        <v>0</v>
      </c>
      <c r="Q158" s="38" t="s">
        <v>0</v>
      </c>
      <c r="R158" s="38" t="s">
        <v>0</v>
      </c>
      <c r="S158" s="38" t="s">
        <v>0</v>
      </c>
      <c r="T158" s="38" t="s">
        <v>0</v>
      </c>
      <c r="U158" s="38" t="s">
        <v>0</v>
      </c>
      <c r="V158" s="38" t="s">
        <v>0</v>
      </c>
      <c r="W158" s="38" t="s">
        <v>0</v>
      </c>
      <c r="X158" s="38" t="s">
        <v>0</v>
      </c>
      <c r="Y158" s="38" t="s">
        <v>0</v>
      </c>
      <c r="Z158" s="38" t="s">
        <v>0</v>
      </c>
      <c r="AA158" s="38" t="s">
        <v>0</v>
      </c>
      <c r="AB158" s="38" t="s">
        <v>0</v>
      </c>
      <c r="AC158" s="38" t="s">
        <v>0</v>
      </c>
      <c r="AD158" s="38" t="s">
        <v>0</v>
      </c>
      <c r="AE158" s="124" t="s">
        <v>0</v>
      </c>
      <c r="AF158" s="38" t="s">
        <v>0</v>
      </c>
      <c r="AG158" s="38" t="s">
        <v>0</v>
      </c>
      <c r="AH158" s="38" t="s">
        <v>0</v>
      </c>
      <c r="AI158" s="7" t="s">
        <v>57</v>
      </c>
      <c r="AJ158" s="33" t="s">
        <v>57</v>
      </c>
      <c r="AK158" s="7" t="s">
        <v>57</v>
      </c>
      <c r="AL158" s="7" t="s">
        <v>57</v>
      </c>
      <c r="AM158" s="34" t="s">
        <v>0</v>
      </c>
      <c r="AN158" s="34" t="s">
        <v>0</v>
      </c>
      <c r="AO158" s="7" t="s">
        <v>0</v>
      </c>
      <c r="AP158" s="34" t="s">
        <v>0</v>
      </c>
      <c r="AQ158" s="7" t="s">
        <v>0</v>
      </c>
      <c r="AR158" s="7" t="s">
        <v>0</v>
      </c>
      <c r="AS158" s="7" t="s">
        <v>0</v>
      </c>
      <c r="AT158" s="7" t="s">
        <v>0</v>
      </c>
      <c r="AU158" s="38" t="s">
        <v>0</v>
      </c>
      <c r="AV158" s="38" t="s">
        <v>0</v>
      </c>
      <c r="AW158" s="34" t="s">
        <v>0</v>
      </c>
      <c r="AX158" s="34" t="s">
        <v>0</v>
      </c>
      <c r="AY158" s="34" t="s">
        <v>0</v>
      </c>
      <c r="AZ158" s="38" t="s">
        <v>0</v>
      </c>
      <c r="BA158" s="38" t="s">
        <v>0</v>
      </c>
      <c r="BB158" s="38" t="s">
        <v>0</v>
      </c>
      <c r="BC158" s="38" t="s">
        <v>0</v>
      </c>
      <c r="BD158" s="38" t="s">
        <v>0</v>
      </c>
      <c r="BE158" s="38" t="s">
        <v>0</v>
      </c>
      <c r="BF158" s="38" t="s">
        <v>0</v>
      </c>
      <c r="BG158" s="38" t="s">
        <v>0</v>
      </c>
      <c r="BH158" s="38" t="s">
        <v>0</v>
      </c>
      <c r="BI158" s="38" t="s">
        <v>0</v>
      </c>
      <c r="BJ158" s="38" t="s">
        <v>0</v>
      </c>
      <c r="BK158" s="38" t="s">
        <v>0</v>
      </c>
      <c r="BL158" s="38" t="s">
        <v>0</v>
      </c>
      <c r="BM158" s="38" t="s">
        <v>0</v>
      </c>
      <c r="BN158" s="38" t="s">
        <v>0</v>
      </c>
      <c r="BO158" s="38" t="s">
        <v>57</v>
      </c>
      <c r="BP158" s="38" t="s">
        <v>0</v>
      </c>
      <c r="BQ158" s="38" t="s">
        <v>57</v>
      </c>
      <c r="BR158" s="38" t="s">
        <v>57</v>
      </c>
      <c r="BS158" s="38" t="s">
        <v>57</v>
      </c>
      <c r="BT158" s="38" t="s">
        <v>57</v>
      </c>
      <c r="BU158" s="38" t="s">
        <v>57</v>
      </c>
      <c r="BV158" s="38" t="s">
        <v>57</v>
      </c>
      <c r="BW158" s="38" t="s">
        <v>0</v>
      </c>
      <c r="BX158" s="38" t="s">
        <v>0</v>
      </c>
      <c r="BY158" s="38" t="s">
        <v>0</v>
      </c>
      <c r="BZ158" s="38" t="s">
        <v>0</v>
      </c>
      <c r="CA158" s="38" t="s">
        <v>0</v>
      </c>
      <c r="CB158" s="38" t="s">
        <v>0</v>
      </c>
      <c r="CC158" s="38" t="s">
        <v>0</v>
      </c>
      <c r="CD158" s="38" t="s">
        <v>0</v>
      </c>
      <c r="CE158" s="38" t="s">
        <v>0</v>
      </c>
      <c r="CF158" s="38" t="s">
        <v>0</v>
      </c>
      <c r="CG158" s="38" t="s">
        <v>0</v>
      </c>
      <c r="CH158" s="38" t="s">
        <v>0</v>
      </c>
      <c r="CI158" s="38" t="s">
        <v>0</v>
      </c>
      <c r="CJ158" s="38" t="s">
        <v>0</v>
      </c>
      <c r="CK158" s="38" t="s">
        <v>0</v>
      </c>
      <c r="CL158" s="38" t="s">
        <v>0</v>
      </c>
      <c r="CM158" s="38" t="s">
        <v>0</v>
      </c>
      <c r="CN158" s="38" t="s">
        <v>0</v>
      </c>
      <c r="CO158" s="38" t="s">
        <v>0</v>
      </c>
      <c r="CP158" s="38" t="s">
        <v>0</v>
      </c>
      <c r="CQ158" s="36" t="s">
        <v>0</v>
      </c>
      <c r="CR158" s="36" t="s">
        <v>0</v>
      </c>
      <c r="CS158" s="38" t="s">
        <v>0</v>
      </c>
      <c r="CT158" s="38" t="s">
        <v>0</v>
      </c>
      <c r="CU158" s="38" t="s">
        <v>0</v>
      </c>
      <c r="CV158" s="38" t="s">
        <v>0</v>
      </c>
      <c r="CW158" s="38" t="s">
        <v>0</v>
      </c>
      <c r="CX158" s="38" t="s">
        <v>0</v>
      </c>
    </row>
    <row r="159" spans="1:102" ht="12" customHeight="1">
      <c r="A159" s="51" t="s">
        <v>935</v>
      </c>
      <c r="B159" s="52" t="s">
        <v>0</v>
      </c>
      <c r="C159" s="52"/>
      <c r="D159" s="52"/>
      <c r="E159" s="52"/>
      <c r="F159" s="52" t="s">
        <v>0</v>
      </c>
      <c r="G159" s="52" t="s">
        <v>0</v>
      </c>
      <c r="H159" s="52" t="s">
        <v>0</v>
      </c>
      <c r="I159" s="52" t="s">
        <v>0</v>
      </c>
      <c r="J159" s="52"/>
      <c r="K159" s="52"/>
      <c r="L159" s="52"/>
      <c r="M159" s="52" t="s">
        <v>0</v>
      </c>
      <c r="N159" s="52" t="s">
        <v>0</v>
      </c>
      <c r="O159" s="52" t="s">
        <v>0</v>
      </c>
      <c r="P159" s="52" t="s">
        <v>0</v>
      </c>
      <c r="Q159" s="52" t="s">
        <v>0</v>
      </c>
      <c r="R159" s="52" t="s">
        <v>0</v>
      </c>
      <c r="S159" s="52" t="s">
        <v>0</v>
      </c>
      <c r="T159" s="52" t="s">
        <v>0</v>
      </c>
      <c r="U159" s="52" t="s">
        <v>0</v>
      </c>
      <c r="V159" s="52" t="s">
        <v>0</v>
      </c>
      <c r="W159" s="52" t="s">
        <v>0</v>
      </c>
      <c r="X159" s="52" t="s">
        <v>0</v>
      </c>
      <c r="Y159" s="52" t="s">
        <v>0</v>
      </c>
      <c r="Z159" s="52"/>
      <c r="AA159" s="52"/>
      <c r="AB159" s="52"/>
      <c r="AC159" s="52"/>
      <c r="AD159" s="52"/>
      <c r="AE159" s="123" t="s">
        <v>0</v>
      </c>
      <c r="AF159" s="52" t="s">
        <v>0</v>
      </c>
      <c r="AG159" s="52" t="s">
        <v>0</v>
      </c>
      <c r="AH159" s="52" t="s">
        <v>0</v>
      </c>
      <c r="AI159" s="52"/>
      <c r="AJ159" s="52"/>
      <c r="AK159" s="52" t="s">
        <v>1720</v>
      </c>
      <c r="AL159" s="52" t="s">
        <v>1720</v>
      </c>
      <c r="AM159" s="52"/>
      <c r="AN159" s="52" t="s">
        <v>0</v>
      </c>
      <c r="AO159" s="52"/>
      <c r="AP159" s="52"/>
      <c r="AQ159" s="52" t="s">
        <v>0</v>
      </c>
      <c r="AR159" s="52" t="s">
        <v>0</v>
      </c>
      <c r="AS159" s="52" t="s">
        <v>0</v>
      </c>
      <c r="AT159" s="52" t="s">
        <v>0</v>
      </c>
      <c r="AU159" s="52"/>
      <c r="AV159" s="52"/>
      <c r="AW159" s="52" t="s">
        <v>0</v>
      </c>
      <c r="AX159" s="52" t="s">
        <v>0</v>
      </c>
      <c r="AY159" s="52" t="s">
        <v>0</v>
      </c>
      <c r="AZ159" s="52"/>
      <c r="BA159" s="52" t="s">
        <v>0</v>
      </c>
      <c r="BB159" s="52"/>
      <c r="BC159" s="52"/>
      <c r="BD159" s="52" t="s">
        <v>0</v>
      </c>
      <c r="BE159" s="52"/>
      <c r="BF159" s="52" t="s">
        <v>0</v>
      </c>
      <c r="BG159" s="52" t="s">
        <v>0</v>
      </c>
      <c r="BH159" s="52"/>
      <c r="BI159" s="52"/>
      <c r="BJ159" s="52"/>
      <c r="BK159" s="52" t="s">
        <v>0</v>
      </c>
      <c r="BL159" s="52" t="s">
        <v>0</v>
      </c>
      <c r="BM159" s="52"/>
      <c r="BN159" s="52"/>
      <c r="BO159" s="52"/>
      <c r="BP159" s="52"/>
      <c r="BQ159" s="52"/>
      <c r="BR159" s="52"/>
      <c r="BS159" s="52"/>
      <c r="BT159" s="52" t="s">
        <v>3720</v>
      </c>
      <c r="BU159" s="52" t="s">
        <v>3619</v>
      </c>
      <c r="BV159" s="52" t="s">
        <v>3511</v>
      </c>
      <c r="BW159" s="52" t="s">
        <v>0</v>
      </c>
      <c r="BX159" s="52" t="s">
        <v>0</v>
      </c>
      <c r="BY159" s="52" t="s">
        <v>0</v>
      </c>
      <c r="BZ159" s="52" t="s">
        <v>0</v>
      </c>
      <c r="CA159" s="52"/>
      <c r="CB159" s="52"/>
      <c r="CC159" s="52"/>
      <c r="CD159" s="52" t="s">
        <v>0</v>
      </c>
      <c r="CE159" s="52" t="s">
        <v>0</v>
      </c>
      <c r="CF159" s="52"/>
      <c r="CG159" s="52" t="s">
        <v>0</v>
      </c>
      <c r="CH159" s="52" t="s">
        <v>0</v>
      </c>
      <c r="CI159" s="52" t="s">
        <v>0</v>
      </c>
      <c r="CJ159" s="52" t="s">
        <v>0</v>
      </c>
      <c r="CK159" s="52" t="s">
        <v>0</v>
      </c>
      <c r="CL159" s="52"/>
      <c r="CM159" s="52"/>
      <c r="CN159" s="52"/>
      <c r="CO159" s="52" t="s">
        <v>0</v>
      </c>
      <c r="CP159" s="52" t="s">
        <v>0</v>
      </c>
      <c r="CQ159" s="52"/>
      <c r="CR159" s="52"/>
      <c r="CS159" s="52"/>
      <c r="CT159" s="52"/>
      <c r="CU159" s="52"/>
      <c r="CV159" s="52"/>
      <c r="CW159" s="52" t="s">
        <v>0</v>
      </c>
      <c r="CX159" s="52"/>
    </row>
    <row r="160" spans="1:102" ht="22.5" customHeight="1">
      <c r="A160" s="12" t="s">
        <v>135</v>
      </c>
      <c r="B160" s="38" t="s">
        <v>0</v>
      </c>
      <c r="C160" s="38" t="s">
        <v>0</v>
      </c>
      <c r="D160" s="38" t="s">
        <v>0</v>
      </c>
      <c r="E160" s="38" t="s">
        <v>0</v>
      </c>
      <c r="F160" s="38" t="s">
        <v>0</v>
      </c>
      <c r="G160" s="38" t="s">
        <v>0</v>
      </c>
      <c r="H160" s="38" t="s">
        <v>0</v>
      </c>
      <c r="I160" s="38" t="s">
        <v>0</v>
      </c>
      <c r="J160" s="38" t="s">
        <v>0</v>
      </c>
      <c r="K160" s="38" t="s">
        <v>0</v>
      </c>
      <c r="L160" s="38" t="s">
        <v>0</v>
      </c>
      <c r="M160" s="38" t="s">
        <v>0</v>
      </c>
      <c r="N160" s="38" t="s">
        <v>0</v>
      </c>
      <c r="O160" s="38" t="s">
        <v>0</v>
      </c>
      <c r="P160" s="38" t="s">
        <v>0</v>
      </c>
      <c r="Q160" s="38" t="s">
        <v>0</v>
      </c>
      <c r="R160" s="38" t="s">
        <v>0</v>
      </c>
      <c r="S160" s="38" t="s">
        <v>0</v>
      </c>
      <c r="T160" s="38" t="s">
        <v>0</v>
      </c>
      <c r="U160" s="38" t="s">
        <v>0</v>
      </c>
      <c r="V160" s="38" t="s">
        <v>0</v>
      </c>
      <c r="W160" s="38" t="s">
        <v>0</v>
      </c>
      <c r="X160" s="38" t="s">
        <v>0</v>
      </c>
      <c r="Y160" s="38" t="s">
        <v>0</v>
      </c>
      <c r="Z160" s="38" t="s">
        <v>0</v>
      </c>
      <c r="AA160" s="38" t="s">
        <v>0</v>
      </c>
      <c r="AB160" s="38" t="s">
        <v>0</v>
      </c>
      <c r="AC160" s="38" t="s">
        <v>0</v>
      </c>
      <c r="AD160" s="38" t="s">
        <v>0</v>
      </c>
      <c r="AE160" s="124" t="s">
        <v>57</v>
      </c>
      <c r="AF160" s="38" t="s">
        <v>0</v>
      </c>
      <c r="AG160" s="38" t="s">
        <v>0</v>
      </c>
      <c r="AH160" s="38" t="s">
        <v>0</v>
      </c>
      <c r="AI160" s="7" t="s">
        <v>57</v>
      </c>
      <c r="AJ160" s="34" t="s">
        <v>57</v>
      </c>
      <c r="AK160" s="7" t="s">
        <v>57</v>
      </c>
      <c r="AL160" s="7" t="s">
        <v>57</v>
      </c>
      <c r="AM160" s="34" t="s">
        <v>0</v>
      </c>
      <c r="AN160" s="34" t="s">
        <v>0</v>
      </c>
      <c r="AO160" s="7" t="s">
        <v>0</v>
      </c>
      <c r="AP160" s="34" t="s">
        <v>0</v>
      </c>
      <c r="AQ160" s="7" t="s">
        <v>0</v>
      </c>
      <c r="AR160" s="7" t="s">
        <v>0</v>
      </c>
      <c r="AS160" s="7" t="s">
        <v>0</v>
      </c>
      <c r="AT160" s="7" t="s">
        <v>0</v>
      </c>
      <c r="AU160" s="38" t="s">
        <v>0</v>
      </c>
      <c r="AV160" s="38" t="s">
        <v>0</v>
      </c>
      <c r="AW160" s="34" t="s">
        <v>0</v>
      </c>
      <c r="AX160" s="34" t="s">
        <v>0</v>
      </c>
      <c r="AY160" s="34" t="s">
        <v>0</v>
      </c>
      <c r="AZ160" s="38" t="s">
        <v>0</v>
      </c>
      <c r="BA160" s="38" t="s">
        <v>0</v>
      </c>
      <c r="BB160" s="38" t="s">
        <v>0</v>
      </c>
      <c r="BC160" s="38" t="s">
        <v>0</v>
      </c>
      <c r="BD160" s="38" t="s">
        <v>0</v>
      </c>
      <c r="BE160" s="38" t="s">
        <v>0</v>
      </c>
      <c r="BF160" s="38" t="s">
        <v>0</v>
      </c>
      <c r="BG160" s="38" t="s">
        <v>0</v>
      </c>
      <c r="BH160" s="38" t="s">
        <v>0</v>
      </c>
      <c r="BI160" s="38" t="s">
        <v>0</v>
      </c>
      <c r="BJ160" s="38" t="s">
        <v>0</v>
      </c>
      <c r="BK160" s="38" t="s">
        <v>0</v>
      </c>
      <c r="BL160" s="38" t="s">
        <v>0</v>
      </c>
      <c r="BM160" s="38" t="s">
        <v>0</v>
      </c>
      <c r="BN160" s="38" t="s">
        <v>0</v>
      </c>
      <c r="BO160" s="38" t="s">
        <v>57</v>
      </c>
      <c r="BP160" s="38" t="s">
        <v>0</v>
      </c>
      <c r="BQ160" s="38" t="s">
        <v>57</v>
      </c>
      <c r="BR160" s="38" t="s">
        <v>57</v>
      </c>
      <c r="BS160" s="38" t="s">
        <v>57</v>
      </c>
      <c r="BT160" s="38" t="s">
        <v>57</v>
      </c>
      <c r="BU160" s="38" t="s">
        <v>57</v>
      </c>
      <c r="BV160" s="38" t="s">
        <v>57</v>
      </c>
      <c r="BW160" s="38" t="s">
        <v>0</v>
      </c>
      <c r="BX160" s="38" t="s">
        <v>0</v>
      </c>
      <c r="BY160" s="38" t="s">
        <v>0</v>
      </c>
      <c r="BZ160" s="38" t="s">
        <v>0</v>
      </c>
      <c r="CA160" s="38" t="s">
        <v>0</v>
      </c>
      <c r="CB160" s="38" t="s">
        <v>0</v>
      </c>
      <c r="CC160" s="38" t="s">
        <v>0</v>
      </c>
      <c r="CD160" s="38" t="s">
        <v>0</v>
      </c>
      <c r="CE160" s="38" t="s">
        <v>0</v>
      </c>
      <c r="CF160" s="38" t="s">
        <v>0</v>
      </c>
      <c r="CG160" s="38" t="s">
        <v>0</v>
      </c>
      <c r="CH160" s="38" t="s">
        <v>0</v>
      </c>
      <c r="CI160" s="38" t="s">
        <v>0</v>
      </c>
      <c r="CJ160" s="38" t="s">
        <v>0</v>
      </c>
      <c r="CK160" s="38" t="s">
        <v>0</v>
      </c>
      <c r="CL160" s="38" t="s">
        <v>0</v>
      </c>
      <c r="CM160" s="38" t="s">
        <v>0</v>
      </c>
      <c r="CN160" s="36" t="s">
        <v>635</v>
      </c>
      <c r="CO160" s="38" t="s">
        <v>57</v>
      </c>
      <c r="CP160" s="38" t="s">
        <v>57</v>
      </c>
      <c r="CQ160" s="38" t="s">
        <v>57</v>
      </c>
      <c r="CR160" s="38" t="s">
        <v>57</v>
      </c>
      <c r="CS160" s="38" t="s">
        <v>0</v>
      </c>
      <c r="CT160" s="38" t="s">
        <v>0</v>
      </c>
      <c r="CU160" s="38" t="s">
        <v>0</v>
      </c>
      <c r="CV160" s="38" t="s">
        <v>0</v>
      </c>
      <c r="CW160" s="38" t="s">
        <v>0</v>
      </c>
      <c r="CX160" s="38" t="s">
        <v>0</v>
      </c>
    </row>
    <row r="161" spans="1:130" ht="12" customHeight="1">
      <c r="A161" s="51" t="s">
        <v>935</v>
      </c>
      <c r="B161" s="52" t="s">
        <v>0</v>
      </c>
      <c r="C161" s="52"/>
      <c r="D161" s="52"/>
      <c r="E161" s="52"/>
      <c r="F161" s="52" t="s">
        <v>0</v>
      </c>
      <c r="G161" s="52" t="s">
        <v>0</v>
      </c>
      <c r="H161" s="52" t="s">
        <v>0</v>
      </c>
      <c r="I161" s="52" t="s">
        <v>0</v>
      </c>
      <c r="J161" s="52"/>
      <c r="K161" s="52"/>
      <c r="L161" s="52"/>
      <c r="M161" s="52" t="s">
        <v>0</v>
      </c>
      <c r="N161" s="52" t="s">
        <v>0</v>
      </c>
      <c r="O161" s="52" t="s">
        <v>0</v>
      </c>
      <c r="P161" s="52" t="s">
        <v>0</v>
      </c>
      <c r="Q161" s="52" t="s">
        <v>0</v>
      </c>
      <c r="R161" s="52" t="s">
        <v>0</v>
      </c>
      <c r="S161" s="52" t="s">
        <v>0</v>
      </c>
      <c r="T161" s="52" t="s">
        <v>0</v>
      </c>
      <c r="U161" s="52" t="s">
        <v>0</v>
      </c>
      <c r="V161" s="52" t="s">
        <v>0</v>
      </c>
      <c r="W161" s="52" t="s">
        <v>0</v>
      </c>
      <c r="X161" s="52" t="s">
        <v>0</v>
      </c>
      <c r="Y161" s="52" t="s">
        <v>0</v>
      </c>
      <c r="Z161" s="52"/>
      <c r="AA161" s="52"/>
      <c r="AB161" s="52"/>
      <c r="AC161" s="52"/>
      <c r="AD161" s="52"/>
      <c r="AE161" s="123" t="s">
        <v>5220</v>
      </c>
      <c r="AF161" s="52" t="s">
        <v>0</v>
      </c>
      <c r="AG161" s="52" t="s">
        <v>0</v>
      </c>
      <c r="AH161" s="52" t="s">
        <v>0</v>
      </c>
      <c r="AI161" s="52"/>
      <c r="AJ161" s="52"/>
      <c r="AK161" s="52" t="s">
        <v>1723</v>
      </c>
      <c r="AL161" s="52" t="s">
        <v>1723</v>
      </c>
      <c r="AM161" s="52"/>
      <c r="AN161" s="52" t="s">
        <v>0</v>
      </c>
      <c r="AO161" s="52"/>
      <c r="AP161" s="52"/>
      <c r="AQ161" s="52" t="s">
        <v>0</v>
      </c>
      <c r="AR161" s="52" t="s">
        <v>0</v>
      </c>
      <c r="AS161" s="52" t="s">
        <v>0</v>
      </c>
      <c r="AT161" s="52" t="s">
        <v>0</v>
      </c>
      <c r="AU161" s="52"/>
      <c r="AV161" s="52"/>
      <c r="AW161" s="52" t="s">
        <v>0</v>
      </c>
      <c r="AX161" s="52" t="s">
        <v>0</v>
      </c>
      <c r="AY161" s="52" t="s">
        <v>0</v>
      </c>
      <c r="AZ161" s="52"/>
      <c r="BA161" s="52" t="s">
        <v>0</v>
      </c>
      <c r="BB161" s="52"/>
      <c r="BC161" s="52"/>
      <c r="BD161" s="52" t="s">
        <v>0</v>
      </c>
      <c r="BE161" s="52"/>
      <c r="BF161" s="52" t="s">
        <v>0</v>
      </c>
      <c r="BG161" s="52" t="s">
        <v>0</v>
      </c>
      <c r="BH161" s="52"/>
      <c r="BI161" s="52"/>
      <c r="BJ161" s="52"/>
      <c r="BK161" s="52" t="s">
        <v>0</v>
      </c>
      <c r="BL161" s="52" t="s">
        <v>0</v>
      </c>
      <c r="BM161" s="52"/>
      <c r="BN161" s="52"/>
      <c r="BO161" s="52"/>
      <c r="BP161" s="52"/>
      <c r="BQ161" s="52"/>
      <c r="BR161" s="52"/>
      <c r="BS161" s="52"/>
      <c r="BT161" s="52" t="s">
        <v>3721</v>
      </c>
      <c r="BU161" s="52" t="s">
        <v>3620</v>
      </c>
      <c r="BV161" s="52" t="s">
        <v>3512</v>
      </c>
      <c r="BW161" s="52" t="s">
        <v>0</v>
      </c>
      <c r="BX161" s="52" t="s">
        <v>0</v>
      </c>
      <c r="BY161" s="52" t="s">
        <v>0</v>
      </c>
      <c r="BZ161" s="52" t="s">
        <v>0</v>
      </c>
      <c r="CA161" s="52"/>
      <c r="CB161" s="52"/>
      <c r="CC161" s="52"/>
      <c r="CD161" s="52" t="s">
        <v>0</v>
      </c>
      <c r="CE161" s="52" t="s">
        <v>0</v>
      </c>
      <c r="CF161" s="52"/>
      <c r="CG161" s="52" t="s">
        <v>0</v>
      </c>
      <c r="CH161" s="52" t="s">
        <v>0</v>
      </c>
      <c r="CI161" s="52" t="s">
        <v>0</v>
      </c>
      <c r="CJ161" s="52" t="s">
        <v>0</v>
      </c>
      <c r="CK161" s="52" t="s">
        <v>0</v>
      </c>
      <c r="CL161" s="52"/>
      <c r="CM161" s="52"/>
      <c r="CN161" s="52"/>
      <c r="CO161" s="52" t="s">
        <v>2059</v>
      </c>
      <c r="CP161" s="52" t="s">
        <v>2847</v>
      </c>
      <c r="CQ161" s="52"/>
      <c r="CR161" s="52"/>
      <c r="CS161" s="52"/>
      <c r="CT161" s="52"/>
      <c r="CU161" s="52"/>
      <c r="CV161" s="52"/>
      <c r="CW161" s="52" t="s">
        <v>0</v>
      </c>
      <c r="CX161" s="52"/>
    </row>
    <row r="162" spans="1:130" ht="22.5" customHeight="1">
      <c r="A162" s="12" t="s">
        <v>136</v>
      </c>
      <c r="B162" s="38" t="s">
        <v>0</v>
      </c>
      <c r="C162" s="38" t="s">
        <v>0</v>
      </c>
      <c r="D162" s="38" t="s">
        <v>0</v>
      </c>
      <c r="E162" s="38" t="s">
        <v>0</v>
      </c>
      <c r="F162" s="38" t="s">
        <v>0</v>
      </c>
      <c r="G162" s="38" t="s">
        <v>0</v>
      </c>
      <c r="H162" s="38" t="s">
        <v>0</v>
      </c>
      <c r="I162" s="38" t="s">
        <v>0</v>
      </c>
      <c r="J162" s="38" t="s">
        <v>0</v>
      </c>
      <c r="K162" s="38" t="s">
        <v>0</v>
      </c>
      <c r="L162" s="38" t="s">
        <v>0</v>
      </c>
      <c r="M162" s="38" t="s">
        <v>0</v>
      </c>
      <c r="N162" s="38" t="s">
        <v>0</v>
      </c>
      <c r="O162" s="38" t="s">
        <v>0</v>
      </c>
      <c r="P162" s="38" t="s">
        <v>0</v>
      </c>
      <c r="Q162" s="38" t="s">
        <v>0</v>
      </c>
      <c r="R162" s="38" t="s">
        <v>0</v>
      </c>
      <c r="S162" s="38" t="s">
        <v>0</v>
      </c>
      <c r="T162" s="38" t="s">
        <v>0</v>
      </c>
      <c r="U162" s="38" t="s">
        <v>0</v>
      </c>
      <c r="V162" s="38" t="s">
        <v>0</v>
      </c>
      <c r="W162" s="38" t="s">
        <v>0</v>
      </c>
      <c r="X162" s="38" t="s">
        <v>0</v>
      </c>
      <c r="Y162" s="38" t="s">
        <v>0</v>
      </c>
      <c r="Z162" s="38" t="s">
        <v>0</v>
      </c>
      <c r="AA162" s="38" t="s">
        <v>0</v>
      </c>
      <c r="AB162" s="38" t="s">
        <v>0</v>
      </c>
      <c r="AC162" s="38" t="s">
        <v>0</v>
      </c>
      <c r="AD162" s="38" t="s">
        <v>0</v>
      </c>
      <c r="AE162" s="124" t="s">
        <v>0</v>
      </c>
      <c r="AF162" s="38" t="s">
        <v>0</v>
      </c>
      <c r="AG162" s="38" t="s">
        <v>0</v>
      </c>
      <c r="AH162" s="38" t="s">
        <v>0</v>
      </c>
      <c r="AI162" s="7" t="s">
        <v>57</v>
      </c>
      <c r="AJ162" s="33" t="s">
        <v>57</v>
      </c>
      <c r="AK162" s="7" t="s">
        <v>57</v>
      </c>
      <c r="AL162" s="7" t="s">
        <v>57</v>
      </c>
      <c r="AM162" s="34" t="s">
        <v>0</v>
      </c>
      <c r="AN162" s="34" t="s">
        <v>0</v>
      </c>
      <c r="AO162" s="7" t="s">
        <v>0</v>
      </c>
      <c r="AP162" s="34" t="s">
        <v>0</v>
      </c>
      <c r="AQ162" s="7" t="s">
        <v>0</v>
      </c>
      <c r="AR162" s="7" t="s">
        <v>0</v>
      </c>
      <c r="AS162" s="7" t="s">
        <v>0</v>
      </c>
      <c r="AT162" s="7" t="s">
        <v>0</v>
      </c>
      <c r="AU162" s="38" t="s">
        <v>0</v>
      </c>
      <c r="AV162" s="38" t="s">
        <v>0</v>
      </c>
      <c r="AW162" s="34" t="s">
        <v>0</v>
      </c>
      <c r="AX162" s="34" t="s">
        <v>0</v>
      </c>
      <c r="AY162" s="34" t="s">
        <v>0</v>
      </c>
      <c r="AZ162" s="38" t="s">
        <v>0</v>
      </c>
      <c r="BA162" s="38" t="s">
        <v>0</v>
      </c>
      <c r="BB162" s="38" t="s">
        <v>0</v>
      </c>
      <c r="BC162" s="38" t="s">
        <v>0</v>
      </c>
      <c r="BD162" s="38" t="s">
        <v>0</v>
      </c>
      <c r="BE162" s="38" t="s">
        <v>0</v>
      </c>
      <c r="BF162" s="38" t="s">
        <v>0</v>
      </c>
      <c r="BG162" s="38" t="s">
        <v>0</v>
      </c>
      <c r="BH162" s="38" t="s">
        <v>0</v>
      </c>
      <c r="BI162" s="38" t="s">
        <v>0</v>
      </c>
      <c r="BJ162" s="38" t="s">
        <v>0</v>
      </c>
      <c r="BK162" s="38" t="s">
        <v>0</v>
      </c>
      <c r="BL162" s="38" t="s">
        <v>0</v>
      </c>
      <c r="BM162" s="38" t="s">
        <v>0</v>
      </c>
      <c r="BN162" s="38" t="s">
        <v>0</v>
      </c>
      <c r="BO162" s="38" t="s">
        <v>57</v>
      </c>
      <c r="BP162" s="38" t="s">
        <v>0</v>
      </c>
      <c r="BQ162" s="38" t="s">
        <v>57</v>
      </c>
      <c r="BR162" s="38" t="s">
        <v>57</v>
      </c>
      <c r="BS162" s="38" t="s">
        <v>57</v>
      </c>
      <c r="BT162" s="36" t="s">
        <v>3722</v>
      </c>
      <c r="BU162" s="36" t="s">
        <v>3516</v>
      </c>
      <c r="BV162" s="36" t="s">
        <v>3516</v>
      </c>
      <c r="BW162" s="38" t="s">
        <v>0</v>
      </c>
      <c r="BX162" s="38" t="s">
        <v>0</v>
      </c>
      <c r="BY162" s="38" t="s">
        <v>0</v>
      </c>
      <c r="BZ162" s="38" t="s">
        <v>0</v>
      </c>
      <c r="CA162" s="38" t="s">
        <v>0</v>
      </c>
      <c r="CB162" s="38" t="s">
        <v>0</v>
      </c>
      <c r="CC162" s="38" t="s">
        <v>0</v>
      </c>
      <c r="CD162" s="38" t="s">
        <v>0</v>
      </c>
      <c r="CE162" s="38" t="s">
        <v>0</v>
      </c>
      <c r="CF162" s="38" t="s">
        <v>0</v>
      </c>
      <c r="CG162" s="38" t="s">
        <v>0</v>
      </c>
      <c r="CH162" s="38" t="s">
        <v>0</v>
      </c>
      <c r="CI162" s="38" t="s">
        <v>0</v>
      </c>
      <c r="CJ162" s="38" t="s">
        <v>0</v>
      </c>
      <c r="CK162" s="38" t="s">
        <v>0</v>
      </c>
      <c r="CL162" s="38" t="s">
        <v>0</v>
      </c>
      <c r="CM162" s="38" t="s">
        <v>0</v>
      </c>
      <c r="CN162" s="38" t="s">
        <v>0</v>
      </c>
      <c r="CO162" s="38" t="s">
        <v>0</v>
      </c>
      <c r="CP162" s="38" t="s">
        <v>0</v>
      </c>
      <c r="CQ162" s="36" t="s">
        <v>719</v>
      </c>
      <c r="CR162" s="36" t="s">
        <v>719</v>
      </c>
      <c r="CS162" s="38" t="s">
        <v>0</v>
      </c>
      <c r="CT162" s="38" t="s">
        <v>0</v>
      </c>
      <c r="CU162" s="38" t="s">
        <v>0</v>
      </c>
      <c r="CV162" s="38" t="s">
        <v>0</v>
      </c>
      <c r="CW162" s="38" t="s">
        <v>1158</v>
      </c>
      <c r="CX162" s="38" t="s">
        <v>0</v>
      </c>
    </row>
    <row r="163" spans="1:130" ht="12" customHeight="1">
      <c r="A163" s="51" t="s">
        <v>935</v>
      </c>
      <c r="B163" s="52" t="s">
        <v>0</v>
      </c>
      <c r="C163" s="52"/>
      <c r="D163" s="52"/>
      <c r="E163" s="52"/>
      <c r="F163" s="52" t="s">
        <v>0</v>
      </c>
      <c r="G163" s="52" t="s">
        <v>0</v>
      </c>
      <c r="H163" s="52" t="s">
        <v>0</v>
      </c>
      <c r="I163" s="52" t="s">
        <v>0</v>
      </c>
      <c r="J163" s="52"/>
      <c r="K163" s="52"/>
      <c r="L163" s="52"/>
      <c r="M163" s="52" t="s">
        <v>0</v>
      </c>
      <c r="N163" s="52" t="s">
        <v>0</v>
      </c>
      <c r="O163" s="52" t="s">
        <v>0</v>
      </c>
      <c r="P163" s="52" t="s">
        <v>0</v>
      </c>
      <c r="Q163" s="52" t="s">
        <v>0</v>
      </c>
      <c r="R163" s="52" t="s">
        <v>0</v>
      </c>
      <c r="S163" s="52" t="s">
        <v>0</v>
      </c>
      <c r="T163" s="52" t="s">
        <v>0</v>
      </c>
      <c r="U163" s="52" t="s">
        <v>0</v>
      </c>
      <c r="V163" s="52" t="s">
        <v>0</v>
      </c>
      <c r="W163" s="52" t="s">
        <v>0</v>
      </c>
      <c r="X163" s="52" t="s">
        <v>0</v>
      </c>
      <c r="Y163" s="52" t="s">
        <v>0</v>
      </c>
      <c r="Z163" s="52"/>
      <c r="AA163" s="52"/>
      <c r="AB163" s="52"/>
      <c r="AC163" s="52"/>
      <c r="AD163" s="52"/>
      <c r="AE163" s="123" t="s">
        <v>0</v>
      </c>
      <c r="AF163" s="52" t="s">
        <v>0</v>
      </c>
      <c r="AG163" s="52" t="s">
        <v>0</v>
      </c>
      <c r="AH163" s="52" t="s">
        <v>0</v>
      </c>
      <c r="AI163" s="52"/>
      <c r="AJ163" s="52"/>
      <c r="AK163" s="52" t="s">
        <v>1719</v>
      </c>
      <c r="AL163" s="52" t="s">
        <v>1719</v>
      </c>
      <c r="AM163" s="52"/>
      <c r="AN163" s="52" t="s">
        <v>0</v>
      </c>
      <c r="AO163" s="52"/>
      <c r="AP163" s="52"/>
      <c r="AQ163" s="52" t="s">
        <v>0</v>
      </c>
      <c r="AR163" s="52" t="s">
        <v>0</v>
      </c>
      <c r="AS163" s="52" t="s">
        <v>0</v>
      </c>
      <c r="AT163" s="52" t="s">
        <v>0</v>
      </c>
      <c r="AU163" s="52"/>
      <c r="AV163" s="52"/>
      <c r="AW163" s="52" t="s">
        <v>0</v>
      </c>
      <c r="AX163" s="52" t="s">
        <v>0</v>
      </c>
      <c r="AY163" s="52" t="s">
        <v>0</v>
      </c>
      <c r="AZ163" s="52"/>
      <c r="BA163" s="52" t="s">
        <v>0</v>
      </c>
      <c r="BB163" s="52"/>
      <c r="BC163" s="52"/>
      <c r="BD163" s="52" t="s">
        <v>0</v>
      </c>
      <c r="BE163" s="52"/>
      <c r="BF163" s="52" t="s">
        <v>0</v>
      </c>
      <c r="BG163" s="52" t="s">
        <v>0</v>
      </c>
      <c r="BH163" s="52"/>
      <c r="BI163" s="52"/>
      <c r="BJ163" s="52"/>
      <c r="BK163" s="52" t="s">
        <v>0</v>
      </c>
      <c r="BL163" s="52" t="s">
        <v>0</v>
      </c>
      <c r="BM163" s="52"/>
      <c r="BN163" s="52"/>
      <c r="BO163" s="52"/>
      <c r="BP163" s="52"/>
      <c r="BQ163" s="52"/>
      <c r="BR163" s="52"/>
      <c r="BS163" s="52"/>
      <c r="BT163" s="52" t="s">
        <v>3721</v>
      </c>
      <c r="BU163" s="52" t="s">
        <v>3620</v>
      </c>
      <c r="BV163" s="52" t="s">
        <v>3512</v>
      </c>
      <c r="BW163" s="52" t="s">
        <v>0</v>
      </c>
      <c r="BX163" s="52" t="s">
        <v>0</v>
      </c>
      <c r="BY163" s="52" t="s">
        <v>0</v>
      </c>
      <c r="BZ163" s="52" t="s">
        <v>0</v>
      </c>
      <c r="CA163" s="52"/>
      <c r="CB163" s="52"/>
      <c r="CC163" s="52"/>
      <c r="CD163" s="52" t="s">
        <v>0</v>
      </c>
      <c r="CE163" s="52" t="s">
        <v>0</v>
      </c>
      <c r="CF163" s="52"/>
      <c r="CG163" s="52" t="s">
        <v>0</v>
      </c>
      <c r="CH163" s="52" t="s">
        <v>0</v>
      </c>
      <c r="CI163" s="52" t="s">
        <v>0</v>
      </c>
      <c r="CJ163" s="52" t="s">
        <v>0</v>
      </c>
      <c r="CK163" s="52" t="s">
        <v>0</v>
      </c>
      <c r="CL163" s="52"/>
      <c r="CM163" s="52"/>
      <c r="CN163" s="52"/>
      <c r="CO163" s="52" t="s">
        <v>0</v>
      </c>
      <c r="CP163" s="52" t="s">
        <v>0</v>
      </c>
      <c r="CQ163" s="52"/>
      <c r="CR163" s="52"/>
      <c r="CS163" s="52"/>
      <c r="CT163" s="52"/>
      <c r="CU163" s="52"/>
      <c r="CV163" s="52"/>
      <c r="CW163" s="52" t="s">
        <v>1159</v>
      </c>
      <c r="CX163" s="52"/>
    </row>
    <row r="164" spans="1:130" ht="22.5" customHeight="1">
      <c r="A164" s="28" t="s">
        <v>147</v>
      </c>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125"/>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c r="BC164" s="53"/>
      <c r="BD164" s="53"/>
      <c r="BE164" s="53"/>
      <c r="BF164" s="53"/>
      <c r="BG164" s="53"/>
      <c r="BH164" s="65"/>
      <c r="BI164" s="53"/>
      <c r="BJ164" s="53"/>
      <c r="BK164" s="53"/>
      <c r="BL164" s="53"/>
      <c r="BM164" s="53"/>
      <c r="BN164" s="65"/>
      <c r="BO164" s="65"/>
      <c r="BP164" s="65"/>
      <c r="BQ164" s="65"/>
      <c r="BR164" s="53"/>
      <c r="BS164" s="53"/>
      <c r="BT164" s="53"/>
      <c r="BU164" s="53"/>
      <c r="BV164" s="53"/>
      <c r="BW164" s="65"/>
      <c r="BX164" s="65"/>
      <c r="BY164" s="65"/>
      <c r="BZ164" s="65"/>
      <c r="CA164" s="65"/>
      <c r="CB164" s="65"/>
      <c r="CC164" s="65"/>
      <c r="CD164" s="53"/>
      <c r="CE164" s="53"/>
      <c r="CF164" s="53"/>
      <c r="CG164" s="53"/>
      <c r="CH164" s="53"/>
      <c r="CI164" s="53"/>
      <c r="CJ164" s="53"/>
      <c r="CK164" s="53"/>
      <c r="CL164" s="53"/>
      <c r="CM164" s="53"/>
      <c r="CN164" s="53"/>
      <c r="CO164" s="53"/>
      <c r="CP164" s="53"/>
      <c r="CQ164" s="53"/>
      <c r="CR164" s="53"/>
      <c r="CS164" s="53"/>
      <c r="CT164" s="53"/>
      <c r="CU164" s="53"/>
      <c r="CV164" s="53"/>
      <c r="CW164" s="53"/>
      <c r="CX164" s="53"/>
    </row>
    <row r="165" spans="1:130" ht="22.5" customHeight="1">
      <c r="A165" s="12" t="s">
        <v>148</v>
      </c>
      <c r="B165" s="38" t="s">
        <v>57</v>
      </c>
      <c r="C165" s="38" t="s">
        <v>57</v>
      </c>
      <c r="D165" s="38" t="s">
        <v>57</v>
      </c>
      <c r="E165" s="38" t="s">
        <v>57</v>
      </c>
      <c r="F165" s="38" t="s">
        <v>57</v>
      </c>
      <c r="G165" s="38" t="s">
        <v>57</v>
      </c>
      <c r="H165" s="38" t="s">
        <v>57</v>
      </c>
      <c r="I165" s="38" t="s">
        <v>57</v>
      </c>
      <c r="J165" s="38" t="s">
        <v>57</v>
      </c>
      <c r="K165" s="38" t="s">
        <v>57</v>
      </c>
      <c r="L165" s="38" t="s">
        <v>57</v>
      </c>
      <c r="M165" s="38" t="s">
        <v>57</v>
      </c>
      <c r="N165" s="38" t="s">
        <v>57</v>
      </c>
      <c r="O165" s="38" t="s">
        <v>57</v>
      </c>
      <c r="P165" s="38" t="s">
        <v>57</v>
      </c>
      <c r="Q165" s="38" t="s">
        <v>57</v>
      </c>
      <c r="R165" s="38" t="s">
        <v>57</v>
      </c>
      <c r="S165" s="38" t="s">
        <v>57</v>
      </c>
      <c r="T165" s="38" t="s">
        <v>57</v>
      </c>
      <c r="U165" s="38" t="s">
        <v>57</v>
      </c>
      <c r="V165" s="38" t="s">
        <v>57</v>
      </c>
      <c r="W165" s="38" t="s">
        <v>57</v>
      </c>
      <c r="X165" s="38" t="s">
        <v>57</v>
      </c>
      <c r="Y165" s="38" t="s">
        <v>57</v>
      </c>
      <c r="Z165" s="38" t="s">
        <v>57</v>
      </c>
      <c r="AA165" s="38" t="s">
        <v>0</v>
      </c>
      <c r="AB165" s="38" t="s">
        <v>0</v>
      </c>
      <c r="AC165" s="38" t="s">
        <v>0</v>
      </c>
      <c r="AD165" s="38" t="s">
        <v>57</v>
      </c>
      <c r="AE165" s="124" t="s">
        <v>57</v>
      </c>
      <c r="AF165" s="38" t="s">
        <v>57</v>
      </c>
      <c r="AG165" s="38" t="s">
        <v>57</v>
      </c>
      <c r="AH165" s="38" t="s">
        <v>57</v>
      </c>
      <c r="AI165" s="38" t="s">
        <v>57</v>
      </c>
      <c r="AJ165" s="38" t="s">
        <v>57</v>
      </c>
      <c r="AK165" s="38" t="s">
        <v>57</v>
      </c>
      <c r="AL165" s="38" t="s">
        <v>57</v>
      </c>
      <c r="AM165" s="38" t="s">
        <v>57</v>
      </c>
      <c r="AN165" s="34" t="s">
        <v>57</v>
      </c>
      <c r="AO165" s="7" t="s">
        <v>57</v>
      </c>
      <c r="AP165" s="33" t="s">
        <v>57</v>
      </c>
      <c r="AQ165" s="7" t="s">
        <v>57</v>
      </c>
      <c r="AR165" s="7" t="s">
        <v>57</v>
      </c>
      <c r="AS165" s="7" t="s">
        <v>57</v>
      </c>
      <c r="AT165" s="7" t="s">
        <v>57</v>
      </c>
      <c r="AU165" s="38" t="s">
        <v>57</v>
      </c>
      <c r="AV165" s="38" t="s">
        <v>57</v>
      </c>
      <c r="AW165" s="34" t="s">
        <v>57</v>
      </c>
      <c r="AX165" s="34" t="s">
        <v>57</v>
      </c>
      <c r="AY165" s="34" t="s">
        <v>57</v>
      </c>
      <c r="AZ165" s="38" t="s">
        <v>57</v>
      </c>
      <c r="BA165" s="38" t="s">
        <v>57</v>
      </c>
      <c r="BB165" s="38" t="s">
        <v>57</v>
      </c>
      <c r="BC165" s="38" t="s">
        <v>57</v>
      </c>
      <c r="BD165" s="38" t="s">
        <v>57</v>
      </c>
      <c r="BE165" s="38" t="s">
        <v>57</v>
      </c>
      <c r="BF165" s="38" t="s">
        <v>57</v>
      </c>
      <c r="BG165" s="36" t="s">
        <v>4110</v>
      </c>
      <c r="BH165" s="38" t="s">
        <v>57</v>
      </c>
      <c r="BI165" s="38" t="s">
        <v>57</v>
      </c>
      <c r="BJ165" s="38" t="s">
        <v>57</v>
      </c>
      <c r="BK165" s="38" t="s">
        <v>57</v>
      </c>
      <c r="BL165" s="38" t="s">
        <v>57</v>
      </c>
      <c r="BM165" s="38" t="s">
        <v>57</v>
      </c>
      <c r="BN165" s="38" t="s">
        <v>57</v>
      </c>
      <c r="BO165" s="38" t="s">
        <v>57</v>
      </c>
      <c r="BP165" s="38" t="s">
        <v>57</v>
      </c>
      <c r="BQ165" s="38" t="s">
        <v>57</v>
      </c>
      <c r="BR165" s="38" t="s">
        <v>57</v>
      </c>
      <c r="BS165" s="38" t="s">
        <v>57</v>
      </c>
      <c r="BT165" s="38" t="s">
        <v>57</v>
      </c>
      <c r="BU165" s="38" t="s">
        <v>57</v>
      </c>
      <c r="BV165" s="38" t="s">
        <v>57</v>
      </c>
      <c r="BW165" s="38" t="s">
        <v>57</v>
      </c>
      <c r="BX165" s="38" t="s">
        <v>57</v>
      </c>
      <c r="BY165" s="38" t="s">
        <v>57</v>
      </c>
      <c r="BZ165" s="38" t="s">
        <v>57</v>
      </c>
      <c r="CA165" s="38" t="s">
        <v>57</v>
      </c>
      <c r="CB165" s="38" t="s">
        <v>57</v>
      </c>
      <c r="CC165" s="38" t="s">
        <v>57</v>
      </c>
      <c r="CD165" s="38" t="s">
        <v>57</v>
      </c>
      <c r="CE165" s="38" t="s">
        <v>57</v>
      </c>
      <c r="CF165" s="38" t="s">
        <v>57</v>
      </c>
      <c r="CG165" s="38" t="s">
        <v>57</v>
      </c>
      <c r="CH165" s="38" t="s">
        <v>57</v>
      </c>
      <c r="CI165" s="38" t="s">
        <v>57</v>
      </c>
      <c r="CJ165" s="38" t="s">
        <v>57</v>
      </c>
      <c r="CK165" s="36" t="s">
        <v>2624</v>
      </c>
      <c r="CL165" s="38" t="s">
        <v>57</v>
      </c>
      <c r="CM165" s="38" t="s">
        <v>57</v>
      </c>
      <c r="CN165" s="38" t="s">
        <v>57</v>
      </c>
      <c r="CO165" s="38" t="s">
        <v>57</v>
      </c>
      <c r="CP165" s="38" t="s">
        <v>57</v>
      </c>
      <c r="CQ165" s="38" t="s">
        <v>57</v>
      </c>
      <c r="CR165" s="38" t="s">
        <v>57</v>
      </c>
      <c r="CS165" s="38" t="s">
        <v>57</v>
      </c>
      <c r="CT165" s="38" t="s">
        <v>57</v>
      </c>
      <c r="CU165" s="38" t="s">
        <v>57</v>
      </c>
      <c r="CV165" s="38" t="s">
        <v>57</v>
      </c>
      <c r="CW165" s="38" t="s">
        <v>57</v>
      </c>
      <c r="CX165" s="38" t="s">
        <v>57</v>
      </c>
    </row>
    <row r="166" spans="1:130" ht="12" customHeight="1">
      <c r="A166" s="51" t="s">
        <v>935</v>
      </c>
      <c r="B166" s="52" t="s">
        <v>2039</v>
      </c>
      <c r="C166" s="52"/>
      <c r="D166" s="52"/>
      <c r="E166" s="52"/>
      <c r="F166" s="52" t="s">
        <v>1450</v>
      </c>
      <c r="G166" s="52" t="s">
        <v>1450</v>
      </c>
      <c r="H166" s="52" t="s">
        <v>1450</v>
      </c>
      <c r="I166" s="52" t="s">
        <v>1450</v>
      </c>
      <c r="J166" s="52"/>
      <c r="K166" s="52"/>
      <c r="L166" s="52"/>
      <c r="M166" s="52" t="s">
        <v>1668</v>
      </c>
      <c r="N166" s="52" t="s">
        <v>1668</v>
      </c>
      <c r="O166" s="52" t="s">
        <v>1668</v>
      </c>
      <c r="P166" s="52" t="s">
        <v>1668</v>
      </c>
      <c r="Q166" s="52" t="s">
        <v>1668</v>
      </c>
      <c r="R166" s="52" t="s">
        <v>1668</v>
      </c>
      <c r="S166" s="52" t="s">
        <v>1668</v>
      </c>
      <c r="T166" s="52" t="s">
        <v>1668</v>
      </c>
      <c r="U166" s="52" t="s">
        <v>1668</v>
      </c>
      <c r="V166" s="52" t="s">
        <v>1668</v>
      </c>
      <c r="W166" s="52" t="s">
        <v>1668</v>
      </c>
      <c r="X166" s="52" t="s">
        <v>1668</v>
      </c>
      <c r="Y166" s="52" t="s">
        <v>1668</v>
      </c>
      <c r="Z166" s="52"/>
      <c r="AA166" s="52"/>
      <c r="AB166" s="52"/>
      <c r="AC166" s="52"/>
      <c r="AD166" s="52"/>
      <c r="AE166" s="123" t="s">
        <v>1668</v>
      </c>
      <c r="AF166" s="52" t="s">
        <v>4713</v>
      </c>
      <c r="AG166" s="52" t="s">
        <v>4713</v>
      </c>
      <c r="AH166" s="52" t="s">
        <v>4713</v>
      </c>
      <c r="AI166" s="52"/>
      <c r="AJ166" s="52"/>
      <c r="AK166" s="52" t="s">
        <v>1721</v>
      </c>
      <c r="AL166" s="52" t="s">
        <v>1721</v>
      </c>
      <c r="AM166" s="52"/>
      <c r="AN166" s="52" t="s">
        <v>1804</v>
      </c>
      <c r="AO166" s="52"/>
      <c r="AP166" s="52"/>
      <c r="AQ166" s="52" t="s">
        <v>1912</v>
      </c>
      <c r="AR166" s="52" t="s">
        <v>1912</v>
      </c>
      <c r="AS166" s="52" t="s">
        <v>1912</v>
      </c>
      <c r="AT166" s="52" t="s">
        <v>1912</v>
      </c>
      <c r="AU166" s="52"/>
      <c r="AV166" s="52"/>
      <c r="AW166" s="52" t="s">
        <v>3018</v>
      </c>
      <c r="AX166" s="52" t="s">
        <v>3018</v>
      </c>
      <c r="AY166" s="52" t="s">
        <v>3018</v>
      </c>
      <c r="AZ166" s="52"/>
      <c r="BA166" s="52" t="s">
        <v>4153</v>
      </c>
      <c r="BB166" s="52"/>
      <c r="BC166" s="52"/>
      <c r="BD166" s="52" t="s">
        <v>2019</v>
      </c>
      <c r="BE166" s="52"/>
      <c r="BF166" s="52" t="s">
        <v>2019</v>
      </c>
      <c r="BG166" s="52" t="s">
        <v>4091</v>
      </c>
      <c r="BH166" s="52"/>
      <c r="BI166" s="52"/>
      <c r="BJ166" s="52"/>
      <c r="BK166" s="52" t="s">
        <v>1373</v>
      </c>
      <c r="BL166" s="52" t="s">
        <v>1373</v>
      </c>
      <c r="BM166" s="52"/>
      <c r="BN166" s="52"/>
      <c r="BO166" s="52"/>
      <c r="BP166" s="52"/>
      <c r="BQ166" s="52"/>
      <c r="BR166" s="52"/>
      <c r="BS166" s="52"/>
      <c r="BT166" s="52" t="s">
        <v>3714</v>
      </c>
      <c r="BU166" s="52" t="s">
        <v>3616</v>
      </c>
      <c r="BV166" s="52" t="s">
        <v>3513</v>
      </c>
      <c r="BW166" s="52" t="s">
        <v>2482</v>
      </c>
      <c r="BX166" s="52" t="s">
        <v>2482</v>
      </c>
      <c r="BY166" s="52" t="s">
        <v>2482</v>
      </c>
      <c r="BZ166" s="52" t="s">
        <v>3979</v>
      </c>
      <c r="CA166" s="52"/>
      <c r="CB166" s="52"/>
      <c r="CC166" s="52"/>
      <c r="CD166" s="52" t="s">
        <v>2610</v>
      </c>
      <c r="CE166" s="52" t="s">
        <v>2610</v>
      </c>
      <c r="CF166" s="52"/>
      <c r="CG166" s="52" t="s">
        <v>2294</v>
      </c>
      <c r="CH166" s="52" t="s">
        <v>2294</v>
      </c>
      <c r="CI166" s="52" t="s">
        <v>3979</v>
      </c>
      <c r="CJ166" s="52" t="s">
        <v>3979</v>
      </c>
      <c r="CK166" s="52" t="s">
        <v>2649</v>
      </c>
      <c r="CL166" s="52"/>
      <c r="CM166" s="52"/>
      <c r="CN166" s="52"/>
      <c r="CO166" s="52" t="s">
        <v>2118</v>
      </c>
      <c r="CP166" s="52" t="s">
        <v>2848</v>
      </c>
      <c r="CQ166" s="52"/>
      <c r="CR166" s="52"/>
      <c r="CS166" s="52"/>
      <c r="CT166" s="52"/>
      <c r="CU166" s="52"/>
      <c r="CV166" s="52"/>
      <c r="CW166" s="52" t="s">
        <v>1191</v>
      </c>
      <c r="CX166" s="52"/>
    </row>
    <row r="167" spans="1:130" ht="22.5" customHeight="1">
      <c r="A167" s="12" t="s">
        <v>149</v>
      </c>
      <c r="B167" s="36" t="s">
        <v>3993</v>
      </c>
      <c r="C167" s="38" t="s">
        <v>57</v>
      </c>
      <c r="D167" s="38" t="s">
        <v>57</v>
      </c>
      <c r="E167" s="38" t="s">
        <v>57</v>
      </c>
      <c r="F167" s="38" t="s">
        <v>57</v>
      </c>
      <c r="G167" s="38" t="s">
        <v>57</v>
      </c>
      <c r="H167" s="38" t="s">
        <v>57</v>
      </c>
      <c r="I167" s="38" t="s">
        <v>57</v>
      </c>
      <c r="J167" s="38" t="s">
        <v>57</v>
      </c>
      <c r="K167" s="38" t="s">
        <v>57</v>
      </c>
      <c r="L167" s="38" t="s">
        <v>57</v>
      </c>
      <c r="M167" s="38" t="s">
        <v>57</v>
      </c>
      <c r="N167" s="38" t="s">
        <v>57</v>
      </c>
      <c r="O167" s="38" t="s">
        <v>57</v>
      </c>
      <c r="P167" s="38" t="s">
        <v>57</v>
      </c>
      <c r="Q167" s="38" t="s">
        <v>57</v>
      </c>
      <c r="R167" s="38" t="s">
        <v>57</v>
      </c>
      <c r="S167" s="38" t="s">
        <v>57</v>
      </c>
      <c r="T167" s="38" t="s">
        <v>57</v>
      </c>
      <c r="U167" s="38" t="s">
        <v>57</v>
      </c>
      <c r="V167" s="38" t="s">
        <v>57</v>
      </c>
      <c r="W167" s="38" t="s">
        <v>57</v>
      </c>
      <c r="X167" s="38" t="s">
        <v>57</v>
      </c>
      <c r="Y167" s="38" t="s">
        <v>57</v>
      </c>
      <c r="Z167" s="38" t="s">
        <v>57</v>
      </c>
      <c r="AA167" s="38" t="s">
        <v>0</v>
      </c>
      <c r="AB167" s="38" t="s">
        <v>0</v>
      </c>
      <c r="AC167" s="38" t="s">
        <v>0</v>
      </c>
      <c r="AD167" s="38" t="s">
        <v>0</v>
      </c>
      <c r="AE167" s="124" t="s">
        <v>57</v>
      </c>
      <c r="AF167" s="38" t="s">
        <v>57</v>
      </c>
      <c r="AG167" s="38" t="s">
        <v>57</v>
      </c>
      <c r="AH167" s="38" t="s">
        <v>57</v>
      </c>
      <c r="AI167" s="38" t="s">
        <v>57</v>
      </c>
      <c r="AJ167" s="38" t="s">
        <v>57</v>
      </c>
      <c r="AK167" s="38" t="s">
        <v>57</v>
      </c>
      <c r="AL167" s="38" t="s">
        <v>57</v>
      </c>
      <c r="AM167" s="38" t="s">
        <v>57</v>
      </c>
      <c r="AN167" s="34" t="s">
        <v>57</v>
      </c>
      <c r="AO167" s="7" t="s">
        <v>57</v>
      </c>
      <c r="AP167" s="35" t="s">
        <v>57</v>
      </c>
      <c r="AQ167" s="7" t="s">
        <v>57</v>
      </c>
      <c r="AR167" s="7" t="s">
        <v>57</v>
      </c>
      <c r="AS167" s="7" t="s">
        <v>57</v>
      </c>
      <c r="AT167" s="7" t="s">
        <v>57</v>
      </c>
      <c r="AU167" s="38" t="s">
        <v>57</v>
      </c>
      <c r="AV167" s="38" t="s">
        <v>57</v>
      </c>
      <c r="AW167" s="34" t="s">
        <v>57</v>
      </c>
      <c r="AX167" s="34" t="s">
        <v>57</v>
      </c>
      <c r="AY167" s="34" t="s">
        <v>57</v>
      </c>
      <c r="AZ167" s="38" t="s">
        <v>57</v>
      </c>
      <c r="BA167" s="38" t="s">
        <v>57</v>
      </c>
      <c r="BB167" s="38" t="s">
        <v>57</v>
      </c>
      <c r="BC167" s="38" t="s">
        <v>57</v>
      </c>
      <c r="BD167" s="38" t="s">
        <v>57</v>
      </c>
      <c r="BE167" s="38" t="s">
        <v>57</v>
      </c>
      <c r="BF167" s="38" t="s">
        <v>57</v>
      </c>
      <c r="BG167" s="36" t="s">
        <v>4092</v>
      </c>
      <c r="BH167" s="38" t="s">
        <v>57</v>
      </c>
      <c r="BI167" s="38" t="s">
        <v>866</v>
      </c>
      <c r="BJ167" s="38" t="s">
        <v>866</v>
      </c>
      <c r="BK167" s="38" t="s">
        <v>57</v>
      </c>
      <c r="BL167" s="38" t="s">
        <v>57</v>
      </c>
      <c r="BM167" s="38" t="s">
        <v>0</v>
      </c>
      <c r="BN167" s="38" t="s">
        <v>57</v>
      </c>
      <c r="BO167" s="38" t="s">
        <v>57</v>
      </c>
      <c r="BP167" s="38" t="s">
        <v>57</v>
      </c>
      <c r="BQ167" s="38" t="s">
        <v>57</v>
      </c>
      <c r="BR167" s="38" t="s">
        <v>57</v>
      </c>
      <c r="BS167" s="38" t="s">
        <v>57</v>
      </c>
      <c r="BT167" s="38" t="s">
        <v>57</v>
      </c>
      <c r="BU167" s="38" t="s">
        <v>57</v>
      </c>
      <c r="BV167" s="38" t="s">
        <v>57</v>
      </c>
      <c r="BW167" s="38" t="s">
        <v>57</v>
      </c>
      <c r="BX167" s="38" t="s">
        <v>57</v>
      </c>
      <c r="BY167" s="38" t="s">
        <v>57</v>
      </c>
      <c r="BZ167" s="38" t="s">
        <v>57</v>
      </c>
      <c r="CA167" s="38" t="s">
        <v>57</v>
      </c>
      <c r="CB167" s="38" t="s">
        <v>57</v>
      </c>
      <c r="CC167" s="38" t="s">
        <v>57</v>
      </c>
      <c r="CD167" s="38" t="s">
        <v>57</v>
      </c>
      <c r="CE167" s="38" t="s">
        <v>57</v>
      </c>
      <c r="CF167" s="38" t="s">
        <v>57</v>
      </c>
      <c r="CG167" s="38" t="s">
        <v>57</v>
      </c>
      <c r="CH167" s="38" t="s">
        <v>57</v>
      </c>
      <c r="CI167" s="38" t="s">
        <v>57</v>
      </c>
      <c r="CJ167" s="38" t="s">
        <v>57</v>
      </c>
      <c r="CK167" s="38" t="s">
        <v>57</v>
      </c>
      <c r="CL167" s="38" t="s">
        <v>57</v>
      </c>
      <c r="CM167" s="38" t="s">
        <v>57</v>
      </c>
      <c r="CN167" s="38" t="s">
        <v>57</v>
      </c>
      <c r="CO167" s="38" t="s">
        <v>57</v>
      </c>
      <c r="CP167" s="38" t="s">
        <v>57</v>
      </c>
      <c r="CQ167" s="38" t="s">
        <v>57</v>
      </c>
      <c r="CR167" s="38" t="s">
        <v>57</v>
      </c>
      <c r="CS167" s="38" t="s">
        <v>57</v>
      </c>
      <c r="CT167" s="38" t="s">
        <v>57</v>
      </c>
      <c r="CU167" s="38" t="s">
        <v>57</v>
      </c>
      <c r="CV167" s="38" t="s">
        <v>57</v>
      </c>
      <c r="CW167" s="38" t="s">
        <v>57</v>
      </c>
      <c r="CX167" s="36" t="s">
        <v>840</v>
      </c>
    </row>
    <row r="168" spans="1:130" ht="12" customHeight="1">
      <c r="A168" s="51" t="s">
        <v>935</v>
      </c>
      <c r="B168" s="52" t="s">
        <v>2039</v>
      </c>
      <c r="C168" s="52"/>
      <c r="D168" s="52"/>
      <c r="E168" s="52"/>
      <c r="F168" s="52" t="s">
        <v>1451</v>
      </c>
      <c r="G168" s="52" t="s">
        <v>1451</v>
      </c>
      <c r="H168" s="52" t="s">
        <v>1451</v>
      </c>
      <c r="I168" s="52" t="s">
        <v>1451</v>
      </c>
      <c r="J168" s="52"/>
      <c r="K168" s="52"/>
      <c r="L168" s="52"/>
      <c r="M168" s="52" t="s">
        <v>1669</v>
      </c>
      <c r="N168" s="52" t="s">
        <v>1669</v>
      </c>
      <c r="O168" s="52" t="s">
        <v>1669</v>
      </c>
      <c r="P168" s="52" t="s">
        <v>1669</v>
      </c>
      <c r="Q168" s="52" t="s">
        <v>1669</v>
      </c>
      <c r="R168" s="52" t="s">
        <v>1669</v>
      </c>
      <c r="S168" s="52" t="s">
        <v>1669</v>
      </c>
      <c r="T168" s="52" t="s">
        <v>1669</v>
      </c>
      <c r="U168" s="52" t="s">
        <v>1669</v>
      </c>
      <c r="V168" s="52" t="s">
        <v>1669</v>
      </c>
      <c r="W168" s="52" t="s">
        <v>1669</v>
      </c>
      <c r="X168" s="52" t="s">
        <v>1669</v>
      </c>
      <c r="Y168" s="52" t="s">
        <v>1669</v>
      </c>
      <c r="Z168" s="52"/>
      <c r="AA168" s="52"/>
      <c r="AB168" s="52"/>
      <c r="AC168" s="52"/>
      <c r="AD168" s="52"/>
      <c r="AE168" s="123" t="s">
        <v>1666</v>
      </c>
      <c r="AF168" s="52" t="s">
        <v>4717</v>
      </c>
      <c r="AG168" s="52" t="s">
        <v>4717</v>
      </c>
      <c r="AH168" s="52" t="s">
        <v>4717</v>
      </c>
      <c r="AI168" s="52"/>
      <c r="AJ168" s="52"/>
      <c r="AK168" s="52" t="s">
        <v>1722</v>
      </c>
      <c r="AL168" s="52" t="s">
        <v>1722</v>
      </c>
      <c r="AM168" s="52"/>
      <c r="AN168" s="52" t="s">
        <v>1804</v>
      </c>
      <c r="AO168" s="52"/>
      <c r="AP168" s="52"/>
      <c r="AQ168" s="52" t="s">
        <v>1912</v>
      </c>
      <c r="AR168" s="52" t="s">
        <v>1912</v>
      </c>
      <c r="AS168" s="52" t="s">
        <v>1912</v>
      </c>
      <c r="AT168" s="52" t="s">
        <v>1912</v>
      </c>
      <c r="AU168" s="52"/>
      <c r="AV168" s="52"/>
      <c r="AW168" s="52" t="s">
        <v>3019</v>
      </c>
      <c r="AX168" s="52" t="s">
        <v>3019</v>
      </c>
      <c r="AY168" s="52" t="s">
        <v>3019</v>
      </c>
      <c r="AZ168" s="52"/>
      <c r="BA168" s="52" t="s">
        <v>2020</v>
      </c>
      <c r="BB168" s="52"/>
      <c r="BC168" s="52"/>
      <c r="BD168" s="52" t="s">
        <v>2020</v>
      </c>
      <c r="BE168" s="52"/>
      <c r="BF168" s="52" t="s">
        <v>2020</v>
      </c>
      <c r="BG168" s="52" t="s">
        <v>4091</v>
      </c>
      <c r="BH168" s="52"/>
      <c r="BI168" s="52"/>
      <c r="BJ168" s="52"/>
      <c r="BK168" s="52" t="s">
        <v>1374</v>
      </c>
      <c r="BL168" s="52" t="s">
        <v>1374</v>
      </c>
      <c r="BM168" s="52"/>
      <c r="BN168" s="52"/>
      <c r="BO168" s="52"/>
      <c r="BP168" s="52"/>
      <c r="BQ168" s="52"/>
      <c r="BR168" s="52"/>
      <c r="BS168" s="52"/>
      <c r="BT168" s="52" t="s">
        <v>3715</v>
      </c>
      <c r="BU168" s="52" t="s">
        <v>3617</v>
      </c>
      <c r="BV168" s="52" t="s">
        <v>3514</v>
      </c>
      <c r="BW168" s="52" t="s">
        <v>2483</v>
      </c>
      <c r="BX168" s="52" t="s">
        <v>2483</v>
      </c>
      <c r="BY168" s="52" t="s">
        <v>2483</v>
      </c>
      <c r="BZ168" s="52" t="s">
        <v>3979</v>
      </c>
      <c r="CA168" s="52"/>
      <c r="CB168" s="52"/>
      <c r="CC168" s="52"/>
      <c r="CD168" s="52" t="s">
        <v>2613</v>
      </c>
      <c r="CE168" s="52" t="s">
        <v>2613</v>
      </c>
      <c r="CF168" s="52"/>
      <c r="CG168" s="52" t="s">
        <v>2295</v>
      </c>
      <c r="CH168" s="52" t="s">
        <v>2295</v>
      </c>
      <c r="CI168" s="52" t="s">
        <v>3979</v>
      </c>
      <c r="CJ168" s="52" t="s">
        <v>3979</v>
      </c>
      <c r="CK168" s="52" t="s">
        <v>2650</v>
      </c>
      <c r="CL168" s="52"/>
      <c r="CM168" s="52"/>
      <c r="CN168" s="52"/>
      <c r="CO168" s="52" t="s">
        <v>2118</v>
      </c>
      <c r="CP168" s="52" t="s">
        <v>2849</v>
      </c>
      <c r="CQ168" s="52"/>
      <c r="CR168" s="52"/>
      <c r="CS168" s="52"/>
      <c r="CT168" s="52"/>
      <c r="CU168" s="52"/>
      <c r="CV168" s="52"/>
      <c r="CW168" s="52" t="s">
        <v>1194</v>
      </c>
      <c r="CX168" s="52"/>
    </row>
    <row r="169" spans="1:130" ht="22.5" customHeight="1">
      <c r="A169" s="12"/>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129"/>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I169" s="60"/>
      <c r="BJ169" s="60"/>
      <c r="BK169" s="60"/>
      <c r="BL169" s="60"/>
      <c r="BM169" s="60"/>
      <c r="BN169" s="60"/>
      <c r="BO169" s="60"/>
      <c r="BP169" s="60"/>
      <c r="BQ169" s="60"/>
      <c r="BS169" s="60"/>
      <c r="BT169" s="60"/>
      <c r="BU169" s="60"/>
      <c r="BV169" s="60"/>
      <c r="BW169" s="60"/>
      <c r="BX169" s="60"/>
      <c r="BY169" s="60"/>
      <c r="BZ169" s="60"/>
      <c r="CD169" s="60"/>
      <c r="CE169" s="60"/>
      <c r="CF169" s="60"/>
      <c r="CG169" s="60"/>
      <c r="CH169" s="60"/>
      <c r="CI169" s="60"/>
      <c r="CJ169" s="105"/>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0"/>
      <c r="DO169" s="60"/>
      <c r="DP169" s="60"/>
      <c r="DQ169" s="60"/>
      <c r="DR169" s="60"/>
      <c r="DS169" s="60"/>
      <c r="DT169" s="60"/>
      <c r="DU169" s="60"/>
      <c r="DV169" s="60"/>
      <c r="DW169" s="60"/>
      <c r="DX169" s="60"/>
      <c r="DY169" s="60"/>
      <c r="DZ169" s="61"/>
    </row>
    <row r="170" spans="1:130" ht="22.5" customHeight="1">
      <c r="A170" s="26" t="s">
        <v>644</v>
      </c>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129"/>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I170" s="60"/>
      <c r="BJ170" s="60"/>
      <c r="BK170" s="60"/>
      <c r="BL170" s="60"/>
      <c r="BM170" s="60"/>
      <c r="BN170" s="60"/>
      <c r="BO170" s="60"/>
      <c r="BP170" s="60"/>
      <c r="BQ170" s="60"/>
      <c r="BS170" s="60"/>
      <c r="BT170" s="60"/>
      <c r="BU170" s="60"/>
      <c r="BV170" s="60"/>
      <c r="BW170" s="60"/>
      <c r="BX170" s="60"/>
      <c r="BY170" s="60"/>
      <c r="BZ170" s="60"/>
      <c r="CD170" s="60"/>
      <c r="CE170" s="60"/>
      <c r="CF170" s="60"/>
      <c r="CG170" s="60"/>
      <c r="CH170" s="60"/>
      <c r="CI170" s="60"/>
      <c r="CJ170" s="105"/>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0"/>
      <c r="DO170" s="60"/>
      <c r="DP170" s="60"/>
      <c r="DQ170" s="60"/>
      <c r="DR170" s="60"/>
      <c r="DS170" s="60"/>
      <c r="DT170" s="60"/>
      <c r="DU170" s="60"/>
      <c r="DV170" s="60"/>
      <c r="DW170" s="60"/>
      <c r="DX170" s="60"/>
      <c r="DY170" s="60"/>
      <c r="DZ170" s="61"/>
    </row>
    <row r="171" spans="1:130" ht="22.5" customHeight="1">
      <c r="A171" s="81" t="s">
        <v>643</v>
      </c>
      <c r="B171" s="36" t="s">
        <v>1033</v>
      </c>
      <c r="C171" s="36" t="s">
        <v>1033</v>
      </c>
      <c r="D171" s="36" t="s">
        <v>648</v>
      </c>
      <c r="E171" s="36" t="s">
        <v>648</v>
      </c>
      <c r="F171" s="36" t="s">
        <v>648</v>
      </c>
      <c r="G171" s="36" t="s">
        <v>648</v>
      </c>
      <c r="H171" s="36" t="s">
        <v>648</v>
      </c>
      <c r="I171" s="36" t="s">
        <v>648</v>
      </c>
      <c r="J171" s="36" t="s">
        <v>648</v>
      </c>
      <c r="K171" s="36" t="s">
        <v>645</v>
      </c>
      <c r="L171" s="36" t="s">
        <v>645</v>
      </c>
      <c r="M171" s="36" t="s">
        <v>648</v>
      </c>
      <c r="N171" s="36" t="s">
        <v>645</v>
      </c>
      <c r="O171" s="36" t="s">
        <v>645</v>
      </c>
      <c r="P171" s="36" t="s">
        <v>648</v>
      </c>
      <c r="Q171" s="36" t="s">
        <v>3364</v>
      </c>
      <c r="R171" s="36" t="s">
        <v>3364</v>
      </c>
      <c r="S171" s="36" t="s">
        <v>648</v>
      </c>
      <c r="T171" s="36" t="s">
        <v>3364</v>
      </c>
      <c r="U171" s="36" t="s">
        <v>3364</v>
      </c>
      <c r="V171" s="36" t="s">
        <v>648</v>
      </c>
      <c r="W171" s="36" t="s">
        <v>648</v>
      </c>
      <c r="X171" s="36" t="s">
        <v>3364</v>
      </c>
      <c r="Y171" s="36" t="s">
        <v>3364</v>
      </c>
      <c r="Z171" s="36" t="s">
        <v>648</v>
      </c>
      <c r="AA171" s="36" t="s">
        <v>648</v>
      </c>
      <c r="AB171" s="36" t="s">
        <v>648</v>
      </c>
      <c r="AC171" s="36" t="s">
        <v>648</v>
      </c>
      <c r="AD171" s="36" t="s">
        <v>648</v>
      </c>
      <c r="AE171" s="122" t="s">
        <v>648</v>
      </c>
      <c r="AF171" s="36" t="s">
        <v>648</v>
      </c>
      <c r="AG171" s="36" t="s">
        <v>648</v>
      </c>
      <c r="AH171" s="36" t="s">
        <v>648</v>
      </c>
      <c r="AI171" s="36" t="s">
        <v>57</v>
      </c>
      <c r="AJ171" s="36" t="s">
        <v>57</v>
      </c>
      <c r="AK171" s="36" t="s">
        <v>1690</v>
      </c>
      <c r="AL171" s="36" t="s">
        <v>1690</v>
      </c>
      <c r="AM171" s="36" t="s">
        <v>648</v>
      </c>
      <c r="AN171" s="36" t="s">
        <v>648</v>
      </c>
      <c r="AO171" s="36" t="s">
        <v>648</v>
      </c>
      <c r="AP171" s="36" t="s">
        <v>648</v>
      </c>
      <c r="AQ171" s="36" t="s">
        <v>648</v>
      </c>
      <c r="AR171" s="36" t="s">
        <v>648</v>
      </c>
      <c r="AS171" s="36" t="s">
        <v>648</v>
      </c>
      <c r="AT171" s="36" t="s">
        <v>648</v>
      </c>
      <c r="AU171" s="36" t="s">
        <v>648</v>
      </c>
      <c r="AV171" s="36" t="s">
        <v>793</v>
      </c>
      <c r="AW171" s="36" t="s">
        <v>2910</v>
      </c>
      <c r="AX171" s="36" t="s">
        <v>648</v>
      </c>
      <c r="AY171" s="36" t="s">
        <v>648</v>
      </c>
      <c r="AZ171" s="36" t="s">
        <v>648</v>
      </c>
      <c r="BA171" s="36" t="s">
        <v>648</v>
      </c>
      <c r="BB171" s="36" t="s">
        <v>648</v>
      </c>
      <c r="BC171" s="36" t="s">
        <v>648</v>
      </c>
      <c r="BD171" s="36" t="s">
        <v>648</v>
      </c>
      <c r="BE171" s="36" t="s">
        <v>648</v>
      </c>
      <c r="BF171" s="36" t="s">
        <v>648</v>
      </c>
      <c r="BG171" s="38" t="s">
        <v>4000</v>
      </c>
      <c r="BH171" s="36" t="s">
        <v>648</v>
      </c>
      <c r="BI171" s="36" t="s">
        <v>648</v>
      </c>
      <c r="BJ171" s="36" t="s">
        <v>648</v>
      </c>
      <c r="BK171" s="36" t="s">
        <v>648</v>
      </c>
      <c r="BL171" s="36" t="s">
        <v>648</v>
      </c>
      <c r="BM171" s="36" t="s">
        <v>648</v>
      </c>
      <c r="BN171" s="36" t="s">
        <v>648</v>
      </c>
      <c r="BO171" s="36" t="s">
        <v>648</v>
      </c>
      <c r="BP171" s="36" t="s">
        <v>648</v>
      </c>
      <c r="BQ171" s="36" t="s">
        <v>648</v>
      </c>
      <c r="BR171" s="36" t="s">
        <v>648</v>
      </c>
      <c r="BS171" s="36" t="s">
        <v>648</v>
      </c>
      <c r="BT171" s="36" t="s">
        <v>648</v>
      </c>
      <c r="BU171" s="36" t="s">
        <v>648</v>
      </c>
      <c r="BV171" s="36" t="s">
        <v>648</v>
      </c>
      <c r="BW171" s="36" t="s">
        <v>648</v>
      </c>
      <c r="BX171" s="36" t="s">
        <v>648</v>
      </c>
      <c r="BY171" s="36" t="s">
        <v>648</v>
      </c>
      <c r="BZ171" s="36" t="s">
        <v>648</v>
      </c>
      <c r="CA171" s="36" t="s">
        <v>648</v>
      </c>
      <c r="CB171" s="36" t="s">
        <v>648</v>
      </c>
      <c r="CC171" s="36" t="s">
        <v>738</v>
      </c>
      <c r="CD171" s="36" t="s">
        <v>648</v>
      </c>
      <c r="CE171" s="36" t="s">
        <v>648</v>
      </c>
      <c r="CF171" s="36" t="s">
        <v>648</v>
      </c>
      <c r="CG171" s="36" t="s">
        <v>648</v>
      </c>
      <c r="CH171" s="36" t="s">
        <v>648</v>
      </c>
      <c r="CI171" s="36" t="s">
        <v>648</v>
      </c>
      <c r="CJ171" s="36" t="s">
        <v>648</v>
      </c>
      <c r="CK171" s="36" t="s">
        <v>648</v>
      </c>
      <c r="CL171" s="36" t="s">
        <v>648</v>
      </c>
      <c r="CM171" s="36" t="s">
        <v>648</v>
      </c>
      <c r="CN171" s="36" t="s">
        <v>648</v>
      </c>
      <c r="CO171" s="36" t="s">
        <v>648</v>
      </c>
      <c r="CP171" s="36" t="s">
        <v>648</v>
      </c>
      <c r="CQ171" s="36" t="s">
        <v>648</v>
      </c>
      <c r="CR171" s="36" t="s">
        <v>648</v>
      </c>
      <c r="CS171" s="36" t="s">
        <v>648</v>
      </c>
      <c r="CT171" s="36" t="s">
        <v>648</v>
      </c>
      <c r="CU171" s="36" t="s">
        <v>648</v>
      </c>
      <c r="CV171" s="36" t="s">
        <v>648</v>
      </c>
      <c r="CW171" s="36" t="s">
        <v>648</v>
      </c>
      <c r="CX171" s="36" t="s">
        <v>648</v>
      </c>
      <c r="CY171" s="60"/>
      <c r="CZ171" s="60"/>
      <c r="DA171" s="60"/>
      <c r="DB171" s="60"/>
      <c r="DC171" s="60"/>
      <c r="DD171" s="60"/>
      <c r="DE171" s="60"/>
      <c r="DF171" s="60"/>
      <c r="DG171" s="60"/>
      <c r="DH171" s="60"/>
      <c r="DI171" s="60"/>
      <c r="DJ171" s="60"/>
      <c r="DK171" s="60"/>
      <c r="DL171" s="60"/>
      <c r="DM171" s="60"/>
      <c r="DN171" s="60"/>
      <c r="DO171" s="60"/>
      <c r="DP171" s="60"/>
      <c r="DQ171" s="60"/>
      <c r="DR171" s="60"/>
      <c r="DS171" s="60"/>
      <c r="DT171" s="60"/>
      <c r="DU171" s="60"/>
      <c r="DV171" s="60"/>
      <c r="DW171" s="60"/>
      <c r="DX171" s="60"/>
      <c r="DY171" s="60"/>
      <c r="DZ171" s="61"/>
    </row>
    <row r="172" spans="1:130" ht="12" customHeight="1">
      <c r="A172" s="51" t="s">
        <v>935</v>
      </c>
      <c r="B172" s="52" t="s">
        <v>3994</v>
      </c>
      <c r="C172" s="52"/>
      <c r="D172" s="52"/>
      <c r="E172" s="52"/>
      <c r="F172" s="52" t="s">
        <v>1434</v>
      </c>
      <c r="G172" s="52" t="s">
        <v>1434</v>
      </c>
      <c r="H172" s="52" t="s">
        <v>1434</v>
      </c>
      <c r="I172" s="52" t="s">
        <v>1434</v>
      </c>
      <c r="J172" s="52"/>
      <c r="K172" s="52"/>
      <c r="L172" s="52"/>
      <c r="M172" s="52" t="s">
        <v>1442</v>
      </c>
      <c r="N172" s="52" t="s">
        <v>1605</v>
      </c>
      <c r="O172" s="52" t="s">
        <v>1548</v>
      </c>
      <c r="P172" s="52" t="s">
        <v>1442</v>
      </c>
      <c r="Q172" s="52" t="s">
        <v>3363</v>
      </c>
      <c r="R172" s="52" t="s">
        <v>1549</v>
      </c>
      <c r="S172" s="52" t="s">
        <v>1442</v>
      </c>
      <c r="T172" s="52" t="s">
        <v>3363</v>
      </c>
      <c r="U172" s="52" t="s">
        <v>1549</v>
      </c>
      <c r="V172" s="52" t="s">
        <v>1442</v>
      </c>
      <c r="W172" s="52" t="s">
        <v>1442</v>
      </c>
      <c r="X172" s="52" t="s">
        <v>1606</v>
      </c>
      <c r="Y172" s="52" t="s">
        <v>1550</v>
      </c>
      <c r="Z172" s="52"/>
      <c r="AA172" s="52"/>
      <c r="AB172" s="52"/>
      <c r="AC172" s="52"/>
      <c r="AD172" s="52"/>
      <c r="AE172" s="123" t="s">
        <v>1442</v>
      </c>
      <c r="AF172" s="52" t="s">
        <v>4718</v>
      </c>
      <c r="AG172" s="52" t="s">
        <v>4718</v>
      </c>
      <c r="AH172" s="52" t="s">
        <v>4718</v>
      </c>
      <c r="AI172" s="52"/>
      <c r="AJ172" s="52"/>
      <c r="AK172" s="52" t="s">
        <v>1689</v>
      </c>
      <c r="AL172" s="52" t="s">
        <v>1689</v>
      </c>
      <c r="AM172" s="52"/>
      <c r="AN172" s="52" t="s">
        <v>1687</v>
      </c>
      <c r="AO172" s="52"/>
      <c r="AP172" s="52"/>
      <c r="AQ172" s="52" t="s">
        <v>1443</v>
      </c>
      <c r="AR172" s="52" t="s">
        <v>1443</v>
      </c>
      <c r="AS172" s="52" t="s">
        <v>1443</v>
      </c>
      <c r="AT172" s="52" t="s">
        <v>1443</v>
      </c>
      <c r="AU172" s="52"/>
      <c r="AV172" s="52"/>
      <c r="AW172" s="52" t="s">
        <v>0</v>
      </c>
      <c r="AX172" s="52" t="s">
        <v>2969</v>
      </c>
      <c r="AY172" s="52" t="s">
        <v>2969</v>
      </c>
      <c r="AZ172" s="52"/>
      <c r="BA172" s="52" t="s">
        <v>4155</v>
      </c>
      <c r="BB172" s="52"/>
      <c r="BC172" s="52"/>
      <c r="BD172" s="52" t="s">
        <v>1443</v>
      </c>
      <c r="BE172" s="52"/>
      <c r="BF172" s="52" t="s">
        <v>1443</v>
      </c>
      <c r="BG172" s="52" t="s">
        <v>0</v>
      </c>
      <c r="BH172" s="52"/>
      <c r="BI172" s="52"/>
      <c r="BJ172" s="52"/>
      <c r="BK172" s="52" t="s">
        <v>1355</v>
      </c>
      <c r="BL172" s="52" t="s">
        <v>1355</v>
      </c>
      <c r="BM172" s="52"/>
      <c r="BN172" s="52"/>
      <c r="BO172" s="52"/>
      <c r="BP172" s="52"/>
      <c r="BQ172" s="52"/>
      <c r="BR172" s="52"/>
      <c r="BS172" s="52"/>
      <c r="BT172" s="52" t="s">
        <v>3563</v>
      </c>
      <c r="BU172" s="52" t="s">
        <v>3563</v>
      </c>
      <c r="BV172" s="52" t="s">
        <v>3563</v>
      </c>
      <c r="BW172" s="52" t="s">
        <v>2473</v>
      </c>
      <c r="BX172" s="52" t="s">
        <v>2473</v>
      </c>
      <c r="BY172" s="52" t="s">
        <v>2473</v>
      </c>
      <c r="BZ172" s="52" t="s">
        <v>0</v>
      </c>
      <c r="CA172" s="52"/>
      <c r="CB172" s="52"/>
      <c r="CC172" s="52"/>
      <c r="CD172" s="52" t="s">
        <v>1443</v>
      </c>
      <c r="CE172" s="52" t="s">
        <v>1443</v>
      </c>
      <c r="CF172" s="52"/>
      <c r="CG172" s="52" t="s">
        <v>1442</v>
      </c>
      <c r="CH172" s="52" t="s">
        <v>1442</v>
      </c>
      <c r="CI172" s="52" t="s">
        <v>0</v>
      </c>
      <c r="CJ172" s="52" t="s">
        <v>0</v>
      </c>
      <c r="CK172" s="52" t="s">
        <v>2685</v>
      </c>
      <c r="CL172" s="52"/>
      <c r="CM172" s="52"/>
      <c r="CN172" s="52"/>
      <c r="CO172" s="52" t="s">
        <v>2070</v>
      </c>
      <c r="CP172" s="52" t="s">
        <v>2820</v>
      </c>
      <c r="CQ172" s="52"/>
      <c r="CR172" s="52"/>
      <c r="CS172" s="52"/>
      <c r="CT172" s="52"/>
      <c r="CU172" s="52"/>
      <c r="CV172" s="52"/>
      <c r="CW172" s="52" t="s">
        <v>1024</v>
      </c>
      <c r="CX172" s="52"/>
    </row>
    <row r="173" spans="1:130" ht="22.5" customHeight="1">
      <c r="AE173" s="131"/>
    </row>
    <row r="174" spans="1:130" ht="22.5" customHeight="1">
      <c r="A174" s="26" t="s">
        <v>150</v>
      </c>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129"/>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105"/>
      <c r="CK174" s="60"/>
      <c r="CL174" s="60"/>
      <c r="CM174" s="60"/>
      <c r="CN174" s="60"/>
      <c r="CO174" s="60"/>
      <c r="CP174" s="60"/>
      <c r="CQ174" s="60"/>
      <c r="CR174" s="60"/>
      <c r="CS174" s="60"/>
      <c r="CT174" s="60"/>
      <c r="CU174" s="60"/>
      <c r="CV174" s="60"/>
      <c r="CW174" s="60"/>
      <c r="CX174" s="60"/>
    </row>
    <row r="175" spans="1:130" ht="22.5" customHeight="1">
      <c r="A175" s="12" t="s">
        <v>151</v>
      </c>
      <c r="B175" s="38" t="s">
        <v>152</v>
      </c>
      <c r="C175" s="38" t="s">
        <v>152</v>
      </c>
      <c r="D175" s="38" t="s">
        <v>152</v>
      </c>
      <c r="E175" s="38" t="s">
        <v>152</v>
      </c>
      <c r="F175" s="38" t="s">
        <v>152</v>
      </c>
      <c r="G175" s="38" t="s">
        <v>152</v>
      </c>
      <c r="H175" s="38" t="s">
        <v>152</v>
      </c>
      <c r="I175" s="38" t="s">
        <v>152</v>
      </c>
      <c r="J175" s="38" t="s">
        <v>152</v>
      </c>
      <c r="K175" s="38" t="s">
        <v>152</v>
      </c>
      <c r="L175" s="38" t="s">
        <v>152</v>
      </c>
      <c r="M175" s="38" t="s">
        <v>152</v>
      </c>
      <c r="N175" s="38" t="s">
        <v>152</v>
      </c>
      <c r="O175" s="38" t="s">
        <v>152</v>
      </c>
      <c r="P175" s="38" t="s">
        <v>152</v>
      </c>
      <c r="Q175" s="38" t="s">
        <v>152</v>
      </c>
      <c r="R175" s="38" t="s">
        <v>152</v>
      </c>
      <c r="S175" s="38" t="s">
        <v>152</v>
      </c>
      <c r="T175" s="38" t="s">
        <v>152</v>
      </c>
      <c r="U175" s="38" t="s">
        <v>152</v>
      </c>
      <c r="V175" s="38" t="s">
        <v>152</v>
      </c>
      <c r="W175" s="38" t="s">
        <v>152</v>
      </c>
      <c r="X175" s="38" t="s">
        <v>152</v>
      </c>
      <c r="Y175" s="38" t="s">
        <v>152</v>
      </c>
      <c r="Z175" s="38" t="s">
        <v>152</v>
      </c>
      <c r="AA175" s="38" t="s">
        <v>152</v>
      </c>
      <c r="AB175" s="38" t="s">
        <v>152</v>
      </c>
      <c r="AC175" s="38" t="s">
        <v>152</v>
      </c>
      <c r="AD175" s="38" t="s">
        <v>152</v>
      </c>
      <c r="AE175" s="124" t="s">
        <v>152</v>
      </c>
      <c r="AF175" s="38" t="s">
        <v>152</v>
      </c>
      <c r="AG175" s="38" t="s">
        <v>152</v>
      </c>
      <c r="AH175" s="38" t="s">
        <v>152</v>
      </c>
      <c r="AI175" s="38" t="s">
        <v>152</v>
      </c>
      <c r="AJ175" s="38" t="s">
        <v>152</v>
      </c>
      <c r="AK175" s="38" t="s">
        <v>152</v>
      </c>
      <c r="AL175" s="38" t="s">
        <v>152</v>
      </c>
      <c r="AM175" s="38" t="s">
        <v>152</v>
      </c>
      <c r="AN175" s="38" t="s">
        <v>152</v>
      </c>
      <c r="AO175" s="38" t="s">
        <v>152</v>
      </c>
      <c r="AP175" s="38" t="s">
        <v>152</v>
      </c>
      <c r="AQ175" s="38">
        <v>8</v>
      </c>
      <c r="AR175" s="38">
        <v>8</v>
      </c>
      <c r="AS175" s="38">
        <v>8</v>
      </c>
      <c r="AT175" s="38">
        <v>8</v>
      </c>
      <c r="AU175" s="38" t="s">
        <v>152</v>
      </c>
      <c r="AV175" s="38" t="s">
        <v>152</v>
      </c>
      <c r="AW175" s="38" t="s">
        <v>152</v>
      </c>
      <c r="AX175" s="38" t="s">
        <v>152</v>
      </c>
      <c r="AY175" s="38" t="s">
        <v>152</v>
      </c>
      <c r="AZ175" s="38" t="s">
        <v>152</v>
      </c>
      <c r="BA175" s="38" t="s">
        <v>152</v>
      </c>
      <c r="BB175" s="38" t="s">
        <v>152</v>
      </c>
      <c r="BC175" s="38" t="s">
        <v>152</v>
      </c>
      <c r="BD175" s="38" t="s">
        <v>152</v>
      </c>
      <c r="BE175" s="38" t="s">
        <v>152</v>
      </c>
      <c r="BF175" s="38" t="s">
        <v>152</v>
      </c>
      <c r="BG175" s="38" t="s">
        <v>152</v>
      </c>
      <c r="BH175" s="38" t="s">
        <v>152</v>
      </c>
      <c r="BI175" s="38" t="s">
        <v>152</v>
      </c>
      <c r="BJ175" s="38" t="s">
        <v>152</v>
      </c>
      <c r="BK175" s="38" t="s">
        <v>152</v>
      </c>
      <c r="BL175" s="38" t="s">
        <v>152</v>
      </c>
      <c r="BM175" s="38" t="s">
        <v>152</v>
      </c>
      <c r="BN175" s="38" t="s">
        <v>152</v>
      </c>
      <c r="BO175" s="38" t="s">
        <v>153</v>
      </c>
      <c r="BP175" s="38" t="s">
        <v>152</v>
      </c>
      <c r="BQ175" s="38" t="s">
        <v>153</v>
      </c>
      <c r="BR175" s="38" t="s">
        <v>153</v>
      </c>
      <c r="BS175" s="38" t="s">
        <v>153</v>
      </c>
      <c r="BT175" s="38" t="s">
        <v>152</v>
      </c>
      <c r="BU175" s="38" t="s">
        <v>152</v>
      </c>
      <c r="BV175" s="38" t="s">
        <v>153</v>
      </c>
      <c r="BW175" s="38" t="s">
        <v>152</v>
      </c>
      <c r="BX175" s="38" t="s">
        <v>152</v>
      </c>
      <c r="BY175" s="38" t="s">
        <v>152</v>
      </c>
      <c r="BZ175" s="38" t="s">
        <v>152</v>
      </c>
      <c r="CA175" s="38" t="s">
        <v>152</v>
      </c>
      <c r="CB175" s="38" t="s">
        <v>152</v>
      </c>
      <c r="CC175" s="38" t="s">
        <v>152</v>
      </c>
      <c r="CD175" s="38" t="s">
        <v>152</v>
      </c>
      <c r="CE175" s="38" t="s">
        <v>152</v>
      </c>
      <c r="CF175" s="38" t="s">
        <v>152</v>
      </c>
      <c r="CG175" s="38" t="s">
        <v>152</v>
      </c>
      <c r="CH175" s="38" t="s">
        <v>152</v>
      </c>
      <c r="CI175" s="38" t="s">
        <v>152</v>
      </c>
      <c r="CJ175" s="38" t="s">
        <v>152</v>
      </c>
      <c r="CK175" s="38" t="s">
        <v>152</v>
      </c>
      <c r="CL175" s="38" t="s">
        <v>152</v>
      </c>
      <c r="CM175" s="38" t="s">
        <v>152</v>
      </c>
      <c r="CN175" s="38" t="s">
        <v>152</v>
      </c>
      <c r="CO175" s="38" t="s">
        <v>152</v>
      </c>
      <c r="CP175" s="38" t="s">
        <v>152</v>
      </c>
      <c r="CQ175" s="38" t="s">
        <v>669</v>
      </c>
      <c r="CR175" s="38" t="s">
        <v>669</v>
      </c>
      <c r="CS175" s="38" t="s">
        <v>152</v>
      </c>
      <c r="CT175" s="38" t="s">
        <v>152</v>
      </c>
      <c r="CU175" s="38" t="s">
        <v>152</v>
      </c>
      <c r="CV175" s="38" t="s">
        <v>152</v>
      </c>
      <c r="CW175" s="38" t="s">
        <v>152</v>
      </c>
      <c r="CX175" s="38" t="s">
        <v>152</v>
      </c>
    </row>
    <row r="176" spans="1:130" ht="12" customHeight="1">
      <c r="A176" s="51" t="s">
        <v>935</v>
      </c>
      <c r="B176" s="52" t="s">
        <v>3986</v>
      </c>
      <c r="C176" s="52"/>
      <c r="D176" s="52"/>
      <c r="E176" s="52"/>
      <c r="F176" s="52" t="s">
        <v>1454</v>
      </c>
      <c r="G176" s="52" t="s">
        <v>1454</v>
      </c>
      <c r="H176" s="52" t="s">
        <v>1454</v>
      </c>
      <c r="I176" s="52" t="s">
        <v>1454</v>
      </c>
      <c r="J176" s="52"/>
      <c r="K176" s="52"/>
      <c r="L176" s="52"/>
      <c r="M176" s="52" t="s">
        <v>1660</v>
      </c>
      <c r="N176" s="52" t="s">
        <v>1660</v>
      </c>
      <c r="O176" s="52" t="s">
        <v>1660</v>
      </c>
      <c r="P176" s="52" t="s">
        <v>1660</v>
      </c>
      <c r="Q176" s="52" t="s">
        <v>1660</v>
      </c>
      <c r="R176" s="52" t="s">
        <v>1660</v>
      </c>
      <c r="S176" s="52" t="s">
        <v>1660</v>
      </c>
      <c r="T176" s="52" t="s">
        <v>1660</v>
      </c>
      <c r="U176" s="52" t="s">
        <v>1660</v>
      </c>
      <c r="V176" s="52" t="s">
        <v>1660</v>
      </c>
      <c r="W176" s="52" t="s">
        <v>1660</v>
      </c>
      <c r="X176" s="52" t="s">
        <v>1660</v>
      </c>
      <c r="Y176" s="52" t="s">
        <v>1660</v>
      </c>
      <c r="Z176" s="52"/>
      <c r="AA176" s="52"/>
      <c r="AB176" s="52"/>
      <c r="AC176" s="52"/>
      <c r="AD176" s="52"/>
      <c r="AE176" s="123" t="s">
        <v>5685</v>
      </c>
      <c r="AF176" s="52" t="s">
        <v>4719</v>
      </c>
      <c r="AG176" s="52" t="s">
        <v>4719</v>
      </c>
      <c r="AH176" s="52" t="s">
        <v>4719</v>
      </c>
      <c r="AI176" s="52"/>
      <c r="AJ176" s="52"/>
      <c r="AK176" s="52" t="s">
        <v>1736</v>
      </c>
      <c r="AL176" s="52" t="s">
        <v>1736</v>
      </c>
      <c r="AM176" s="52"/>
      <c r="AN176" s="52" t="s">
        <v>1813</v>
      </c>
      <c r="AO176" s="52"/>
      <c r="AP176" s="52"/>
      <c r="AQ176" s="52" t="s">
        <v>1908</v>
      </c>
      <c r="AR176" s="52" t="s">
        <v>1908</v>
      </c>
      <c r="AS176" s="52" t="s">
        <v>1908</v>
      </c>
      <c r="AT176" s="52" t="s">
        <v>1908</v>
      </c>
      <c r="AU176" s="52"/>
      <c r="AV176" s="52"/>
      <c r="AW176" s="52" t="s">
        <v>3008</v>
      </c>
      <c r="AX176" s="52" t="s">
        <v>3008</v>
      </c>
      <c r="AY176" s="52" t="s">
        <v>3008</v>
      </c>
      <c r="AZ176" s="52"/>
      <c r="BA176" s="52" t="s">
        <v>4156</v>
      </c>
      <c r="BB176" s="52"/>
      <c r="BC176" s="52"/>
      <c r="BD176" s="52" t="s">
        <v>2025</v>
      </c>
      <c r="BE176" s="52"/>
      <c r="BF176" s="52" t="s">
        <v>2025</v>
      </c>
      <c r="BG176" s="52" t="s">
        <v>4094</v>
      </c>
      <c r="BH176" s="52"/>
      <c r="BI176" s="52"/>
      <c r="BJ176" s="52"/>
      <c r="BK176" s="52" t="s">
        <v>1368</v>
      </c>
      <c r="BL176" s="52" t="s">
        <v>1368</v>
      </c>
      <c r="BM176" s="52"/>
      <c r="BN176" s="52"/>
      <c r="BO176" s="52"/>
      <c r="BP176" s="52"/>
      <c r="BQ176" s="52"/>
      <c r="BR176" s="52"/>
      <c r="BS176" s="52"/>
      <c r="BT176" s="52" t="s">
        <v>3666</v>
      </c>
      <c r="BU176" s="52" t="s">
        <v>3580</v>
      </c>
      <c r="BV176" s="52" t="s">
        <v>3485</v>
      </c>
      <c r="BW176" s="52" t="s">
        <v>2484</v>
      </c>
      <c r="BX176" s="52" t="s">
        <v>2484</v>
      </c>
      <c r="BY176" s="52" t="s">
        <v>2484</v>
      </c>
      <c r="BZ176" s="52" t="s">
        <v>3986</v>
      </c>
      <c r="CA176" s="52"/>
      <c r="CB176" s="52"/>
      <c r="CC176" s="52"/>
      <c r="CD176" s="52" t="s">
        <v>2575</v>
      </c>
      <c r="CE176" s="52" t="s">
        <v>2575</v>
      </c>
      <c r="CF176" s="52"/>
      <c r="CG176" s="52" t="s">
        <v>1660</v>
      </c>
      <c r="CH176" s="52" t="s">
        <v>1660</v>
      </c>
      <c r="CI176" s="52" t="s">
        <v>3986</v>
      </c>
      <c r="CJ176" s="52" t="s">
        <v>3986</v>
      </c>
      <c r="CK176" s="52" t="s">
        <v>1909</v>
      </c>
      <c r="CL176" s="52"/>
      <c r="CM176" s="52"/>
      <c r="CN176" s="52"/>
      <c r="CO176" s="52" t="s">
        <v>2109</v>
      </c>
      <c r="CP176" s="52" t="s">
        <v>2065</v>
      </c>
      <c r="CQ176" s="52"/>
      <c r="CR176" s="52"/>
      <c r="CS176" s="52"/>
      <c r="CT176" s="52"/>
      <c r="CU176" s="52"/>
      <c r="CV176" s="52"/>
      <c r="CW176" s="52" t="s">
        <v>1195</v>
      </c>
      <c r="CX176" s="52"/>
    </row>
    <row r="177" spans="1:102" ht="15" customHeight="1">
      <c r="AE177" s="131"/>
    </row>
    <row r="178" spans="1:102" ht="22.5" customHeight="1">
      <c r="A178" s="26" t="s">
        <v>190</v>
      </c>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129"/>
      <c r="AF178" s="60"/>
      <c r="AG178" s="60"/>
      <c r="AH178" s="60"/>
      <c r="AI178" s="60"/>
      <c r="AJ178" s="60"/>
      <c r="AK178" s="60"/>
      <c r="AL178" s="60"/>
      <c r="AM178" s="60"/>
      <c r="AN178" s="60"/>
      <c r="AO178" s="60"/>
      <c r="AP178" s="60"/>
      <c r="AQ178" s="60"/>
      <c r="AR178" s="60"/>
      <c r="AS178" s="60"/>
      <c r="AT178" s="60"/>
      <c r="AU178" s="117"/>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105"/>
      <c r="CK178" s="60"/>
      <c r="CL178" s="60"/>
      <c r="CM178" s="60"/>
      <c r="CN178" s="60"/>
      <c r="CO178" s="60"/>
      <c r="CP178" s="60"/>
      <c r="CQ178" s="60"/>
      <c r="CR178" s="60"/>
      <c r="CS178" s="60"/>
      <c r="CT178" s="60"/>
      <c r="CU178" s="60"/>
      <c r="CV178" s="60"/>
      <c r="CW178" s="60"/>
      <c r="CX178" s="60"/>
    </row>
    <row r="179" spans="1:102" ht="22.5" customHeight="1">
      <c r="A179" s="12" t="s">
        <v>154</v>
      </c>
      <c r="B179" s="38" t="s">
        <v>57</v>
      </c>
      <c r="C179" s="38" t="s">
        <v>57</v>
      </c>
      <c r="D179" s="38" t="s">
        <v>57</v>
      </c>
      <c r="E179" s="38" t="s">
        <v>57</v>
      </c>
      <c r="F179" s="38" t="s">
        <v>57</v>
      </c>
      <c r="G179" s="38" t="s">
        <v>57</v>
      </c>
      <c r="H179" s="38" t="s">
        <v>57</v>
      </c>
      <c r="I179" s="38" t="s">
        <v>57</v>
      </c>
      <c r="J179" s="38" t="s">
        <v>57</v>
      </c>
      <c r="K179" s="38" t="s">
        <v>57</v>
      </c>
      <c r="L179" s="38" t="s">
        <v>57</v>
      </c>
      <c r="M179" s="38" t="s">
        <v>57</v>
      </c>
      <c r="N179" s="36" t="s">
        <v>773</v>
      </c>
      <c r="O179" s="38" t="s">
        <v>57</v>
      </c>
      <c r="P179" s="38" t="s">
        <v>57</v>
      </c>
      <c r="Q179" s="36" t="s">
        <v>773</v>
      </c>
      <c r="R179" s="38" t="s">
        <v>57</v>
      </c>
      <c r="S179" s="38" t="s">
        <v>57</v>
      </c>
      <c r="T179" s="36" t="s">
        <v>773</v>
      </c>
      <c r="U179" s="38" t="s">
        <v>57</v>
      </c>
      <c r="V179" s="38" t="s">
        <v>57</v>
      </c>
      <c r="W179" s="38" t="s">
        <v>57</v>
      </c>
      <c r="X179" s="36" t="s">
        <v>773</v>
      </c>
      <c r="Y179" s="38" t="s">
        <v>57</v>
      </c>
      <c r="Z179" s="38" t="s">
        <v>57</v>
      </c>
      <c r="AA179" s="38" t="s">
        <v>57</v>
      </c>
      <c r="AB179" s="38" t="s">
        <v>57</v>
      </c>
      <c r="AC179" s="38" t="s">
        <v>57</v>
      </c>
      <c r="AD179" s="38" t="s">
        <v>57</v>
      </c>
      <c r="AE179" s="122" t="s">
        <v>57</v>
      </c>
      <c r="AF179" s="36" t="s">
        <v>3071</v>
      </c>
      <c r="AG179" s="36" t="s">
        <v>3071</v>
      </c>
      <c r="AH179" s="38" t="s">
        <v>57</v>
      </c>
      <c r="AI179" s="7" t="s">
        <v>429</v>
      </c>
      <c r="AJ179" s="7" t="s">
        <v>779</v>
      </c>
      <c r="AK179" s="7" t="s">
        <v>57</v>
      </c>
      <c r="AL179" s="7" t="s">
        <v>57</v>
      </c>
      <c r="AM179" s="7" t="s">
        <v>57</v>
      </c>
      <c r="AN179" s="7" t="s">
        <v>57</v>
      </c>
      <c r="AO179" s="7" t="s">
        <v>57</v>
      </c>
      <c r="AP179" s="33" t="s">
        <v>57</v>
      </c>
      <c r="AQ179" s="7" t="s">
        <v>57</v>
      </c>
      <c r="AR179" s="7" t="s">
        <v>57</v>
      </c>
      <c r="AS179" s="7" t="s">
        <v>57</v>
      </c>
      <c r="AT179" s="7" t="s">
        <v>57</v>
      </c>
      <c r="AU179" s="38" t="s">
        <v>57</v>
      </c>
      <c r="AV179" s="38" t="s">
        <v>57</v>
      </c>
      <c r="AW179" s="34" t="s">
        <v>57</v>
      </c>
      <c r="AX179" s="34" t="s">
        <v>57</v>
      </c>
      <c r="AY179" s="34" t="s">
        <v>57</v>
      </c>
      <c r="AZ179" s="38" t="s">
        <v>57</v>
      </c>
      <c r="BA179" s="36" t="s">
        <v>3071</v>
      </c>
      <c r="BB179" s="38" t="s">
        <v>57</v>
      </c>
      <c r="BC179" s="38" t="s">
        <v>57</v>
      </c>
      <c r="BD179" s="38" t="s">
        <v>57</v>
      </c>
      <c r="BE179" s="38" t="s">
        <v>57</v>
      </c>
      <c r="BF179" s="38" t="s">
        <v>57</v>
      </c>
      <c r="BG179" s="36" t="s">
        <v>57</v>
      </c>
      <c r="BH179" s="38" t="s">
        <v>57</v>
      </c>
      <c r="BI179" s="38" t="s">
        <v>57</v>
      </c>
      <c r="BJ179" s="38" t="s">
        <v>57</v>
      </c>
      <c r="BK179" s="36" t="s">
        <v>57</v>
      </c>
      <c r="BL179" s="36" t="s">
        <v>57</v>
      </c>
      <c r="BM179" s="38" t="s">
        <v>57</v>
      </c>
      <c r="BN179" s="38" t="s">
        <v>57</v>
      </c>
      <c r="BO179" s="38" t="s">
        <v>57</v>
      </c>
      <c r="BP179" s="38" t="s">
        <v>57</v>
      </c>
      <c r="BQ179" s="38" t="s">
        <v>57</v>
      </c>
      <c r="BR179" s="38" t="s">
        <v>57</v>
      </c>
      <c r="BS179" s="36" t="s">
        <v>3071</v>
      </c>
      <c r="BT179" s="36" t="s">
        <v>3071</v>
      </c>
      <c r="BU179" s="36" t="s">
        <v>3071</v>
      </c>
      <c r="BV179" s="36" t="s">
        <v>3071</v>
      </c>
      <c r="BW179" s="38" t="s">
        <v>57</v>
      </c>
      <c r="BX179" s="38" t="s">
        <v>57</v>
      </c>
      <c r="BY179" s="38" t="s">
        <v>57</v>
      </c>
      <c r="BZ179" s="36" t="s">
        <v>57</v>
      </c>
      <c r="CA179" s="38" t="s">
        <v>57</v>
      </c>
      <c r="CB179" s="38" t="s">
        <v>57</v>
      </c>
      <c r="CC179" s="38" t="s">
        <v>57</v>
      </c>
      <c r="CD179" s="36" t="s">
        <v>665</v>
      </c>
      <c r="CE179" s="36" t="s">
        <v>665</v>
      </c>
      <c r="CF179" s="38" t="s">
        <v>57</v>
      </c>
      <c r="CG179" s="38" t="s">
        <v>57</v>
      </c>
      <c r="CH179" s="38" t="s">
        <v>57</v>
      </c>
      <c r="CI179" s="38" t="s">
        <v>57</v>
      </c>
      <c r="CJ179" s="38" t="s">
        <v>57</v>
      </c>
      <c r="CK179" s="36" t="s">
        <v>57</v>
      </c>
      <c r="CL179" s="36" t="s">
        <v>628</v>
      </c>
      <c r="CM179" s="38" t="s">
        <v>57</v>
      </c>
      <c r="CN179" s="38" t="s">
        <v>57</v>
      </c>
      <c r="CO179" s="38" t="s">
        <v>57</v>
      </c>
      <c r="CP179" s="36" t="s">
        <v>665</v>
      </c>
      <c r="CQ179" s="36" t="s">
        <v>665</v>
      </c>
      <c r="CR179" s="36" t="s">
        <v>665</v>
      </c>
      <c r="CS179" s="38" t="s">
        <v>57</v>
      </c>
      <c r="CT179" s="38" t="s">
        <v>57</v>
      </c>
      <c r="CU179" s="36" t="s">
        <v>773</v>
      </c>
      <c r="CV179" s="36" t="s">
        <v>773</v>
      </c>
      <c r="CW179" s="38" t="s">
        <v>57</v>
      </c>
      <c r="CX179" s="38" t="s">
        <v>57</v>
      </c>
    </row>
    <row r="180" spans="1:102" ht="12" customHeight="1">
      <c r="A180" s="51" t="s">
        <v>935</v>
      </c>
      <c r="B180" s="52" t="s">
        <v>3978</v>
      </c>
      <c r="C180" s="52"/>
      <c r="D180" s="52"/>
      <c r="E180" s="52"/>
      <c r="F180" s="52" t="s">
        <v>1444</v>
      </c>
      <c r="G180" s="52" t="s">
        <v>1444</v>
      </c>
      <c r="H180" s="52" t="s">
        <v>1444</v>
      </c>
      <c r="I180" s="52" t="s">
        <v>1444</v>
      </c>
      <c r="J180" s="52"/>
      <c r="K180" s="52"/>
      <c r="L180" s="52"/>
      <c r="M180" s="52" t="s">
        <v>1661</v>
      </c>
      <c r="N180" s="52" t="s">
        <v>1662</v>
      </c>
      <c r="O180" s="52" t="s">
        <v>1661</v>
      </c>
      <c r="P180" s="52" t="s">
        <v>1661</v>
      </c>
      <c r="Q180" s="52" t="s">
        <v>3359</v>
      </c>
      <c r="R180" s="52" t="s">
        <v>1661</v>
      </c>
      <c r="S180" s="52" t="s">
        <v>1661</v>
      </c>
      <c r="T180" s="52" t="s">
        <v>3359</v>
      </c>
      <c r="U180" s="52" t="s">
        <v>1661</v>
      </c>
      <c r="V180" s="52" t="s">
        <v>1661</v>
      </c>
      <c r="W180" s="52" t="s">
        <v>1661</v>
      </c>
      <c r="X180" s="52" t="s">
        <v>5880</v>
      </c>
      <c r="Y180" s="52" t="s">
        <v>1661</v>
      </c>
      <c r="Z180" s="52"/>
      <c r="AA180" s="52"/>
      <c r="AB180" s="52"/>
      <c r="AC180" s="52"/>
      <c r="AD180" s="52"/>
      <c r="AE180" s="123" t="s">
        <v>1661</v>
      </c>
      <c r="AF180" s="52" t="s">
        <v>4721</v>
      </c>
      <c r="AG180" s="52" t="s">
        <v>4721</v>
      </c>
      <c r="AH180" s="52" t="s">
        <v>4720</v>
      </c>
      <c r="AI180" s="52"/>
      <c r="AJ180" s="52"/>
      <c r="AK180" s="52" t="s">
        <v>1704</v>
      </c>
      <c r="AL180" s="52" t="s">
        <v>1704</v>
      </c>
      <c r="AM180" s="52"/>
      <c r="AN180" s="52" t="s">
        <v>1814</v>
      </c>
      <c r="AO180" s="52"/>
      <c r="AP180" s="52"/>
      <c r="AQ180" s="52" t="s">
        <v>1907</v>
      </c>
      <c r="AR180" s="52" t="s">
        <v>1907</v>
      </c>
      <c r="AS180" s="52" t="s">
        <v>1907</v>
      </c>
      <c r="AT180" s="52" t="s">
        <v>1907</v>
      </c>
      <c r="AU180" s="52"/>
      <c r="AV180" s="52"/>
      <c r="AW180" s="52" t="s">
        <v>3014</v>
      </c>
      <c r="AX180" s="52" t="s">
        <v>3014</v>
      </c>
      <c r="AY180" s="52" t="s">
        <v>3014</v>
      </c>
      <c r="AZ180" s="52"/>
      <c r="BA180" s="52" t="s">
        <v>4131</v>
      </c>
      <c r="BB180" s="52"/>
      <c r="BC180" s="52"/>
      <c r="BD180" s="52" t="s">
        <v>2014</v>
      </c>
      <c r="BE180" s="52"/>
      <c r="BF180" s="52" t="s">
        <v>2014</v>
      </c>
      <c r="BG180" s="52" t="s">
        <v>4073</v>
      </c>
      <c r="BH180" s="52"/>
      <c r="BI180" s="52"/>
      <c r="BJ180" s="52"/>
      <c r="BK180" s="52" t="s">
        <v>1366</v>
      </c>
      <c r="BL180" s="52" t="s">
        <v>1366</v>
      </c>
      <c r="BM180" s="52"/>
      <c r="BN180" s="52"/>
      <c r="BO180" s="52"/>
      <c r="BP180" s="52"/>
      <c r="BQ180" s="52"/>
      <c r="BR180" s="52"/>
      <c r="BS180" s="52"/>
      <c r="BT180" s="52" t="s">
        <v>3664</v>
      </c>
      <c r="BU180" s="52" t="s">
        <v>3624</v>
      </c>
      <c r="BV180" s="52" t="s">
        <v>3480</v>
      </c>
      <c r="BW180" s="52" t="s">
        <v>2474</v>
      </c>
      <c r="BX180" s="52" t="s">
        <v>2474</v>
      </c>
      <c r="BY180" s="52" t="s">
        <v>2474</v>
      </c>
      <c r="BZ180" s="52" t="s">
        <v>4036</v>
      </c>
      <c r="CA180" s="52"/>
      <c r="CB180" s="52"/>
      <c r="CC180" s="52"/>
      <c r="CD180" s="52" t="s">
        <v>2578</v>
      </c>
      <c r="CE180" s="52" t="s">
        <v>2577</v>
      </c>
      <c r="CF180" s="52"/>
      <c r="CG180" s="52" t="s">
        <v>1661</v>
      </c>
      <c r="CH180" s="52" t="s">
        <v>1661</v>
      </c>
      <c r="CI180" s="52" t="s">
        <v>4036</v>
      </c>
      <c r="CJ180" s="52" t="s">
        <v>4036</v>
      </c>
      <c r="CK180" s="52" t="s">
        <v>1894</v>
      </c>
      <c r="CL180" s="52"/>
      <c r="CM180" s="52"/>
      <c r="CN180" s="52"/>
      <c r="CO180" s="52" t="s">
        <v>2105</v>
      </c>
      <c r="CP180" s="52" t="s">
        <v>2835</v>
      </c>
      <c r="CQ180" s="52"/>
      <c r="CR180" s="52"/>
      <c r="CS180" s="52"/>
      <c r="CT180" s="52"/>
      <c r="CU180" s="52"/>
      <c r="CV180" s="52"/>
      <c r="CW180" s="52" t="s">
        <v>1196</v>
      </c>
      <c r="CX180" s="52"/>
    </row>
    <row r="181" spans="1:102" ht="22.5" customHeight="1">
      <c r="A181" s="12" t="s">
        <v>155</v>
      </c>
      <c r="B181" s="38" t="s">
        <v>57</v>
      </c>
      <c r="C181" s="36" t="s">
        <v>57</v>
      </c>
      <c r="D181" s="36" t="s">
        <v>57</v>
      </c>
      <c r="E181" s="36" t="s">
        <v>57</v>
      </c>
      <c r="F181" s="36" t="s">
        <v>57</v>
      </c>
      <c r="G181" s="36" t="s">
        <v>57</v>
      </c>
      <c r="H181" s="36" t="s">
        <v>57</v>
      </c>
      <c r="I181" s="36" t="s">
        <v>57</v>
      </c>
      <c r="J181" s="36" t="s">
        <v>57</v>
      </c>
      <c r="K181" s="36" t="s">
        <v>57</v>
      </c>
      <c r="L181" s="36" t="s">
        <v>57</v>
      </c>
      <c r="M181" s="36" t="s">
        <v>57</v>
      </c>
      <c r="N181" s="36" t="s">
        <v>57</v>
      </c>
      <c r="O181" s="36" t="s">
        <v>57</v>
      </c>
      <c r="P181" s="36" t="s">
        <v>57</v>
      </c>
      <c r="Q181" s="36" t="s">
        <v>57</v>
      </c>
      <c r="R181" s="36" t="s">
        <v>57</v>
      </c>
      <c r="S181" s="36" t="s">
        <v>57</v>
      </c>
      <c r="T181" s="36" t="s">
        <v>57</v>
      </c>
      <c r="U181" s="36" t="s">
        <v>57</v>
      </c>
      <c r="V181" s="36" t="s">
        <v>57</v>
      </c>
      <c r="W181" s="36" t="s">
        <v>57</v>
      </c>
      <c r="X181" s="36" t="s">
        <v>57</v>
      </c>
      <c r="Y181" s="36" t="s">
        <v>57</v>
      </c>
      <c r="Z181" s="38" t="s">
        <v>57</v>
      </c>
      <c r="AA181" s="36" t="s">
        <v>57</v>
      </c>
      <c r="AB181" s="36" t="s">
        <v>57</v>
      </c>
      <c r="AC181" s="36" t="s">
        <v>57</v>
      </c>
      <c r="AD181" s="38" t="s">
        <v>57</v>
      </c>
      <c r="AE181" s="124" t="s">
        <v>5686</v>
      </c>
      <c r="AF181" s="38" t="s">
        <v>57</v>
      </c>
      <c r="AG181" s="38" t="s">
        <v>57</v>
      </c>
      <c r="AH181" s="38" t="s">
        <v>57</v>
      </c>
      <c r="AI181" s="7" t="s">
        <v>57</v>
      </c>
      <c r="AJ181" s="7" t="s">
        <v>57</v>
      </c>
      <c r="AK181" s="7" t="s">
        <v>57</v>
      </c>
      <c r="AL181" s="7" t="s">
        <v>57</v>
      </c>
      <c r="AM181" s="7" t="s">
        <v>57</v>
      </c>
      <c r="AN181" s="7" t="s">
        <v>57</v>
      </c>
      <c r="AO181" s="7" t="s">
        <v>57</v>
      </c>
      <c r="AP181" s="33" t="s">
        <v>57</v>
      </c>
      <c r="AQ181" s="7" t="s">
        <v>57</v>
      </c>
      <c r="AR181" s="7" t="s">
        <v>57</v>
      </c>
      <c r="AS181" s="7" t="s">
        <v>57</v>
      </c>
      <c r="AT181" s="7" t="s">
        <v>57</v>
      </c>
      <c r="AU181" s="38" t="s">
        <v>57</v>
      </c>
      <c r="AV181" s="38" t="s">
        <v>57</v>
      </c>
      <c r="AW181" s="34" t="s">
        <v>57</v>
      </c>
      <c r="AX181" s="34" t="s">
        <v>57</v>
      </c>
      <c r="AY181" s="34" t="s">
        <v>57</v>
      </c>
      <c r="AZ181" s="38" t="s">
        <v>57</v>
      </c>
      <c r="BA181" s="38" t="s">
        <v>57</v>
      </c>
      <c r="BB181" s="38" t="s">
        <v>57</v>
      </c>
      <c r="BC181" s="38" t="s">
        <v>57</v>
      </c>
      <c r="BD181" s="38" t="s">
        <v>57</v>
      </c>
      <c r="BE181" s="38" t="s">
        <v>57</v>
      </c>
      <c r="BF181" s="38" t="s">
        <v>57</v>
      </c>
      <c r="BG181" s="38" t="s">
        <v>57</v>
      </c>
      <c r="BH181" s="38" t="s">
        <v>57</v>
      </c>
      <c r="BI181" s="38" t="s">
        <v>57</v>
      </c>
      <c r="BJ181" s="38" t="s">
        <v>57</v>
      </c>
      <c r="BK181" s="38" t="s">
        <v>57</v>
      </c>
      <c r="BL181" s="38" t="s">
        <v>57</v>
      </c>
      <c r="BM181" s="38" t="s">
        <v>57</v>
      </c>
      <c r="BN181" s="38" t="s">
        <v>57</v>
      </c>
      <c r="BO181" s="38" t="s">
        <v>57</v>
      </c>
      <c r="BP181" s="38" t="s">
        <v>57</v>
      </c>
      <c r="BQ181" s="38" t="s">
        <v>57</v>
      </c>
      <c r="BR181" s="38" t="s">
        <v>57</v>
      </c>
      <c r="BS181" s="36" t="s">
        <v>3064</v>
      </c>
      <c r="BT181" s="36" t="s">
        <v>57</v>
      </c>
      <c r="BU181" s="36" t="s">
        <v>57</v>
      </c>
      <c r="BV181" s="36" t="s">
        <v>3064</v>
      </c>
      <c r="BW181" s="38" t="s">
        <v>57</v>
      </c>
      <c r="BX181" s="38" t="s">
        <v>57</v>
      </c>
      <c r="BY181" s="38" t="s">
        <v>57</v>
      </c>
      <c r="BZ181" s="36" t="s">
        <v>57</v>
      </c>
      <c r="CA181" s="38" t="s">
        <v>57</v>
      </c>
      <c r="CB181" s="38" t="s">
        <v>57</v>
      </c>
      <c r="CC181" s="38" t="s">
        <v>57</v>
      </c>
      <c r="CD181" s="36" t="s">
        <v>57</v>
      </c>
      <c r="CE181" s="36" t="s">
        <v>57</v>
      </c>
      <c r="CF181" s="38" t="s">
        <v>57</v>
      </c>
      <c r="CG181" s="38" t="s">
        <v>57</v>
      </c>
      <c r="CH181" s="38" t="s">
        <v>57</v>
      </c>
      <c r="CI181" s="38" t="s">
        <v>57</v>
      </c>
      <c r="CJ181" s="38" t="s">
        <v>57</v>
      </c>
      <c r="CK181" s="36" t="s">
        <v>57</v>
      </c>
      <c r="CL181" s="38" t="s">
        <v>57</v>
      </c>
      <c r="CM181" s="38" t="s">
        <v>57</v>
      </c>
      <c r="CN181" s="38" t="s">
        <v>57</v>
      </c>
      <c r="CO181" s="38" t="s">
        <v>57</v>
      </c>
      <c r="CP181" s="38" t="s">
        <v>57</v>
      </c>
      <c r="CQ181" s="38" t="s">
        <v>57</v>
      </c>
      <c r="CR181" s="38" t="s">
        <v>57</v>
      </c>
      <c r="CS181" s="38" t="s">
        <v>57</v>
      </c>
      <c r="CT181" s="38" t="s">
        <v>57</v>
      </c>
      <c r="CU181" s="38" t="s">
        <v>57</v>
      </c>
      <c r="CV181" s="38" t="s">
        <v>57</v>
      </c>
      <c r="CW181" s="38" t="s">
        <v>57</v>
      </c>
      <c r="CX181" s="38" t="s">
        <v>57</v>
      </c>
    </row>
    <row r="182" spans="1:102" ht="12" customHeight="1">
      <c r="A182" s="51" t="s">
        <v>935</v>
      </c>
      <c r="B182" s="52" t="s">
        <v>2025</v>
      </c>
      <c r="C182" s="52"/>
      <c r="D182" s="52"/>
      <c r="E182" s="52"/>
      <c r="F182" s="52" t="s">
        <v>1445</v>
      </c>
      <c r="G182" s="52" t="s">
        <v>1445</v>
      </c>
      <c r="H182" s="52" t="s">
        <v>1445</v>
      </c>
      <c r="I182" s="52" t="s">
        <v>1445</v>
      </c>
      <c r="J182" s="52"/>
      <c r="K182" s="52"/>
      <c r="L182" s="52"/>
      <c r="M182" s="52" t="s">
        <v>1663</v>
      </c>
      <c r="N182" s="52" t="s">
        <v>1663</v>
      </c>
      <c r="O182" s="52" t="s">
        <v>1663</v>
      </c>
      <c r="P182" s="52" t="s">
        <v>1663</v>
      </c>
      <c r="Q182" s="52" t="s">
        <v>1663</v>
      </c>
      <c r="R182" s="52" t="s">
        <v>1663</v>
      </c>
      <c r="S182" s="52" t="s">
        <v>1663</v>
      </c>
      <c r="T182" s="52" t="s">
        <v>1663</v>
      </c>
      <c r="U182" s="52" t="s">
        <v>1663</v>
      </c>
      <c r="V182" s="52" t="s">
        <v>1663</v>
      </c>
      <c r="W182" s="52" t="s">
        <v>1663</v>
      </c>
      <c r="X182" s="52" t="s">
        <v>1663</v>
      </c>
      <c r="Y182" s="52" t="s">
        <v>1663</v>
      </c>
      <c r="Z182" s="52"/>
      <c r="AA182" s="52"/>
      <c r="AB182" s="52"/>
      <c r="AC182" s="52"/>
      <c r="AD182" s="52"/>
      <c r="AE182" s="123" t="s">
        <v>5687</v>
      </c>
      <c r="AF182" s="52" t="s">
        <v>4722</v>
      </c>
      <c r="AG182" s="52" t="s">
        <v>4722</v>
      </c>
      <c r="AH182" s="52" t="s">
        <v>4722</v>
      </c>
      <c r="AI182" s="52"/>
      <c r="AJ182" s="52"/>
      <c r="AK182" s="52" t="s">
        <v>1705</v>
      </c>
      <c r="AL182" s="52" t="s">
        <v>1705</v>
      </c>
      <c r="AM182" s="52"/>
      <c r="AN182" s="52" t="s">
        <v>1815</v>
      </c>
      <c r="AO182" s="52"/>
      <c r="AP182" s="52"/>
      <c r="AQ182" s="52" t="s">
        <v>1906</v>
      </c>
      <c r="AR182" s="52" t="s">
        <v>1906</v>
      </c>
      <c r="AS182" s="52" t="s">
        <v>1906</v>
      </c>
      <c r="AT182" s="52" t="s">
        <v>1906</v>
      </c>
      <c r="AU182" s="52"/>
      <c r="AV182" s="52"/>
      <c r="AW182" s="52" t="s">
        <v>3012</v>
      </c>
      <c r="AX182" s="52" t="s">
        <v>3012</v>
      </c>
      <c r="AY182" s="52" t="s">
        <v>3012</v>
      </c>
      <c r="AZ182" s="52"/>
      <c r="BA182" s="52" t="s">
        <v>2051</v>
      </c>
      <c r="BB182" s="52"/>
      <c r="BC182" s="52"/>
      <c r="BD182" s="52" t="s">
        <v>2051</v>
      </c>
      <c r="BE182" s="52"/>
      <c r="BF182" s="52" t="s">
        <v>2051</v>
      </c>
      <c r="BG182" s="52" t="s">
        <v>4067</v>
      </c>
      <c r="BH182" s="52"/>
      <c r="BI182" s="52"/>
      <c r="BJ182" s="52"/>
      <c r="BK182" s="52" t="s">
        <v>1367</v>
      </c>
      <c r="BL182" s="52" t="s">
        <v>1367</v>
      </c>
      <c r="BM182" s="52"/>
      <c r="BN182" s="52"/>
      <c r="BO182" s="52"/>
      <c r="BP182" s="52"/>
      <c r="BQ182" s="52"/>
      <c r="BR182" s="52"/>
      <c r="BS182" s="52"/>
      <c r="BT182" s="52" t="s">
        <v>3665</v>
      </c>
      <c r="BU182" s="52" t="s">
        <v>3621</v>
      </c>
      <c r="BV182" s="52" t="s">
        <v>3497</v>
      </c>
      <c r="BW182" s="52" t="s">
        <v>2475</v>
      </c>
      <c r="BX182" s="52" t="s">
        <v>2475</v>
      </c>
      <c r="BY182" s="52" t="s">
        <v>2475</v>
      </c>
      <c r="BZ182" s="52" t="s">
        <v>2025</v>
      </c>
      <c r="CA182" s="52"/>
      <c r="CB182" s="52"/>
      <c r="CC182" s="52"/>
      <c r="CD182" s="52" t="s">
        <v>2579</v>
      </c>
      <c r="CE182" s="52" t="s">
        <v>2579</v>
      </c>
      <c r="CF182" s="52"/>
      <c r="CG182" s="52" t="s">
        <v>1663</v>
      </c>
      <c r="CH182" s="52" t="s">
        <v>1663</v>
      </c>
      <c r="CI182" s="52" t="s">
        <v>4038</v>
      </c>
      <c r="CJ182" s="52" t="s">
        <v>4038</v>
      </c>
      <c r="CK182" s="52" t="s">
        <v>2709</v>
      </c>
      <c r="CL182" s="52"/>
      <c r="CM182" s="52"/>
      <c r="CN182" s="52"/>
      <c r="CO182" s="52" t="s">
        <v>2106</v>
      </c>
      <c r="CP182" s="52" t="s">
        <v>2832</v>
      </c>
      <c r="CQ182" s="52"/>
      <c r="CR182" s="52"/>
      <c r="CS182" s="52"/>
      <c r="CT182" s="52"/>
      <c r="CU182" s="52"/>
      <c r="CV182" s="52"/>
      <c r="CW182" s="52" t="s">
        <v>1197</v>
      </c>
      <c r="CX182" s="52"/>
    </row>
    <row r="183" spans="1:102" ht="22.5" customHeight="1">
      <c r="A183" s="12" t="s">
        <v>156</v>
      </c>
      <c r="B183" s="38" t="s">
        <v>0</v>
      </c>
      <c r="C183" s="38" t="s">
        <v>0</v>
      </c>
      <c r="D183" s="38" t="s">
        <v>0</v>
      </c>
      <c r="E183" s="38" t="s">
        <v>0</v>
      </c>
      <c r="F183" s="38" t="s">
        <v>0</v>
      </c>
      <c r="G183" s="38" t="s">
        <v>0</v>
      </c>
      <c r="H183" s="38" t="s">
        <v>0</v>
      </c>
      <c r="I183" s="38" t="s">
        <v>0</v>
      </c>
      <c r="J183" s="38" t="s">
        <v>57</v>
      </c>
      <c r="K183" s="38" t="s">
        <v>57</v>
      </c>
      <c r="L183" s="38" t="s">
        <v>57</v>
      </c>
      <c r="M183" s="38" t="s">
        <v>197</v>
      </c>
      <c r="N183" s="38" t="s">
        <v>197</v>
      </c>
      <c r="O183" s="38" t="s">
        <v>197</v>
      </c>
      <c r="P183" s="38" t="s">
        <v>197</v>
      </c>
      <c r="Q183" s="38" t="s">
        <v>197</v>
      </c>
      <c r="R183" s="38" t="s">
        <v>197</v>
      </c>
      <c r="S183" s="38" t="s">
        <v>197</v>
      </c>
      <c r="T183" s="38" t="s">
        <v>197</v>
      </c>
      <c r="U183" s="38" t="s">
        <v>197</v>
      </c>
      <c r="V183" s="38" t="s">
        <v>197</v>
      </c>
      <c r="W183" s="38" t="s">
        <v>57</v>
      </c>
      <c r="X183" s="38" t="s">
        <v>57</v>
      </c>
      <c r="Y183" s="38" t="s">
        <v>57</v>
      </c>
      <c r="Z183" s="38" t="s">
        <v>113</v>
      </c>
      <c r="AA183" s="38" t="s">
        <v>57</v>
      </c>
      <c r="AB183" s="38" t="s">
        <v>57</v>
      </c>
      <c r="AC183" s="38" t="s">
        <v>57</v>
      </c>
      <c r="AD183" s="38" t="s">
        <v>0</v>
      </c>
      <c r="AE183" s="124" t="s">
        <v>0</v>
      </c>
      <c r="AF183" s="38" t="s">
        <v>197</v>
      </c>
      <c r="AG183" s="38" t="s">
        <v>57</v>
      </c>
      <c r="AH183" s="36" t="s">
        <v>4723</v>
      </c>
      <c r="AI183" s="7" t="s">
        <v>0</v>
      </c>
      <c r="AJ183" s="33" t="s">
        <v>0</v>
      </c>
      <c r="AK183" s="7" t="s">
        <v>0</v>
      </c>
      <c r="AL183" s="34" t="s">
        <v>0</v>
      </c>
      <c r="AM183" s="34" t="s">
        <v>0</v>
      </c>
      <c r="AN183" s="34" t="s">
        <v>0</v>
      </c>
      <c r="AO183" s="7" t="s">
        <v>0</v>
      </c>
      <c r="AP183" s="34" t="s">
        <v>0</v>
      </c>
      <c r="AQ183" s="7" t="s">
        <v>0</v>
      </c>
      <c r="AR183" s="7" t="s">
        <v>0</v>
      </c>
      <c r="AS183" s="7" t="s">
        <v>0</v>
      </c>
      <c r="AT183" s="7" t="s">
        <v>0</v>
      </c>
      <c r="AU183" s="38" t="s">
        <v>0</v>
      </c>
      <c r="AV183" s="38" t="s">
        <v>0</v>
      </c>
      <c r="AW183" s="34" t="s">
        <v>0</v>
      </c>
      <c r="AX183" s="34" t="s">
        <v>0</v>
      </c>
      <c r="AY183" s="34" t="s">
        <v>197</v>
      </c>
      <c r="AZ183" s="38" t="s">
        <v>0</v>
      </c>
      <c r="BA183" s="38" t="s">
        <v>57</v>
      </c>
      <c r="BB183" s="38" t="s">
        <v>57</v>
      </c>
      <c r="BC183" s="38" t="s">
        <v>57</v>
      </c>
      <c r="BD183" s="38" t="s">
        <v>57</v>
      </c>
      <c r="BE183" s="38" t="s">
        <v>57</v>
      </c>
      <c r="BF183" s="38" t="s">
        <v>57</v>
      </c>
      <c r="BG183" s="38" t="s">
        <v>57</v>
      </c>
      <c r="BH183" s="38" t="s">
        <v>0</v>
      </c>
      <c r="BI183" s="38" t="s">
        <v>0</v>
      </c>
      <c r="BJ183" s="38" t="s">
        <v>0</v>
      </c>
      <c r="BK183" s="38" t="s">
        <v>0</v>
      </c>
      <c r="BL183" s="38" t="s">
        <v>57</v>
      </c>
      <c r="BM183" s="38" t="s">
        <v>57</v>
      </c>
      <c r="BN183" s="38" t="s">
        <v>0</v>
      </c>
      <c r="BO183" s="38" t="s">
        <v>57</v>
      </c>
      <c r="BP183" s="38" t="s">
        <v>0</v>
      </c>
      <c r="BQ183" s="38" t="s">
        <v>57</v>
      </c>
      <c r="BR183" s="38" t="s">
        <v>57</v>
      </c>
      <c r="BS183" s="36" t="s">
        <v>795</v>
      </c>
      <c r="BT183" s="36" t="s">
        <v>0</v>
      </c>
      <c r="BU183" s="36" t="s">
        <v>3623</v>
      </c>
      <c r="BV183" s="36" t="s">
        <v>795</v>
      </c>
      <c r="BW183" s="38" t="s">
        <v>0</v>
      </c>
      <c r="BX183" s="38" t="s">
        <v>0</v>
      </c>
      <c r="BY183" s="38" t="s">
        <v>0</v>
      </c>
      <c r="BZ183" s="38" t="s">
        <v>0</v>
      </c>
      <c r="CA183" s="38" t="s">
        <v>0</v>
      </c>
      <c r="CB183" s="38" t="s">
        <v>111</v>
      </c>
      <c r="CC183" s="38" t="s">
        <v>57</v>
      </c>
      <c r="CD183" s="38" t="s">
        <v>0</v>
      </c>
      <c r="CE183" s="38" t="s">
        <v>0</v>
      </c>
      <c r="CF183" s="38" t="s">
        <v>0</v>
      </c>
      <c r="CG183" s="38" t="s">
        <v>57</v>
      </c>
      <c r="CH183" s="38" t="s">
        <v>0</v>
      </c>
      <c r="CI183" s="38" t="s">
        <v>0</v>
      </c>
      <c r="CJ183" s="38" t="s">
        <v>0</v>
      </c>
      <c r="CK183" s="38" t="s">
        <v>0</v>
      </c>
      <c r="CL183" s="38" t="s">
        <v>0</v>
      </c>
      <c r="CM183" s="38" t="s">
        <v>0</v>
      </c>
      <c r="CN183" s="38" t="s">
        <v>0</v>
      </c>
      <c r="CO183" s="38" t="s">
        <v>0</v>
      </c>
      <c r="CP183" s="38" t="s">
        <v>0</v>
      </c>
      <c r="CQ183" s="38" t="s">
        <v>57</v>
      </c>
      <c r="CR183" s="38" t="s">
        <v>57</v>
      </c>
      <c r="CS183" s="38" t="s">
        <v>57</v>
      </c>
      <c r="CT183" s="38" t="s">
        <v>57</v>
      </c>
      <c r="CU183" s="38" t="s">
        <v>57</v>
      </c>
      <c r="CV183" s="38" t="s">
        <v>57</v>
      </c>
      <c r="CW183" s="38" t="s">
        <v>0</v>
      </c>
      <c r="CX183" s="38" t="s">
        <v>0</v>
      </c>
    </row>
    <row r="184" spans="1:102" ht="12" customHeight="1">
      <c r="A184" s="51" t="s">
        <v>935</v>
      </c>
      <c r="B184" s="52" t="s">
        <v>3977</v>
      </c>
      <c r="C184" s="52"/>
      <c r="D184" s="52"/>
      <c r="E184" s="52"/>
      <c r="F184" s="52" t="s">
        <v>1446</v>
      </c>
      <c r="G184" s="52" t="s">
        <v>1446</v>
      </c>
      <c r="H184" s="52" t="s">
        <v>1446</v>
      </c>
      <c r="I184" s="52" t="s">
        <v>1446</v>
      </c>
      <c r="J184" s="52"/>
      <c r="K184" s="52"/>
      <c r="L184" s="52"/>
      <c r="M184" s="52" t="s">
        <v>1503</v>
      </c>
      <c r="N184" s="52" t="s">
        <v>1599</v>
      </c>
      <c r="O184" s="52" t="s">
        <v>1545</v>
      </c>
      <c r="P184" s="52" t="s">
        <v>1505</v>
      </c>
      <c r="Q184" s="52" t="s">
        <v>3360</v>
      </c>
      <c r="R184" s="52" t="s">
        <v>1547</v>
      </c>
      <c r="S184" s="52" t="s">
        <v>1505</v>
      </c>
      <c r="T184" s="52" t="s">
        <v>3360</v>
      </c>
      <c r="U184" s="52" t="s">
        <v>1547</v>
      </c>
      <c r="V184" s="52" t="s">
        <v>5298</v>
      </c>
      <c r="W184" s="52" t="s">
        <v>1505</v>
      </c>
      <c r="X184" s="52" t="s">
        <v>1603</v>
      </c>
      <c r="Y184" s="52" t="s">
        <v>1548</v>
      </c>
      <c r="Z184" s="52"/>
      <c r="AA184" s="52"/>
      <c r="AB184" s="52"/>
      <c r="AC184" s="52"/>
      <c r="AD184" s="52"/>
      <c r="AE184" s="123" t="s">
        <v>0</v>
      </c>
      <c r="AF184" s="52" t="s">
        <v>4725</v>
      </c>
      <c r="AG184" s="52" t="s">
        <v>4725</v>
      </c>
      <c r="AH184" s="52" t="s">
        <v>4724</v>
      </c>
      <c r="AI184" s="52"/>
      <c r="AJ184" s="52"/>
      <c r="AK184" s="52" t="s">
        <v>1706</v>
      </c>
      <c r="AL184" s="52" t="s">
        <v>1706</v>
      </c>
      <c r="AM184" s="52"/>
      <c r="AN184" s="52" t="s">
        <v>1815</v>
      </c>
      <c r="AO184" s="52"/>
      <c r="AP184" s="52"/>
      <c r="AQ184" s="52" t="s">
        <v>1905</v>
      </c>
      <c r="AR184" s="52" t="s">
        <v>1905</v>
      </c>
      <c r="AS184" s="52" t="s">
        <v>1905</v>
      </c>
      <c r="AT184" s="52" t="s">
        <v>1905</v>
      </c>
      <c r="AU184" s="52"/>
      <c r="AV184" s="52"/>
      <c r="AW184" s="52" t="s">
        <v>3013</v>
      </c>
      <c r="AX184" s="52" t="s">
        <v>3013</v>
      </c>
      <c r="AY184" s="52" t="s">
        <v>2960</v>
      </c>
      <c r="AZ184" s="52"/>
      <c r="BA184" s="52" t="s">
        <v>4117</v>
      </c>
      <c r="BB184" s="52"/>
      <c r="BC184" s="52"/>
      <c r="BD184" s="52" t="s">
        <v>1981</v>
      </c>
      <c r="BE184" s="52"/>
      <c r="BF184" s="52" t="s">
        <v>1981</v>
      </c>
      <c r="BG184" s="52" t="s">
        <v>4067</v>
      </c>
      <c r="BH184" s="52"/>
      <c r="BI184" s="52"/>
      <c r="BJ184" s="52"/>
      <c r="BK184" s="52" t="s">
        <v>1344</v>
      </c>
      <c r="BL184" s="52" t="s">
        <v>1268</v>
      </c>
      <c r="BM184" s="52"/>
      <c r="BN184" s="52"/>
      <c r="BO184" s="52"/>
      <c r="BP184" s="52"/>
      <c r="BQ184" s="52"/>
      <c r="BR184" s="52"/>
      <c r="BS184" s="52"/>
      <c r="BT184" s="52" t="s">
        <v>3725</v>
      </c>
      <c r="BU184" s="52" t="s">
        <v>3622</v>
      </c>
      <c r="BV184" s="52" t="s">
        <v>3496</v>
      </c>
      <c r="BW184" s="52" t="s">
        <v>2476</v>
      </c>
      <c r="BX184" s="52" t="s">
        <v>2476</v>
      </c>
      <c r="BY184" s="52" t="s">
        <v>2476</v>
      </c>
      <c r="BZ184" s="52" t="s">
        <v>4038</v>
      </c>
      <c r="CA184" s="52"/>
      <c r="CB184" s="52"/>
      <c r="CC184" s="52"/>
      <c r="CD184" s="52" t="s">
        <v>2580</v>
      </c>
      <c r="CE184" s="52" t="s">
        <v>2580</v>
      </c>
      <c r="CF184" s="52"/>
      <c r="CG184" s="52" t="s">
        <v>2238</v>
      </c>
      <c r="CH184" s="52" t="s">
        <v>2279</v>
      </c>
      <c r="CI184" s="52" t="s">
        <v>4039</v>
      </c>
      <c r="CJ184" s="52" t="s">
        <v>4039</v>
      </c>
      <c r="CK184" s="52" t="s">
        <v>2704</v>
      </c>
      <c r="CL184" s="52"/>
      <c r="CM184" s="52"/>
      <c r="CN184" s="52"/>
      <c r="CO184" s="52" t="s">
        <v>2107</v>
      </c>
      <c r="CP184" s="52" t="s">
        <v>2834</v>
      </c>
      <c r="CQ184" s="52"/>
      <c r="CR184" s="52"/>
      <c r="CS184" s="52"/>
      <c r="CT184" s="52"/>
      <c r="CU184" s="52"/>
      <c r="CV184" s="52"/>
      <c r="CW184" s="52" t="s">
        <v>1212</v>
      </c>
      <c r="CX184" s="52"/>
    </row>
    <row r="185" spans="1:102" ht="22.5" customHeight="1">
      <c r="A185" s="12" t="s">
        <v>157</v>
      </c>
      <c r="B185" s="38" t="s">
        <v>0</v>
      </c>
      <c r="C185" s="38" t="s">
        <v>57</v>
      </c>
      <c r="D185" s="38" t="s">
        <v>0</v>
      </c>
      <c r="E185" s="38" t="s">
        <v>0</v>
      </c>
      <c r="F185" s="38" t="s">
        <v>0</v>
      </c>
      <c r="G185" s="38" t="s">
        <v>0</v>
      </c>
      <c r="H185" s="38" t="s">
        <v>0</v>
      </c>
      <c r="I185" s="38" t="s">
        <v>0</v>
      </c>
      <c r="J185" s="38" t="s">
        <v>0</v>
      </c>
      <c r="K185" s="38" t="s">
        <v>0</v>
      </c>
      <c r="L185" s="38" t="s">
        <v>0</v>
      </c>
      <c r="M185" s="38" t="s">
        <v>0</v>
      </c>
      <c r="N185" s="38" t="s">
        <v>0</v>
      </c>
      <c r="O185" s="38" t="s">
        <v>0</v>
      </c>
      <c r="P185" s="38" t="s">
        <v>0</v>
      </c>
      <c r="Q185" s="38" t="s">
        <v>0</v>
      </c>
      <c r="R185" s="38" t="s">
        <v>0</v>
      </c>
      <c r="S185" s="38" t="s">
        <v>0</v>
      </c>
      <c r="T185" s="38" t="s">
        <v>0</v>
      </c>
      <c r="U185" s="38" t="s">
        <v>0</v>
      </c>
      <c r="V185" s="38" t="s">
        <v>0</v>
      </c>
      <c r="W185" s="38" t="s">
        <v>0</v>
      </c>
      <c r="X185" s="38" t="s">
        <v>0</v>
      </c>
      <c r="Y185" s="38" t="s">
        <v>0</v>
      </c>
      <c r="Z185" s="38" t="s">
        <v>0</v>
      </c>
      <c r="AA185" s="38" t="s">
        <v>0</v>
      </c>
      <c r="AB185" s="38" t="s">
        <v>0</v>
      </c>
      <c r="AC185" s="38" t="s">
        <v>0</v>
      </c>
      <c r="AD185" s="38" t="s">
        <v>0</v>
      </c>
      <c r="AE185" s="124" t="s">
        <v>0</v>
      </c>
      <c r="AF185" s="36" t="s">
        <v>4726</v>
      </c>
      <c r="AG185" s="36" t="s">
        <v>4726</v>
      </c>
      <c r="AH185" s="38" t="s">
        <v>0</v>
      </c>
      <c r="AI185" s="7" t="s">
        <v>0</v>
      </c>
      <c r="AJ185" s="33" t="s">
        <v>0</v>
      </c>
      <c r="AK185" s="7" t="s">
        <v>0</v>
      </c>
      <c r="AL185" s="34" t="s">
        <v>0</v>
      </c>
      <c r="AM185" s="34" t="s">
        <v>57</v>
      </c>
      <c r="AN185" s="34" t="s">
        <v>0</v>
      </c>
      <c r="AO185" s="7" t="s">
        <v>0</v>
      </c>
      <c r="AP185" s="34" t="s">
        <v>0</v>
      </c>
      <c r="AQ185" s="7" t="s">
        <v>0</v>
      </c>
      <c r="AR185" s="7" t="s">
        <v>0</v>
      </c>
      <c r="AS185" s="7" t="s">
        <v>0</v>
      </c>
      <c r="AT185" s="7" t="s">
        <v>0</v>
      </c>
      <c r="AU185" s="38" t="s">
        <v>0</v>
      </c>
      <c r="AV185" s="38" t="s">
        <v>0</v>
      </c>
      <c r="AW185" s="34" t="s">
        <v>0</v>
      </c>
      <c r="AX185" s="34" t="s">
        <v>0</v>
      </c>
      <c r="AY185" s="34" t="s">
        <v>0</v>
      </c>
      <c r="AZ185" s="38" t="s">
        <v>0</v>
      </c>
      <c r="BA185" s="38" t="s">
        <v>0</v>
      </c>
      <c r="BB185" s="38" t="s">
        <v>0</v>
      </c>
      <c r="BC185" s="38" t="s">
        <v>0</v>
      </c>
      <c r="BD185" s="38" t="s">
        <v>0</v>
      </c>
      <c r="BE185" s="38" t="s">
        <v>0</v>
      </c>
      <c r="BF185" s="38" t="s">
        <v>0</v>
      </c>
      <c r="BG185" s="36" t="s">
        <v>4074</v>
      </c>
      <c r="BH185" s="38" t="s">
        <v>0</v>
      </c>
      <c r="BI185" s="38" t="s">
        <v>0</v>
      </c>
      <c r="BJ185" s="38" t="s">
        <v>0</v>
      </c>
      <c r="BK185" s="38" t="s">
        <v>0</v>
      </c>
      <c r="BL185" s="38" t="s">
        <v>0</v>
      </c>
      <c r="BM185" s="38" t="s">
        <v>0</v>
      </c>
      <c r="BN185" s="38" t="s">
        <v>57</v>
      </c>
      <c r="BO185" s="38" t="s">
        <v>57</v>
      </c>
      <c r="BP185" s="38" t="s">
        <v>57</v>
      </c>
      <c r="BQ185" s="38" t="s">
        <v>57</v>
      </c>
      <c r="BR185" s="38" t="s">
        <v>57</v>
      </c>
      <c r="BS185" s="38" t="s">
        <v>57</v>
      </c>
      <c r="BT185" s="36" t="s">
        <v>0</v>
      </c>
      <c r="BU185" s="36" t="s">
        <v>2708</v>
      </c>
      <c r="BV185" s="38" t="s">
        <v>57</v>
      </c>
      <c r="BW185" s="38" t="s">
        <v>0</v>
      </c>
      <c r="BX185" s="38" t="s">
        <v>0</v>
      </c>
      <c r="BY185" s="38" t="s">
        <v>0</v>
      </c>
      <c r="BZ185" s="36" t="s">
        <v>4621</v>
      </c>
      <c r="CA185" s="38" t="s">
        <v>0</v>
      </c>
      <c r="CB185" s="38" t="s">
        <v>0</v>
      </c>
      <c r="CC185" s="36" t="s">
        <v>744</v>
      </c>
      <c r="CD185" s="38" t="s">
        <v>0</v>
      </c>
      <c r="CE185" s="38" t="s">
        <v>0</v>
      </c>
      <c r="CF185" s="38" t="s">
        <v>0</v>
      </c>
      <c r="CG185" s="38" t="s">
        <v>0</v>
      </c>
      <c r="CH185" s="38" t="s">
        <v>0</v>
      </c>
      <c r="CI185" s="38" t="s">
        <v>4037</v>
      </c>
      <c r="CJ185" s="38" t="s">
        <v>4037</v>
      </c>
      <c r="CK185" s="36" t="s">
        <v>2708</v>
      </c>
      <c r="CL185" s="36" t="s">
        <v>0</v>
      </c>
      <c r="CM185" s="38" t="s">
        <v>0</v>
      </c>
      <c r="CN185" s="38" t="s">
        <v>636</v>
      </c>
      <c r="CO185" s="38" t="s">
        <v>0</v>
      </c>
      <c r="CP185" s="38" t="s">
        <v>57</v>
      </c>
      <c r="CQ185" s="36" t="s">
        <v>718</v>
      </c>
      <c r="CR185" s="36" t="s">
        <v>718</v>
      </c>
      <c r="CS185" s="38" t="s">
        <v>0</v>
      </c>
      <c r="CT185" s="38" t="s">
        <v>0</v>
      </c>
      <c r="CU185" s="38" t="s">
        <v>0</v>
      </c>
      <c r="CV185" s="38" t="s">
        <v>0</v>
      </c>
      <c r="CW185" s="38" t="s">
        <v>0</v>
      </c>
      <c r="CX185" s="38" t="s">
        <v>57</v>
      </c>
    </row>
    <row r="186" spans="1:102" ht="12" customHeight="1">
      <c r="A186" s="51" t="s">
        <v>935</v>
      </c>
      <c r="B186" s="52" t="s">
        <v>0</v>
      </c>
      <c r="C186" s="52"/>
      <c r="D186" s="52"/>
      <c r="E186" s="52"/>
      <c r="F186" s="52" t="s">
        <v>0</v>
      </c>
      <c r="G186" s="52" t="s">
        <v>0</v>
      </c>
      <c r="H186" s="52" t="s">
        <v>0</v>
      </c>
      <c r="I186" s="52" t="s">
        <v>0</v>
      </c>
      <c r="J186" s="52"/>
      <c r="K186" s="52"/>
      <c r="L186" s="52"/>
      <c r="M186" s="52" t="s">
        <v>0</v>
      </c>
      <c r="N186" s="52" t="s">
        <v>0</v>
      </c>
      <c r="O186" s="52" t="s">
        <v>0</v>
      </c>
      <c r="P186" s="52" t="s">
        <v>0</v>
      </c>
      <c r="Q186" s="52" t="s">
        <v>0</v>
      </c>
      <c r="R186" s="52" t="s">
        <v>0</v>
      </c>
      <c r="S186" s="52" t="s">
        <v>0</v>
      </c>
      <c r="T186" s="52" t="s">
        <v>0</v>
      </c>
      <c r="U186" s="52" t="s">
        <v>0</v>
      </c>
      <c r="V186" s="52" t="s">
        <v>0</v>
      </c>
      <c r="W186" s="52" t="s">
        <v>0</v>
      </c>
      <c r="X186" s="52" t="s">
        <v>0</v>
      </c>
      <c r="Y186" s="52" t="s">
        <v>0</v>
      </c>
      <c r="Z186" s="52"/>
      <c r="AA186" s="52"/>
      <c r="AB186" s="52"/>
      <c r="AC186" s="52"/>
      <c r="AD186" s="52"/>
      <c r="AE186" s="123" t="s">
        <v>0</v>
      </c>
      <c r="AF186" s="52" t="s">
        <v>4721</v>
      </c>
      <c r="AG186" s="52" t="s">
        <v>4721</v>
      </c>
      <c r="AH186" s="52" t="s">
        <v>0</v>
      </c>
      <c r="AI186" s="52"/>
      <c r="AJ186" s="52"/>
      <c r="AK186" s="52" t="s">
        <v>0</v>
      </c>
      <c r="AL186" s="52" t="s">
        <v>0</v>
      </c>
      <c r="AM186" s="52"/>
      <c r="AN186" s="52" t="s">
        <v>0</v>
      </c>
      <c r="AO186" s="52"/>
      <c r="AP186" s="52"/>
      <c r="AQ186" s="52" t="s">
        <v>0</v>
      </c>
      <c r="AR186" s="52" t="s">
        <v>0</v>
      </c>
      <c r="AS186" s="52" t="s">
        <v>0</v>
      </c>
      <c r="AT186" s="52" t="s">
        <v>0</v>
      </c>
      <c r="AU186" s="52"/>
      <c r="AV186" s="52"/>
      <c r="AW186" s="52" t="s">
        <v>0</v>
      </c>
      <c r="AX186" s="52" t="s">
        <v>0</v>
      </c>
      <c r="AY186" s="52" t="s">
        <v>0</v>
      </c>
      <c r="AZ186" s="52"/>
      <c r="BA186" s="52" t="s">
        <v>0</v>
      </c>
      <c r="BB186" s="52"/>
      <c r="BC186" s="52"/>
      <c r="BD186" s="52" t="s">
        <v>0</v>
      </c>
      <c r="BE186" s="52"/>
      <c r="BF186" s="52" t="s">
        <v>0</v>
      </c>
      <c r="BG186" s="52" t="s">
        <v>4073</v>
      </c>
      <c r="BH186" s="52"/>
      <c r="BI186" s="52"/>
      <c r="BJ186" s="52"/>
      <c r="BK186" s="52" t="s">
        <v>0</v>
      </c>
      <c r="BL186" s="52" t="s">
        <v>0</v>
      </c>
      <c r="BM186" s="52"/>
      <c r="BN186" s="52"/>
      <c r="BO186" s="52"/>
      <c r="BP186" s="52"/>
      <c r="BQ186" s="52"/>
      <c r="BR186" s="52"/>
      <c r="BS186" s="52"/>
      <c r="BT186" s="52" t="s">
        <v>0</v>
      </c>
      <c r="BU186" s="52" t="s">
        <v>3625</v>
      </c>
      <c r="BV186" s="52" t="s">
        <v>3481</v>
      </c>
      <c r="BW186" s="52" t="s">
        <v>0</v>
      </c>
      <c r="BX186" s="52" t="s">
        <v>0</v>
      </c>
      <c r="BY186" s="52" t="s">
        <v>0</v>
      </c>
      <c r="BZ186" s="52" t="s">
        <v>4036</v>
      </c>
      <c r="CA186" s="52"/>
      <c r="CB186" s="52"/>
      <c r="CC186" s="52"/>
      <c r="CD186" s="52" t="s">
        <v>0</v>
      </c>
      <c r="CE186" s="52" t="s">
        <v>0</v>
      </c>
      <c r="CF186" s="52"/>
      <c r="CG186" s="52" t="s">
        <v>0</v>
      </c>
      <c r="CH186" s="52" t="s">
        <v>0</v>
      </c>
      <c r="CI186" s="52" t="s">
        <v>4036</v>
      </c>
      <c r="CJ186" s="52" t="s">
        <v>4036</v>
      </c>
      <c r="CK186" s="52" t="s">
        <v>1894</v>
      </c>
      <c r="CL186" s="52"/>
      <c r="CM186" s="52"/>
      <c r="CN186" s="52"/>
      <c r="CO186" s="52" t="s">
        <v>0</v>
      </c>
      <c r="CP186" s="52" t="s">
        <v>2835</v>
      </c>
      <c r="CQ186" s="52"/>
      <c r="CR186" s="52"/>
      <c r="CS186" s="52"/>
      <c r="CT186" s="52"/>
      <c r="CU186" s="52"/>
      <c r="CV186" s="52"/>
      <c r="CW186" s="52" t="s">
        <v>0</v>
      </c>
      <c r="CX186" s="52"/>
    </row>
    <row r="187" spans="1:102" ht="48" customHeight="1">
      <c r="A187" s="12" t="s">
        <v>3</v>
      </c>
      <c r="B187" s="36" t="s">
        <v>3969</v>
      </c>
      <c r="C187" s="38" t="s">
        <v>57</v>
      </c>
      <c r="D187" s="38" t="s">
        <v>56</v>
      </c>
      <c r="E187" s="36" t="s">
        <v>245</v>
      </c>
      <c r="F187" s="38" t="s">
        <v>56</v>
      </c>
      <c r="G187" s="36" t="s">
        <v>245</v>
      </c>
      <c r="H187" s="38" t="s">
        <v>56</v>
      </c>
      <c r="I187" s="36" t="s">
        <v>245</v>
      </c>
      <c r="J187" s="38" t="s">
        <v>56</v>
      </c>
      <c r="K187" s="36" t="s">
        <v>785</v>
      </c>
      <c r="L187" s="38" t="s">
        <v>56</v>
      </c>
      <c r="M187" s="36" t="s">
        <v>3347</v>
      </c>
      <c r="N187" s="36" t="s">
        <v>1495</v>
      </c>
      <c r="O187" s="36" t="s">
        <v>1495</v>
      </c>
      <c r="P187" s="36" t="s">
        <v>3346</v>
      </c>
      <c r="Q187" s="36" t="s">
        <v>3319</v>
      </c>
      <c r="R187" s="36" t="s">
        <v>3319</v>
      </c>
      <c r="S187" s="36" t="s">
        <v>5240</v>
      </c>
      <c r="T187" s="36" t="s">
        <v>5240</v>
      </c>
      <c r="U187" s="36" t="s">
        <v>5240</v>
      </c>
      <c r="V187" s="36" t="s">
        <v>5881</v>
      </c>
      <c r="W187" s="36" t="s">
        <v>5881</v>
      </c>
      <c r="X187" s="36" t="s">
        <v>5882</v>
      </c>
      <c r="Y187" s="36" t="s">
        <v>5883</v>
      </c>
      <c r="Z187" s="38" t="s">
        <v>56</v>
      </c>
      <c r="AA187" s="36" t="s">
        <v>3270</v>
      </c>
      <c r="AB187" s="36" t="s">
        <v>3270</v>
      </c>
      <c r="AC187" s="36" t="s">
        <v>3270</v>
      </c>
      <c r="AD187" s="36" t="s">
        <v>378</v>
      </c>
      <c r="AE187" s="122" t="s">
        <v>5688</v>
      </c>
      <c r="AF187" s="36" t="s">
        <v>4728</v>
      </c>
      <c r="AG187" s="36" t="s">
        <v>4800</v>
      </c>
      <c r="AH187" s="36" t="s">
        <v>4727</v>
      </c>
      <c r="AI187" s="7" t="s">
        <v>430</v>
      </c>
      <c r="AJ187" s="7" t="s">
        <v>430</v>
      </c>
      <c r="AK187" s="7" t="s">
        <v>430</v>
      </c>
      <c r="AL187" s="7" t="s">
        <v>430</v>
      </c>
      <c r="AM187" s="7" t="s">
        <v>459</v>
      </c>
      <c r="AN187" s="7" t="s">
        <v>1817</v>
      </c>
      <c r="AO187" s="7" t="s">
        <v>0</v>
      </c>
      <c r="AP187" s="32" t="s">
        <v>59</v>
      </c>
      <c r="AQ187" s="7" t="s">
        <v>0</v>
      </c>
      <c r="AR187" s="37" t="s">
        <v>1868</v>
      </c>
      <c r="AS187" s="7" t="s">
        <v>0</v>
      </c>
      <c r="AT187" s="37" t="s">
        <v>1868</v>
      </c>
      <c r="AU187" s="36" t="s">
        <v>794</v>
      </c>
      <c r="AV187" s="36" t="s">
        <v>364</v>
      </c>
      <c r="AW187" s="37" t="s">
        <v>430</v>
      </c>
      <c r="AX187" s="37" t="s">
        <v>430</v>
      </c>
      <c r="AY187" s="37" t="s">
        <v>2908</v>
      </c>
      <c r="AZ187" s="36" t="s">
        <v>430</v>
      </c>
      <c r="BA187" s="36" t="s">
        <v>4118</v>
      </c>
      <c r="BB187" s="36" t="s">
        <v>59</v>
      </c>
      <c r="BC187" s="36" t="s">
        <v>59</v>
      </c>
      <c r="BD187" s="36" t="s">
        <v>59</v>
      </c>
      <c r="BE187" s="38" t="s">
        <v>56</v>
      </c>
      <c r="BF187" s="38" t="s">
        <v>56</v>
      </c>
      <c r="BG187" s="36" t="s">
        <v>4081</v>
      </c>
      <c r="BH187" s="36" t="s">
        <v>56</v>
      </c>
      <c r="BI187" s="36" t="s">
        <v>878</v>
      </c>
      <c r="BJ187" s="36" t="s">
        <v>878</v>
      </c>
      <c r="BK187" s="36" t="s">
        <v>430</v>
      </c>
      <c r="BL187" s="36" t="s">
        <v>430</v>
      </c>
      <c r="BM187" s="38" t="s">
        <v>56</v>
      </c>
      <c r="BN187" s="36" t="s">
        <v>60</v>
      </c>
      <c r="BO187" s="36" t="s">
        <v>60</v>
      </c>
      <c r="BP187" s="36" t="s">
        <v>59</v>
      </c>
      <c r="BQ187" s="36" t="s">
        <v>59</v>
      </c>
      <c r="BR187" s="36" t="s">
        <v>228</v>
      </c>
      <c r="BS187" s="36" t="s">
        <v>599</v>
      </c>
      <c r="BT187" s="36" t="s">
        <v>0</v>
      </c>
      <c r="BU187" s="36" t="s">
        <v>2171</v>
      </c>
      <c r="BV187" s="36" t="s">
        <v>599</v>
      </c>
      <c r="BW187" s="36" t="s">
        <v>2439</v>
      </c>
      <c r="BX187" s="36" t="s">
        <v>2439</v>
      </c>
      <c r="BY187" s="36" t="s">
        <v>2439</v>
      </c>
      <c r="BZ187" s="36" t="s">
        <v>4588</v>
      </c>
      <c r="CA187" s="36" t="s">
        <v>325</v>
      </c>
      <c r="CB187" s="36" t="s">
        <v>326</v>
      </c>
      <c r="CC187" s="36" t="s">
        <v>728</v>
      </c>
      <c r="CD187" s="36" t="s">
        <v>2561</v>
      </c>
      <c r="CE187" s="36" t="s">
        <v>2560</v>
      </c>
      <c r="CF187" s="36" t="s">
        <v>515</v>
      </c>
      <c r="CG187" s="36" t="s">
        <v>2232</v>
      </c>
      <c r="CH187" s="36" t="s">
        <v>2278</v>
      </c>
      <c r="CI187" s="38" t="s">
        <v>56</v>
      </c>
      <c r="CJ187" s="38" t="s">
        <v>56</v>
      </c>
      <c r="CK187" s="36" t="s">
        <v>2630</v>
      </c>
      <c r="CL187" s="38" t="s">
        <v>56</v>
      </c>
      <c r="CM187" s="38" t="s">
        <v>56</v>
      </c>
      <c r="CN187" s="36" t="s">
        <v>430</v>
      </c>
      <c r="CO187" s="36" t="s">
        <v>430</v>
      </c>
      <c r="CP187" s="36" t="s">
        <v>2898</v>
      </c>
      <c r="CQ187" s="38" t="s">
        <v>56</v>
      </c>
      <c r="CR187" s="36" t="s">
        <v>717</v>
      </c>
      <c r="CS187" s="38" t="s">
        <v>56</v>
      </c>
      <c r="CT187" s="36" t="s">
        <v>668</v>
      </c>
      <c r="CU187" s="38" t="s">
        <v>56</v>
      </c>
      <c r="CV187" s="36" t="s">
        <v>854</v>
      </c>
      <c r="CW187" s="36" t="s">
        <v>1154</v>
      </c>
      <c r="CX187" s="36" t="s">
        <v>827</v>
      </c>
    </row>
    <row r="188" spans="1:102" ht="12" customHeight="1">
      <c r="A188" s="51" t="s">
        <v>935</v>
      </c>
      <c r="B188" s="52" t="s">
        <v>3968</v>
      </c>
      <c r="C188" s="52"/>
      <c r="D188" s="52"/>
      <c r="E188" s="52"/>
      <c r="F188" s="52" t="s">
        <v>0</v>
      </c>
      <c r="G188" s="52" t="s">
        <v>1413</v>
      </c>
      <c r="H188" s="52" t="s">
        <v>0</v>
      </c>
      <c r="I188" s="52" t="s">
        <v>1413</v>
      </c>
      <c r="J188" s="52"/>
      <c r="K188" s="52"/>
      <c r="L188" s="52"/>
      <c r="M188" s="52" t="s">
        <v>1494</v>
      </c>
      <c r="N188" s="52" t="s">
        <v>1580</v>
      </c>
      <c r="O188" s="52" t="s">
        <v>1579</v>
      </c>
      <c r="P188" s="52" t="s">
        <v>3318</v>
      </c>
      <c r="Q188" s="52" t="s">
        <v>3348</v>
      </c>
      <c r="R188" s="52" t="s">
        <v>3405</v>
      </c>
      <c r="S188" s="52" t="s">
        <v>5241</v>
      </c>
      <c r="T188" s="52" t="s">
        <v>5242</v>
      </c>
      <c r="U188" s="52" t="s">
        <v>5243</v>
      </c>
      <c r="V188" s="52" t="s">
        <v>5884</v>
      </c>
      <c r="W188" s="52" t="s">
        <v>3318</v>
      </c>
      <c r="X188" s="52" t="s">
        <v>5242</v>
      </c>
      <c r="Y188" s="52" t="s">
        <v>5243</v>
      </c>
      <c r="Z188" s="52"/>
      <c r="AA188" s="52"/>
      <c r="AB188" s="52"/>
      <c r="AC188" s="52"/>
      <c r="AD188" s="52"/>
      <c r="AE188" s="123" t="s">
        <v>5689</v>
      </c>
      <c r="AF188" s="52" t="s">
        <v>4730</v>
      </c>
      <c r="AG188" s="52" t="s">
        <v>4731</v>
      </c>
      <c r="AH188" s="52" t="s">
        <v>4729</v>
      </c>
      <c r="AI188" s="52"/>
      <c r="AJ188" s="52"/>
      <c r="AK188" s="52" t="s">
        <v>1693</v>
      </c>
      <c r="AL188" s="52" t="s">
        <v>1693</v>
      </c>
      <c r="AM188" s="52"/>
      <c r="AN188" s="52" t="s">
        <v>1816</v>
      </c>
      <c r="AO188" s="52"/>
      <c r="AP188" s="52"/>
      <c r="AQ188" s="52" t="s">
        <v>0</v>
      </c>
      <c r="AR188" s="52" t="s">
        <v>1867</v>
      </c>
      <c r="AS188" s="52" t="s">
        <v>0</v>
      </c>
      <c r="AT188" s="52" t="s">
        <v>1867</v>
      </c>
      <c r="AU188" s="52"/>
      <c r="AV188" s="52"/>
      <c r="AW188" s="52" t="s">
        <v>2972</v>
      </c>
      <c r="AX188" s="52" t="s">
        <v>2972</v>
      </c>
      <c r="AY188" s="52" t="s">
        <v>2972</v>
      </c>
      <c r="AZ188" s="52"/>
      <c r="BA188" s="52" t="s">
        <v>4119</v>
      </c>
      <c r="BB188" s="52"/>
      <c r="BC188" s="52"/>
      <c r="BD188" s="52" t="s">
        <v>1960</v>
      </c>
      <c r="BE188" s="52"/>
      <c r="BF188" s="52" t="s">
        <v>1442</v>
      </c>
      <c r="BG188" s="52" t="s">
        <v>4083</v>
      </c>
      <c r="BH188" s="52"/>
      <c r="BI188" s="52"/>
      <c r="BJ188" s="52"/>
      <c r="BK188" s="52" t="s">
        <v>1365</v>
      </c>
      <c r="BL188" s="52" t="s">
        <v>1365</v>
      </c>
      <c r="BM188" s="52"/>
      <c r="BN188" s="52"/>
      <c r="BO188" s="52"/>
      <c r="BP188" s="52"/>
      <c r="BQ188" s="52"/>
      <c r="BR188" s="52"/>
      <c r="BS188" s="52"/>
      <c r="BT188" s="52" t="s">
        <v>0</v>
      </c>
      <c r="BU188" s="52" t="s">
        <v>3578</v>
      </c>
      <c r="BV188" s="52" t="s">
        <v>3482</v>
      </c>
      <c r="BW188" s="52" t="s">
        <v>2440</v>
      </c>
      <c r="BX188" s="52" t="s">
        <v>2440</v>
      </c>
      <c r="BY188" s="52" t="s">
        <v>2440</v>
      </c>
      <c r="BZ188" s="52" t="s">
        <v>3275</v>
      </c>
      <c r="CA188" s="52"/>
      <c r="CB188" s="52"/>
      <c r="CC188" s="52"/>
      <c r="CD188" s="52" t="s">
        <v>2556</v>
      </c>
      <c r="CE188" s="52" t="s">
        <v>2556</v>
      </c>
      <c r="CF188" s="52"/>
      <c r="CG188" s="52" t="s">
        <v>2231</v>
      </c>
      <c r="CH188" s="52" t="s">
        <v>2277</v>
      </c>
      <c r="CI188" s="52" t="s">
        <v>4040</v>
      </c>
      <c r="CJ188" s="52" t="s">
        <v>4040</v>
      </c>
      <c r="CK188" s="52" t="s">
        <v>2682</v>
      </c>
      <c r="CL188" s="52"/>
      <c r="CM188" s="52"/>
      <c r="CN188" s="52"/>
      <c r="CO188" s="52" t="s">
        <v>2067</v>
      </c>
      <c r="CP188" s="52" t="s">
        <v>2838</v>
      </c>
      <c r="CQ188" s="52"/>
      <c r="CR188" s="52"/>
      <c r="CS188" s="52"/>
      <c r="CT188" s="52"/>
      <c r="CU188" s="52"/>
      <c r="CV188" s="52"/>
      <c r="CW188" s="52" t="s">
        <v>1153</v>
      </c>
      <c r="CX188" s="52"/>
    </row>
    <row r="189" spans="1:102" ht="22.5" customHeight="1">
      <c r="A189" s="12" t="s">
        <v>8</v>
      </c>
      <c r="B189" s="36" t="s">
        <v>0</v>
      </c>
      <c r="C189" s="38" t="s">
        <v>57</v>
      </c>
      <c r="D189" s="38" t="s">
        <v>0</v>
      </c>
      <c r="E189" s="38" t="s">
        <v>210</v>
      </c>
      <c r="F189" s="38" t="s">
        <v>0</v>
      </c>
      <c r="G189" s="38" t="s">
        <v>210</v>
      </c>
      <c r="H189" s="38" t="s">
        <v>5512</v>
      </c>
      <c r="I189" s="38" t="s">
        <v>210</v>
      </c>
      <c r="J189" s="36" t="s">
        <v>504</v>
      </c>
      <c r="K189" s="38" t="s">
        <v>57</v>
      </c>
      <c r="L189" s="36" t="s">
        <v>159</v>
      </c>
      <c r="M189" s="36" t="s">
        <v>504</v>
      </c>
      <c r="N189" s="38" t="s">
        <v>57</v>
      </c>
      <c r="O189" s="36" t="s">
        <v>159</v>
      </c>
      <c r="P189" s="36" t="s">
        <v>504</v>
      </c>
      <c r="Q189" s="38" t="s">
        <v>57</v>
      </c>
      <c r="R189" s="36" t="s">
        <v>159</v>
      </c>
      <c r="S189" s="36" t="s">
        <v>504</v>
      </c>
      <c r="T189" s="38" t="s">
        <v>57</v>
      </c>
      <c r="U189" s="36" t="s">
        <v>159</v>
      </c>
      <c r="V189" s="36" t="s">
        <v>314</v>
      </c>
      <c r="W189" s="38" t="s">
        <v>57</v>
      </c>
      <c r="X189" s="38" t="s">
        <v>57</v>
      </c>
      <c r="Y189" s="36" t="s">
        <v>57</v>
      </c>
      <c r="Z189" s="36" t="s">
        <v>111</v>
      </c>
      <c r="AA189" s="38" t="s">
        <v>197</v>
      </c>
      <c r="AB189" s="38" t="s">
        <v>18</v>
      </c>
      <c r="AC189" s="38" t="s">
        <v>18</v>
      </c>
      <c r="AD189" s="36" t="s">
        <v>379</v>
      </c>
      <c r="AE189" s="124" t="s">
        <v>0</v>
      </c>
      <c r="AF189" s="36" t="s">
        <v>210</v>
      </c>
      <c r="AG189" s="38" t="s">
        <v>57</v>
      </c>
      <c r="AH189" s="36" t="s">
        <v>4732</v>
      </c>
      <c r="AI189" s="7" t="s">
        <v>431</v>
      </c>
      <c r="AJ189" s="7" t="s">
        <v>431</v>
      </c>
      <c r="AK189" s="7" t="s">
        <v>432</v>
      </c>
      <c r="AL189" s="7" t="s">
        <v>432</v>
      </c>
      <c r="AM189" s="7" t="s">
        <v>111</v>
      </c>
      <c r="AN189" s="7" t="s">
        <v>111</v>
      </c>
      <c r="AO189" s="7" t="s">
        <v>0</v>
      </c>
      <c r="AP189" s="33" t="s">
        <v>159</v>
      </c>
      <c r="AQ189" s="7" t="s">
        <v>0</v>
      </c>
      <c r="AR189" s="34" t="s">
        <v>159</v>
      </c>
      <c r="AS189" s="7" t="s">
        <v>0</v>
      </c>
      <c r="AT189" s="34" t="s">
        <v>159</v>
      </c>
      <c r="AU189" s="36" t="s">
        <v>56</v>
      </c>
      <c r="AV189" s="36" t="s">
        <v>365</v>
      </c>
      <c r="AW189" s="34" t="s">
        <v>0</v>
      </c>
      <c r="AX189" s="37" t="s">
        <v>2974</v>
      </c>
      <c r="AY189" s="37" t="s">
        <v>2918</v>
      </c>
      <c r="AZ189" s="36" t="s">
        <v>892</v>
      </c>
      <c r="BA189" s="36" t="s">
        <v>4127</v>
      </c>
      <c r="BB189" s="36" t="s">
        <v>159</v>
      </c>
      <c r="BC189" s="36" t="s">
        <v>159</v>
      </c>
      <c r="BD189" s="36" t="s">
        <v>159</v>
      </c>
      <c r="BE189" s="38" t="s">
        <v>56</v>
      </c>
      <c r="BF189" s="38" t="s">
        <v>56</v>
      </c>
      <c r="BG189" s="38" t="s">
        <v>0</v>
      </c>
      <c r="BH189" s="36" t="s">
        <v>3202</v>
      </c>
      <c r="BI189" s="36" t="s">
        <v>870</v>
      </c>
      <c r="BJ189" s="36" t="s">
        <v>870</v>
      </c>
      <c r="BK189" s="36" t="s">
        <v>366</v>
      </c>
      <c r="BL189" s="36" t="s">
        <v>366</v>
      </c>
      <c r="BM189" s="38" t="s">
        <v>0</v>
      </c>
      <c r="BN189" s="38" t="s">
        <v>61</v>
      </c>
      <c r="BO189" s="36" t="s">
        <v>111</v>
      </c>
      <c r="BP189" s="38" t="s">
        <v>61</v>
      </c>
      <c r="BQ189" s="36" t="s">
        <v>111</v>
      </c>
      <c r="BR189" s="38" t="s">
        <v>57</v>
      </c>
      <c r="BS189" s="38" t="s">
        <v>208</v>
      </c>
      <c r="BT189" s="36" t="s">
        <v>0</v>
      </c>
      <c r="BU189" s="36" t="s">
        <v>3651</v>
      </c>
      <c r="BV189" s="38" t="s">
        <v>57</v>
      </c>
      <c r="BW189" s="36" t="s">
        <v>2447</v>
      </c>
      <c r="BX189" s="36" t="s">
        <v>2447</v>
      </c>
      <c r="BY189" s="36" t="s">
        <v>0</v>
      </c>
      <c r="BZ189" s="36" t="s">
        <v>4592</v>
      </c>
      <c r="CA189" s="36" t="s">
        <v>0</v>
      </c>
      <c r="CB189" s="36" t="s">
        <v>111</v>
      </c>
      <c r="CC189" s="36" t="s">
        <v>57</v>
      </c>
      <c r="CD189" s="38" t="s">
        <v>111</v>
      </c>
      <c r="CE189" s="38" t="s">
        <v>210</v>
      </c>
      <c r="CF189" s="38" t="s">
        <v>6</v>
      </c>
      <c r="CG189" s="36" t="s">
        <v>18</v>
      </c>
      <c r="CH189" s="36" t="s">
        <v>18</v>
      </c>
      <c r="CI189" s="38" t="s">
        <v>0</v>
      </c>
      <c r="CJ189" s="38" t="s">
        <v>350</v>
      </c>
      <c r="CK189" s="38" t="s">
        <v>350</v>
      </c>
      <c r="CL189" s="38" t="s">
        <v>223</v>
      </c>
      <c r="CM189" s="38" t="s">
        <v>0</v>
      </c>
      <c r="CN189" s="38" t="s">
        <v>6</v>
      </c>
      <c r="CO189" s="38" t="s">
        <v>6</v>
      </c>
      <c r="CP189" s="38" t="s">
        <v>6</v>
      </c>
      <c r="CQ189" s="38" t="s">
        <v>17</v>
      </c>
      <c r="CR189" s="38" t="s">
        <v>26</v>
      </c>
      <c r="CS189" s="38" t="s">
        <v>17</v>
      </c>
      <c r="CT189" s="38" t="s">
        <v>17</v>
      </c>
      <c r="CU189" s="38" t="s">
        <v>17</v>
      </c>
      <c r="CV189" s="38" t="s">
        <v>17</v>
      </c>
      <c r="CW189" s="36" t="s">
        <v>111</v>
      </c>
      <c r="CX189" s="36" t="s">
        <v>834</v>
      </c>
    </row>
    <row r="190" spans="1:102" ht="12" customHeight="1">
      <c r="A190" s="51" t="s">
        <v>935</v>
      </c>
      <c r="B190" s="52" t="s">
        <v>0</v>
      </c>
      <c r="C190" s="52"/>
      <c r="D190" s="52"/>
      <c r="E190" s="52"/>
      <c r="F190" s="52" t="s">
        <v>0</v>
      </c>
      <c r="G190" s="52" t="s">
        <v>1413</v>
      </c>
      <c r="H190" s="52" t="s">
        <v>1413</v>
      </c>
      <c r="I190" s="52" t="s">
        <v>1413</v>
      </c>
      <c r="J190" s="52"/>
      <c r="K190" s="52"/>
      <c r="L190" s="52"/>
      <c r="M190" s="52" t="s">
        <v>1498</v>
      </c>
      <c r="N190" s="52" t="s">
        <v>1588</v>
      </c>
      <c r="O190" s="52" t="s">
        <v>1540</v>
      </c>
      <c r="P190" s="52" t="s">
        <v>3322</v>
      </c>
      <c r="Q190" s="52" t="s">
        <v>1589</v>
      </c>
      <c r="R190" s="52" t="s">
        <v>1541</v>
      </c>
      <c r="S190" s="52" t="s">
        <v>3322</v>
      </c>
      <c r="T190" s="52" t="s">
        <v>1589</v>
      </c>
      <c r="U190" s="52" t="s">
        <v>1541</v>
      </c>
      <c r="V190" s="52" t="s">
        <v>5296</v>
      </c>
      <c r="W190" s="52" t="s">
        <v>3322</v>
      </c>
      <c r="X190" s="52" t="s">
        <v>1589</v>
      </c>
      <c r="Y190" s="52" t="s">
        <v>1541</v>
      </c>
      <c r="Z190" s="52"/>
      <c r="AA190" s="52"/>
      <c r="AB190" s="52"/>
      <c r="AC190" s="52"/>
      <c r="AD190" s="52"/>
      <c r="AE190" s="123" t="s">
        <v>0</v>
      </c>
      <c r="AF190" s="52" t="s">
        <v>4733</v>
      </c>
      <c r="AG190" s="52" t="s">
        <v>4734</v>
      </c>
      <c r="AH190" s="52" t="s">
        <v>0</v>
      </c>
      <c r="AI190" s="52"/>
      <c r="AJ190" s="52"/>
      <c r="AK190" s="52" t="s">
        <v>1707</v>
      </c>
      <c r="AL190" s="52" t="s">
        <v>1707</v>
      </c>
      <c r="AM190" s="52"/>
      <c r="AN190" s="52" t="s">
        <v>1816</v>
      </c>
      <c r="AO190" s="52"/>
      <c r="AP190" s="52"/>
      <c r="AQ190" s="52" t="s">
        <v>0</v>
      </c>
      <c r="AR190" s="52" t="s">
        <v>1864</v>
      </c>
      <c r="AS190" s="52" t="s">
        <v>0</v>
      </c>
      <c r="AT190" s="52" t="s">
        <v>1864</v>
      </c>
      <c r="AU190" s="52"/>
      <c r="AV190" s="52"/>
      <c r="AW190" s="52" t="s">
        <v>0</v>
      </c>
      <c r="AX190" s="52" t="s">
        <v>2919</v>
      </c>
      <c r="AY190" s="52" t="s">
        <v>2919</v>
      </c>
      <c r="AZ190" s="52"/>
      <c r="BA190" s="52" t="s">
        <v>4117</v>
      </c>
      <c r="BB190" s="52"/>
      <c r="BC190" s="52"/>
      <c r="BD190" s="52" t="s">
        <v>1960</v>
      </c>
      <c r="BE190" s="52"/>
      <c r="BF190" s="52" t="s">
        <v>1442</v>
      </c>
      <c r="BG190" s="52" t="s">
        <v>0</v>
      </c>
      <c r="BH190" s="52" t="s">
        <v>3192</v>
      </c>
      <c r="BI190" s="52"/>
      <c r="BJ190" s="52"/>
      <c r="BK190" s="52" t="s">
        <v>1324</v>
      </c>
      <c r="BL190" s="52" t="s">
        <v>1324</v>
      </c>
      <c r="BM190" s="52"/>
      <c r="BN190" s="52"/>
      <c r="BO190" s="52" t="s">
        <v>4575</v>
      </c>
      <c r="BP190" s="52"/>
      <c r="BQ190" s="52" t="s">
        <v>4575</v>
      </c>
      <c r="BR190" s="52"/>
      <c r="BS190" s="52"/>
      <c r="BT190" s="52" t="s">
        <v>0</v>
      </c>
      <c r="BU190" s="52" t="s">
        <v>3652</v>
      </c>
      <c r="BV190" s="52" t="s">
        <v>3503</v>
      </c>
      <c r="BW190" s="52" t="s">
        <v>2446</v>
      </c>
      <c r="BX190" s="52" t="s">
        <v>2446</v>
      </c>
      <c r="BY190" s="52" t="s">
        <v>2446</v>
      </c>
      <c r="BZ190" s="52" t="s">
        <v>4593</v>
      </c>
      <c r="CA190" s="52"/>
      <c r="CB190" s="52"/>
      <c r="CC190" s="52"/>
      <c r="CD190" s="52" t="s">
        <v>2556</v>
      </c>
      <c r="CE190" s="52" t="s">
        <v>2547</v>
      </c>
      <c r="CF190" s="52"/>
      <c r="CG190" s="52" t="s">
        <v>2259</v>
      </c>
      <c r="CH190" s="52" t="s">
        <v>2259</v>
      </c>
      <c r="CI190" s="52" t="s">
        <v>0</v>
      </c>
      <c r="CJ190" s="52" t="s">
        <v>4040</v>
      </c>
      <c r="CK190" s="52" t="s">
        <v>2652</v>
      </c>
      <c r="CL190" s="52"/>
      <c r="CM190" s="52"/>
      <c r="CN190" s="52"/>
      <c r="CO190" s="52" t="s">
        <v>2060</v>
      </c>
      <c r="CP190" s="52" t="s">
        <v>2837</v>
      </c>
      <c r="CQ190" s="52"/>
      <c r="CR190" s="52"/>
      <c r="CS190" s="52"/>
      <c r="CT190" s="52"/>
      <c r="CU190" s="52"/>
      <c r="CV190" s="52"/>
      <c r="CW190" s="52" t="s">
        <v>1155</v>
      </c>
      <c r="CX190" s="52"/>
    </row>
    <row r="191" spans="1:102" ht="112.5" customHeight="1">
      <c r="A191" s="12" t="s">
        <v>158</v>
      </c>
      <c r="B191" s="36" t="s">
        <v>57</v>
      </c>
      <c r="C191" s="38" t="s">
        <v>57</v>
      </c>
      <c r="D191" s="38" t="s">
        <v>0</v>
      </c>
      <c r="E191" s="38" t="s">
        <v>111</v>
      </c>
      <c r="F191" s="38" t="s">
        <v>0</v>
      </c>
      <c r="G191" s="38" t="s">
        <v>111</v>
      </c>
      <c r="H191" s="38" t="s">
        <v>5513</v>
      </c>
      <c r="I191" s="38" t="s">
        <v>18</v>
      </c>
      <c r="J191" s="36" t="s">
        <v>504</v>
      </c>
      <c r="K191" s="38" t="s">
        <v>57</v>
      </c>
      <c r="L191" s="36" t="s">
        <v>159</v>
      </c>
      <c r="M191" s="36" t="s">
        <v>504</v>
      </c>
      <c r="N191" s="38" t="s">
        <v>57</v>
      </c>
      <c r="O191" s="36" t="s">
        <v>159</v>
      </c>
      <c r="P191" s="36" t="s">
        <v>504</v>
      </c>
      <c r="Q191" s="38" t="s">
        <v>57</v>
      </c>
      <c r="R191" s="36" t="s">
        <v>159</v>
      </c>
      <c r="S191" s="36" t="s">
        <v>504</v>
      </c>
      <c r="T191" s="38" t="s">
        <v>57</v>
      </c>
      <c r="U191" s="36" t="s">
        <v>159</v>
      </c>
      <c r="V191" s="36" t="s">
        <v>314</v>
      </c>
      <c r="W191" s="38" t="s">
        <v>57</v>
      </c>
      <c r="X191" s="38" t="s">
        <v>57</v>
      </c>
      <c r="Y191" s="36" t="s">
        <v>57</v>
      </c>
      <c r="Z191" s="36" t="s">
        <v>111</v>
      </c>
      <c r="AA191" s="38" t="s">
        <v>197</v>
      </c>
      <c r="AB191" s="38" t="s">
        <v>18</v>
      </c>
      <c r="AC191" s="38" t="s">
        <v>18</v>
      </c>
      <c r="AD191" s="36" t="s">
        <v>380</v>
      </c>
      <c r="AE191" s="124" t="s">
        <v>0</v>
      </c>
      <c r="AF191" s="36" t="s">
        <v>210</v>
      </c>
      <c r="AG191" s="38" t="s">
        <v>57</v>
      </c>
      <c r="AH191" s="36" t="s">
        <v>4732</v>
      </c>
      <c r="AI191" s="7" t="s">
        <v>431</v>
      </c>
      <c r="AJ191" s="7" t="s">
        <v>431</v>
      </c>
      <c r="AK191" s="7" t="s">
        <v>432</v>
      </c>
      <c r="AL191" s="7" t="s">
        <v>432</v>
      </c>
      <c r="AM191" s="7" t="s">
        <v>111</v>
      </c>
      <c r="AN191" s="7" t="s">
        <v>111</v>
      </c>
      <c r="AO191" s="7" t="s">
        <v>0</v>
      </c>
      <c r="AP191" s="32" t="s">
        <v>447</v>
      </c>
      <c r="AQ191" s="7" t="s">
        <v>0</v>
      </c>
      <c r="AR191" s="37" t="s">
        <v>1875</v>
      </c>
      <c r="AS191" s="7" t="s">
        <v>0</v>
      </c>
      <c r="AT191" s="37" t="s">
        <v>1875</v>
      </c>
      <c r="AU191" s="36" t="s">
        <v>56</v>
      </c>
      <c r="AV191" s="36" t="s">
        <v>365</v>
      </c>
      <c r="AW191" s="37" t="s">
        <v>0</v>
      </c>
      <c r="AX191" s="37" t="s">
        <v>2974</v>
      </c>
      <c r="AY191" s="37" t="s">
        <v>2918</v>
      </c>
      <c r="AZ191" s="36" t="s">
        <v>892</v>
      </c>
      <c r="BA191" s="36" t="s">
        <v>4127</v>
      </c>
      <c r="BB191" s="38" t="s">
        <v>159</v>
      </c>
      <c r="BC191" s="38" t="s">
        <v>159</v>
      </c>
      <c r="BD191" s="36" t="s">
        <v>159</v>
      </c>
      <c r="BE191" s="38" t="s">
        <v>56</v>
      </c>
      <c r="BF191" s="38" t="s">
        <v>56</v>
      </c>
      <c r="BG191" s="38" t="s">
        <v>0</v>
      </c>
      <c r="BH191" s="36" t="s">
        <v>3202</v>
      </c>
      <c r="BI191" s="36" t="s">
        <v>870</v>
      </c>
      <c r="BJ191" s="36" t="s">
        <v>870</v>
      </c>
      <c r="BK191" s="36" t="s">
        <v>1326</v>
      </c>
      <c r="BL191" s="36" t="s">
        <v>1326</v>
      </c>
      <c r="BM191" s="38" t="s">
        <v>0</v>
      </c>
      <c r="BN191" s="38" t="s">
        <v>61</v>
      </c>
      <c r="BO191" s="36" t="s">
        <v>111</v>
      </c>
      <c r="BP191" s="38" t="s">
        <v>61</v>
      </c>
      <c r="BQ191" s="36" t="s">
        <v>111</v>
      </c>
      <c r="BR191" s="38" t="s">
        <v>57</v>
      </c>
      <c r="BS191" s="36" t="s">
        <v>57</v>
      </c>
      <c r="BT191" s="36" t="s">
        <v>0</v>
      </c>
      <c r="BU191" s="36" t="s">
        <v>3651</v>
      </c>
      <c r="BV191" s="38" t="s">
        <v>57</v>
      </c>
      <c r="BW191" s="36" t="s">
        <v>2447</v>
      </c>
      <c r="BX191" s="36" t="s">
        <v>2447</v>
      </c>
      <c r="BY191" s="36" t="s">
        <v>0</v>
      </c>
      <c r="BZ191" s="36" t="s">
        <v>4592</v>
      </c>
      <c r="CA191" s="36" t="s">
        <v>0</v>
      </c>
      <c r="CB191" s="36" t="s">
        <v>111</v>
      </c>
      <c r="CC191" s="36" t="s">
        <v>57</v>
      </c>
      <c r="CD191" s="38" t="s">
        <v>111</v>
      </c>
      <c r="CE191" s="38" t="s">
        <v>210</v>
      </c>
      <c r="CF191" s="38" t="s">
        <v>6</v>
      </c>
      <c r="CG191" s="36" t="s">
        <v>18</v>
      </c>
      <c r="CH191" s="36" t="s">
        <v>18</v>
      </c>
      <c r="CI191" s="38" t="s">
        <v>0</v>
      </c>
      <c r="CJ191" s="38" t="s">
        <v>350</v>
      </c>
      <c r="CK191" s="36" t="s">
        <v>2628</v>
      </c>
      <c r="CL191" s="38" t="s">
        <v>223</v>
      </c>
      <c r="CM191" s="38" t="s">
        <v>0</v>
      </c>
      <c r="CN191" s="38" t="s">
        <v>6</v>
      </c>
      <c r="CO191" s="38" t="s">
        <v>6</v>
      </c>
      <c r="CP191" s="38" t="s">
        <v>6</v>
      </c>
      <c r="CQ191" s="38" t="s">
        <v>17</v>
      </c>
      <c r="CR191" s="38" t="s">
        <v>26</v>
      </c>
      <c r="CS191" s="38" t="s">
        <v>17</v>
      </c>
      <c r="CT191" s="38" t="s">
        <v>17</v>
      </c>
      <c r="CU191" s="38" t="s">
        <v>17</v>
      </c>
      <c r="CV191" s="38" t="s">
        <v>17</v>
      </c>
      <c r="CW191" s="36" t="s">
        <v>111</v>
      </c>
      <c r="CX191" s="36" t="s">
        <v>834</v>
      </c>
    </row>
    <row r="192" spans="1:102" ht="12" customHeight="1">
      <c r="A192" s="51" t="s">
        <v>935</v>
      </c>
      <c r="B192" s="52" t="s">
        <v>3971</v>
      </c>
      <c r="C192" s="52"/>
      <c r="D192" s="52"/>
      <c r="E192" s="52"/>
      <c r="F192" s="52" t="s">
        <v>0</v>
      </c>
      <c r="G192" s="52" t="s">
        <v>1413</v>
      </c>
      <c r="H192" s="52" t="s">
        <v>1413</v>
      </c>
      <c r="I192" s="52" t="s">
        <v>1413</v>
      </c>
      <c r="J192" s="52"/>
      <c r="K192" s="52"/>
      <c r="L192" s="52"/>
      <c r="M192" s="52" t="s">
        <v>1498</v>
      </c>
      <c r="N192" s="52" t="s">
        <v>1588</v>
      </c>
      <c r="O192" s="52" t="s">
        <v>1540</v>
      </c>
      <c r="P192" s="52" t="s">
        <v>3322</v>
      </c>
      <c r="Q192" s="52" t="s">
        <v>1589</v>
      </c>
      <c r="R192" s="52" t="s">
        <v>1541</v>
      </c>
      <c r="S192" s="52" t="s">
        <v>3322</v>
      </c>
      <c r="T192" s="52" t="s">
        <v>1589</v>
      </c>
      <c r="U192" s="52" t="s">
        <v>1541</v>
      </c>
      <c r="V192" s="52" t="s">
        <v>5296</v>
      </c>
      <c r="W192" s="52" t="s">
        <v>3322</v>
      </c>
      <c r="X192" s="52" t="s">
        <v>1589</v>
      </c>
      <c r="Y192" s="52" t="s">
        <v>1541</v>
      </c>
      <c r="Z192" s="52"/>
      <c r="AA192" s="52"/>
      <c r="AB192" s="52"/>
      <c r="AC192" s="52"/>
      <c r="AD192" s="52"/>
      <c r="AE192" s="123" t="s">
        <v>0</v>
      </c>
      <c r="AF192" s="52" t="s">
        <v>4733</v>
      </c>
      <c r="AG192" s="52" t="s">
        <v>4734</v>
      </c>
      <c r="AH192" s="52" t="s">
        <v>0</v>
      </c>
      <c r="AI192" s="52"/>
      <c r="AJ192" s="52"/>
      <c r="AK192" s="52" t="s">
        <v>1707</v>
      </c>
      <c r="AL192" s="52" t="s">
        <v>1707</v>
      </c>
      <c r="AM192" s="52"/>
      <c r="AN192" s="52" t="s">
        <v>1816</v>
      </c>
      <c r="AO192" s="52"/>
      <c r="AP192" s="52"/>
      <c r="AQ192" s="52" t="s">
        <v>0</v>
      </c>
      <c r="AR192" s="52" t="s">
        <v>1873</v>
      </c>
      <c r="AS192" s="52" t="s">
        <v>0</v>
      </c>
      <c r="AT192" s="52" t="s">
        <v>1873</v>
      </c>
      <c r="AU192" s="52"/>
      <c r="AV192" s="52"/>
      <c r="AW192" s="52" t="s">
        <v>0</v>
      </c>
      <c r="AX192" s="52" t="s">
        <v>2919</v>
      </c>
      <c r="AY192" s="52" t="s">
        <v>2919</v>
      </c>
      <c r="AZ192" s="52"/>
      <c r="BA192" s="52" t="s">
        <v>4117</v>
      </c>
      <c r="BB192" s="52"/>
      <c r="BC192" s="52"/>
      <c r="BD192" s="52" t="s">
        <v>1960</v>
      </c>
      <c r="BE192" s="52"/>
      <c r="BF192" s="52" t="s">
        <v>1442</v>
      </c>
      <c r="BG192" s="52" t="s">
        <v>0</v>
      </c>
      <c r="BH192" s="52" t="s">
        <v>3192</v>
      </c>
      <c r="BI192" s="52"/>
      <c r="BJ192" s="52"/>
      <c r="BK192" s="52" t="s">
        <v>1325</v>
      </c>
      <c r="BL192" s="52" t="s">
        <v>1325</v>
      </c>
      <c r="BM192" s="52"/>
      <c r="BN192" s="52"/>
      <c r="BO192" s="52" t="s">
        <v>4575</v>
      </c>
      <c r="BP192" s="52"/>
      <c r="BQ192" s="52" t="s">
        <v>4575</v>
      </c>
      <c r="BR192" s="52"/>
      <c r="BS192" s="52"/>
      <c r="BT192" s="52" t="s">
        <v>0</v>
      </c>
      <c r="BU192" s="52" t="s">
        <v>3652</v>
      </c>
      <c r="BV192" s="52" t="s">
        <v>3503</v>
      </c>
      <c r="BW192" s="52" t="s">
        <v>2446</v>
      </c>
      <c r="BX192" s="52" t="s">
        <v>2446</v>
      </c>
      <c r="BY192" s="52" t="s">
        <v>2446</v>
      </c>
      <c r="BZ192" s="52" t="s">
        <v>4593</v>
      </c>
      <c r="CA192" s="52"/>
      <c r="CB192" s="52"/>
      <c r="CC192" s="52"/>
      <c r="CD192" s="52" t="s">
        <v>2556</v>
      </c>
      <c r="CE192" s="52" t="s">
        <v>2547</v>
      </c>
      <c r="CF192" s="52"/>
      <c r="CG192" s="52" t="s">
        <v>2259</v>
      </c>
      <c r="CH192" s="52" t="s">
        <v>2259</v>
      </c>
      <c r="CI192" s="52" t="s">
        <v>0</v>
      </c>
      <c r="CJ192" s="52" t="s">
        <v>4040</v>
      </c>
      <c r="CK192" s="52" t="s">
        <v>2653</v>
      </c>
      <c r="CL192" s="52"/>
      <c r="CM192" s="52"/>
      <c r="CN192" s="52"/>
      <c r="CO192" s="52" t="s">
        <v>2060</v>
      </c>
      <c r="CP192" s="52" t="s">
        <v>2837</v>
      </c>
      <c r="CQ192" s="52"/>
      <c r="CR192" s="52"/>
      <c r="CS192" s="52"/>
      <c r="CT192" s="52"/>
      <c r="CU192" s="52"/>
      <c r="CV192" s="52"/>
      <c r="CW192" s="52" t="s">
        <v>1155</v>
      </c>
      <c r="CX192" s="52"/>
    </row>
    <row r="193" spans="1:102" ht="22.5" customHeight="1">
      <c r="A193" s="12" t="s">
        <v>206</v>
      </c>
      <c r="B193" s="36" t="s">
        <v>57</v>
      </c>
      <c r="C193" s="38" t="s">
        <v>57</v>
      </c>
      <c r="D193" s="38" t="s">
        <v>0</v>
      </c>
      <c r="E193" s="36" t="s">
        <v>213</v>
      </c>
      <c r="F193" s="38" t="s">
        <v>0</v>
      </c>
      <c r="G193" s="36" t="s">
        <v>213</v>
      </c>
      <c r="H193" s="36" t="s">
        <v>213</v>
      </c>
      <c r="I193" s="36" t="s">
        <v>5514</v>
      </c>
      <c r="J193" s="36" t="s">
        <v>504</v>
      </c>
      <c r="K193" s="36" t="s">
        <v>57</v>
      </c>
      <c r="L193" s="36" t="s">
        <v>159</v>
      </c>
      <c r="M193" s="36" t="s">
        <v>504</v>
      </c>
      <c r="N193" s="36" t="s">
        <v>57</v>
      </c>
      <c r="O193" s="36" t="s">
        <v>159</v>
      </c>
      <c r="P193" s="36" t="s">
        <v>504</v>
      </c>
      <c r="Q193" s="36" t="s">
        <v>57</v>
      </c>
      <c r="R193" s="36" t="s">
        <v>159</v>
      </c>
      <c r="S193" s="36" t="s">
        <v>504</v>
      </c>
      <c r="T193" s="36" t="s">
        <v>57</v>
      </c>
      <c r="U193" s="36" t="s">
        <v>159</v>
      </c>
      <c r="V193" s="36" t="s">
        <v>314</v>
      </c>
      <c r="W193" s="38" t="s">
        <v>57</v>
      </c>
      <c r="X193" s="36" t="s">
        <v>57</v>
      </c>
      <c r="Y193" s="36" t="s">
        <v>57</v>
      </c>
      <c r="Z193" s="36" t="s">
        <v>111</v>
      </c>
      <c r="AA193" s="36" t="s">
        <v>790</v>
      </c>
      <c r="AB193" s="36" t="s">
        <v>0</v>
      </c>
      <c r="AC193" s="36" t="s">
        <v>0</v>
      </c>
      <c r="AD193" s="36" t="s">
        <v>379</v>
      </c>
      <c r="AE193" s="124" t="s">
        <v>0</v>
      </c>
      <c r="AF193" s="36" t="s">
        <v>210</v>
      </c>
      <c r="AG193" s="38" t="s">
        <v>57</v>
      </c>
      <c r="AH193" s="36" t="s">
        <v>4732</v>
      </c>
      <c r="AI193" s="7" t="s">
        <v>432</v>
      </c>
      <c r="AJ193" s="7" t="s">
        <v>432</v>
      </c>
      <c r="AK193" s="7" t="s">
        <v>432</v>
      </c>
      <c r="AL193" s="7" t="s">
        <v>432</v>
      </c>
      <c r="AM193" s="7" t="s">
        <v>111</v>
      </c>
      <c r="AN193" s="7" t="s">
        <v>111</v>
      </c>
      <c r="AO193" s="7" t="s">
        <v>0</v>
      </c>
      <c r="AP193" s="33" t="s">
        <v>111</v>
      </c>
      <c r="AQ193" s="7" t="s">
        <v>0</v>
      </c>
      <c r="AR193" s="37" t="s">
        <v>834</v>
      </c>
      <c r="AS193" s="7" t="s">
        <v>0</v>
      </c>
      <c r="AT193" s="37" t="s">
        <v>834</v>
      </c>
      <c r="AU193" s="38" t="s">
        <v>0</v>
      </c>
      <c r="AV193" s="38" t="s">
        <v>0</v>
      </c>
      <c r="AW193" s="37" t="s">
        <v>0</v>
      </c>
      <c r="AX193" s="37" t="s">
        <v>0</v>
      </c>
      <c r="AY193" s="37" t="s">
        <v>0</v>
      </c>
      <c r="AZ193" s="36" t="s">
        <v>892</v>
      </c>
      <c r="BA193" s="36" t="s">
        <v>4127</v>
      </c>
      <c r="BB193" s="38" t="s">
        <v>0</v>
      </c>
      <c r="BC193" s="38" t="s">
        <v>0</v>
      </c>
      <c r="BD193" s="38" t="s">
        <v>0</v>
      </c>
      <c r="BE193" s="38" t="s">
        <v>0</v>
      </c>
      <c r="BF193" s="38" t="s">
        <v>0</v>
      </c>
      <c r="BG193" s="38" t="s">
        <v>0</v>
      </c>
      <c r="BH193" s="36" t="s">
        <v>0</v>
      </c>
      <c r="BI193" s="36" t="s">
        <v>870</v>
      </c>
      <c r="BJ193" s="36" t="s">
        <v>870</v>
      </c>
      <c r="BK193" s="36" t="s">
        <v>1327</v>
      </c>
      <c r="BL193" s="36" t="s">
        <v>1327</v>
      </c>
      <c r="BM193" s="38" t="s">
        <v>0</v>
      </c>
      <c r="BN193" s="38" t="s">
        <v>0</v>
      </c>
      <c r="BO193" s="36" t="s">
        <v>111</v>
      </c>
      <c r="BP193" s="38" t="s">
        <v>0</v>
      </c>
      <c r="BQ193" s="36" t="s">
        <v>111</v>
      </c>
      <c r="BR193" s="38" t="s">
        <v>57</v>
      </c>
      <c r="BS193" s="36" t="s">
        <v>57</v>
      </c>
      <c r="BT193" s="36" t="s">
        <v>0</v>
      </c>
      <c r="BU193" s="36" t="s">
        <v>3651</v>
      </c>
      <c r="BV193" s="38" t="s">
        <v>57</v>
      </c>
      <c r="BW193" s="36" t="s">
        <v>2448</v>
      </c>
      <c r="BX193" s="36" t="s">
        <v>2448</v>
      </c>
      <c r="BY193" s="36" t="s">
        <v>0</v>
      </c>
      <c r="BZ193" s="36" t="s">
        <v>4592</v>
      </c>
      <c r="CA193" s="36" t="s">
        <v>0</v>
      </c>
      <c r="CB193" s="36" t="s">
        <v>111</v>
      </c>
      <c r="CC193" s="36" t="s">
        <v>57</v>
      </c>
      <c r="CD193" s="38" t="s">
        <v>111</v>
      </c>
      <c r="CE193" s="38" t="s">
        <v>210</v>
      </c>
      <c r="CF193" s="38" t="s">
        <v>0</v>
      </c>
      <c r="CG193" s="36" t="s">
        <v>18</v>
      </c>
      <c r="CH193" s="36" t="s">
        <v>18</v>
      </c>
      <c r="CI193" s="38" t="s">
        <v>0</v>
      </c>
      <c r="CJ193" s="38" t="s">
        <v>350</v>
      </c>
      <c r="CK193" s="38" t="s">
        <v>350</v>
      </c>
      <c r="CL193" s="38" t="s">
        <v>223</v>
      </c>
      <c r="CM193" s="38" t="s">
        <v>0</v>
      </c>
      <c r="CN193" s="38" t="s">
        <v>0</v>
      </c>
      <c r="CO193" s="38" t="s">
        <v>0</v>
      </c>
      <c r="CP193" s="38" t="s">
        <v>0</v>
      </c>
      <c r="CQ193" s="38" t="s">
        <v>17</v>
      </c>
      <c r="CR193" s="38" t="s">
        <v>26</v>
      </c>
      <c r="CS193" s="38" t="s">
        <v>0</v>
      </c>
      <c r="CT193" s="38" t="s">
        <v>0</v>
      </c>
      <c r="CU193" s="38" t="s">
        <v>17</v>
      </c>
      <c r="CV193" s="38" t="s">
        <v>17</v>
      </c>
      <c r="CW193" s="36" t="s">
        <v>111</v>
      </c>
      <c r="CX193" s="36" t="s">
        <v>834</v>
      </c>
    </row>
    <row r="194" spans="1:102" ht="12" customHeight="1">
      <c r="A194" s="51" t="s">
        <v>935</v>
      </c>
      <c r="B194" s="52" t="s">
        <v>3971</v>
      </c>
      <c r="C194" s="52"/>
      <c r="D194" s="52"/>
      <c r="E194" s="52"/>
      <c r="F194" s="52" t="s">
        <v>0</v>
      </c>
      <c r="G194" s="52" t="s">
        <v>1413</v>
      </c>
      <c r="H194" s="52" t="s">
        <v>0</v>
      </c>
      <c r="I194" s="52" t="s">
        <v>1413</v>
      </c>
      <c r="J194" s="52"/>
      <c r="K194" s="52"/>
      <c r="L194" s="52"/>
      <c r="M194" s="52" t="s">
        <v>1498</v>
      </c>
      <c r="N194" s="52" t="s">
        <v>1588</v>
      </c>
      <c r="O194" s="52" t="s">
        <v>1540</v>
      </c>
      <c r="P194" s="52" t="s">
        <v>3322</v>
      </c>
      <c r="Q194" s="52" t="s">
        <v>1589</v>
      </c>
      <c r="R194" s="52" t="s">
        <v>1541</v>
      </c>
      <c r="S194" s="52" t="s">
        <v>3322</v>
      </c>
      <c r="T194" s="52" t="s">
        <v>1589</v>
      </c>
      <c r="U194" s="52" t="s">
        <v>1541</v>
      </c>
      <c r="V194" s="52" t="s">
        <v>5296</v>
      </c>
      <c r="W194" s="52" t="s">
        <v>3322</v>
      </c>
      <c r="X194" s="52" t="s">
        <v>1589</v>
      </c>
      <c r="Y194" s="52" t="s">
        <v>1541</v>
      </c>
      <c r="Z194" s="52"/>
      <c r="AA194" s="52"/>
      <c r="AB194" s="52"/>
      <c r="AC194" s="52"/>
      <c r="AD194" s="52"/>
      <c r="AE194" s="123" t="s">
        <v>0</v>
      </c>
      <c r="AF194" s="52" t="s">
        <v>4733</v>
      </c>
      <c r="AG194" s="52" t="s">
        <v>4734</v>
      </c>
      <c r="AH194" s="52" t="s">
        <v>0</v>
      </c>
      <c r="AI194" s="52"/>
      <c r="AJ194" s="52"/>
      <c r="AK194" s="52" t="s">
        <v>1707</v>
      </c>
      <c r="AL194" s="52" t="s">
        <v>1707</v>
      </c>
      <c r="AM194" s="52"/>
      <c r="AN194" s="52" t="s">
        <v>1816</v>
      </c>
      <c r="AO194" s="52"/>
      <c r="AP194" s="52"/>
      <c r="AQ194" s="52" t="s">
        <v>0</v>
      </c>
      <c r="AR194" s="52" t="s">
        <v>1874</v>
      </c>
      <c r="AS194" s="52" t="s">
        <v>0</v>
      </c>
      <c r="AT194" s="52" t="s">
        <v>1874</v>
      </c>
      <c r="AU194" s="52"/>
      <c r="AV194" s="52"/>
      <c r="AW194" s="52" t="s">
        <v>0</v>
      </c>
      <c r="AX194" s="52" t="s">
        <v>0</v>
      </c>
      <c r="AY194" s="52" t="s">
        <v>0</v>
      </c>
      <c r="AZ194" s="52"/>
      <c r="BA194" s="52" t="s">
        <v>4117</v>
      </c>
      <c r="BB194" s="52"/>
      <c r="BC194" s="52"/>
      <c r="BD194" s="52" t="s">
        <v>0</v>
      </c>
      <c r="BE194" s="52"/>
      <c r="BF194" s="52" t="s">
        <v>0</v>
      </c>
      <c r="BG194" s="52" t="s">
        <v>0</v>
      </c>
      <c r="BH194" s="52"/>
      <c r="BI194" s="52"/>
      <c r="BJ194" s="52"/>
      <c r="BK194" s="52" t="s">
        <v>1325</v>
      </c>
      <c r="BL194" s="52" t="s">
        <v>1325</v>
      </c>
      <c r="BM194" s="52"/>
      <c r="BN194" s="52"/>
      <c r="BO194" s="52" t="s">
        <v>4575</v>
      </c>
      <c r="BP194" s="52"/>
      <c r="BQ194" s="52" t="s">
        <v>4575</v>
      </c>
      <c r="BR194" s="52"/>
      <c r="BS194" s="52"/>
      <c r="BT194" s="52" t="s">
        <v>0</v>
      </c>
      <c r="BU194" s="52" t="s">
        <v>3652</v>
      </c>
      <c r="BV194" s="52" t="s">
        <v>3503</v>
      </c>
      <c r="BW194" s="52" t="s">
        <v>2446</v>
      </c>
      <c r="BX194" s="52" t="s">
        <v>2446</v>
      </c>
      <c r="BY194" s="52" t="s">
        <v>2446</v>
      </c>
      <c r="BZ194" s="52" t="s">
        <v>4593</v>
      </c>
      <c r="CA194" s="52"/>
      <c r="CB194" s="52"/>
      <c r="CC194" s="52"/>
      <c r="CD194" s="52" t="s">
        <v>2556</v>
      </c>
      <c r="CE194" s="52" t="s">
        <v>2547</v>
      </c>
      <c r="CF194" s="52"/>
      <c r="CG194" s="52" t="s">
        <v>2259</v>
      </c>
      <c r="CH194" s="52" t="s">
        <v>2259</v>
      </c>
      <c r="CI194" s="52" t="s">
        <v>0</v>
      </c>
      <c r="CJ194" s="52" t="s">
        <v>4040</v>
      </c>
      <c r="CK194" s="52" t="s">
        <v>2652</v>
      </c>
      <c r="CL194" s="52"/>
      <c r="CM194" s="52"/>
      <c r="CN194" s="52"/>
      <c r="CO194" s="52" t="s">
        <v>0</v>
      </c>
      <c r="CP194" s="52" t="s">
        <v>0</v>
      </c>
      <c r="CQ194" s="52"/>
      <c r="CR194" s="52"/>
      <c r="CS194" s="52"/>
      <c r="CT194" s="52"/>
      <c r="CU194" s="52"/>
      <c r="CV194" s="52"/>
      <c r="CW194" s="52" t="s">
        <v>1155</v>
      </c>
      <c r="CX194" s="52"/>
    </row>
    <row r="195" spans="1:102" ht="45" customHeight="1">
      <c r="A195" s="12" t="s">
        <v>160</v>
      </c>
      <c r="B195" s="36" t="s">
        <v>233</v>
      </c>
      <c r="C195" s="36" t="s">
        <v>233</v>
      </c>
      <c r="D195" s="38" t="s">
        <v>0</v>
      </c>
      <c r="E195" s="36" t="s">
        <v>243</v>
      </c>
      <c r="F195" s="38" t="s">
        <v>0</v>
      </c>
      <c r="G195" s="36" t="s">
        <v>243</v>
      </c>
      <c r="H195" s="36" t="s">
        <v>243</v>
      </c>
      <c r="I195" s="36" t="s">
        <v>243</v>
      </c>
      <c r="J195" s="36" t="s">
        <v>233</v>
      </c>
      <c r="K195" s="36" t="s">
        <v>327</v>
      </c>
      <c r="L195" s="36" t="s">
        <v>233</v>
      </c>
      <c r="M195" s="36" t="s">
        <v>233</v>
      </c>
      <c r="N195" s="36" t="s">
        <v>327</v>
      </c>
      <c r="O195" s="36" t="s">
        <v>233</v>
      </c>
      <c r="P195" s="36" t="s">
        <v>233</v>
      </c>
      <c r="Q195" s="36" t="s">
        <v>327</v>
      </c>
      <c r="R195" s="36" t="s">
        <v>233</v>
      </c>
      <c r="S195" s="36" t="s">
        <v>233</v>
      </c>
      <c r="T195" s="36" t="s">
        <v>327</v>
      </c>
      <c r="U195" s="36" t="s">
        <v>233</v>
      </c>
      <c r="V195" s="36" t="s">
        <v>233</v>
      </c>
      <c r="W195" s="36" t="s">
        <v>233</v>
      </c>
      <c r="X195" s="36" t="s">
        <v>327</v>
      </c>
      <c r="Y195" s="36" t="s">
        <v>233</v>
      </c>
      <c r="Z195" s="36" t="s">
        <v>353</v>
      </c>
      <c r="AA195" s="36" t="s">
        <v>606</v>
      </c>
      <c r="AB195" s="36" t="s">
        <v>606</v>
      </c>
      <c r="AC195" s="36" t="s">
        <v>606</v>
      </c>
      <c r="AD195" s="36" t="s">
        <v>385</v>
      </c>
      <c r="AE195" s="122" t="s">
        <v>0</v>
      </c>
      <c r="AF195" s="36" t="s">
        <v>4735</v>
      </c>
      <c r="AG195" s="36" t="s">
        <v>4735</v>
      </c>
      <c r="AH195" s="38" t="s">
        <v>0</v>
      </c>
      <c r="AI195" s="7" t="s">
        <v>327</v>
      </c>
      <c r="AJ195" s="7" t="s">
        <v>327</v>
      </c>
      <c r="AK195" s="7" t="s">
        <v>327</v>
      </c>
      <c r="AL195" s="7" t="s">
        <v>327</v>
      </c>
      <c r="AM195" s="36" t="s">
        <v>293</v>
      </c>
      <c r="AN195" s="36" t="s">
        <v>1820</v>
      </c>
      <c r="AO195" s="7" t="s">
        <v>0</v>
      </c>
      <c r="AP195" s="32" t="s">
        <v>161</v>
      </c>
      <c r="AQ195" s="7" t="s">
        <v>0</v>
      </c>
      <c r="AR195" s="37" t="s">
        <v>161</v>
      </c>
      <c r="AS195" s="7" t="s">
        <v>0</v>
      </c>
      <c r="AT195" s="37" t="s">
        <v>161</v>
      </c>
      <c r="AU195" s="38" t="s">
        <v>327</v>
      </c>
      <c r="AV195" s="38" t="s">
        <v>327</v>
      </c>
      <c r="AW195" s="37" t="s">
        <v>0</v>
      </c>
      <c r="AX195" s="36" t="s">
        <v>327</v>
      </c>
      <c r="AY195" s="36" t="s">
        <v>327</v>
      </c>
      <c r="AZ195" s="36" t="s">
        <v>895</v>
      </c>
      <c r="BA195" s="36" t="s">
        <v>4114</v>
      </c>
      <c r="BB195" s="36" t="s">
        <v>293</v>
      </c>
      <c r="BC195" s="36" t="s">
        <v>293</v>
      </c>
      <c r="BD195" s="36" t="s">
        <v>1938</v>
      </c>
      <c r="BE195" s="36" t="s">
        <v>293</v>
      </c>
      <c r="BF195" s="36" t="s">
        <v>1938</v>
      </c>
      <c r="BG195" s="36" t="s">
        <v>1049</v>
      </c>
      <c r="BH195" s="36" t="s">
        <v>578</v>
      </c>
      <c r="BI195" s="36" t="s">
        <v>882</v>
      </c>
      <c r="BJ195" s="36" t="s">
        <v>882</v>
      </c>
      <c r="BK195" s="36" t="s">
        <v>1285</v>
      </c>
      <c r="BL195" s="36" t="s">
        <v>1285</v>
      </c>
      <c r="BM195" s="36" t="s">
        <v>0</v>
      </c>
      <c r="BN195" s="36" t="s">
        <v>161</v>
      </c>
      <c r="BO195" s="36" t="s">
        <v>161</v>
      </c>
      <c r="BP195" s="36" t="s">
        <v>161</v>
      </c>
      <c r="BQ195" s="36" t="s">
        <v>161</v>
      </c>
      <c r="BR195" s="36" t="s">
        <v>161</v>
      </c>
      <c r="BS195" s="36" t="s">
        <v>606</v>
      </c>
      <c r="BT195" s="36" t="s">
        <v>0</v>
      </c>
      <c r="BU195" s="36" t="s">
        <v>293</v>
      </c>
      <c r="BV195" s="36" t="s">
        <v>606</v>
      </c>
      <c r="BW195" s="36" t="s">
        <v>293</v>
      </c>
      <c r="BX195" s="36" t="s">
        <v>293</v>
      </c>
      <c r="BY195" s="36" t="s">
        <v>0</v>
      </c>
      <c r="BZ195" s="36" t="s">
        <v>327</v>
      </c>
      <c r="CA195" s="36" t="s">
        <v>327</v>
      </c>
      <c r="CB195" s="36" t="s">
        <v>327</v>
      </c>
      <c r="CC195" s="36" t="s">
        <v>740</v>
      </c>
      <c r="CD195" s="36" t="s">
        <v>0</v>
      </c>
      <c r="CE195" s="36" t="s">
        <v>516</v>
      </c>
      <c r="CF195" s="36" t="s">
        <v>516</v>
      </c>
      <c r="CG195" s="36" t="s">
        <v>2319</v>
      </c>
      <c r="CH195" s="36" t="s">
        <v>0</v>
      </c>
      <c r="CI195" s="38" t="s">
        <v>0</v>
      </c>
      <c r="CJ195" s="36" t="s">
        <v>353</v>
      </c>
      <c r="CK195" s="36" t="s">
        <v>606</v>
      </c>
      <c r="CL195" s="36" t="s">
        <v>608</v>
      </c>
      <c r="CM195" s="36" t="s">
        <v>0</v>
      </c>
      <c r="CN195" s="38" t="s">
        <v>637</v>
      </c>
      <c r="CO195" s="38" t="s">
        <v>637</v>
      </c>
      <c r="CP195" s="36" t="s">
        <v>2842</v>
      </c>
      <c r="CQ195" s="36" t="s">
        <v>293</v>
      </c>
      <c r="CR195" s="36" t="s">
        <v>708</v>
      </c>
      <c r="CS195" s="36" t="s">
        <v>233</v>
      </c>
      <c r="CT195" s="36" t="s">
        <v>233</v>
      </c>
      <c r="CU195" s="36" t="s">
        <v>233</v>
      </c>
      <c r="CV195" s="36" t="s">
        <v>233</v>
      </c>
      <c r="CW195" s="36" t="s">
        <v>708</v>
      </c>
      <c r="CX195" s="36" t="s">
        <v>831</v>
      </c>
    </row>
    <row r="196" spans="1:102" ht="12" customHeight="1">
      <c r="A196" s="51" t="s">
        <v>935</v>
      </c>
      <c r="B196" s="52" t="s">
        <v>3961</v>
      </c>
      <c r="C196" s="52"/>
      <c r="D196" s="52"/>
      <c r="E196" s="52"/>
      <c r="F196" s="52" t="s">
        <v>0</v>
      </c>
      <c r="G196" s="52" t="s">
        <v>1413</v>
      </c>
      <c r="H196" s="52" t="s">
        <v>1413</v>
      </c>
      <c r="I196" s="52" t="s">
        <v>1413</v>
      </c>
      <c r="J196" s="52"/>
      <c r="K196" s="52"/>
      <c r="L196" s="52"/>
      <c r="M196" s="52" t="s">
        <v>1536</v>
      </c>
      <c r="N196" s="52" t="s">
        <v>1581</v>
      </c>
      <c r="O196" s="52" t="s">
        <v>1537</v>
      </c>
      <c r="P196" s="52" t="s">
        <v>3320</v>
      </c>
      <c r="Q196" s="52" t="s">
        <v>3350</v>
      </c>
      <c r="R196" s="52" t="s">
        <v>3406</v>
      </c>
      <c r="S196" s="52" t="s">
        <v>3320</v>
      </c>
      <c r="T196" s="52" t="s">
        <v>3350</v>
      </c>
      <c r="U196" s="52" t="s">
        <v>3406</v>
      </c>
      <c r="V196" s="52" t="s">
        <v>5292</v>
      </c>
      <c r="W196" s="52" t="s">
        <v>5885</v>
      </c>
      <c r="X196" s="52" t="s">
        <v>1586</v>
      </c>
      <c r="Y196" s="52" t="s">
        <v>3406</v>
      </c>
      <c r="Z196" s="52"/>
      <c r="AA196" s="52"/>
      <c r="AB196" s="52"/>
      <c r="AC196" s="52"/>
      <c r="AD196" s="52"/>
      <c r="AE196" s="123" t="s">
        <v>0</v>
      </c>
      <c r="AF196" s="52" t="s">
        <v>4736</v>
      </c>
      <c r="AG196" s="52" t="s">
        <v>4736</v>
      </c>
      <c r="AH196" s="52" t="s">
        <v>0</v>
      </c>
      <c r="AI196" s="52"/>
      <c r="AJ196" s="52"/>
      <c r="AK196" s="52" t="s">
        <v>1711</v>
      </c>
      <c r="AL196" s="52" t="s">
        <v>1711</v>
      </c>
      <c r="AM196" s="52"/>
      <c r="AN196" s="52" t="s">
        <v>1818</v>
      </c>
      <c r="AO196" s="52"/>
      <c r="AP196" s="52"/>
      <c r="AQ196" s="52" t="s">
        <v>0</v>
      </c>
      <c r="AR196" s="52" t="s">
        <v>1869</v>
      </c>
      <c r="AS196" s="52" t="s">
        <v>0</v>
      </c>
      <c r="AT196" s="52" t="s">
        <v>1869</v>
      </c>
      <c r="AU196" s="52"/>
      <c r="AV196" s="52"/>
      <c r="AW196" s="52" t="s">
        <v>0</v>
      </c>
      <c r="AX196" s="52" t="s">
        <v>2928</v>
      </c>
      <c r="AY196" s="52" t="s">
        <v>2930</v>
      </c>
      <c r="AZ196" s="52"/>
      <c r="BA196" s="52" t="s">
        <v>4116</v>
      </c>
      <c r="BB196" s="52"/>
      <c r="BC196" s="52"/>
      <c r="BD196" s="52" t="s">
        <v>1939</v>
      </c>
      <c r="BE196" s="52"/>
      <c r="BF196" s="52" t="s">
        <v>1976</v>
      </c>
      <c r="BG196" s="52" t="s">
        <v>4077</v>
      </c>
      <c r="BH196" s="52"/>
      <c r="BI196" s="52"/>
      <c r="BJ196" s="52"/>
      <c r="BK196" s="52" t="s">
        <v>1286</v>
      </c>
      <c r="BL196" s="52" t="s">
        <v>1286</v>
      </c>
      <c r="BM196" s="52"/>
      <c r="BN196" s="52"/>
      <c r="BO196" s="52" t="s">
        <v>4574</v>
      </c>
      <c r="BP196" s="52"/>
      <c r="BQ196" s="52" t="s">
        <v>4574</v>
      </c>
      <c r="BR196" s="52"/>
      <c r="BS196" s="52"/>
      <c r="BT196" s="52" t="s">
        <v>0</v>
      </c>
      <c r="BU196" s="52" t="s">
        <v>3626</v>
      </c>
      <c r="BV196" s="52" t="s">
        <v>3504</v>
      </c>
      <c r="BW196" s="52" t="s">
        <v>2450</v>
      </c>
      <c r="BX196" s="52" t="s">
        <v>2450</v>
      </c>
      <c r="BY196" s="52" t="s">
        <v>2449</v>
      </c>
      <c r="BZ196" s="52" t="s">
        <v>4589</v>
      </c>
      <c r="CA196" s="52"/>
      <c r="CB196" s="52"/>
      <c r="CC196" s="52"/>
      <c r="CD196" s="52" t="s">
        <v>0</v>
      </c>
      <c r="CE196" s="52" t="s">
        <v>2547</v>
      </c>
      <c r="CF196" s="52"/>
      <c r="CG196" s="52" t="s">
        <v>2225</v>
      </c>
      <c r="CH196" s="52" t="s">
        <v>0</v>
      </c>
      <c r="CI196" s="52" t="s">
        <v>0</v>
      </c>
      <c r="CJ196" s="52" t="s">
        <v>4040</v>
      </c>
      <c r="CK196" s="52" t="s">
        <v>2678</v>
      </c>
      <c r="CL196" s="52"/>
      <c r="CM196" s="52"/>
      <c r="CN196" s="52"/>
      <c r="CO196" s="52" t="s">
        <v>2063</v>
      </c>
      <c r="CP196" s="52" t="s">
        <v>2840</v>
      </c>
      <c r="CQ196" s="52"/>
      <c r="CR196" s="52"/>
      <c r="CS196" s="52"/>
      <c r="CT196" s="52"/>
      <c r="CU196" s="52"/>
      <c r="CV196" s="52"/>
      <c r="CW196" s="52" t="s">
        <v>1150</v>
      </c>
      <c r="CX196" s="52"/>
    </row>
    <row r="197" spans="1:102" ht="30" customHeight="1">
      <c r="A197" s="30" t="s">
        <v>162</v>
      </c>
      <c r="B197" s="36" t="s">
        <v>3963</v>
      </c>
      <c r="C197" s="36" t="s">
        <v>803</v>
      </c>
      <c r="D197" s="36" t="s">
        <v>0</v>
      </c>
      <c r="E197" s="36" t="s">
        <v>244</v>
      </c>
      <c r="F197" s="36" t="s">
        <v>0</v>
      </c>
      <c r="G197" s="36" t="s">
        <v>1415</v>
      </c>
      <c r="H197" s="36" t="s">
        <v>5515</v>
      </c>
      <c r="I197" s="36" t="s">
        <v>5515</v>
      </c>
      <c r="J197" s="36" t="s">
        <v>487</v>
      </c>
      <c r="K197" s="36" t="s">
        <v>481</v>
      </c>
      <c r="L197" s="36" t="s">
        <v>487</v>
      </c>
      <c r="M197" s="36" t="s">
        <v>487</v>
      </c>
      <c r="N197" s="36" t="s">
        <v>481</v>
      </c>
      <c r="O197" s="36" t="s">
        <v>487</v>
      </c>
      <c r="P197" s="36" t="s">
        <v>487</v>
      </c>
      <c r="Q197" s="36" t="s">
        <v>3351</v>
      </c>
      <c r="R197" s="36" t="s">
        <v>487</v>
      </c>
      <c r="S197" s="36" t="s">
        <v>4458</v>
      </c>
      <c r="T197" s="36" t="s">
        <v>4459</v>
      </c>
      <c r="U197" s="36" t="s">
        <v>4460</v>
      </c>
      <c r="V197" s="36" t="s">
        <v>5294</v>
      </c>
      <c r="W197" s="36" t="s">
        <v>5886</v>
      </c>
      <c r="X197" s="36" t="s">
        <v>5887</v>
      </c>
      <c r="Y197" s="36" t="s">
        <v>5888</v>
      </c>
      <c r="Z197" s="36" t="s">
        <v>749</v>
      </c>
      <c r="AA197" s="36" t="s">
        <v>4462</v>
      </c>
      <c r="AB197" s="36" t="s">
        <v>4461</v>
      </c>
      <c r="AC197" s="36" t="s">
        <v>4461</v>
      </c>
      <c r="AD197" s="36" t="s">
        <v>379</v>
      </c>
      <c r="AE197" s="122" t="s">
        <v>0</v>
      </c>
      <c r="AF197" s="36" t="s">
        <v>4737</v>
      </c>
      <c r="AG197" s="36" t="s">
        <v>4738</v>
      </c>
      <c r="AH197" s="38" t="s">
        <v>0</v>
      </c>
      <c r="AI197" s="7" t="s">
        <v>111</v>
      </c>
      <c r="AJ197" s="7" t="s">
        <v>111</v>
      </c>
      <c r="AK197" s="7" t="s">
        <v>836</v>
      </c>
      <c r="AL197" s="7" t="s">
        <v>836</v>
      </c>
      <c r="AM197" s="7" t="s">
        <v>111</v>
      </c>
      <c r="AN197" s="7" t="s">
        <v>1819</v>
      </c>
      <c r="AO197" s="7" t="s">
        <v>0</v>
      </c>
      <c r="AP197" s="33" t="s">
        <v>159</v>
      </c>
      <c r="AQ197" s="7" t="s">
        <v>0</v>
      </c>
      <c r="AR197" s="37" t="s">
        <v>1870</v>
      </c>
      <c r="AS197" s="7" t="s">
        <v>0</v>
      </c>
      <c r="AT197" s="37" t="s">
        <v>1870</v>
      </c>
      <c r="AU197" s="36" t="s">
        <v>4580</v>
      </c>
      <c r="AV197" s="36" t="s">
        <v>4580</v>
      </c>
      <c r="AW197" s="37" t="s">
        <v>0</v>
      </c>
      <c r="AX197" s="37" t="s">
        <v>2924</v>
      </c>
      <c r="AY197" s="37" t="s">
        <v>2920</v>
      </c>
      <c r="AZ197" s="36" t="s">
        <v>893</v>
      </c>
      <c r="BA197" s="36" t="s">
        <v>4466</v>
      </c>
      <c r="BB197" s="36" t="s">
        <v>17</v>
      </c>
      <c r="BC197" s="36" t="s">
        <v>17</v>
      </c>
      <c r="BD197" s="36" t="s">
        <v>1941</v>
      </c>
      <c r="BE197" s="38" t="s">
        <v>159</v>
      </c>
      <c r="BF197" s="36" t="s">
        <v>1973</v>
      </c>
      <c r="BG197" s="36" t="s">
        <v>4078</v>
      </c>
      <c r="BH197" s="36" t="s">
        <v>3196</v>
      </c>
      <c r="BI197" s="36" t="s">
        <v>877</v>
      </c>
      <c r="BJ197" s="36" t="s">
        <v>877</v>
      </c>
      <c r="BK197" s="36" t="s">
        <v>1292</v>
      </c>
      <c r="BL197" s="36" t="s">
        <v>1287</v>
      </c>
      <c r="BM197" s="38" t="s">
        <v>0</v>
      </c>
      <c r="BN197" s="38" t="s">
        <v>61</v>
      </c>
      <c r="BO197" s="36" t="s">
        <v>3072</v>
      </c>
      <c r="BP197" s="38" t="s">
        <v>61</v>
      </c>
      <c r="BQ197" s="36" t="s">
        <v>3072</v>
      </c>
      <c r="BR197" s="38" t="s">
        <v>210</v>
      </c>
      <c r="BS197" s="36" t="s">
        <v>604</v>
      </c>
      <c r="BT197" s="36" t="s">
        <v>0</v>
      </c>
      <c r="BU197" s="36" t="s">
        <v>3628</v>
      </c>
      <c r="BV197" s="36" t="s">
        <v>4468</v>
      </c>
      <c r="BW197" s="36" t="s">
        <v>2452</v>
      </c>
      <c r="BX197" s="36" t="s">
        <v>2452</v>
      </c>
      <c r="BY197" s="36" t="s">
        <v>0</v>
      </c>
      <c r="BZ197" s="36" t="s">
        <v>4590</v>
      </c>
      <c r="CA197" s="36" t="s">
        <v>328</v>
      </c>
      <c r="CB197" s="36" t="s">
        <v>329</v>
      </c>
      <c r="CC197" s="36" t="s">
        <v>741</v>
      </c>
      <c r="CD197" s="36" t="s">
        <v>0</v>
      </c>
      <c r="CE197" s="36" t="s">
        <v>518</v>
      </c>
      <c r="CF197" s="36" t="s">
        <v>518</v>
      </c>
      <c r="CG197" s="36" t="s">
        <v>2226</v>
      </c>
      <c r="CH197" s="36" t="s">
        <v>0</v>
      </c>
      <c r="CI197" s="38" t="s">
        <v>0</v>
      </c>
      <c r="CJ197" s="36" t="s">
        <v>4050</v>
      </c>
      <c r="CK197" s="36" t="s">
        <v>2658</v>
      </c>
      <c r="CL197" s="36" t="s">
        <v>609</v>
      </c>
      <c r="CM197" s="36" t="s">
        <v>0</v>
      </c>
      <c r="CN197" s="36" t="s">
        <v>638</v>
      </c>
      <c r="CO197" s="36" t="s">
        <v>2064</v>
      </c>
      <c r="CP197" s="36" t="s">
        <v>4471</v>
      </c>
      <c r="CQ197" s="36" t="s">
        <v>4475</v>
      </c>
      <c r="CR197" s="36" t="s">
        <v>4474</v>
      </c>
      <c r="CS197" s="36" t="s">
        <v>354</v>
      </c>
      <c r="CT197" s="36" t="s">
        <v>354</v>
      </c>
      <c r="CU197" s="36" t="s">
        <v>2068</v>
      </c>
      <c r="CV197" s="36" t="s">
        <v>2068</v>
      </c>
      <c r="CW197" s="36" t="s">
        <v>2841</v>
      </c>
      <c r="CX197" s="36" t="s">
        <v>832</v>
      </c>
    </row>
    <row r="198" spans="1:102" ht="12" customHeight="1">
      <c r="A198" s="51" t="s">
        <v>935</v>
      </c>
      <c r="B198" s="52" t="s">
        <v>3962</v>
      </c>
      <c r="C198" s="52"/>
      <c r="D198" s="52"/>
      <c r="E198" s="52"/>
      <c r="F198" s="52" t="s">
        <v>0</v>
      </c>
      <c r="G198" s="52" t="s">
        <v>1413</v>
      </c>
      <c r="H198" s="52" t="s">
        <v>1413</v>
      </c>
      <c r="I198" s="52" t="s">
        <v>1413</v>
      </c>
      <c r="J198" s="52"/>
      <c r="K198" s="52"/>
      <c r="L198" s="52"/>
      <c r="M198" s="52" t="s">
        <v>1496</v>
      </c>
      <c r="N198" s="52" t="s">
        <v>1582</v>
      </c>
      <c r="O198" s="52" t="s">
        <v>1538</v>
      </c>
      <c r="P198" s="52" t="s">
        <v>3321</v>
      </c>
      <c r="Q198" s="52" t="s">
        <v>3349</v>
      </c>
      <c r="R198" s="52" t="s">
        <v>3407</v>
      </c>
      <c r="S198" s="52" t="s">
        <v>3321</v>
      </c>
      <c r="T198" s="52" t="s">
        <v>3349</v>
      </c>
      <c r="U198" s="52" t="s">
        <v>3407</v>
      </c>
      <c r="V198" s="52" t="s">
        <v>5293</v>
      </c>
      <c r="W198" s="52" t="s">
        <v>3321</v>
      </c>
      <c r="X198" s="52" t="s">
        <v>3349</v>
      </c>
      <c r="Y198" s="52" t="s">
        <v>3407</v>
      </c>
      <c r="Z198" s="52"/>
      <c r="AA198" s="52"/>
      <c r="AB198" s="52"/>
      <c r="AC198" s="52"/>
      <c r="AD198" s="52"/>
      <c r="AE198" s="123" t="s">
        <v>0</v>
      </c>
      <c r="AF198" s="52" t="s">
        <v>4739</v>
      </c>
      <c r="AG198" s="52" t="s">
        <v>4739</v>
      </c>
      <c r="AH198" s="52" t="s">
        <v>0</v>
      </c>
      <c r="AI198" s="52"/>
      <c r="AJ198" s="52"/>
      <c r="AK198" s="52" t="s">
        <v>1712</v>
      </c>
      <c r="AL198" s="52" t="s">
        <v>1712</v>
      </c>
      <c r="AM198" s="52"/>
      <c r="AN198" s="52" t="s">
        <v>1818</v>
      </c>
      <c r="AO198" s="52"/>
      <c r="AP198" s="52"/>
      <c r="AQ198" s="52" t="s">
        <v>0</v>
      </c>
      <c r="AR198" s="52" t="s">
        <v>1869</v>
      </c>
      <c r="AS198" s="52" t="s">
        <v>0</v>
      </c>
      <c r="AT198" s="52" t="s">
        <v>1869</v>
      </c>
      <c r="AU198" s="52"/>
      <c r="AV198" s="52"/>
      <c r="AW198" s="52" t="s">
        <v>0</v>
      </c>
      <c r="AX198" s="52" t="s">
        <v>2929</v>
      </c>
      <c r="AY198" s="52" t="s">
        <v>2931</v>
      </c>
      <c r="AZ198" s="52"/>
      <c r="BA198" s="52" t="s">
        <v>4115</v>
      </c>
      <c r="BB198" s="52"/>
      <c r="BC198" s="52"/>
      <c r="BD198" s="52" t="s">
        <v>1940</v>
      </c>
      <c r="BE198" s="52"/>
      <c r="BF198" s="52" t="s">
        <v>1977</v>
      </c>
      <c r="BG198" s="52" t="s">
        <v>4077</v>
      </c>
      <c r="BH198" s="52" t="s">
        <v>3192</v>
      </c>
      <c r="BI198" s="52"/>
      <c r="BJ198" s="52"/>
      <c r="BK198" s="52" t="s">
        <v>1286</v>
      </c>
      <c r="BL198" s="52" t="s">
        <v>1288</v>
      </c>
      <c r="BM198" s="52"/>
      <c r="BN198" s="52"/>
      <c r="BO198" s="52" t="s">
        <v>4574</v>
      </c>
      <c r="BP198" s="52"/>
      <c r="BQ198" s="52" t="s">
        <v>4574</v>
      </c>
      <c r="BR198" s="52"/>
      <c r="BS198" s="52"/>
      <c r="BT198" s="52" t="s">
        <v>0</v>
      </c>
      <c r="BU198" s="52" t="s">
        <v>3627</v>
      </c>
      <c r="BV198" s="52" t="s">
        <v>3505</v>
      </c>
      <c r="BW198" s="52" t="s">
        <v>2450</v>
      </c>
      <c r="BX198" s="52" t="s">
        <v>2451</v>
      </c>
      <c r="BY198" s="52" t="s">
        <v>2449</v>
      </c>
      <c r="BZ198" s="52" t="s">
        <v>4589</v>
      </c>
      <c r="CA198" s="52"/>
      <c r="CB198" s="52"/>
      <c r="CC198" s="52"/>
      <c r="CD198" s="52" t="s">
        <v>0</v>
      </c>
      <c r="CE198" s="52" t="s">
        <v>2547</v>
      </c>
      <c r="CF198" s="52"/>
      <c r="CG198" s="52" t="s">
        <v>2227</v>
      </c>
      <c r="CH198" s="52" t="s">
        <v>0</v>
      </c>
      <c r="CI198" s="52" t="s">
        <v>0</v>
      </c>
      <c r="CJ198" s="52" t="s">
        <v>4040</v>
      </c>
      <c r="CK198" s="52" t="s">
        <v>2678</v>
      </c>
      <c r="CL198" s="52"/>
      <c r="CM198" s="52"/>
      <c r="CN198" s="52"/>
      <c r="CO198" s="52" t="s">
        <v>2062</v>
      </c>
      <c r="CP198" s="52" t="s">
        <v>2840</v>
      </c>
      <c r="CQ198" s="52"/>
      <c r="CR198" s="52"/>
      <c r="CS198" s="52"/>
      <c r="CT198" s="52"/>
      <c r="CU198" s="52"/>
      <c r="CV198" s="52"/>
      <c r="CW198" s="52" t="s">
        <v>1155</v>
      </c>
      <c r="CX198" s="52"/>
    </row>
    <row r="199" spans="1:102" ht="22.5" customHeight="1">
      <c r="A199" s="30" t="s">
        <v>163</v>
      </c>
      <c r="B199" s="38" t="s">
        <v>0</v>
      </c>
      <c r="C199" s="38" t="s">
        <v>0</v>
      </c>
      <c r="D199" s="38" t="s">
        <v>0</v>
      </c>
      <c r="E199" s="38" t="s">
        <v>0</v>
      </c>
      <c r="F199" s="38" t="s">
        <v>0</v>
      </c>
      <c r="G199" s="38" t="s">
        <v>0</v>
      </c>
      <c r="H199" s="38" t="s">
        <v>0</v>
      </c>
      <c r="I199" s="38" t="s">
        <v>0</v>
      </c>
      <c r="J199" s="38" t="s">
        <v>0</v>
      </c>
      <c r="K199" s="38" t="s">
        <v>0</v>
      </c>
      <c r="L199" s="38" t="s">
        <v>0</v>
      </c>
      <c r="M199" s="38" t="s">
        <v>0</v>
      </c>
      <c r="N199" s="38" t="s">
        <v>0</v>
      </c>
      <c r="O199" s="38" t="s">
        <v>0</v>
      </c>
      <c r="P199" s="38" t="s">
        <v>0</v>
      </c>
      <c r="Q199" s="38" t="s">
        <v>0</v>
      </c>
      <c r="R199" s="38" t="s">
        <v>0</v>
      </c>
      <c r="S199" s="38" t="s">
        <v>0</v>
      </c>
      <c r="T199" s="38" t="s">
        <v>0</v>
      </c>
      <c r="U199" s="38" t="s">
        <v>0</v>
      </c>
      <c r="V199" s="38" t="s">
        <v>0</v>
      </c>
      <c r="W199" s="38" t="s">
        <v>0</v>
      </c>
      <c r="X199" s="38" t="s">
        <v>0</v>
      </c>
      <c r="Y199" s="38" t="s">
        <v>0</v>
      </c>
      <c r="Z199" s="38" t="s">
        <v>0</v>
      </c>
      <c r="AA199" s="36" t="s">
        <v>4464</v>
      </c>
      <c r="AB199" s="36" t="s">
        <v>4465</v>
      </c>
      <c r="AC199" s="36" t="s">
        <v>4465</v>
      </c>
      <c r="AD199" s="38" t="s">
        <v>0</v>
      </c>
      <c r="AE199" s="124" t="s">
        <v>0</v>
      </c>
      <c r="AF199" s="38" t="s">
        <v>0</v>
      </c>
      <c r="AG199" s="38" t="s">
        <v>0</v>
      </c>
      <c r="AH199" s="38" t="s">
        <v>0</v>
      </c>
      <c r="AI199" s="7" t="s">
        <v>111</v>
      </c>
      <c r="AJ199" s="7" t="s">
        <v>111</v>
      </c>
      <c r="AK199" s="7" t="s">
        <v>836</v>
      </c>
      <c r="AL199" s="7" t="s">
        <v>836</v>
      </c>
      <c r="AM199" s="7" t="s">
        <v>0</v>
      </c>
      <c r="AN199" s="7" t="s">
        <v>0</v>
      </c>
      <c r="AO199" s="7" t="s">
        <v>0</v>
      </c>
      <c r="AP199" s="33" t="s">
        <v>0</v>
      </c>
      <c r="AQ199" s="7" t="s">
        <v>0</v>
      </c>
      <c r="AR199" s="7" t="s">
        <v>0</v>
      </c>
      <c r="AS199" s="7" t="s">
        <v>0</v>
      </c>
      <c r="AT199" s="7" t="s">
        <v>0</v>
      </c>
      <c r="AU199" s="36" t="s">
        <v>4463</v>
      </c>
      <c r="AV199" s="36" t="s">
        <v>4463</v>
      </c>
      <c r="AW199" s="37" t="s">
        <v>0</v>
      </c>
      <c r="AX199" s="37" t="s">
        <v>2924</v>
      </c>
      <c r="AY199" s="37" t="s">
        <v>2921</v>
      </c>
      <c r="AZ199" s="38" t="s">
        <v>0</v>
      </c>
      <c r="BA199" s="38" t="s">
        <v>0</v>
      </c>
      <c r="BB199" s="38" t="s">
        <v>17</v>
      </c>
      <c r="BC199" s="38" t="s">
        <v>17</v>
      </c>
      <c r="BD199" s="36" t="s">
        <v>1941</v>
      </c>
      <c r="BE199" s="38" t="s">
        <v>159</v>
      </c>
      <c r="BF199" s="36" t="s">
        <v>1973</v>
      </c>
      <c r="BG199" s="38" t="s">
        <v>0</v>
      </c>
      <c r="BH199" s="36" t="s">
        <v>0</v>
      </c>
      <c r="BI199" s="38" t="s">
        <v>57</v>
      </c>
      <c r="BJ199" s="38" t="s">
        <v>57</v>
      </c>
      <c r="BK199" s="38" t="s">
        <v>0</v>
      </c>
      <c r="BL199" s="38" t="s">
        <v>0</v>
      </c>
      <c r="BM199" s="38" t="s">
        <v>0</v>
      </c>
      <c r="BN199" s="38" t="s">
        <v>0</v>
      </c>
      <c r="BO199" s="36" t="s">
        <v>3072</v>
      </c>
      <c r="BP199" s="38" t="s">
        <v>0</v>
      </c>
      <c r="BQ199" s="36" t="s">
        <v>3072</v>
      </c>
      <c r="BR199" s="38" t="s">
        <v>210</v>
      </c>
      <c r="BS199" s="36" t="s">
        <v>605</v>
      </c>
      <c r="BT199" s="36" t="s">
        <v>0</v>
      </c>
      <c r="BU199" s="36" t="s">
        <v>0</v>
      </c>
      <c r="BV199" s="36" t="s">
        <v>4469</v>
      </c>
      <c r="BW199" s="36" t="s">
        <v>0</v>
      </c>
      <c r="BX199" s="36" t="s">
        <v>0</v>
      </c>
      <c r="BY199" s="36" t="s">
        <v>0</v>
      </c>
      <c r="BZ199" s="36" t="s">
        <v>0</v>
      </c>
      <c r="CA199" s="36" t="s">
        <v>0</v>
      </c>
      <c r="CB199" s="36" t="s">
        <v>0</v>
      </c>
      <c r="CC199" s="36" t="s">
        <v>726</v>
      </c>
      <c r="CD199" s="38" t="s">
        <v>0</v>
      </c>
      <c r="CE199" s="38" t="s">
        <v>0</v>
      </c>
      <c r="CF199" s="38" t="s">
        <v>0</v>
      </c>
      <c r="CG199" s="38" t="s">
        <v>0</v>
      </c>
      <c r="CH199" s="38" t="s">
        <v>0</v>
      </c>
      <c r="CI199" s="38" t="s">
        <v>0</v>
      </c>
      <c r="CJ199" s="38" t="s">
        <v>0</v>
      </c>
      <c r="CK199" s="38" t="s">
        <v>0</v>
      </c>
      <c r="CL199" s="38" t="s">
        <v>0</v>
      </c>
      <c r="CM199" s="38" t="s">
        <v>0</v>
      </c>
      <c r="CN199" s="38" t="s">
        <v>0</v>
      </c>
      <c r="CO199" s="38" t="s">
        <v>0</v>
      </c>
      <c r="CP199" s="36" t="s">
        <v>2843</v>
      </c>
      <c r="CQ199" s="36" t="s">
        <v>4476</v>
      </c>
      <c r="CR199" s="36" t="s">
        <v>4477</v>
      </c>
      <c r="CS199" s="38" t="s">
        <v>0</v>
      </c>
      <c r="CT199" s="38" t="s">
        <v>0</v>
      </c>
      <c r="CU199" s="38" t="s">
        <v>0</v>
      </c>
      <c r="CV199" s="38" t="s">
        <v>0</v>
      </c>
      <c r="CW199" s="38" t="s">
        <v>0</v>
      </c>
      <c r="CX199" s="38" t="s">
        <v>0</v>
      </c>
    </row>
    <row r="200" spans="1:102" ht="12" customHeight="1">
      <c r="A200" s="51" t="s">
        <v>935</v>
      </c>
      <c r="B200" s="52" t="s">
        <v>0</v>
      </c>
      <c r="C200" s="52"/>
      <c r="D200" s="52"/>
      <c r="E200" s="52"/>
      <c r="F200" s="52" t="s">
        <v>0</v>
      </c>
      <c r="G200" s="52" t="s">
        <v>0</v>
      </c>
      <c r="H200" s="52" t="s">
        <v>0</v>
      </c>
      <c r="I200" s="52" t="s">
        <v>0</v>
      </c>
      <c r="J200" s="52"/>
      <c r="K200" s="52"/>
      <c r="L200" s="52"/>
      <c r="M200" s="52" t="s">
        <v>0</v>
      </c>
      <c r="N200" s="52" t="s">
        <v>0</v>
      </c>
      <c r="O200" s="52" t="s">
        <v>0</v>
      </c>
      <c r="P200" s="52" t="s">
        <v>0</v>
      </c>
      <c r="Q200" s="52" t="s">
        <v>0</v>
      </c>
      <c r="R200" s="52" t="s">
        <v>0</v>
      </c>
      <c r="S200" s="52" t="s">
        <v>0</v>
      </c>
      <c r="T200" s="52" t="s">
        <v>0</v>
      </c>
      <c r="U200" s="52" t="s">
        <v>0</v>
      </c>
      <c r="V200" s="52" t="s">
        <v>0</v>
      </c>
      <c r="W200" s="52" t="s">
        <v>0</v>
      </c>
      <c r="X200" s="52" t="s">
        <v>0</v>
      </c>
      <c r="Y200" s="52" t="s">
        <v>0</v>
      </c>
      <c r="Z200" s="52"/>
      <c r="AA200" s="52"/>
      <c r="AB200" s="52"/>
      <c r="AC200" s="52"/>
      <c r="AD200" s="52"/>
      <c r="AE200" s="123" t="s">
        <v>0</v>
      </c>
      <c r="AF200" s="52" t="s">
        <v>0</v>
      </c>
      <c r="AG200" s="52" t="s">
        <v>0</v>
      </c>
      <c r="AH200" s="52" t="s">
        <v>0</v>
      </c>
      <c r="AI200" s="52"/>
      <c r="AJ200" s="52"/>
      <c r="AK200" s="52" t="s">
        <v>1713</v>
      </c>
      <c r="AL200" s="52" t="s">
        <v>1713</v>
      </c>
      <c r="AM200" s="52"/>
      <c r="AN200" s="52" t="s">
        <v>0</v>
      </c>
      <c r="AO200" s="52"/>
      <c r="AP200" s="52"/>
      <c r="AQ200" s="52" t="s">
        <v>0</v>
      </c>
      <c r="AR200" s="52" t="s">
        <v>0</v>
      </c>
      <c r="AS200" s="52" t="s">
        <v>0</v>
      </c>
      <c r="AT200" s="52" t="s">
        <v>0</v>
      </c>
      <c r="AU200" s="52"/>
      <c r="AV200" s="52"/>
      <c r="AW200" s="52" t="s">
        <v>0</v>
      </c>
      <c r="AX200" s="52" t="s">
        <v>2929</v>
      </c>
      <c r="AY200" s="52" t="s">
        <v>2931</v>
      </c>
      <c r="AZ200" s="52"/>
      <c r="BA200" s="52" t="s">
        <v>0</v>
      </c>
      <c r="BB200" s="52"/>
      <c r="BC200" s="52"/>
      <c r="BD200" s="52" t="s">
        <v>1940</v>
      </c>
      <c r="BE200" s="52"/>
      <c r="BF200" s="52" t="s">
        <v>1977</v>
      </c>
      <c r="BG200" s="52" t="s">
        <v>0</v>
      </c>
      <c r="BH200" s="52"/>
      <c r="BI200" s="52"/>
      <c r="BJ200" s="52"/>
      <c r="BK200" s="52" t="s">
        <v>0</v>
      </c>
      <c r="BL200" s="52" t="s">
        <v>0</v>
      </c>
      <c r="BM200" s="52"/>
      <c r="BN200" s="52"/>
      <c r="BO200" s="52" t="s">
        <v>4574</v>
      </c>
      <c r="BP200" s="52"/>
      <c r="BQ200" s="52" t="s">
        <v>4574</v>
      </c>
      <c r="BR200" s="52"/>
      <c r="BS200" s="52"/>
      <c r="BT200" s="52" t="s">
        <v>0</v>
      </c>
      <c r="BU200" s="52" t="s">
        <v>0</v>
      </c>
      <c r="BV200" s="52" t="s">
        <v>4467</v>
      </c>
      <c r="BW200" s="52" t="s">
        <v>0</v>
      </c>
      <c r="BX200" s="52" t="s">
        <v>0</v>
      </c>
      <c r="BY200" s="52" t="s">
        <v>0</v>
      </c>
      <c r="BZ200" s="52" t="s">
        <v>0</v>
      </c>
      <c r="CA200" s="52"/>
      <c r="CB200" s="52"/>
      <c r="CC200" s="52"/>
      <c r="CD200" s="52" t="s">
        <v>0</v>
      </c>
      <c r="CE200" s="52" t="s">
        <v>0</v>
      </c>
      <c r="CF200" s="52"/>
      <c r="CG200" s="52" t="s">
        <v>0</v>
      </c>
      <c r="CH200" s="52" t="s">
        <v>0</v>
      </c>
      <c r="CI200" s="52" t="s">
        <v>0</v>
      </c>
      <c r="CJ200" s="52" t="s">
        <v>0</v>
      </c>
      <c r="CK200" s="52" t="s">
        <v>0</v>
      </c>
      <c r="CL200" s="52"/>
      <c r="CM200" s="52"/>
      <c r="CN200" s="52"/>
      <c r="CO200" s="52" t="s">
        <v>0</v>
      </c>
      <c r="CP200" s="52" t="s">
        <v>2840</v>
      </c>
      <c r="CQ200" s="52"/>
      <c r="CR200" s="52"/>
      <c r="CS200" s="52"/>
      <c r="CT200" s="52"/>
      <c r="CU200" s="52"/>
      <c r="CV200" s="52"/>
      <c r="CW200" s="52" t="s">
        <v>0</v>
      </c>
      <c r="CX200" s="52"/>
    </row>
    <row r="201" spans="1:102" ht="22.5" customHeight="1">
      <c r="A201" s="11" t="s">
        <v>10</v>
      </c>
      <c r="B201" s="36" t="s">
        <v>57</v>
      </c>
      <c r="C201" s="36" t="s">
        <v>57</v>
      </c>
      <c r="D201" s="36" t="s">
        <v>0</v>
      </c>
      <c r="E201" s="36" t="s">
        <v>18</v>
      </c>
      <c r="F201" s="36" t="s">
        <v>0</v>
      </c>
      <c r="G201" s="36" t="s">
        <v>18</v>
      </c>
      <c r="H201" s="36" t="s">
        <v>859</v>
      </c>
      <c r="I201" s="36" t="s">
        <v>18</v>
      </c>
      <c r="J201" s="36" t="s">
        <v>502</v>
      </c>
      <c r="K201" s="36" t="s">
        <v>57</v>
      </c>
      <c r="L201" s="36" t="s">
        <v>488</v>
      </c>
      <c r="M201" s="36" t="s">
        <v>502</v>
      </c>
      <c r="N201" s="36" t="s">
        <v>57</v>
      </c>
      <c r="O201" s="36" t="s">
        <v>488</v>
      </c>
      <c r="P201" s="36" t="s">
        <v>502</v>
      </c>
      <c r="Q201" s="36" t="s">
        <v>57</v>
      </c>
      <c r="R201" s="36" t="s">
        <v>488</v>
      </c>
      <c r="S201" s="36" t="s">
        <v>502</v>
      </c>
      <c r="T201" s="36" t="s">
        <v>57</v>
      </c>
      <c r="U201" s="36" t="s">
        <v>488</v>
      </c>
      <c r="V201" s="36" t="s">
        <v>5889</v>
      </c>
      <c r="W201" s="36" t="s">
        <v>159</v>
      </c>
      <c r="X201" s="36" t="s">
        <v>44</v>
      </c>
      <c r="Y201" s="36" t="s">
        <v>17</v>
      </c>
      <c r="Z201" s="36" t="s">
        <v>210</v>
      </c>
      <c r="AA201" s="36" t="s">
        <v>197</v>
      </c>
      <c r="AB201" s="36" t="s">
        <v>18</v>
      </c>
      <c r="AC201" s="36" t="s">
        <v>18</v>
      </c>
      <c r="AD201" s="36" t="s">
        <v>261</v>
      </c>
      <c r="AE201" s="124" t="s">
        <v>0</v>
      </c>
      <c r="AF201" s="36" t="s">
        <v>210</v>
      </c>
      <c r="AG201" s="36" t="s">
        <v>57</v>
      </c>
      <c r="AH201" s="38" t="s">
        <v>0</v>
      </c>
      <c r="AI201" s="7" t="s">
        <v>432</v>
      </c>
      <c r="AJ201" s="7" t="s">
        <v>432</v>
      </c>
      <c r="AK201" s="7" t="s">
        <v>432</v>
      </c>
      <c r="AL201" s="7" t="s">
        <v>432</v>
      </c>
      <c r="AM201" s="7" t="s">
        <v>111</v>
      </c>
      <c r="AN201" s="7" t="s">
        <v>111</v>
      </c>
      <c r="AO201" s="7" t="s">
        <v>0</v>
      </c>
      <c r="AP201" s="33" t="s">
        <v>0</v>
      </c>
      <c r="AQ201" s="7" t="s">
        <v>0</v>
      </c>
      <c r="AR201" s="7" t="s">
        <v>0</v>
      </c>
      <c r="AS201" s="7" t="s">
        <v>0</v>
      </c>
      <c r="AT201" s="7" t="s">
        <v>0</v>
      </c>
      <c r="AU201" s="38" t="s">
        <v>159</v>
      </c>
      <c r="AV201" s="38" t="s">
        <v>159</v>
      </c>
      <c r="AW201" s="34" t="s">
        <v>0</v>
      </c>
      <c r="AX201" s="37" t="s">
        <v>2974</v>
      </c>
      <c r="AY201" s="37" t="s">
        <v>2918</v>
      </c>
      <c r="AZ201" s="36" t="s">
        <v>892</v>
      </c>
      <c r="BA201" s="36" t="s">
        <v>4127</v>
      </c>
      <c r="BB201" s="38" t="s">
        <v>17</v>
      </c>
      <c r="BC201" s="38" t="s">
        <v>17</v>
      </c>
      <c r="BD201" s="38" t="s">
        <v>17</v>
      </c>
      <c r="BE201" s="38" t="s">
        <v>159</v>
      </c>
      <c r="BF201" s="36" t="s">
        <v>159</v>
      </c>
      <c r="BG201" s="36" t="s">
        <v>4080</v>
      </c>
      <c r="BH201" s="38" t="s">
        <v>17</v>
      </c>
      <c r="BI201" s="38" t="s">
        <v>57</v>
      </c>
      <c r="BJ201" s="38" t="s">
        <v>57</v>
      </c>
      <c r="BK201" s="36" t="s">
        <v>366</v>
      </c>
      <c r="BL201" s="36" t="s">
        <v>366</v>
      </c>
      <c r="BM201" s="36" t="s">
        <v>0</v>
      </c>
      <c r="BN201" s="38" t="s">
        <v>6</v>
      </c>
      <c r="BO201" s="36" t="s">
        <v>111</v>
      </c>
      <c r="BP201" s="38" t="s">
        <v>6</v>
      </c>
      <c r="BQ201" s="36" t="s">
        <v>111</v>
      </c>
      <c r="BR201" s="36" t="s">
        <v>57</v>
      </c>
      <c r="BS201" s="36" t="s">
        <v>57</v>
      </c>
      <c r="BT201" s="36" t="s">
        <v>0</v>
      </c>
      <c r="BU201" s="36" t="s">
        <v>350</v>
      </c>
      <c r="BV201" s="36" t="s">
        <v>57</v>
      </c>
      <c r="BW201" s="36" t="s">
        <v>6</v>
      </c>
      <c r="BX201" s="36" t="s">
        <v>6</v>
      </c>
      <c r="BY201" s="36" t="s">
        <v>0</v>
      </c>
      <c r="BZ201" s="36" t="s">
        <v>4592</v>
      </c>
      <c r="CA201" s="36" t="s">
        <v>330</v>
      </c>
      <c r="CB201" s="36" t="s">
        <v>319</v>
      </c>
      <c r="CC201" s="36" t="s">
        <v>57</v>
      </c>
      <c r="CD201" s="38" t="s">
        <v>111</v>
      </c>
      <c r="CE201" s="38" t="s">
        <v>210</v>
      </c>
      <c r="CF201" s="38" t="s">
        <v>159</v>
      </c>
      <c r="CG201" s="36" t="s">
        <v>197</v>
      </c>
      <c r="CH201" s="36" t="s">
        <v>111</v>
      </c>
      <c r="CI201" s="38" t="s">
        <v>0</v>
      </c>
      <c r="CJ201" s="38" t="s">
        <v>350</v>
      </c>
      <c r="CK201" s="38" t="s">
        <v>210</v>
      </c>
      <c r="CL201" s="38" t="s">
        <v>223</v>
      </c>
      <c r="CM201" s="38" t="s">
        <v>0</v>
      </c>
      <c r="CN201" s="38" t="s">
        <v>6</v>
      </c>
      <c r="CO201" s="38" t="s">
        <v>6</v>
      </c>
      <c r="CP201" s="38" t="s">
        <v>6</v>
      </c>
      <c r="CQ201" s="38" t="s">
        <v>17</v>
      </c>
      <c r="CR201" s="38" t="s">
        <v>26</v>
      </c>
      <c r="CS201" s="38" t="s">
        <v>26</v>
      </c>
      <c r="CT201" s="38" t="s">
        <v>26</v>
      </c>
      <c r="CU201" s="38" t="s">
        <v>26</v>
      </c>
      <c r="CV201" s="38" t="s">
        <v>26</v>
      </c>
      <c r="CW201" s="36" t="s">
        <v>195</v>
      </c>
      <c r="CX201" s="36" t="s">
        <v>833</v>
      </c>
    </row>
    <row r="202" spans="1:102" ht="12" customHeight="1">
      <c r="A202" s="51" t="s">
        <v>935</v>
      </c>
      <c r="B202" s="52" t="s">
        <v>3970</v>
      </c>
      <c r="C202" s="52"/>
      <c r="D202" s="52"/>
      <c r="E202" s="52"/>
      <c r="F202" s="52" t="s">
        <v>0</v>
      </c>
      <c r="G202" s="52" t="s">
        <v>1413</v>
      </c>
      <c r="H202" s="52" t="s">
        <v>1413</v>
      </c>
      <c r="I202" s="52" t="s">
        <v>1413</v>
      </c>
      <c r="J202" s="52"/>
      <c r="K202" s="52"/>
      <c r="L202" s="52"/>
      <c r="M202" s="52" t="s">
        <v>1497</v>
      </c>
      <c r="N202" s="52" t="s">
        <v>1583</v>
      </c>
      <c r="O202" s="52" t="s">
        <v>1539</v>
      </c>
      <c r="P202" s="52" t="s">
        <v>1499</v>
      </c>
      <c r="Q202" s="52" t="s">
        <v>3352</v>
      </c>
      <c r="R202" s="52" t="s">
        <v>3408</v>
      </c>
      <c r="S202" s="52" t="s">
        <v>1499</v>
      </c>
      <c r="T202" s="52" t="s">
        <v>3352</v>
      </c>
      <c r="U202" s="52" t="s">
        <v>3408</v>
      </c>
      <c r="V202" s="52" t="s">
        <v>5295</v>
      </c>
      <c r="W202" s="52" t="s">
        <v>1499</v>
      </c>
      <c r="X202" s="52" t="s">
        <v>1588</v>
      </c>
      <c r="Y202" s="52" t="s">
        <v>3408</v>
      </c>
      <c r="Z202" s="52"/>
      <c r="AA202" s="52"/>
      <c r="AB202" s="52"/>
      <c r="AC202" s="52"/>
      <c r="AD202" s="52"/>
      <c r="AE202" s="123" t="s">
        <v>0</v>
      </c>
      <c r="AF202" s="52" t="s">
        <v>4740</v>
      </c>
      <c r="AG202" s="52" t="s">
        <v>4740</v>
      </c>
      <c r="AH202" s="52" t="s">
        <v>0</v>
      </c>
      <c r="AI202" s="52"/>
      <c r="AJ202" s="52"/>
      <c r="AK202" s="52" t="s">
        <v>1708</v>
      </c>
      <c r="AL202" s="52" t="s">
        <v>1708</v>
      </c>
      <c r="AM202" s="52"/>
      <c r="AN202" s="52" t="s">
        <v>1818</v>
      </c>
      <c r="AO202" s="52"/>
      <c r="AP202" s="52"/>
      <c r="AQ202" s="52" t="s">
        <v>0</v>
      </c>
      <c r="AR202" s="52" t="s">
        <v>0</v>
      </c>
      <c r="AS202" s="52" t="s">
        <v>0</v>
      </c>
      <c r="AT202" s="52" t="s">
        <v>0</v>
      </c>
      <c r="AU202" s="52"/>
      <c r="AV202" s="52"/>
      <c r="AW202" s="52" t="s">
        <v>0</v>
      </c>
      <c r="AX202" s="52" t="s">
        <v>2919</v>
      </c>
      <c r="AY202" s="52" t="s">
        <v>2919</v>
      </c>
      <c r="AZ202" s="52"/>
      <c r="BA202" s="52" t="s">
        <v>4117</v>
      </c>
      <c r="BB202" s="52"/>
      <c r="BC202" s="52"/>
      <c r="BD202" s="52" t="s">
        <v>1936</v>
      </c>
      <c r="BE202" s="52"/>
      <c r="BF202" s="52" t="s">
        <v>1978</v>
      </c>
      <c r="BG202" s="52" t="s">
        <v>4082</v>
      </c>
      <c r="BH202" s="52" t="s">
        <v>3192</v>
      </c>
      <c r="BI202" s="52"/>
      <c r="BJ202" s="52"/>
      <c r="BK202" s="52" t="s">
        <v>1323</v>
      </c>
      <c r="BL202" s="52" t="s">
        <v>1323</v>
      </c>
      <c r="BM202" s="52"/>
      <c r="BN202" s="52"/>
      <c r="BO202" s="52" t="s">
        <v>4576</v>
      </c>
      <c r="BP202" s="52"/>
      <c r="BQ202" s="52" t="s">
        <v>4576</v>
      </c>
      <c r="BR202" s="52"/>
      <c r="BS202" s="52"/>
      <c r="BT202" s="52" t="s">
        <v>0</v>
      </c>
      <c r="BU202" s="52" t="s">
        <v>3631</v>
      </c>
      <c r="BV202" s="52" t="s">
        <v>3499</v>
      </c>
      <c r="BW202" s="52" t="s">
        <v>2454</v>
      </c>
      <c r="BX202" s="52" t="s">
        <v>2454</v>
      </c>
      <c r="BY202" s="52" t="s">
        <v>2453</v>
      </c>
      <c r="BZ202" s="52" t="s">
        <v>4591</v>
      </c>
      <c r="CA202" s="52"/>
      <c r="CB202" s="52"/>
      <c r="CC202" s="52"/>
      <c r="CD202" s="52" t="s">
        <v>2556</v>
      </c>
      <c r="CE202" s="52" t="s">
        <v>2547</v>
      </c>
      <c r="CF202" s="52"/>
      <c r="CG202" s="52" t="s">
        <v>2233</v>
      </c>
      <c r="CH202" s="52" t="s">
        <v>2256</v>
      </c>
      <c r="CI202" s="52" t="s">
        <v>0</v>
      </c>
      <c r="CJ202" s="52" t="s">
        <v>4040</v>
      </c>
      <c r="CK202" s="52" t="s">
        <v>2679</v>
      </c>
      <c r="CL202" s="52"/>
      <c r="CM202" s="52"/>
      <c r="CN202" s="52"/>
      <c r="CO202" s="52" t="s">
        <v>2060</v>
      </c>
      <c r="CP202" s="52" t="s">
        <v>2837</v>
      </c>
      <c r="CQ202" s="52"/>
      <c r="CR202" s="52"/>
      <c r="CS202" s="52"/>
      <c r="CT202" s="52"/>
      <c r="CU202" s="52"/>
      <c r="CV202" s="52"/>
      <c r="CW202" s="52" t="s">
        <v>1155</v>
      </c>
      <c r="CX202" s="52"/>
    </row>
    <row r="203" spans="1:102" ht="22.5" customHeight="1">
      <c r="A203" s="11" t="s">
        <v>164</v>
      </c>
      <c r="B203" s="36" t="s">
        <v>0</v>
      </c>
      <c r="C203" s="36" t="s">
        <v>0</v>
      </c>
      <c r="D203" s="36" t="s">
        <v>0</v>
      </c>
      <c r="E203" s="36" t="s">
        <v>0</v>
      </c>
      <c r="F203" s="36" t="s">
        <v>0</v>
      </c>
      <c r="G203" s="36" t="s">
        <v>0</v>
      </c>
      <c r="H203" s="36" t="s">
        <v>5516</v>
      </c>
      <c r="I203" s="36" t="s">
        <v>5517</v>
      </c>
      <c r="J203" s="36" t="s">
        <v>0</v>
      </c>
      <c r="K203" s="36" t="s">
        <v>0</v>
      </c>
      <c r="L203" s="36" t="s">
        <v>0</v>
      </c>
      <c r="M203" s="36" t="s">
        <v>0</v>
      </c>
      <c r="N203" s="36" t="s">
        <v>1585</v>
      </c>
      <c r="O203" s="36" t="s">
        <v>0</v>
      </c>
      <c r="P203" s="36" t="s">
        <v>0</v>
      </c>
      <c r="Q203" s="36" t="s">
        <v>1585</v>
      </c>
      <c r="R203" s="36" t="s">
        <v>0</v>
      </c>
      <c r="S203" s="36" t="s">
        <v>0</v>
      </c>
      <c r="T203" s="36" t="s">
        <v>1585</v>
      </c>
      <c r="U203" s="36" t="s">
        <v>0</v>
      </c>
      <c r="V203" s="36" t="s">
        <v>0</v>
      </c>
      <c r="W203" s="36" t="s">
        <v>5890</v>
      </c>
      <c r="X203" s="36" t="s">
        <v>5254</v>
      </c>
      <c r="Y203" s="36" t="s">
        <v>5274</v>
      </c>
      <c r="Z203" s="36" t="s">
        <v>0</v>
      </c>
      <c r="AA203" s="36" t="s">
        <v>0</v>
      </c>
      <c r="AB203" s="36" t="s">
        <v>0</v>
      </c>
      <c r="AC203" s="36" t="s">
        <v>0</v>
      </c>
      <c r="AD203" s="36" t="s">
        <v>0</v>
      </c>
      <c r="AE203" s="122" t="s">
        <v>0</v>
      </c>
      <c r="AF203" s="36" t="s">
        <v>4741</v>
      </c>
      <c r="AG203" s="36" t="s">
        <v>4742</v>
      </c>
      <c r="AH203" s="38" t="s">
        <v>0</v>
      </c>
      <c r="AI203" s="7" t="s">
        <v>0</v>
      </c>
      <c r="AJ203" s="33" t="s">
        <v>0</v>
      </c>
      <c r="AK203" s="7" t="s">
        <v>0</v>
      </c>
      <c r="AL203" s="7" t="s">
        <v>0</v>
      </c>
      <c r="AM203" s="34" t="s">
        <v>0</v>
      </c>
      <c r="AN203" s="34" t="s">
        <v>0</v>
      </c>
      <c r="AO203" s="7" t="s">
        <v>0</v>
      </c>
      <c r="AP203" s="33" t="s">
        <v>159</v>
      </c>
      <c r="AQ203" s="7" t="s">
        <v>0</v>
      </c>
      <c r="AR203" s="34" t="s">
        <v>159</v>
      </c>
      <c r="AS203" s="7" t="s">
        <v>0</v>
      </c>
      <c r="AT203" s="34" t="s">
        <v>159</v>
      </c>
      <c r="AU203" s="36" t="s">
        <v>0</v>
      </c>
      <c r="AV203" s="36" t="s">
        <v>0</v>
      </c>
      <c r="AW203" s="34" t="s">
        <v>0</v>
      </c>
      <c r="AX203" s="34" t="s">
        <v>0</v>
      </c>
      <c r="AY203" s="37" t="s">
        <v>2918</v>
      </c>
      <c r="AZ203" s="36" t="s">
        <v>0</v>
      </c>
      <c r="BA203" s="36" t="s">
        <v>0</v>
      </c>
      <c r="BB203" s="36" t="s">
        <v>0</v>
      </c>
      <c r="BC203" s="36" t="s">
        <v>0</v>
      </c>
      <c r="BD203" s="36" t="s">
        <v>1937</v>
      </c>
      <c r="BE203" s="36" t="s">
        <v>0</v>
      </c>
      <c r="BF203" s="36" t="s">
        <v>1972</v>
      </c>
      <c r="BG203" s="38" t="s">
        <v>0</v>
      </c>
      <c r="BH203" s="36" t="s">
        <v>0</v>
      </c>
      <c r="BI203" s="38" t="s">
        <v>57</v>
      </c>
      <c r="BJ203" s="38" t="s">
        <v>57</v>
      </c>
      <c r="BK203" s="36" t="s">
        <v>0</v>
      </c>
      <c r="BL203" s="36" t="s">
        <v>0</v>
      </c>
      <c r="BM203" s="36" t="s">
        <v>0</v>
      </c>
      <c r="BN203" s="38" t="s">
        <v>0</v>
      </c>
      <c r="BO203" s="36" t="s">
        <v>111</v>
      </c>
      <c r="BP203" s="38" t="s">
        <v>0</v>
      </c>
      <c r="BQ203" s="36" t="s">
        <v>111</v>
      </c>
      <c r="BR203" s="36" t="s">
        <v>210</v>
      </c>
      <c r="BS203" s="36" t="s">
        <v>57</v>
      </c>
      <c r="BT203" s="36" t="s">
        <v>0</v>
      </c>
      <c r="BU203" s="36" t="s">
        <v>0</v>
      </c>
      <c r="BV203" s="36" t="s">
        <v>210</v>
      </c>
      <c r="BW203" s="36" t="s">
        <v>0</v>
      </c>
      <c r="BX203" s="36" t="s">
        <v>0</v>
      </c>
      <c r="BY203" s="36" t="s">
        <v>0</v>
      </c>
      <c r="BZ203" s="36" t="s">
        <v>0</v>
      </c>
      <c r="CA203" s="36" t="s">
        <v>0</v>
      </c>
      <c r="CB203" s="36" t="s">
        <v>111</v>
      </c>
      <c r="CC203" s="36" t="s">
        <v>57</v>
      </c>
      <c r="CD203" s="38" t="s">
        <v>0</v>
      </c>
      <c r="CE203" s="38" t="s">
        <v>0</v>
      </c>
      <c r="CF203" s="38" t="s">
        <v>0</v>
      </c>
      <c r="CG203" s="36" t="s">
        <v>0</v>
      </c>
      <c r="CH203" s="36" t="s">
        <v>0</v>
      </c>
      <c r="CI203" s="38" t="s">
        <v>0</v>
      </c>
      <c r="CJ203" s="38" t="s">
        <v>0</v>
      </c>
      <c r="CK203" s="38" t="s">
        <v>0</v>
      </c>
      <c r="CL203" s="38" t="s">
        <v>223</v>
      </c>
      <c r="CM203" s="38" t="s">
        <v>0</v>
      </c>
      <c r="CN203" s="38" t="s">
        <v>0</v>
      </c>
      <c r="CO203" s="38" t="s">
        <v>0</v>
      </c>
      <c r="CP203" s="36" t="s">
        <v>2836</v>
      </c>
      <c r="CQ203" s="38" t="s">
        <v>17</v>
      </c>
      <c r="CR203" s="38" t="s">
        <v>26</v>
      </c>
      <c r="CS203" s="38" t="s">
        <v>0</v>
      </c>
      <c r="CT203" s="38" t="s">
        <v>0</v>
      </c>
      <c r="CU203" s="38" t="s">
        <v>26</v>
      </c>
      <c r="CV203" s="38" t="s">
        <v>26</v>
      </c>
      <c r="CW203" s="36" t="s">
        <v>0</v>
      </c>
      <c r="CX203" s="38" t="s">
        <v>0</v>
      </c>
    </row>
    <row r="204" spans="1:102" ht="12" customHeight="1">
      <c r="A204" s="51" t="s">
        <v>935</v>
      </c>
      <c r="B204" s="52" t="s">
        <v>0</v>
      </c>
      <c r="C204" s="52"/>
      <c r="D204" s="52"/>
      <c r="E204" s="52"/>
      <c r="F204" s="52" t="s">
        <v>0</v>
      </c>
      <c r="G204" s="52" t="s">
        <v>0</v>
      </c>
      <c r="H204" s="52" t="s">
        <v>0</v>
      </c>
      <c r="I204" s="52" t="s">
        <v>0</v>
      </c>
      <c r="J204" s="52"/>
      <c r="K204" s="52"/>
      <c r="L204" s="52"/>
      <c r="M204" s="52" t="s">
        <v>0</v>
      </c>
      <c r="N204" s="52" t="s">
        <v>1584</v>
      </c>
      <c r="O204" s="52" t="s">
        <v>0</v>
      </c>
      <c r="P204" s="52" t="s">
        <v>0</v>
      </c>
      <c r="Q204" s="52" t="s">
        <v>3353</v>
      </c>
      <c r="R204" s="52" t="s">
        <v>0</v>
      </c>
      <c r="S204" s="52" t="s">
        <v>0</v>
      </c>
      <c r="T204" s="52" t="s">
        <v>3353</v>
      </c>
      <c r="U204" s="52" t="s">
        <v>0</v>
      </c>
      <c r="V204" s="52" t="s">
        <v>0</v>
      </c>
      <c r="W204" s="52" t="s">
        <v>1499</v>
      </c>
      <c r="X204" s="52" t="s">
        <v>1588</v>
      </c>
      <c r="Y204" s="52" t="s">
        <v>3408</v>
      </c>
      <c r="Z204" s="52"/>
      <c r="AA204" s="52"/>
      <c r="AB204" s="52"/>
      <c r="AC204" s="52"/>
      <c r="AD204" s="52"/>
      <c r="AE204" s="123" t="s">
        <v>0</v>
      </c>
      <c r="AF204" s="52" t="s">
        <v>4743</v>
      </c>
      <c r="AG204" s="52" t="s">
        <v>4743</v>
      </c>
      <c r="AH204" s="52" t="s">
        <v>0</v>
      </c>
      <c r="AI204" s="52"/>
      <c r="AJ204" s="52"/>
      <c r="AK204" s="52" t="s">
        <v>0</v>
      </c>
      <c r="AL204" s="52" t="s">
        <v>0</v>
      </c>
      <c r="AM204" s="52"/>
      <c r="AN204" s="52" t="s">
        <v>0</v>
      </c>
      <c r="AO204" s="52"/>
      <c r="AP204" s="52"/>
      <c r="AQ204" s="52" t="s">
        <v>0</v>
      </c>
      <c r="AR204" s="52" t="s">
        <v>1864</v>
      </c>
      <c r="AS204" s="52" t="s">
        <v>0</v>
      </c>
      <c r="AT204" s="52" t="s">
        <v>1864</v>
      </c>
      <c r="AU204" s="52"/>
      <c r="AV204" s="52"/>
      <c r="AW204" s="52" t="s">
        <v>0</v>
      </c>
      <c r="AX204" s="52" t="s">
        <v>0</v>
      </c>
      <c r="AY204" s="52" t="s">
        <v>2919</v>
      </c>
      <c r="AZ204" s="52"/>
      <c r="BA204" s="52" t="s">
        <v>0</v>
      </c>
      <c r="BB204" s="52"/>
      <c r="BC204" s="52"/>
      <c r="BD204" s="52" t="s">
        <v>1936</v>
      </c>
      <c r="BE204" s="52"/>
      <c r="BF204" s="52" t="s">
        <v>1978</v>
      </c>
      <c r="BG204" s="52" t="s">
        <v>0</v>
      </c>
      <c r="BH204" s="52"/>
      <c r="BI204" s="52"/>
      <c r="BJ204" s="52"/>
      <c r="BK204" s="52" t="s">
        <v>0</v>
      </c>
      <c r="BL204" s="52" t="s">
        <v>0</v>
      </c>
      <c r="BM204" s="52"/>
      <c r="BN204" s="52"/>
      <c r="BO204" s="52" t="s">
        <v>4576</v>
      </c>
      <c r="BP204" s="52"/>
      <c r="BQ204" s="52" t="s">
        <v>4576</v>
      </c>
      <c r="BR204" s="52"/>
      <c r="BS204" s="52"/>
      <c r="BT204" s="52" t="s">
        <v>0</v>
      </c>
      <c r="BU204" s="52" t="s">
        <v>0</v>
      </c>
      <c r="BV204" s="52" t="s">
        <v>3500</v>
      </c>
      <c r="BW204" s="52" t="s">
        <v>0</v>
      </c>
      <c r="BX204" s="52" t="s">
        <v>0</v>
      </c>
      <c r="BY204" s="52" t="s">
        <v>0</v>
      </c>
      <c r="BZ204" s="52" t="s">
        <v>0</v>
      </c>
      <c r="CA204" s="52"/>
      <c r="CB204" s="52"/>
      <c r="CC204" s="52"/>
      <c r="CD204" s="52" t="s">
        <v>0</v>
      </c>
      <c r="CE204" s="52" t="s">
        <v>0</v>
      </c>
      <c r="CF204" s="52"/>
      <c r="CG204" s="52" t="s">
        <v>0</v>
      </c>
      <c r="CH204" s="52" t="s">
        <v>0</v>
      </c>
      <c r="CI204" s="52" t="s">
        <v>0</v>
      </c>
      <c r="CJ204" s="52" t="s">
        <v>0</v>
      </c>
      <c r="CK204" s="52" t="s">
        <v>0</v>
      </c>
      <c r="CL204" s="52"/>
      <c r="CM204" s="52"/>
      <c r="CN204" s="52"/>
      <c r="CO204" s="52" t="s">
        <v>0</v>
      </c>
      <c r="CP204" s="52" t="s">
        <v>2837</v>
      </c>
      <c r="CQ204" s="52"/>
      <c r="CR204" s="52"/>
      <c r="CS204" s="52"/>
      <c r="CT204" s="52"/>
      <c r="CU204" s="52"/>
      <c r="CV204" s="52"/>
      <c r="CW204" s="52" t="s">
        <v>0</v>
      </c>
      <c r="CX204" s="52"/>
    </row>
    <row r="205" spans="1:102" ht="22.5" customHeight="1">
      <c r="A205" s="11" t="s">
        <v>9</v>
      </c>
      <c r="B205" s="36" t="s">
        <v>0</v>
      </c>
      <c r="C205" s="36" t="s">
        <v>57</v>
      </c>
      <c r="D205" s="36" t="s">
        <v>0</v>
      </c>
      <c r="E205" s="36" t="s">
        <v>212</v>
      </c>
      <c r="F205" s="36" t="s">
        <v>0</v>
      </c>
      <c r="G205" s="36" t="s">
        <v>111</v>
      </c>
      <c r="H205" s="36" t="s">
        <v>208</v>
      </c>
      <c r="I205" s="36" t="s">
        <v>223</v>
      </c>
      <c r="J205" s="36" t="s">
        <v>502</v>
      </c>
      <c r="K205" s="36" t="s">
        <v>57</v>
      </c>
      <c r="L205" s="36" t="s">
        <v>488</v>
      </c>
      <c r="M205" s="36" t="s">
        <v>502</v>
      </c>
      <c r="N205" s="36" t="s">
        <v>57</v>
      </c>
      <c r="O205" s="36" t="s">
        <v>488</v>
      </c>
      <c r="P205" s="36" t="s">
        <v>502</v>
      </c>
      <c r="Q205" s="36" t="s">
        <v>57</v>
      </c>
      <c r="R205" s="36" t="s">
        <v>488</v>
      </c>
      <c r="S205" s="36" t="s">
        <v>502</v>
      </c>
      <c r="T205" s="36" t="s">
        <v>57</v>
      </c>
      <c r="U205" s="36" t="s">
        <v>488</v>
      </c>
      <c r="V205" s="36" t="s">
        <v>5889</v>
      </c>
      <c r="W205" s="36" t="s">
        <v>159</v>
      </c>
      <c r="X205" s="36" t="s">
        <v>44</v>
      </c>
      <c r="Y205" s="36" t="s">
        <v>17</v>
      </c>
      <c r="Z205" s="36" t="s">
        <v>747</v>
      </c>
      <c r="AA205" s="36" t="s">
        <v>197</v>
      </c>
      <c r="AB205" s="36" t="s">
        <v>18</v>
      </c>
      <c r="AC205" s="36" t="s">
        <v>18</v>
      </c>
      <c r="AD205" s="36" t="s">
        <v>261</v>
      </c>
      <c r="AE205" s="124" t="s">
        <v>0</v>
      </c>
      <c r="AF205" s="36" t="s">
        <v>210</v>
      </c>
      <c r="AG205" s="36" t="s">
        <v>57</v>
      </c>
      <c r="AH205" s="38" t="s">
        <v>0</v>
      </c>
      <c r="AI205" s="7" t="s">
        <v>432</v>
      </c>
      <c r="AJ205" s="7" t="s">
        <v>432</v>
      </c>
      <c r="AK205" s="7" t="s">
        <v>432</v>
      </c>
      <c r="AL205" s="7" t="s">
        <v>432</v>
      </c>
      <c r="AM205" s="7" t="s">
        <v>111</v>
      </c>
      <c r="AN205" s="7" t="s">
        <v>111</v>
      </c>
      <c r="AO205" s="7" t="s">
        <v>0</v>
      </c>
      <c r="AP205" s="33" t="s">
        <v>159</v>
      </c>
      <c r="AQ205" s="7" t="s">
        <v>0</v>
      </c>
      <c r="AR205" s="34" t="s">
        <v>159</v>
      </c>
      <c r="AS205" s="7" t="s">
        <v>0</v>
      </c>
      <c r="AT205" s="34" t="s">
        <v>159</v>
      </c>
      <c r="AU205" s="38" t="s">
        <v>159</v>
      </c>
      <c r="AV205" s="38" t="s">
        <v>159</v>
      </c>
      <c r="AW205" s="34" t="s">
        <v>0</v>
      </c>
      <c r="AX205" s="37" t="s">
        <v>2974</v>
      </c>
      <c r="AY205" s="37" t="s">
        <v>2918</v>
      </c>
      <c r="AZ205" s="36" t="s">
        <v>892</v>
      </c>
      <c r="BA205" s="36" t="s">
        <v>4127</v>
      </c>
      <c r="BB205" s="38" t="s">
        <v>17</v>
      </c>
      <c r="BC205" s="38" t="s">
        <v>17</v>
      </c>
      <c r="BD205" s="36" t="s">
        <v>1935</v>
      </c>
      <c r="BE205" s="38" t="s">
        <v>159</v>
      </c>
      <c r="BF205" s="36" t="s">
        <v>515</v>
      </c>
      <c r="BG205" s="36" t="s">
        <v>4081</v>
      </c>
      <c r="BH205" s="36" t="s">
        <v>1935</v>
      </c>
      <c r="BI205" s="38" t="s">
        <v>57</v>
      </c>
      <c r="BJ205" s="38" t="s">
        <v>57</v>
      </c>
      <c r="BK205" s="36" t="s">
        <v>1321</v>
      </c>
      <c r="BL205" s="36" t="s">
        <v>1321</v>
      </c>
      <c r="BM205" s="36" t="s">
        <v>0</v>
      </c>
      <c r="BN205" s="38" t="s">
        <v>27</v>
      </c>
      <c r="BO205" s="36" t="s">
        <v>111</v>
      </c>
      <c r="BP205" s="38" t="s">
        <v>27</v>
      </c>
      <c r="BQ205" s="36" t="s">
        <v>111</v>
      </c>
      <c r="BR205" s="36" t="s">
        <v>57</v>
      </c>
      <c r="BS205" s="36" t="s">
        <v>57</v>
      </c>
      <c r="BT205" s="36" t="s">
        <v>0</v>
      </c>
      <c r="BU205" s="36" t="s">
        <v>827</v>
      </c>
      <c r="BV205" s="36" t="s">
        <v>57</v>
      </c>
      <c r="BW205" s="36" t="s">
        <v>2271</v>
      </c>
      <c r="BX205" s="36" t="s">
        <v>2271</v>
      </c>
      <c r="BY205" s="36" t="s">
        <v>0</v>
      </c>
      <c r="BZ205" s="36" t="s">
        <v>4592</v>
      </c>
      <c r="CA205" s="36" t="s">
        <v>330</v>
      </c>
      <c r="CB205" s="36" t="s">
        <v>319</v>
      </c>
      <c r="CC205" s="36" t="s">
        <v>57</v>
      </c>
      <c r="CD205" s="36" t="s">
        <v>834</v>
      </c>
      <c r="CE205" s="36" t="s">
        <v>747</v>
      </c>
      <c r="CF205" s="38" t="s">
        <v>6</v>
      </c>
      <c r="CG205" s="36" t="s">
        <v>2250</v>
      </c>
      <c r="CH205" s="36" t="s">
        <v>2271</v>
      </c>
      <c r="CI205" s="38" t="s">
        <v>0</v>
      </c>
      <c r="CJ205" s="38" t="s">
        <v>350</v>
      </c>
      <c r="CK205" s="38" t="s">
        <v>350</v>
      </c>
      <c r="CL205" s="38" t="s">
        <v>223</v>
      </c>
      <c r="CM205" s="38" t="s">
        <v>0</v>
      </c>
      <c r="CN205" s="38" t="s">
        <v>6</v>
      </c>
      <c r="CO205" s="38" t="s">
        <v>6</v>
      </c>
      <c r="CP205" s="38" t="s">
        <v>6</v>
      </c>
      <c r="CQ205" s="38" t="s">
        <v>17</v>
      </c>
      <c r="CR205" s="38" t="s">
        <v>26</v>
      </c>
      <c r="CS205" s="38" t="s">
        <v>26</v>
      </c>
      <c r="CT205" s="38" t="s">
        <v>26</v>
      </c>
      <c r="CU205" s="38" t="s">
        <v>26</v>
      </c>
      <c r="CV205" s="38" t="s">
        <v>26</v>
      </c>
      <c r="CW205" s="36" t="s">
        <v>195</v>
      </c>
      <c r="CX205" s="38" t="s">
        <v>111</v>
      </c>
    </row>
    <row r="206" spans="1:102" ht="12" customHeight="1">
      <c r="A206" s="51" t="s">
        <v>935</v>
      </c>
      <c r="B206" s="52" t="s">
        <v>0</v>
      </c>
      <c r="C206" s="52"/>
      <c r="D206" s="52"/>
      <c r="E206" s="52"/>
      <c r="F206" s="52" t="s">
        <v>0</v>
      </c>
      <c r="G206" s="52" t="s">
        <v>1413</v>
      </c>
      <c r="H206" s="52" t="s">
        <v>1413</v>
      </c>
      <c r="I206" s="52" t="s">
        <v>1413</v>
      </c>
      <c r="J206" s="52"/>
      <c r="K206" s="52"/>
      <c r="L206" s="52"/>
      <c r="M206" s="52" t="s">
        <v>1497</v>
      </c>
      <c r="N206" s="52" t="s">
        <v>1583</v>
      </c>
      <c r="O206" s="52" t="s">
        <v>1539</v>
      </c>
      <c r="P206" s="52" t="s">
        <v>1499</v>
      </c>
      <c r="Q206" s="52" t="s">
        <v>3352</v>
      </c>
      <c r="R206" s="52" t="s">
        <v>3408</v>
      </c>
      <c r="S206" s="52" t="s">
        <v>1499</v>
      </c>
      <c r="T206" s="52" t="s">
        <v>3352</v>
      </c>
      <c r="U206" s="52" t="s">
        <v>3408</v>
      </c>
      <c r="V206" s="52" t="s">
        <v>5295</v>
      </c>
      <c r="W206" s="52" t="s">
        <v>1499</v>
      </c>
      <c r="X206" s="52" t="s">
        <v>1588</v>
      </c>
      <c r="Y206" s="52" t="s">
        <v>3408</v>
      </c>
      <c r="Z206" s="52"/>
      <c r="AA206" s="52"/>
      <c r="AB206" s="52"/>
      <c r="AC206" s="52"/>
      <c r="AD206" s="52"/>
      <c r="AE206" s="123" t="s">
        <v>0</v>
      </c>
      <c r="AF206" s="52" t="s">
        <v>4744</v>
      </c>
      <c r="AG206" s="52" t="s">
        <v>4744</v>
      </c>
      <c r="AH206" s="52" t="s">
        <v>0</v>
      </c>
      <c r="AI206" s="52"/>
      <c r="AJ206" s="52"/>
      <c r="AK206" s="52" t="s">
        <v>1709</v>
      </c>
      <c r="AL206" s="52" t="s">
        <v>1709</v>
      </c>
      <c r="AM206" s="52"/>
      <c r="AN206" s="52" t="s">
        <v>1818</v>
      </c>
      <c r="AO206" s="52"/>
      <c r="AP206" s="52"/>
      <c r="AQ206" s="52" t="s">
        <v>0</v>
      </c>
      <c r="AR206" s="52" t="s">
        <v>1862</v>
      </c>
      <c r="AS206" s="52" t="s">
        <v>0</v>
      </c>
      <c r="AT206" s="52" t="s">
        <v>1862</v>
      </c>
      <c r="AU206" s="52"/>
      <c r="AV206" s="52"/>
      <c r="AW206" s="52" t="s">
        <v>0</v>
      </c>
      <c r="AX206" s="52" t="s">
        <v>2919</v>
      </c>
      <c r="AY206" s="52" t="s">
        <v>2919</v>
      </c>
      <c r="AZ206" s="52"/>
      <c r="BA206" s="52" t="s">
        <v>4117</v>
      </c>
      <c r="BB206" s="52"/>
      <c r="BC206" s="52"/>
      <c r="BD206" s="52" t="s">
        <v>1934</v>
      </c>
      <c r="BE206" s="52"/>
      <c r="BF206" s="52" t="s">
        <v>1979</v>
      </c>
      <c r="BG206" s="52" t="s">
        <v>4079</v>
      </c>
      <c r="BH206" s="52" t="s">
        <v>3192</v>
      </c>
      <c r="BI206" s="52"/>
      <c r="BJ206" s="52"/>
      <c r="BK206" s="52" t="s">
        <v>1322</v>
      </c>
      <c r="BL206" s="52" t="s">
        <v>1322</v>
      </c>
      <c r="BM206" s="52"/>
      <c r="BN206" s="52"/>
      <c r="BO206" s="52" t="s">
        <v>4576</v>
      </c>
      <c r="BP206" s="52"/>
      <c r="BQ206" s="52" t="s">
        <v>4576</v>
      </c>
      <c r="BR206" s="52"/>
      <c r="BS206" s="52"/>
      <c r="BT206" s="52" t="s">
        <v>0</v>
      </c>
      <c r="BU206" s="52" t="s">
        <v>3632</v>
      </c>
      <c r="BV206" s="52" t="s">
        <v>3498</v>
      </c>
      <c r="BW206" s="52" t="s">
        <v>2455</v>
      </c>
      <c r="BX206" s="52" t="s">
        <v>2455</v>
      </c>
      <c r="BY206" s="52" t="s">
        <v>2453</v>
      </c>
      <c r="BZ206" s="52" t="s">
        <v>4591</v>
      </c>
      <c r="CA206" s="52"/>
      <c r="CB206" s="52"/>
      <c r="CC206" s="52"/>
      <c r="CD206" s="52" t="s">
        <v>2556</v>
      </c>
      <c r="CE206" s="52" t="s">
        <v>2547</v>
      </c>
      <c r="CF206" s="52"/>
      <c r="CG206" s="52" t="s">
        <v>2249</v>
      </c>
      <c r="CH206" s="52" t="s">
        <v>2270</v>
      </c>
      <c r="CI206" s="52" t="s">
        <v>0</v>
      </c>
      <c r="CJ206" s="52" t="s">
        <v>4040</v>
      </c>
      <c r="CK206" s="52" t="s">
        <v>2656</v>
      </c>
      <c r="CL206" s="52"/>
      <c r="CM206" s="52"/>
      <c r="CN206" s="52"/>
      <c r="CO206" s="52" t="s">
        <v>2060</v>
      </c>
      <c r="CP206" s="52" t="s">
        <v>2837</v>
      </c>
      <c r="CQ206" s="52"/>
      <c r="CR206" s="52"/>
      <c r="CS206" s="52"/>
      <c r="CT206" s="52"/>
      <c r="CU206" s="52"/>
      <c r="CV206" s="52"/>
      <c r="CW206" s="52" t="s">
        <v>1155</v>
      </c>
      <c r="CX206" s="52"/>
    </row>
    <row r="207" spans="1:102" ht="22.5" customHeight="1">
      <c r="A207" s="11" t="s">
        <v>168</v>
      </c>
      <c r="B207" s="36" t="s">
        <v>0</v>
      </c>
      <c r="C207" s="36" t="s">
        <v>0</v>
      </c>
      <c r="D207" s="36" t="s">
        <v>0</v>
      </c>
      <c r="E207" s="36" t="s">
        <v>0</v>
      </c>
      <c r="F207" s="36" t="s">
        <v>0</v>
      </c>
      <c r="G207" s="36" t="s">
        <v>0</v>
      </c>
      <c r="H207" s="36" t="s">
        <v>57</v>
      </c>
      <c r="I207" s="36" t="s">
        <v>57</v>
      </c>
      <c r="J207" s="36" t="s">
        <v>0</v>
      </c>
      <c r="K207" s="36" t="s">
        <v>0</v>
      </c>
      <c r="L207" s="36" t="s">
        <v>0</v>
      </c>
      <c r="M207" s="38" t="s">
        <v>0</v>
      </c>
      <c r="N207" s="38" t="s">
        <v>0</v>
      </c>
      <c r="O207" s="38" t="s">
        <v>0</v>
      </c>
      <c r="P207" s="38" t="s">
        <v>0</v>
      </c>
      <c r="Q207" s="38" t="s">
        <v>0</v>
      </c>
      <c r="R207" s="38" t="s">
        <v>0</v>
      </c>
      <c r="S207" s="38" t="s">
        <v>0</v>
      </c>
      <c r="T207" s="38" t="s">
        <v>0</v>
      </c>
      <c r="U207" s="38" t="s">
        <v>0</v>
      </c>
      <c r="V207" s="38" t="s">
        <v>0</v>
      </c>
      <c r="W207" s="38" t="s">
        <v>0</v>
      </c>
      <c r="X207" s="38" t="s">
        <v>0</v>
      </c>
      <c r="Y207" s="38" t="s">
        <v>0</v>
      </c>
      <c r="Z207" s="36" t="s">
        <v>0</v>
      </c>
      <c r="AA207" s="36" t="s">
        <v>0</v>
      </c>
      <c r="AB207" s="36" t="s">
        <v>0</v>
      </c>
      <c r="AC207" s="36" t="s">
        <v>0</v>
      </c>
      <c r="AD207" s="36" t="s">
        <v>0</v>
      </c>
      <c r="AE207" s="124" t="s">
        <v>0</v>
      </c>
      <c r="AF207" s="36" t="s">
        <v>0</v>
      </c>
      <c r="AG207" s="36" t="s">
        <v>0</v>
      </c>
      <c r="AH207" s="36" t="s">
        <v>0</v>
      </c>
      <c r="AI207" s="7" t="s">
        <v>0</v>
      </c>
      <c r="AJ207" s="33" t="s">
        <v>0</v>
      </c>
      <c r="AK207" s="7" t="s">
        <v>0</v>
      </c>
      <c r="AL207" s="7" t="s">
        <v>0</v>
      </c>
      <c r="AM207" s="34" t="s">
        <v>0</v>
      </c>
      <c r="AN207" s="34" t="s">
        <v>0</v>
      </c>
      <c r="AO207" s="7" t="s">
        <v>0</v>
      </c>
      <c r="AP207" s="33" t="s">
        <v>0</v>
      </c>
      <c r="AQ207" s="7" t="s">
        <v>0</v>
      </c>
      <c r="AR207" s="7" t="s">
        <v>0</v>
      </c>
      <c r="AS207" s="7" t="s">
        <v>0</v>
      </c>
      <c r="AT207" s="7" t="s">
        <v>0</v>
      </c>
      <c r="AU207" s="36" t="s">
        <v>0</v>
      </c>
      <c r="AV207" s="36" t="s">
        <v>0</v>
      </c>
      <c r="AW207" s="34" t="s">
        <v>0</v>
      </c>
      <c r="AX207" s="34" t="s">
        <v>0</v>
      </c>
      <c r="AY207" s="34" t="s">
        <v>0</v>
      </c>
      <c r="AZ207" s="36" t="s">
        <v>0</v>
      </c>
      <c r="BA207" s="36" t="s">
        <v>0</v>
      </c>
      <c r="BB207" s="36" t="s">
        <v>0</v>
      </c>
      <c r="BC207" s="36" t="s">
        <v>0</v>
      </c>
      <c r="BD207" s="38" t="s">
        <v>0</v>
      </c>
      <c r="BE207" s="36" t="s">
        <v>0</v>
      </c>
      <c r="BF207" s="38" t="s">
        <v>0</v>
      </c>
      <c r="BG207" s="38" t="s">
        <v>0</v>
      </c>
      <c r="BH207" s="36" t="s">
        <v>0</v>
      </c>
      <c r="BI207" s="36" t="s">
        <v>0</v>
      </c>
      <c r="BJ207" s="36" t="s">
        <v>0</v>
      </c>
      <c r="BK207" s="36" t="s">
        <v>0</v>
      </c>
      <c r="BL207" s="36" t="s">
        <v>0</v>
      </c>
      <c r="BM207" s="36" t="s">
        <v>0</v>
      </c>
      <c r="BN207" s="38" t="s">
        <v>0</v>
      </c>
      <c r="BO207" s="36" t="s">
        <v>111</v>
      </c>
      <c r="BP207" s="38" t="s">
        <v>0</v>
      </c>
      <c r="BQ207" s="36" t="s">
        <v>111</v>
      </c>
      <c r="BR207" s="36" t="s">
        <v>57</v>
      </c>
      <c r="BS207" s="36" t="s">
        <v>210</v>
      </c>
      <c r="BT207" s="36" t="s">
        <v>0</v>
      </c>
      <c r="BU207" s="36" t="s">
        <v>0</v>
      </c>
      <c r="BV207" s="36" t="s">
        <v>57</v>
      </c>
      <c r="BW207" s="36" t="s">
        <v>0</v>
      </c>
      <c r="BX207" s="36" t="s">
        <v>0</v>
      </c>
      <c r="BY207" s="36" t="s">
        <v>0</v>
      </c>
      <c r="BZ207" s="36" t="s">
        <v>0</v>
      </c>
      <c r="CA207" s="36" t="s">
        <v>0</v>
      </c>
      <c r="CB207" s="36" t="s">
        <v>0</v>
      </c>
      <c r="CC207" s="36" t="s">
        <v>0</v>
      </c>
      <c r="CD207" s="38" t="s">
        <v>0</v>
      </c>
      <c r="CE207" s="38" t="s">
        <v>0</v>
      </c>
      <c r="CF207" s="38" t="s">
        <v>0</v>
      </c>
      <c r="CG207" s="36" t="s">
        <v>0</v>
      </c>
      <c r="CH207" s="36" t="s">
        <v>0</v>
      </c>
      <c r="CI207" s="38" t="s">
        <v>0</v>
      </c>
      <c r="CJ207" s="38" t="s">
        <v>0</v>
      </c>
      <c r="CK207" s="38" t="s">
        <v>0</v>
      </c>
      <c r="CL207" s="38" t="s">
        <v>0</v>
      </c>
      <c r="CM207" s="38" t="s">
        <v>0</v>
      </c>
      <c r="CN207" s="38" t="s">
        <v>0</v>
      </c>
      <c r="CO207" s="38" t="s">
        <v>0</v>
      </c>
      <c r="CP207" s="38" t="s">
        <v>6</v>
      </c>
      <c r="CQ207" s="38" t="s">
        <v>0</v>
      </c>
      <c r="CR207" s="38" t="s">
        <v>0</v>
      </c>
      <c r="CS207" s="38" t="s">
        <v>0</v>
      </c>
      <c r="CT207" s="38" t="s">
        <v>0</v>
      </c>
      <c r="CU207" s="38" t="s">
        <v>0</v>
      </c>
      <c r="CV207" s="38" t="s">
        <v>0</v>
      </c>
      <c r="CW207" s="36" t="s">
        <v>1163</v>
      </c>
      <c r="CX207" s="38" t="s">
        <v>0</v>
      </c>
    </row>
    <row r="208" spans="1:102" ht="12" customHeight="1">
      <c r="A208" s="51" t="s">
        <v>935</v>
      </c>
      <c r="B208" s="52" t="s">
        <v>0</v>
      </c>
      <c r="C208" s="52"/>
      <c r="D208" s="52"/>
      <c r="E208" s="52"/>
      <c r="F208" s="52" t="s">
        <v>0</v>
      </c>
      <c r="G208" s="52" t="s">
        <v>0</v>
      </c>
      <c r="H208" s="52" t="s">
        <v>5518</v>
      </c>
      <c r="I208" s="52" t="s">
        <v>5518</v>
      </c>
      <c r="J208" s="52"/>
      <c r="K208" s="52"/>
      <c r="L208" s="52"/>
      <c r="M208" s="52" t="s">
        <v>0</v>
      </c>
      <c r="N208" s="52" t="s">
        <v>0</v>
      </c>
      <c r="O208" s="52" t="s">
        <v>0</v>
      </c>
      <c r="P208" s="52" t="s">
        <v>0</v>
      </c>
      <c r="Q208" s="52" t="s">
        <v>0</v>
      </c>
      <c r="R208" s="52" t="s">
        <v>0</v>
      </c>
      <c r="S208" s="52" t="s">
        <v>0</v>
      </c>
      <c r="T208" s="52" t="s">
        <v>0</v>
      </c>
      <c r="U208" s="52" t="s">
        <v>0</v>
      </c>
      <c r="V208" s="52" t="s">
        <v>0</v>
      </c>
      <c r="W208" s="52" t="s">
        <v>0</v>
      </c>
      <c r="X208" s="52" t="s">
        <v>0</v>
      </c>
      <c r="Y208" s="52" t="s">
        <v>0</v>
      </c>
      <c r="Z208" s="52"/>
      <c r="AA208" s="52"/>
      <c r="AB208" s="52"/>
      <c r="AC208" s="52"/>
      <c r="AD208" s="52"/>
      <c r="AE208" s="123" t="s">
        <v>0</v>
      </c>
      <c r="AF208" s="52" t="s">
        <v>0</v>
      </c>
      <c r="AG208" s="52" t="s">
        <v>0</v>
      </c>
      <c r="AH208" s="52" t="s">
        <v>0</v>
      </c>
      <c r="AI208" s="52"/>
      <c r="AJ208" s="52"/>
      <c r="AK208" s="52" t="s">
        <v>0</v>
      </c>
      <c r="AL208" s="52" t="s">
        <v>0</v>
      </c>
      <c r="AM208" s="52"/>
      <c r="AN208" s="52" t="s">
        <v>0</v>
      </c>
      <c r="AO208" s="52"/>
      <c r="AP208" s="52"/>
      <c r="AQ208" s="52" t="s">
        <v>0</v>
      </c>
      <c r="AR208" s="52" t="s">
        <v>0</v>
      </c>
      <c r="AS208" s="52" t="s">
        <v>0</v>
      </c>
      <c r="AT208" s="52" t="s">
        <v>0</v>
      </c>
      <c r="AU208" s="52"/>
      <c r="AV208" s="52"/>
      <c r="AW208" s="52" t="s">
        <v>0</v>
      </c>
      <c r="AX208" s="52" t="s">
        <v>0</v>
      </c>
      <c r="AY208" s="52" t="s">
        <v>0</v>
      </c>
      <c r="AZ208" s="52"/>
      <c r="BA208" s="52" t="s">
        <v>0</v>
      </c>
      <c r="BB208" s="52"/>
      <c r="BC208" s="52"/>
      <c r="BD208" s="52" t="s">
        <v>0</v>
      </c>
      <c r="BE208" s="52"/>
      <c r="BF208" s="52" t="s">
        <v>0</v>
      </c>
      <c r="BG208" s="52" t="s">
        <v>0</v>
      </c>
      <c r="BH208" s="52"/>
      <c r="BI208" s="52"/>
      <c r="BJ208" s="52"/>
      <c r="BK208" s="52" t="s">
        <v>0</v>
      </c>
      <c r="BL208" s="52" t="s">
        <v>0</v>
      </c>
      <c r="BM208" s="52"/>
      <c r="BN208" s="52"/>
      <c r="BO208" s="52" t="s">
        <v>4576</v>
      </c>
      <c r="BP208" s="52"/>
      <c r="BQ208" s="52" t="s">
        <v>4576</v>
      </c>
      <c r="BR208" s="52"/>
      <c r="BS208" s="52"/>
      <c r="BT208" s="52" t="s">
        <v>0</v>
      </c>
      <c r="BU208" s="52" t="s">
        <v>0</v>
      </c>
      <c r="BV208" s="52" t="s">
        <v>3501</v>
      </c>
      <c r="BW208" s="52" t="s">
        <v>0</v>
      </c>
      <c r="BX208" s="52" t="s">
        <v>0</v>
      </c>
      <c r="BY208" s="52" t="s">
        <v>0</v>
      </c>
      <c r="BZ208" s="52" t="s">
        <v>0</v>
      </c>
      <c r="CA208" s="52"/>
      <c r="CB208" s="52"/>
      <c r="CC208" s="52"/>
      <c r="CD208" s="52" t="s">
        <v>0</v>
      </c>
      <c r="CE208" s="52" t="s">
        <v>0</v>
      </c>
      <c r="CF208" s="52"/>
      <c r="CG208" s="52" t="s">
        <v>0</v>
      </c>
      <c r="CH208" s="52" t="s">
        <v>0</v>
      </c>
      <c r="CI208" s="52" t="s">
        <v>0</v>
      </c>
      <c r="CJ208" s="52" t="s">
        <v>0</v>
      </c>
      <c r="CK208" s="52" t="s">
        <v>0</v>
      </c>
      <c r="CL208" s="52"/>
      <c r="CM208" s="52"/>
      <c r="CN208" s="52"/>
      <c r="CO208" s="52" t="s">
        <v>0</v>
      </c>
      <c r="CP208" s="52" t="s">
        <v>2837</v>
      </c>
      <c r="CQ208" s="52"/>
      <c r="CR208" s="52"/>
      <c r="CS208" s="52"/>
      <c r="CT208" s="52"/>
      <c r="CU208" s="52"/>
      <c r="CV208" s="52"/>
      <c r="CW208" s="52" t="s">
        <v>1164</v>
      </c>
      <c r="CX208" s="52"/>
    </row>
    <row r="209" spans="1:102" ht="22.5" customHeight="1">
      <c r="A209" s="11" t="s">
        <v>169</v>
      </c>
      <c r="B209" s="36" t="s">
        <v>57</v>
      </c>
      <c r="C209" s="36" t="s">
        <v>57</v>
      </c>
      <c r="D209" s="36" t="s">
        <v>0</v>
      </c>
      <c r="E209" s="36" t="s">
        <v>0</v>
      </c>
      <c r="F209" s="36" t="s">
        <v>0</v>
      </c>
      <c r="G209" s="36" t="s">
        <v>0</v>
      </c>
      <c r="H209" s="36" t="s">
        <v>57</v>
      </c>
      <c r="I209" s="36" t="s">
        <v>57</v>
      </c>
      <c r="J209" s="36" t="s">
        <v>0</v>
      </c>
      <c r="K209" s="36" t="s">
        <v>0</v>
      </c>
      <c r="L209" s="36" t="s">
        <v>0</v>
      </c>
      <c r="M209" s="38" t="s">
        <v>0</v>
      </c>
      <c r="N209" s="38" t="s">
        <v>0</v>
      </c>
      <c r="O209" s="38" t="s">
        <v>0</v>
      </c>
      <c r="P209" s="38" t="s">
        <v>0</v>
      </c>
      <c r="Q209" s="38" t="s">
        <v>0</v>
      </c>
      <c r="R209" s="38" t="s">
        <v>0</v>
      </c>
      <c r="S209" s="38" t="s">
        <v>0</v>
      </c>
      <c r="T209" s="38" t="s">
        <v>0</v>
      </c>
      <c r="U209" s="38" t="s">
        <v>0</v>
      </c>
      <c r="V209" s="38" t="s">
        <v>0</v>
      </c>
      <c r="W209" s="38" t="s">
        <v>0</v>
      </c>
      <c r="X209" s="38" t="s">
        <v>0</v>
      </c>
      <c r="Y209" s="38" t="s">
        <v>0</v>
      </c>
      <c r="Z209" s="36" t="s">
        <v>0</v>
      </c>
      <c r="AA209" s="36" t="s">
        <v>0</v>
      </c>
      <c r="AB209" s="36" t="s">
        <v>0</v>
      </c>
      <c r="AC209" s="36" t="s">
        <v>0</v>
      </c>
      <c r="AD209" s="36" t="s">
        <v>0</v>
      </c>
      <c r="AE209" s="124" t="s">
        <v>0</v>
      </c>
      <c r="AF209" s="36" t="s">
        <v>210</v>
      </c>
      <c r="AG209" s="36" t="s">
        <v>57</v>
      </c>
      <c r="AH209" s="38" t="s">
        <v>0</v>
      </c>
      <c r="AI209" s="7" t="s">
        <v>0</v>
      </c>
      <c r="AJ209" s="33" t="s">
        <v>0</v>
      </c>
      <c r="AK209" s="7" t="s">
        <v>0</v>
      </c>
      <c r="AL209" s="7" t="s">
        <v>0</v>
      </c>
      <c r="AM209" s="34" t="s">
        <v>0</v>
      </c>
      <c r="AN209" s="34" t="s">
        <v>0</v>
      </c>
      <c r="AO209" s="7" t="s">
        <v>0</v>
      </c>
      <c r="AP209" s="33" t="s">
        <v>0</v>
      </c>
      <c r="AQ209" s="7" t="s">
        <v>0</v>
      </c>
      <c r="AR209" s="7" t="s">
        <v>0</v>
      </c>
      <c r="AS209" s="7" t="s">
        <v>0</v>
      </c>
      <c r="AT209" s="7" t="s">
        <v>0</v>
      </c>
      <c r="AU209" s="36" t="s">
        <v>0</v>
      </c>
      <c r="AV209" s="36" t="s">
        <v>0</v>
      </c>
      <c r="AW209" s="34" t="s">
        <v>0</v>
      </c>
      <c r="AX209" s="34" t="s">
        <v>0</v>
      </c>
      <c r="AY209" s="37" t="s">
        <v>2918</v>
      </c>
      <c r="AZ209" s="36" t="s">
        <v>0</v>
      </c>
      <c r="BA209" s="36" t="s">
        <v>0</v>
      </c>
      <c r="BB209" s="38" t="s">
        <v>17</v>
      </c>
      <c r="BC209" s="38" t="s">
        <v>17</v>
      </c>
      <c r="BD209" s="38" t="s">
        <v>17</v>
      </c>
      <c r="BE209" s="38" t="s">
        <v>159</v>
      </c>
      <c r="BF209" s="36" t="s">
        <v>159</v>
      </c>
      <c r="BG209" s="38" t="s">
        <v>0</v>
      </c>
      <c r="BH209" s="36" t="s">
        <v>0</v>
      </c>
      <c r="BI209" s="36" t="s">
        <v>0</v>
      </c>
      <c r="BJ209" s="36" t="s">
        <v>0</v>
      </c>
      <c r="BK209" s="36" t="s">
        <v>0</v>
      </c>
      <c r="BL209" s="36" t="s">
        <v>0</v>
      </c>
      <c r="BM209" s="36" t="s">
        <v>0</v>
      </c>
      <c r="BN209" s="38" t="s">
        <v>0</v>
      </c>
      <c r="BO209" s="36" t="s">
        <v>111</v>
      </c>
      <c r="BP209" s="38" t="s">
        <v>0</v>
      </c>
      <c r="BQ209" s="36" t="s">
        <v>111</v>
      </c>
      <c r="BR209" s="36" t="s">
        <v>0</v>
      </c>
      <c r="BS209" s="36" t="s">
        <v>0</v>
      </c>
      <c r="BT209" s="36" t="s">
        <v>0</v>
      </c>
      <c r="BU209" s="36" t="s">
        <v>0</v>
      </c>
      <c r="BV209" s="36" t="s">
        <v>0</v>
      </c>
      <c r="BW209" s="36" t="s">
        <v>0</v>
      </c>
      <c r="BX209" s="36" t="s">
        <v>0</v>
      </c>
      <c r="BY209" s="36" t="s">
        <v>0</v>
      </c>
      <c r="BZ209" s="36" t="s">
        <v>0</v>
      </c>
      <c r="CA209" s="36" t="s">
        <v>0</v>
      </c>
      <c r="CB209" s="36" t="s">
        <v>0</v>
      </c>
      <c r="CC209" s="36" t="s">
        <v>0</v>
      </c>
      <c r="CD209" s="38" t="s">
        <v>0</v>
      </c>
      <c r="CE209" s="38" t="s">
        <v>0</v>
      </c>
      <c r="CF209" s="38" t="s">
        <v>0</v>
      </c>
      <c r="CG209" s="36" t="s">
        <v>0</v>
      </c>
      <c r="CH209" s="36" t="s">
        <v>0</v>
      </c>
      <c r="CI209" s="38" t="s">
        <v>0</v>
      </c>
      <c r="CJ209" s="38" t="s">
        <v>0</v>
      </c>
      <c r="CK209" s="38" t="s">
        <v>0</v>
      </c>
      <c r="CL209" s="38" t="s">
        <v>0</v>
      </c>
      <c r="CM209" s="38" t="s">
        <v>0</v>
      </c>
      <c r="CN209" s="38" t="s">
        <v>0</v>
      </c>
      <c r="CO209" s="38" t="s">
        <v>0</v>
      </c>
      <c r="CP209" s="38" t="s">
        <v>6</v>
      </c>
      <c r="CQ209" s="36" t="s">
        <v>710</v>
      </c>
      <c r="CR209" s="36" t="s">
        <v>709</v>
      </c>
      <c r="CS209" s="38" t="s">
        <v>0</v>
      </c>
      <c r="CT209" s="38" t="s">
        <v>0</v>
      </c>
      <c r="CU209" s="38" t="s">
        <v>0</v>
      </c>
      <c r="CV209" s="38" t="s">
        <v>0</v>
      </c>
      <c r="CW209" s="36" t="s">
        <v>0</v>
      </c>
      <c r="CX209" s="39" t="s">
        <v>0</v>
      </c>
    </row>
    <row r="210" spans="1:102" ht="12" customHeight="1">
      <c r="A210" s="51" t="s">
        <v>935</v>
      </c>
      <c r="B210" s="52" t="s">
        <v>3999</v>
      </c>
      <c r="C210" s="52"/>
      <c r="D210" s="52"/>
      <c r="E210" s="52"/>
      <c r="F210" s="52" t="s">
        <v>0</v>
      </c>
      <c r="G210" s="52" t="s">
        <v>0</v>
      </c>
      <c r="H210" s="52" t="s">
        <v>5518</v>
      </c>
      <c r="I210" s="52" t="s">
        <v>5518</v>
      </c>
      <c r="J210" s="52"/>
      <c r="K210" s="52"/>
      <c r="L210" s="52"/>
      <c r="M210" s="52" t="s">
        <v>0</v>
      </c>
      <c r="N210" s="52" t="s">
        <v>0</v>
      </c>
      <c r="O210" s="52" t="s">
        <v>0</v>
      </c>
      <c r="P210" s="52" t="s">
        <v>0</v>
      </c>
      <c r="Q210" s="52" t="s">
        <v>0</v>
      </c>
      <c r="R210" s="52" t="s">
        <v>0</v>
      </c>
      <c r="S210" s="52" t="s">
        <v>0</v>
      </c>
      <c r="T210" s="52" t="s">
        <v>0</v>
      </c>
      <c r="U210" s="52" t="s">
        <v>0</v>
      </c>
      <c r="V210" s="52" t="s">
        <v>0</v>
      </c>
      <c r="W210" s="52" t="s">
        <v>0</v>
      </c>
      <c r="X210" s="52" t="s">
        <v>0</v>
      </c>
      <c r="Y210" s="52" t="s">
        <v>0</v>
      </c>
      <c r="Z210" s="52"/>
      <c r="AA210" s="52"/>
      <c r="AB210" s="52"/>
      <c r="AC210" s="52"/>
      <c r="AD210" s="52"/>
      <c r="AE210" s="123" t="s">
        <v>0</v>
      </c>
      <c r="AF210" s="52" t="s">
        <v>4740</v>
      </c>
      <c r="AG210" s="52" t="s">
        <v>4745</v>
      </c>
      <c r="AH210" s="52" t="s">
        <v>0</v>
      </c>
      <c r="AI210" s="52"/>
      <c r="AJ210" s="52"/>
      <c r="AK210" s="52" t="s">
        <v>0</v>
      </c>
      <c r="AL210" s="52" t="s">
        <v>0</v>
      </c>
      <c r="AM210" s="52"/>
      <c r="AN210" s="52" t="s">
        <v>0</v>
      </c>
      <c r="AO210" s="52"/>
      <c r="AP210" s="52"/>
      <c r="AQ210" s="52" t="s">
        <v>0</v>
      </c>
      <c r="AR210" s="52" t="s">
        <v>0</v>
      </c>
      <c r="AS210" s="52" t="s">
        <v>0</v>
      </c>
      <c r="AT210" s="52" t="s">
        <v>0</v>
      </c>
      <c r="AU210" s="52"/>
      <c r="AV210" s="52"/>
      <c r="AW210" s="52" t="s">
        <v>0</v>
      </c>
      <c r="AX210" s="52" t="s">
        <v>0</v>
      </c>
      <c r="AY210" s="52" t="s">
        <v>2919</v>
      </c>
      <c r="AZ210" s="52"/>
      <c r="BA210" s="52" t="s">
        <v>0</v>
      </c>
      <c r="BB210" s="52"/>
      <c r="BC210" s="52"/>
      <c r="BD210" s="52" t="s">
        <v>1933</v>
      </c>
      <c r="BE210" s="52"/>
      <c r="BF210" s="52" t="s">
        <v>1980</v>
      </c>
      <c r="BG210" s="52" t="s">
        <v>0</v>
      </c>
      <c r="BH210" s="52"/>
      <c r="BI210" s="52"/>
      <c r="BJ210" s="52"/>
      <c r="BK210" s="52" t="s">
        <v>0</v>
      </c>
      <c r="BL210" s="52" t="s">
        <v>0</v>
      </c>
      <c r="BM210" s="52"/>
      <c r="BN210" s="52"/>
      <c r="BO210" s="52" t="s">
        <v>4576</v>
      </c>
      <c r="BP210" s="52"/>
      <c r="BQ210" s="52" t="s">
        <v>4576</v>
      </c>
      <c r="BR210" s="52"/>
      <c r="BS210" s="52"/>
      <c r="BT210" s="52" t="s">
        <v>0</v>
      </c>
      <c r="BU210" s="52" t="s">
        <v>0</v>
      </c>
      <c r="BV210" s="52" t="s">
        <v>0</v>
      </c>
      <c r="BW210" s="52" t="s">
        <v>0</v>
      </c>
      <c r="BX210" s="52" t="s">
        <v>0</v>
      </c>
      <c r="BY210" s="52" t="s">
        <v>0</v>
      </c>
      <c r="BZ210" s="52" t="s">
        <v>0</v>
      </c>
      <c r="CA210" s="52"/>
      <c r="CB210" s="52"/>
      <c r="CC210" s="52"/>
      <c r="CD210" s="52" t="s">
        <v>0</v>
      </c>
      <c r="CE210" s="52" t="s">
        <v>0</v>
      </c>
      <c r="CF210" s="52"/>
      <c r="CG210" s="52" t="s">
        <v>0</v>
      </c>
      <c r="CH210" s="52" t="s">
        <v>0</v>
      </c>
      <c r="CI210" s="52" t="s">
        <v>0</v>
      </c>
      <c r="CJ210" s="52" t="s">
        <v>0</v>
      </c>
      <c r="CK210" s="52" t="s">
        <v>0</v>
      </c>
      <c r="CL210" s="52"/>
      <c r="CM210" s="52"/>
      <c r="CN210" s="52"/>
      <c r="CO210" s="52" t="s">
        <v>0</v>
      </c>
      <c r="CP210" s="52" t="s">
        <v>2837</v>
      </c>
      <c r="CQ210" s="52"/>
      <c r="CR210" s="52"/>
      <c r="CS210" s="52"/>
      <c r="CT210" s="52"/>
      <c r="CU210" s="52"/>
      <c r="CV210" s="52"/>
      <c r="CW210" s="52" t="s">
        <v>0</v>
      </c>
      <c r="CX210" s="52"/>
    </row>
    <row r="211" spans="1:102" ht="45" customHeight="1">
      <c r="A211" s="11" t="s">
        <v>170</v>
      </c>
      <c r="B211" s="36" t="s">
        <v>0</v>
      </c>
      <c r="C211" s="36" t="s">
        <v>0</v>
      </c>
      <c r="D211" s="36" t="s">
        <v>0</v>
      </c>
      <c r="E211" s="36" t="s">
        <v>0</v>
      </c>
      <c r="F211" s="36" t="s">
        <v>0</v>
      </c>
      <c r="G211" s="36" t="s">
        <v>0</v>
      </c>
      <c r="H211" s="36" t="s">
        <v>57</v>
      </c>
      <c r="I211" s="36" t="s">
        <v>57</v>
      </c>
      <c r="J211" s="36" t="s">
        <v>0</v>
      </c>
      <c r="K211" s="36" t="s">
        <v>0</v>
      </c>
      <c r="L211" s="36" t="s">
        <v>0</v>
      </c>
      <c r="M211" s="36" t="s">
        <v>0</v>
      </c>
      <c r="N211" s="36" t="s">
        <v>1587</v>
      </c>
      <c r="O211" s="36" t="s">
        <v>0</v>
      </c>
      <c r="P211" s="36" t="s">
        <v>0</v>
      </c>
      <c r="Q211" s="36" t="s">
        <v>1587</v>
      </c>
      <c r="R211" s="36" t="s">
        <v>0</v>
      </c>
      <c r="S211" s="36" t="s">
        <v>0</v>
      </c>
      <c r="T211" s="36" t="s">
        <v>1587</v>
      </c>
      <c r="U211" s="36" t="s">
        <v>0</v>
      </c>
      <c r="V211" s="38" t="s">
        <v>0</v>
      </c>
      <c r="W211" s="38" t="s">
        <v>0</v>
      </c>
      <c r="X211" s="36" t="s">
        <v>1587</v>
      </c>
      <c r="Y211" s="38" t="s">
        <v>0</v>
      </c>
      <c r="Z211" s="36" t="s">
        <v>0</v>
      </c>
      <c r="AA211" s="36" t="s">
        <v>0</v>
      </c>
      <c r="AB211" s="36" t="s">
        <v>0</v>
      </c>
      <c r="AC211" s="36" t="s">
        <v>0</v>
      </c>
      <c r="AD211" s="36" t="s">
        <v>0</v>
      </c>
      <c r="AE211" s="122" t="s">
        <v>0</v>
      </c>
      <c r="AF211" s="36" t="s">
        <v>0</v>
      </c>
      <c r="AG211" s="36" t="s">
        <v>0</v>
      </c>
      <c r="AH211" s="36" t="s">
        <v>0</v>
      </c>
      <c r="AI211" s="7" t="s">
        <v>0</v>
      </c>
      <c r="AJ211" s="33" t="s">
        <v>0</v>
      </c>
      <c r="AK211" s="7" t="s">
        <v>1715</v>
      </c>
      <c r="AL211" s="7" t="s">
        <v>1715</v>
      </c>
      <c r="AM211" s="34" t="s">
        <v>0</v>
      </c>
      <c r="AN211" s="34" t="s">
        <v>0</v>
      </c>
      <c r="AO211" s="7" t="s">
        <v>0</v>
      </c>
      <c r="AP211" s="33" t="s">
        <v>0</v>
      </c>
      <c r="AQ211" s="7" t="s">
        <v>0</v>
      </c>
      <c r="AR211" s="7" t="s">
        <v>0</v>
      </c>
      <c r="AS211" s="7" t="s">
        <v>0</v>
      </c>
      <c r="AT211" s="7" t="s">
        <v>0</v>
      </c>
      <c r="AU211" s="36" t="s">
        <v>0</v>
      </c>
      <c r="AV211" s="36" t="s">
        <v>0</v>
      </c>
      <c r="AW211" s="34" t="s">
        <v>0</v>
      </c>
      <c r="AX211" s="34" t="s">
        <v>0</v>
      </c>
      <c r="AY211" s="34" t="s">
        <v>0</v>
      </c>
      <c r="AZ211" s="36" t="s">
        <v>0</v>
      </c>
      <c r="BA211" s="36" t="s">
        <v>4502</v>
      </c>
      <c r="BB211" s="36" t="s">
        <v>0</v>
      </c>
      <c r="BC211" s="36" t="s">
        <v>0</v>
      </c>
      <c r="BD211" s="38" t="s">
        <v>0</v>
      </c>
      <c r="BE211" s="36" t="s">
        <v>0</v>
      </c>
      <c r="BF211" s="38" t="s">
        <v>0</v>
      </c>
      <c r="BG211" s="38" t="s">
        <v>0</v>
      </c>
      <c r="BH211" s="36" t="s">
        <v>0</v>
      </c>
      <c r="BI211" s="36" t="s">
        <v>0</v>
      </c>
      <c r="BJ211" s="36" t="s">
        <v>0</v>
      </c>
      <c r="BK211" s="36" t="s">
        <v>0</v>
      </c>
      <c r="BL211" s="36" t="s">
        <v>0</v>
      </c>
      <c r="BM211" s="36" t="s">
        <v>0</v>
      </c>
      <c r="BN211" s="38" t="s">
        <v>0</v>
      </c>
      <c r="BO211" s="36" t="s">
        <v>111</v>
      </c>
      <c r="BP211" s="38" t="s">
        <v>0</v>
      </c>
      <c r="BQ211" s="36" t="s">
        <v>111</v>
      </c>
      <c r="BR211" s="36" t="s">
        <v>57</v>
      </c>
      <c r="BS211" s="36" t="s">
        <v>210</v>
      </c>
      <c r="BT211" s="36" t="s">
        <v>0</v>
      </c>
      <c r="BU211" s="36" t="s">
        <v>0</v>
      </c>
      <c r="BV211" s="36" t="s">
        <v>57</v>
      </c>
      <c r="BW211" s="36" t="s">
        <v>0</v>
      </c>
      <c r="BX211" s="36" t="s">
        <v>0</v>
      </c>
      <c r="BY211" s="36" t="s">
        <v>0</v>
      </c>
      <c r="BZ211" s="36" t="s">
        <v>0</v>
      </c>
      <c r="CA211" s="36" t="s">
        <v>0</v>
      </c>
      <c r="CB211" s="36" t="s">
        <v>0</v>
      </c>
      <c r="CC211" s="36" t="s">
        <v>0</v>
      </c>
      <c r="CD211" s="36" t="s">
        <v>2559</v>
      </c>
      <c r="CE211" s="36" t="s">
        <v>2558</v>
      </c>
      <c r="CF211" s="38" t="s">
        <v>0</v>
      </c>
      <c r="CG211" s="36" t="s">
        <v>0</v>
      </c>
      <c r="CH211" s="36" t="s">
        <v>0</v>
      </c>
      <c r="CI211" s="38" t="s">
        <v>0</v>
      </c>
      <c r="CJ211" s="38" t="s">
        <v>0</v>
      </c>
      <c r="CK211" s="38" t="s">
        <v>0</v>
      </c>
      <c r="CL211" s="38" t="s">
        <v>0</v>
      </c>
      <c r="CM211" s="38" t="s">
        <v>0</v>
      </c>
      <c r="CN211" s="38" t="s">
        <v>0</v>
      </c>
      <c r="CO211" s="38" t="s">
        <v>0</v>
      </c>
      <c r="CP211" s="38" t="s">
        <v>6</v>
      </c>
      <c r="CQ211" s="38" t="s">
        <v>17</v>
      </c>
      <c r="CR211" s="38" t="s">
        <v>26</v>
      </c>
      <c r="CS211" s="38" t="s">
        <v>0</v>
      </c>
      <c r="CT211" s="38" t="s">
        <v>0</v>
      </c>
      <c r="CU211" s="36" t="s">
        <v>774</v>
      </c>
      <c r="CV211" s="36" t="s">
        <v>774</v>
      </c>
      <c r="CW211" s="36" t="s">
        <v>1163</v>
      </c>
      <c r="CX211" s="38" t="s">
        <v>0</v>
      </c>
    </row>
    <row r="212" spans="1:102" ht="12" customHeight="1">
      <c r="A212" s="51" t="s">
        <v>935</v>
      </c>
      <c r="B212" s="52" t="s">
        <v>0</v>
      </c>
      <c r="C212" s="52"/>
      <c r="D212" s="52"/>
      <c r="E212" s="52"/>
      <c r="F212" s="52" t="s">
        <v>0</v>
      </c>
      <c r="G212" s="52" t="s">
        <v>0</v>
      </c>
      <c r="H212" s="52" t="s">
        <v>5518</v>
      </c>
      <c r="I212" s="52" t="s">
        <v>5518</v>
      </c>
      <c r="J212" s="52"/>
      <c r="K212" s="52"/>
      <c r="L212" s="52"/>
      <c r="M212" s="52" t="s">
        <v>0</v>
      </c>
      <c r="N212" s="52" t="s">
        <v>1586</v>
      </c>
      <c r="O212" s="52" t="s">
        <v>0</v>
      </c>
      <c r="P212" s="52" t="s">
        <v>0</v>
      </c>
      <c r="Q212" s="52" t="s">
        <v>3354</v>
      </c>
      <c r="R212" s="52" t="s">
        <v>0</v>
      </c>
      <c r="S212" s="52" t="s">
        <v>0</v>
      </c>
      <c r="T212" s="52" t="s">
        <v>3354</v>
      </c>
      <c r="U212" s="52" t="s">
        <v>0</v>
      </c>
      <c r="V212" s="52" t="s">
        <v>0</v>
      </c>
      <c r="W212" s="52" t="s">
        <v>0</v>
      </c>
      <c r="X212" s="52" t="s">
        <v>3354</v>
      </c>
      <c r="Y212" s="52" t="s">
        <v>0</v>
      </c>
      <c r="Z212" s="52"/>
      <c r="AA212" s="52"/>
      <c r="AB212" s="52"/>
      <c r="AC212" s="52"/>
      <c r="AD212" s="52"/>
      <c r="AE212" s="123" t="s">
        <v>0</v>
      </c>
      <c r="AF212" s="52" t="s">
        <v>0</v>
      </c>
      <c r="AG212" s="52" t="s">
        <v>0</v>
      </c>
      <c r="AH212" s="52" t="s">
        <v>0</v>
      </c>
      <c r="AI212" s="52"/>
      <c r="AJ212" s="52"/>
      <c r="AK212" s="52" t="s">
        <v>1714</v>
      </c>
      <c r="AL212" s="52" t="s">
        <v>1714</v>
      </c>
      <c r="AM212" s="52"/>
      <c r="AN212" s="52" t="s">
        <v>0</v>
      </c>
      <c r="AO212" s="52"/>
      <c r="AP212" s="52"/>
      <c r="AQ212" s="52" t="s">
        <v>0</v>
      </c>
      <c r="AR212" s="52" t="s">
        <v>0</v>
      </c>
      <c r="AS212" s="52" t="s">
        <v>0</v>
      </c>
      <c r="AT212" s="52" t="s">
        <v>0</v>
      </c>
      <c r="AU212" s="52"/>
      <c r="AV212" s="52"/>
      <c r="AW212" s="52" t="s">
        <v>0</v>
      </c>
      <c r="AX212" s="52" t="s">
        <v>0</v>
      </c>
      <c r="AY212" s="52" t="s">
        <v>0</v>
      </c>
      <c r="AZ212" s="52"/>
      <c r="BA212" s="52" t="s">
        <v>4117</v>
      </c>
      <c r="BB212" s="52"/>
      <c r="BC212" s="52"/>
      <c r="BD212" s="52" t="s">
        <v>0</v>
      </c>
      <c r="BE212" s="52"/>
      <c r="BF212" s="52" t="s">
        <v>0</v>
      </c>
      <c r="BG212" s="52" t="s">
        <v>0</v>
      </c>
      <c r="BH212" s="52"/>
      <c r="BI212" s="52"/>
      <c r="BJ212" s="52"/>
      <c r="BK212" s="52" t="s">
        <v>0</v>
      </c>
      <c r="BL212" s="52" t="s">
        <v>0</v>
      </c>
      <c r="BM212" s="52"/>
      <c r="BN212" s="52"/>
      <c r="BO212" s="52" t="s">
        <v>4576</v>
      </c>
      <c r="BP212" s="52"/>
      <c r="BQ212" s="52" t="s">
        <v>4576</v>
      </c>
      <c r="BR212" s="52"/>
      <c r="BS212" s="52"/>
      <c r="BT212" s="52" t="s">
        <v>0</v>
      </c>
      <c r="BU212" s="52" t="s">
        <v>0</v>
      </c>
      <c r="BV212" s="52" t="s">
        <v>3502</v>
      </c>
      <c r="BW212" s="52" t="s">
        <v>0</v>
      </c>
      <c r="BX212" s="52" t="s">
        <v>0</v>
      </c>
      <c r="BY212" s="52" t="s">
        <v>0</v>
      </c>
      <c r="BZ212" s="52" t="s">
        <v>0</v>
      </c>
      <c r="CA212" s="52"/>
      <c r="CB212" s="52"/>
      <c r="CC212" s="52"/>
      <c r="CD212" s="52" t="s">
        <v>2556</v>
      </c>
      <c r="CE212" s="52" t="s">
        <v>2547</v>
      </c>
      <c r="CF212" s="52"/>
      <c r="CG212" s="52" t="s">
        <v>0</v>
      </c>
      <c r="CH212" s="52" t="s">
        <v>0</v>
      </c>
      <c r="CI212" s="52" t="s">
        <v>0</v>
      </c>
      <c r="CJ212" s="52" t="s">
        <v>0</v>
      </c>
      <c r="CK212" s="52" t="s">
        <v>0</v>
      </c>
      <c r="CL212" s="52"/>
      <c r="CM212" s="52"/>
      <c r="CN212" s="52"/>
      <c r="CO212" s="52" t="s">
        <v>0</v>
      </c>
      <c r="CP212" s="52" t="s">
        <v>2837</v>
      </c>
      <c r="CQ212" s="52"/>
      <c r="CR212" s="52"/>
      <c r="CS212" s="52"/>
      <c r="CT212" s="52"/>
      <c r="CU212" s="52"/>
      <c r="CV212" s="52"/>
      <c r="CW212" s="52" t="s">
        <v>1164</v>
      </c>
      <c r="CX212" s="52"/>
    </row>
    <row r="213" spans="1:102" ht="27" customHeight="1">
      <c r="A213" s="12" t="s">
        <v>4</v>
      </c>
      <c r="B213" s="38" t="s">
        <v>0</v>
      </c>
      <c r="C213" s="38" t="s">
        <v>0</v>
      </c>
      <c r="D213" s="38" t="s">
        <v>0</v>
      </c>
      <c r="E213" s="36" t="s">
        <v>3307</v>
      </c>
      <c r="F213" s="38" t="s">
        <v>0</v>
      </c>
      <c r="G213" s="38" t="s">
        <v>0</v>
      </c>
      <c r="H213" s="36" t="s">
        <v>3307</v>
      </c>
      <c r="I213" s="36" t="s">
        <v>3307</v>
      </c>
      <c r="J213" s="38" t="s">
        <v>0</v>
      </c>
      <c r="K213" s="38" t="s">
        <v>0</v>
      </c>
      <c r="L213" s="38" t="s">
        <v>0</v>
      </c>
      <c r="M213" s="38" t="s">
        <v>0</v>
      </c>
      <c r="N213" s="38" t="s">
        <v>0</v>
      </c>
      <c r="O213" s="38" t="s">
        <v>0</v>
      </c>
      <c r="P213" s="38" t="s">
        <v>0</v>
      </c>
      <c r="Q213" s="38" t="s">
        <v>0</v>
      </c>
      <c r="R213" s="38" t="s">
        <v>0</v>
      </c>
      <c r="S213" s="38" t="s">
        <v>0</v>
      </c>
      <c r="T213" s="38" t="s">
        <v>0</v>
      </c>
      <c r="U213" s="38" t="s">
        <v>0</v>
      </c>
      <c r="V213" s="38" t="s">
        <v>0</v>
      </c>
      <c r="W213" s="38" t="s">
        <v>0</v>
      </c>
      <c r="X213" s="38" t="s">
        <v>0</v>
      </c>
      <c r="Y213" s="38" t="s">
        <v>0</v>
      </c>
      <c r="Z213" s="38" t="s">
        <v>57</v>
      </c>
      <c r="AA213" s="38" t="s">
        <v>0</v>
      </c>
      <c r="AB213" s="38" t="s">
        <v>0</v>
      </c>
      <c r="AC213" s="38" t="s">
        <v>0</v>
      </c>
      <c r="AD213" s="38" t="s">
        <v>0</v>
      </c>
      <c r="AE213" s="124" t="s">
        <v>0</v>
      </c>
      <c r="AF213" s="36" t="s">
        <v>4746</v>
      </c>
      <c r="AG213" s="36" t="s">
        <v>4747</v>
      </c>
      <c r="AH213" s="36" t="s">
        <v>0</v>
      </c>
      <c r="AI213" s="7" t="s">
        <v>0</v>
      </c>
      <c r="AJ213" s="33" t="s">
        <v>0</v>
      </c>
      <c r="AK213" s="7" t="s">
        <v>0</v>
      </c>
      <c r="AL213" s="37" t="s">
        <v>1684</v>
      </c>
      <c r="AM213" s="7" t="s">
        <v>111</v>
      </c>
      <c r="AN213" s="7" t="s">
        <v>1823</v>
      </c>
      <c r="AO213" s="7" t="s">
        <v>0</v>
      </c>
      <c r="AP213" s="33" t="s">
        <v>0</v>
      </c>
      <c r="AQ213" s="7" t="s">
        <v>0</v>
      </c>
      <c r="AR213" s="7" t="s">
        <v>0</v>
      </c>
      <c r="AS213" s="7" t="s">
        <v>0</v>
      </c>
      <c r="AT213" s="7" t="s">
        <v>0</v>
      </c>
      <c r="AU213" s="38" t="s">
        <v>0</v>
      </c>
      <c r="AV213" s="38" t="s">
        <v>0</v>
      </c>
      <c r="AW213" s="34" t="s">
        <v>0</v>
      </c>
      <c r="AX213" s="34" t="s">
        <v>0</v>
      </c>
      <c r="AY213" s="34" t="s">
        <v>0</v>
      </c>
      <c r="AZ213" s="38" t="s">
        <v>0</v>
      </c>
      <c r="BA213" s="36" t="s">
        <v>4126</v>
      </c>
      <c r="BB213" s="38" t="s">
        <v>0</v>
      </c>
      <c r="BC213" s="38" t="s">
        <v>0</v>
      </c>
      <c r="BD213" s="38" t="s">
        <v>0</v>
      </c>
      <c r="BE213" s="38" t="s">
        <v>0</v>
      </c>
      <c r="BF213" s="38" t="s">
        <v>0</v>
      </c>
      <c r="BG213" s="38" t="s">
        <v>0</v>
      </c>
      <c r="BH213" s="38" t="s">
        <v>0</v>
      </c>
      <c r="BI213" s="38" t="s">
        <v>0</v>
      </c>
      <c r="BJ213" s="38" t="s">
        <v>0</v>
      </c>
      <c r="BK213" s="36" t="s">
        <v>0</v>
      </c>
      <c r="BL213" s="36" t="s">
        <v>0</v>
      </c>
      <c r="BM213" s="36" t="s">
        <v>0</v>
      </c>
      <c r="BN213" s="38" t="s">
        <v>57</v>
      </c>
      <c r="BO213" s="38" t="s">
        <v>57</v>
      </c>
      <c r="BP213" s="38" t="s">
        <v>57</v>
      </c>
      <c r="BQ213" s="38" t="s">
        <v>57</v>
      </c>
      <c r="BR213" s="36" t="s">
        <v>57</v>
      </c>
      <c r="BS213" s="36" t="s">
        <v>57</v>
      </c>
      <c r="BT213" s="36" t="s">
        <v>0</v>
      </c>
      <c r="BU213" s="36" t="s">
        <v>0</v>
      </c>
      <c r="BV213" s="36" t="s">
        <v>57</v>
      </c>
      <c r="BW213" s="36" t="s">
        <v>0</v>
      </c>
      <c r="BX213" s="36" t="s">
        <v>0</v>
      </c>
      <c r="BY213" s="36" t="s">
        <v>0</v>
      </c>
      <c r="BZ213" s="36" t="s">
        <v>0</v>
      </c>
      <c r="CA213" s="38" t="s">
        <v>0</v>
      </c>
      <c r="CB213" s="38" t="s">
        <v>0</v>
      </c>
      <c r="CC213" s="38" t="s">
        <v>0</v>
      </c>
      <c r="CD213" s="36" t="s">
        <v>2582</v>
      </c>
      <c r="CE213" s="36" t="s">
        <v>2581</v>
      </c>
      <c r="CF213" s="36" t="s">
        <v>523</v>
      </c>
      <c r="CG213" s="36" t="s">
        <v>0</v>
      </c>
      <c r="CH213" s="36" t="s">
        <v>0</v>
      </c>
      <c r="CI213" s="38" t="s">
        <v>0</v>
      </c>
      <c r="CJ213" s="38" t="s">
        <v>0</v>
      </c>
      <c r="CK213" s="36" t="s">
        <v>2627</v>
      </c>
      <c r="CL213" s="36" t="s">
        <v>623</v>
      </c>
      <c r="CM213" s="36" t="s">
        <v>623</v>
      </c>
      <c r="CN213" s="38" t="s">
        <v>0</v>
      </c>
      <c r="CO213" s="38" t="s">
        <v>0</v>
      </c>
      <c r="CP213" s="38" t="s">
        <v>6</v>
      </c>
      <c r="CQ213" s="36" t="s">
        <v>0</v>
      </c>
      <c r="CR213" s="36" t="s">
        <v>0</v>
      </c>
      <c r="CS213" s="36" t="s">
        <v>82</v>
      </c>
      <c r="CT213" s="36" t="s">
        <v>82</v>
      </c>
      <c r="CU213" s="36" t="s">
        <v>0</v>
      </c>
      <c r="CV213" s="36" t="s">
        <v>0</v>
      </c>
      <c r="CW213" s="36" t="s">
        <v>57</v>
      </c>
      <c r="CX213" s="36" t="s">
        <v>210</v>
      </c>
    </row>
    <row r="214" spans="1:102" ht="12" customHeight="1">
      <c r="A214" s="51" t="s">
        <v>935</v>
      </c>
      <c r="B214" s="52" t="s">
        <v>0</v>
      </c>
      <c r="C214" s="52"/>
      <c r="D214" s="52"/>
      <c r="E214" s="52"/>
      <c r="F214" s="52" t="s">
        <v>0</v>
      </c>
      <c r="G214" s="52" t="s">
        <v>0</v>
      </c>
      <c r="H214" s="52" t="s">
        <v>1407</v>
      </c>
      <c r="I214" s="52" t="s">
        <v>1407</v>
      </c>
      <c r="J214" s="52"/>
      <c r="K214" s="52"/>
      <c r="L214" s="52"/>
      <c r="M214" s="52" t="s">
        <v>0</v>
      </c>
      <c r="N214" s="52" t="s">
        <v>0</v>
      </c>
      <c r="O214" s="52" t="s">
        <v>0</v>
      </c>
      <c r="P214" s="52" t="s">
        <v>0</v>
      </c>
      <c r="Q214" s="52" t="s">
        <v>0</v>
      </c>
      <c r="R214" s="52" t="s">
        <v>0</v>
      </c>
      <c r="S214" s="52" t="s">
        <v>0</v>
      </c>
      <c r="T214" s="52" t="s">
        <v>0</v>
      </c>
      <c r="U214" s="52" t="s">
        <v>0</v>
      </c>
      <c r="V214" s="52" t="s">
        <v>0</v>
      </c>
      <c r="W214" s="52" t="s">
        <v>0</v>
      </c>
      <c r="X214" s="52" t="s">
        <v>0</v>
      </c>
      <c r="Y214" s="52" t="s">
        <v>0</v>
      </c>
      <c r="Z214" s="52"/>
      <c r="AA214" s="52"/>
      <c r="AB214" s="52"/>
      <c r="AC214" s="52"/>
      <c r="AD214" s="52"/>
      <c r="AE214" s="123" t="s">
        <v>0</v>
      </c>
      <c r="AF214" s="52" t="s">
        <v>4748</v>
      </c>
      <c r="AG214" s="52" t="s">
        <v>4748</v>
      </c>
      <c r="AH214" s="52" t="s">
        <v>0</v>
      </c>
      <c r="AI214" s="52"/>
      <c r="AJ214" s="52"/>
      <c r="AK214" s="52" t="s">
        <v>0</v>
      </c>
      <c r="AL214" s="52" t="s">
        <v>1682</v>
      </c>
      <c r="AM214" s="52"/>
      <c r="AN214" s="52" t="s">
        <v>1818</v>
      </c>
      <c r="AO214" s="52"/>
      <c r="AP214" s="52"/>
      <c r="AQ214" s="52" t="s">
        <v>0</v>
      </c>
      <c r="AR214" s="52" t="s">
        <v>0</v>
      </c>
      <c r="AS214" s="52" t="s">
        <v>0</v>
      </c>
      <c r="AT214" s="52" t="s">
        <v>0</v>
      </c>
      <c r="AU214" s="52"/>
      <c r="AV214" s="52"/>
      <c r="AW214" s="52" t="s">
        <v>0</v>
      </c>
      <c r="AX214" s="52" t="s">
        <v>0</v>
      </c>
      <c r="AY214" s="52" t="s">
        <v>0</v>
      </c>
      <c r="AZ214" s="52"/>
      <c r="BA214" s="52" t="s">
        <v>4117</v>
      </c>
      <c r="BB214" s="52"/>
      <c r="BC214" s="52"/>
      <c r="BD214" s="52" t="s">
        <v>0</v>
      </c>
      <c r="BE214" s="52"/>
      <c r="BF214" s="52" t="s">
        <v>0</v>
      </c>
      <c r="BG214" s="52" t="s">
        <v>0</v>
      </c>
      <c r="BH214" s="52"/>
      <c r="BI214" s="52"/>
      <c r="BJ214" s="52"/>
      <c r="BK214" s="52" t="s">
        <v>0</v>
      </c>
      <c r="BL214" s="52" t="s">
        <v>0</v>
      </c>
      <c r="BM214" s="52"/>
      <c r="BN214" s="52"/>
      <c r="BO214" s="52"/>
      <c r="BP214" s="52"/>
      <c r="BQ214" s="52"/>
      <c r="BR214" s="52"/>
      <c r="BS214" s="52"/>
      <c r="BT214" s="52" t="s">
        <v>0</v>
      </c>
      <c r="BU214" s="52" t="s">
        <v>0</v>
      </c>
      <c r="BV214" s="52" t="s">
        <v>3502</v>
      </c>
      <c r="BW214" s="52" t="s">
        <v>0</v>
      </c>
      <c r="BX214" s="52" t="s">
        <v>0</v>
      </c>
      <c r="BY214" s="52" t="s">
        <v>0</v>
      </c>
      <c r="BZ214" s="52" t="s">
        <v>0</v>
      </c>
      <c r="CA214" s="52"/>
      <c r="CB214" s="52"/>
      <c r="CC214" s="52"/>
      <c r="CD214" s="52" t="s">
        <v>2556</v>
      </c>
      <c r="CE214" s="52" t="s">
        <v>2547</v>
      </c>
      <c r="CF214" s="52"/>
      <c r="CG214" s="52" t="s">
        <v>0</v>
      </c>
      <c r="CH214" s="52" t="s">
        <v>0</v>
      </c>
      <c r="CI214" s="52" t="s">
        <v>0</v>
      </c>
      <c r="CJ214" s="52" t="s">
        <v>0</v>
      </c>
      <c r="CK214" s="52" t="s">
        <v>2680</v>
      </c>
      <c r="CL214" s="52"/>
      <c r="CM214" s="52"/>
      <c r="CN214" s="52"/>
      <c r="CO214" s="52" t="s">
        <v>0</v>
      </c>
      <c r="CP214" s="52" t="s">
        <v>2837</v>
      </c>
      <c r="CQ214" s="52"/>
      <c r="CR214" s="52"/>
      <c r="CS214" s="52"/>
      <c r="CT214" s="52"/>
      <c r="CU214" s="52"/>
      <c r="CV214" s="52"/>
      <c r="CW214" s="52" t="s">
        <v>1150</v>
      </c>
      <c r="CX214" s="52"/>
    </row>
    <row r="215" spans="1:102" ht="22.5" customHeight="1">
      <c r="A215" s="12" t="s">
        <v>165</v>
      </c>
      <c r="B215" s="36" t="s">
        <v>3973</v>
      </c>
      <c r="C215" s="36" t="s">
        <v>462</v>
      </c>
      <c r="D215" s="36" t="s">
        <v>242</v>
      </c>
      <c r="E215" s="36" t="s">
        <v>241</v>
      </c>
      <c r="F215" s="36" t="s">
        <v>242</v>
      </c>
      <c r="G215" s="36" t="s">
        <v>241</v>
      </c>
      <c r="H215" s="36" t="s">
        <v>5520</v>
      </c>
      <c r="I215" s="36" t="s">
        <v>5519</v>
      </c>
      <c r="J215" s="36" t="s">
        <v>503</v>
      </c>
      <c r="K215" s="36" t="s">
        <v>483</v>
      </c>
      <c r="L215" s="36" t="s">
        <v>489</v>
      </c>
      <c r="M215" s="36" t="s">
        <v>1591</v>
      </c>
      <c r="N215" s="36" t="s">
        <v>1590</v>
      </c>
      <c r="O215" s="36" t="s">
        <v>1592</v>
      </c>
      <c r="P215" s="36" t="s">
        <v>1591</v>
      </c>
      <c r="Q215" s="36" t="s">
        <v>1590</v>
      </c>
      <c r="R215" s="36" t="s">
        <v>1592</v>
      </c>
      <c r="S215" s="36" t="s">
        <v>1591</v>
      </c>
      <c r="T215" s="36" t="s">
        <v>1590</v>
      </c>
      <c r="U215" s="36" t="s">
        <v>1592</v>
      </c>
      <c r="V215" s="36" t="s">
        <v>5891</v>
      </c>
      <c r="W215" s="36" t="s">
        <v>1975</v>
      </c>
      <c r="X215" s="36" t="s">
        <v>5255</v>
      </c>
      <c r="Y215" s="36" t="s">
        <v>871</v>
      </c>
      <c r="Z215" s="36" t="s">
        <v>748</v>
      </c>
      <c r="AA215" s="36" t="s">
        <v>400</v>
      </c>
      <c r="AB215" s="36" t="s">
        <v>0</v>
      </c>
      <c r="AC215" s="36" t="s">
        <v>0</v>
      </c>
      <c r="AD215" s="36" t="s">
        <v>382</v>
      </c>
      <c r="AE215" s="122" t="s">
        <v>0</v>
      </c>
      <c r="AF215" s="36" t="s">
        <v>4749</v>
      </c>
      <c r="AG215" s="36" t="s">
        <v>4750</v>
      </c>
      <c r="AH215" s="36" t="s">
        <v>0</v>
      </c>
      <c r="AI215" s="7" t="s">
        <v>433</v>
      </c>
      <c r="AJ215" s="7" t="s">
        <v>433</v>
      </c>
      <c r="AK215" s="7" t="s">
        <v>433</v>
      </c>
      <c r="AL215" s="7" t="s">
        <v>433</v>
      </c>
      <c r="AM215" s="7" t="s">
        <v>111</v>
      </c>
      <c r="AN215" s="7" t="s">
        <v>1821</v>
      </c>
      <c r="AO215" s="7" t="s">
        <v>0</v>
      </c>
      <c r="AP215" s="33" t="s">
        <v>27</v>
      </c>
      <c r="AQ215" s="7" t="s">
        <v>0</v>
      </c>
      <c r="AR215" s="37" t="s">
        <v>1877</v>
      </c>
      <c r="AS215" s="7" t="s">
        <v>0</v>
      </c>
      <c r="AT215" s="37" t="s">
        <v>1877</v>
      </c>
      <c r="AU215" s="36" t="s">
        <v>367</v>
      </c>
      <c r="AV215" s="36" t="s">
        <v>5338</v>
      </c>
      <c r="AW215" s="34" t="s">
        <v>0</v>
      </c>
      <c r="AX215" s="37" t="s">
        <v>27</v>
      </c>
      <c r="AY215" s="37" t="s">
        <v>111</v>
      </c>
      <c r="AZ215" s="36" t="s">
        <v>894</v>
      </c>
      <c r="BA215" s="36" t="s">
        <v>4124</v>
      </c>
      <c r="BB215" s="36" t="s">
        <v>295</v>
      </c>
      <c r="BC215" s="36" t="s">
        <v>295</v>
      </c>
      <c r="BD215" s="36" t="s">
        <v>871</v>
      </c>
      <c r="BE215" s="36" t="s">
        <v>294</v>
      </c>
      <c r="BF215" s="36" t="s">
        <v>1975</v>
      </c>
      <c r="BG215" s="38" t="s">
        <v>0</v>
      </c>
      <c r="BH215" s="36" t="s">
        <v>3194</v>
      </c>
      <c r="BI215" s="36" t="s">
        <v>871</v>
      </c>
      <c r="BJ215" s="36" t="s">
        <v>871</v>
      </c>
      <c r="BK215" s="36" t="s">
        <v>1329</v>
      </c>
      <c r="BL215" s="36" t="s">
        <v>1283</v>
      </c>
      <c r="BM215" s="36" t="s">
        <v>0</v>
      </c>
      <c r="BN215" s="36" t="s">
        <v>28</v>
      </c>
      <c r="BO215" s="36" t="s">
        <v>166</v>
      </c>
      <c r="BP215" s="36" t="s">
        <v>28</v>
      </c>
      <c r="BQ215" s="36" t="s">
        <v>166</v>
      </c>
      <c r="BR215" s="36" t="s">
        <v>381</v>
      </c>
      <c r="BS215" s="36" t="s">
        <v>603</v>
      </c>
      <c r="BT215" s="36" t="s">
        <v>0</v>
      </c>
      <c r="BU215" s="36" t="s">
        <v>3630</v>
      </c>
      <c r="BV215" s="36" t="s">
        <v>3508</v>
      </c>
      <c r="BW215" s="36" t="s">
        <v>2531</v>
      </c>
      <c r="BX215" s="36" t="s">
        <v>2443</v>
      </c>
      <c r="BY215" s="36" t="s">
        <v>0</v>
      </c>
      <c r="BZ215" s="36" t="s">
        <v>4595</v>
      </c>
      <c r="CA215" s="36" t="s">
        <v>331</v>
      </c>
      <c r="CB215" s="36" t="s">
        <v>332</v>
      </c>
      <c r="CC215" s="36" t="s">
        <v>729</v>
      </c>
      <c r="CD215" s="36" t="s">
        <v>111</v>
      </c>
      <c r="CE215" s="36" t="s">
        <v>210</v>
      </c>
      <c r="CF215" s="36" t="s">
        <v>517</v>
      </c>
      <c r="CG215" s="36" t="s">
        <v>2255</v>
      </c>
      <c r="CH215" s="36" t="s">
        <v>2255</v>
      </c>
      <c r="CI215" s="38" t="s">
        <v>0</v>
      </c>
      <c r="CJ215" s="36" t="s">
        <v>4051</v>
      </c>
      <c r="CK215" s="36" t="s">
        <v>925</v>
      </c>
      <c r="CL215" s="36" t="s">
        <v>610</v>
      </c>
      <c r="CM215" s="36" t="s">
        <v>0</v>
      </c>
      <c r="CN215" s="38" t="s">
        <v>6</v>
      </c>
      <c r="CO215" s="38" t="s">
        <v>6</v>
      </c>
      <c r="CP215" s="38" t="s">
        <v>6</v>
      </c>
      <c r="CQ215" s="36" t="s">
        <v>666</v>
      </c>
      <c r="CR215" s="36" t="s">
        <v>667</v>
      </c>
      <c r="CS215" s="36" t="s">
        <v>29</v>
      </c>
      <c r="CT215" s="36" t="s">
        <v>29</v>
      </c>
      <c r="CU215" s="36" t="s">
        <v>775</v>
      </c>
      <c r="CV215" s="36" t="s">
        <v>775</v>
      </c>
      <c r="CW215" s="36" t="s">
        <v>1248</v>
      </c>
      <c r="CX215" s="36" t="s">
        <v>836</v>
      </c>
    </row>
    <row r="216" spans="1:102" ht="12" customHeight="1">
      <c r="A216" s="51" t="s">
        <v>935</v>
      </c>
      <c r="B216" s="52" t="s">
        <v>3972</v>
      </c>
      <c r="C216" s="52"/>
      <c r="D216" s="52"/>
      <c r="E216" s="52"/>
      <c r="F216" s="52" t="s">
        <v>1404</v>
      </c>
      <c r="G216" s="52" t="s">
        <v>1404</v>
      </c>
      <c r="H216" s="52" t="s">
        <v>1408</v>
      </c>
      <c r="I216" s="52" t="s">
        <v>1408</v>
      </c>
      <c r="J216" s="52"/>
      <c r="K216" s="52"/>
      <c r="L216" s="52"/>
      <c r="M216" s="52" t="s">
        <v>1499</v>
      </c>
      <c r="N216" s="52" t="s">
        <v>1589</v>
      </c>
      <c r="O216" s="52" t="s">
        <v>1541</v>
      </c>
      <c r="P216" s="52" t="s">
        <v>3323</v>
      </c>
      <c r="Q216" s="52" t="s">
        <v>3356</v>
      </c>
      <c r="R216" s="52" t="s">
        <v>3409</v>
      </c>
      <c r="S216" s="52" t="s">
        <v>3323</v>
      </c>
      <c r="T216" s="52" t="s">
        <v>3356</v>
      </c>
      <c r="U216" s="52" t="s">
        <v>3409</v>
      </c>
      <c r="V216" s="52" t="s">
        <v>5892</v>
      </c>
      <c r="W216" s="52" t="s">
        <v>3323</v>
      </c>
      <c r="X216" s="52" t="s">
        <v>3357</v>
      </c>
      <c r="Y216" s="52" t="s">
        <v>3409</v>
      </c>
      <c r="Z216" s="52"/>
      <c r="AA216" s="52"/>
      <c r="AB216" s="52"/>
      <c r="AC216" s="52"/>
      <c r="AD216" s="52"/>
      <c r="AE216" s="123" t="s">
        <v>0</v>
      </c>
      <c r="AF216" s="52" t="s">
        <v>4751</v>
      </c>
      <c r="AG216" s="52" t="s">
        <v>4751</v>
      </c>
      <c r="AH216" s="52" t="s">
        <v>0</v>
      </c>
      <c r="AI216" s="52"/>
      <c r="AJ216" s="52"/>
      <c r="AK216" s="52" t="s">
        <v>1710</v>
      </c>
      <c r="AL216" s="52" t="s">
        <v>1710</v>
      </c>
      <c r="AM216" s="52"/>
      <c r="AN216" s="52" t="s">
        <v>1818</v>
      </c>
      <c r="AO216" s="52"/>
      <c r="AP216" s="52"/>
      <c r="AQ216" s="52" t="s">
        <v>0</v>
      </c>
      <c r="AR216" s="52" t="s">
        <v>1878</v>
      </c>
      <c r="AS216" s="52" t="s">
        <v>0</v>
      </c>
      <c r="AT216" s="52" t="s">
        <v>1878</v>
      </c>
      <c r="AU216" s="52"/>
      <c r="AV216" s="52"/>
      <c r="AW216" s="52" t="s">
        <v>0</v>
      </c>
      <c r="AX216" s="52" t="s">
        <v>2930</v>
      </c>
      <c r="AY216" s="52" t="s">
        <v>2934</v>
      </c>
      <c r="AZ216" s="52"/>
      <c r="BA216" s="52" t="s">
        <v>4117</v>
      </c>
      <c r="BB216" s="52"/>
      <c r="BC216" s="52"/>
      <c r="BD216" s="52" t="s">
        <v>1942</v>
      </c>
      <c r="BE216" s="52"/>
      <c r="BF216" s="52" t="s">
        <v>1974</v>
      </c>
      <c r="BG216" s="52" t="s">
        <v>0</v>
      </c>
      <c r="BH216" s="52" t="s">
        <v>3192</v>
      </c>
      <c r="BI216" s="52"/>
      <c r="BJ216" s="52"/>
      <c r="BK216" s="52" t="s">
        <v>1328</v>
      </c>
      <c r="BL216" s="52" t="s">
        <v>1284</v>
      </c>
      <c r="BM216" s="52"/>
      <c r="BN216" s="52"/>
      <c r="BO216" s="52"/>
      <c r="BP216" s="52"/>
      <c r="BQ216" s="52"/>
      <c r="BR216" s="52"/>
      <c r="BS216" s="52"/>
      <c r="BT216" s="52" t="s">
        <v>0</v>
      </c>
      <c r="BU216" s="52" t="s">
        <v>3629</v>
      </c>
      <c r="BV216" s="52" t="s">
        <v>3507</v>
      </c>
      <c r="BW216" s="52" t="s">
        <v>2532</v>
      </c>
      <c r="BX216" s="52" t="s">
        <v>2442</v>
      </c>
      <c r="BY216" s="52" t="s">
        <v>2442</v>
      </c>
      <c r="BZ216" s="52" t="s">
        <v>4594</v>
      </c>
      <c r="CA216" s="52"/>
      <c r="CB216" s="52"/>
      <c r="CC216" s="52"/>
      <c r="CD216" s="52" t="s">
        <v>2556</v>
      </c>
      <c r="CE216" s="52" t="s">
        <v>2547</v>
      </c>
      <c r="CF216" s="52"/>
      <c r="CG216" s="52" t="s">
        <v>2254</v>
      </c>
      <c r="CH216" s="52" t="s">
        <v>2254</v>
      </c>
      <c r="CI216" s="52" t="s">
        <v>0</v>
      </c>
      <c r="CJ216" s="52" t="s">
        <v>4040</v>
      </c>
      <c r="CK216" s="52" t="s">
        <v>2657</v>
      </c>
      <c r="CL216" s="52"/>
      <c r="CM216" s="52"/>
      <c r="CN216" s="52"/>
      <c r="CO216" s="52" t="s">
        <v>2061</v>
      </c>
      <c r="CP216" s="52" t="s">
        <v>2839</v>
      </c>
      <c r="CQ216" s="52"/>
      <c r="CR216" s="52"/>
      <c r="CS216" s="52"/>
      <c r="CT216" s="52"/>
      <c r="CU216" s="52"/>
      <c r="CV216" s="52"/>
      <c r="CW216" s="52" t="s">
        <v>1245</v>
      </c>
      <c r="CX216" s="52"/>
    </row>
    <row r="217" spans="1:102" ht="36">
      <c r="A217" s="12" t="s">
        <v>167</v>
      </c>
      <c r="B217" s="38" t="s">
        <v>0</v>
      </c>
      <c r="C217" s="38" t="s">
        <v>0</v>
      </c>
      <c r="D217" s="38" t="s">
        <v>0</v>
      </c>
      <c r="E217" s="38" t="s">
        <v>111</v>
      </c>
      <c r="F217" s="38" t="s">
        <v>0</v>
      </c>
      <c r="G217" s="36" t="s">
        <v>1414</v>
      </c>
      <c r="H217" s="38" t="s">
        <v>0</v>
      </c>
      <c r="I217" s="36" t="s">
        <v>1414</v>
      </c>
      <c r="J217" s="38" t="s">
        <v>0</v>
      </c>
      <c r="K217" s="38" t="s">
        <v>159</v>
      </c>
      <c r="L217" s="38" t="s">
        <v>0</v>
      </c>
      <c r="M217" s="38" t="s">
        <v>0</v>
      </c>
      <c r="N217" s="36" t="s">
        <v>1594</v>
      </c>
      <c r="O217" s="38" t="s">
        <v>0</v>
      </c>
      <c r="P217" s="38" t="s">
        <v>0</v>
      </c>
      <c r="Q217" s="36" t="s">
        <v>1594</v>
      </c>
      <c r="R217" s="38" t="s">
        <v>0</v>
      </c>
      <c r="S217" s="38" t="s">
        <v>0</v>
      </c>
      <c r="T217" s="36" t="s">
        <v>1594</v>
      </c>
      <c r="U217" s="38" t="s">
        <v>0</v>
      </c>
      <c r="V217" s="38" t="s">
        <v>0</v>
      </c>
      <c r="W217" s="38" t="s">
        <v>0</v>
      </c>
      <c r="X217" s="36" t="s">
        <v>5893</v>
      </c>
      <c r="Y217" s="36" t="s">
        <v>5893</v>
      </c>
      <c r="Z217" s="36" t="s">
        <v>748</v>
      </c>
      <c r="AA217" s="36" t="s">
        <v>400</v>
      </c>
      <c r="AB217" s="38" t="s">
        <v>0</v>
      </c>
      <c r="AC217" s="38" t="s">
        <v>0</v>
      </c>
      <c r="AD217" s="38" t="s">
        <v>0</v>
      </c>
      <c r="AE217" s="122" t="s">
        <v>0</v>
      </c>
      <c r="AF217" s="38" t="s">
        <v>0</v>
      </c>
      <c r="AG217" s="38" t="s">
        <v>0</v>
      </c>
      <c r="AH217" s="38" t="s">
        <v>0</v>
      </c>
      <c r="AI217" s="7" t="s">
        <v>0</v>
      </c>
      <c r="AJ217" s="33" t="s">
        <v>0</v>
      </c>
      <c r="AK217" s="7" t="s">
        <v>0</v>
      </c>
      <c r="AL217" s="34" t="s">
        <v>0</v>
      </c>
      <c r="AM217" s="7" t="s">
        <v>111</v>
      </c>
      <c r="AN217" s="7" t="s">
        <v>111</v>
      </c>
      <c r="AO217" s="7" t="s">
        <v>0</v>
      </c>
      <c r="AP217" s="33" t="s">
        <v>0</v>
      </c>
      <c r="AQ217" s="7" t="s">
        <v>0</v>
      </c>
      <c r="AR217" s="7" t="s">
        <v>0</v>
      </c>
      <c r="AS217" s="7" t="s">
        <v>0</v>
      </c>
      <c r="AT217" s="7" t="s">
        <v>0</v>
      </c>
      <c r="AU217" s="38" t="s">
        <v>0</v>
      </c>
      <c r="AV217" s="38" t="s">
        <v>0</v>
      </c>
      <c r="AW217" s="34" t="s">
        <v>0</v>
      </c>
      <c r="AX217" s="34" t="s">
        <v>0</v>
      </c>
      <c r="AY217" s="37" t="s">
        <v>2924</v>
      </c>
      <c r="AZ217" s="38" t="s">
        <v>0</v>
      </c>
      <c r="BA217" s="38" t="s">
        <v>0</v>
      </c>
      <c r="BB217" s="38" t="s">
        <v>0</v>
      </c>
      <c r="BC217" s="38" t="s">
        <v>0</v>
      </c>
      <c r="BD217" s="38" t="s">
        <v>0</v>
      </c>
      <c r="BE217" s="38" t="s">
        <v>0</v>
      </c>
      <c r="BF217" s="38" t="s">
        <v>0</v>
      </c>
      <c r="BG217" s="38" t="s">
        <v>0</v>
      </c>
      <c r="BH217" s="36" t="s">
        <v>0</v>
      </c>
      <c r="BI217" s="38" t="s">
        <v>0</v>
      </c>
      <c r="BJ217" s="38" t="s">
        <v>0</v>
      </c>
      <c r="BK217" s="36" t="s">
        <v>0</v>
      </c>
      <c r="BL217" s="36" t="s">
        <v>0</v>
      </c>
      <c r="BM217" s="38" t="s">
        <v>0</v>
      </c>
      <c r="BN217" s="36" t="s">
        <v>0</v>
      </c>
      <c r="BO217" s="36" t="s">
        <v>166</v>
      </c>
      <c r="BP217" s="36" t="s">
        <v>0</v>
      </c>
      <c r="BQ217" s="36" t="s">
        <v>166</v>
      </c>
      <c r="BR217" s="38" t="s">
        <v>0</v>
      </c>
      <c r="BS217" s="38" t="s">
        <v>0</v>
      </c>
      <c r="BT217" s="36" t="s">
        <v>0</v>
      </c>
      <c r="BU217" s="36" t="s">
        <v>0</v>
      </c>
      <c r="BV217" s="38" t="s">
        <v>0</v>
      </c>
      <c r="BW217" s="36" t="s">
        <v>0</v>
      </c>
      <c r="BX217" s="36" t="s">
        <v>0</v>
      </c>
      <c r="BY217" s="36" t="s">
        <v>0</v>
      </c>
      <c r="BZ217" s="36" t="s">
        <v>0</v>
      </c>
      <c r="CA217" s="36" t="s">
        <v>0</v>
      </c>
      <c r="CB217" s="36" t="s">
        <v>0</v>
      </c>
      <c r="CC217" s="36" t="s">
        <v>0</v>
      </c>
      <c r="CD217" s="38" t="s">
        <v>0</v>
      </c>
      <c r="CE217" s="38" t="s">
        <v>0</v>
      </c>
      <c r="CF217" s="38" t="s">
        <v>0</v>
      </c>
      <c r="CG217" s="36" t="s">
        <v>0</v>
      </c>
      <c r="CH217" s="36" t="s">
        <v>0</v>
      </c>
      <c r="CI217" s="38" t="s">
        <v>0</v>
      </c>
      <c r="CJ217" s="38" t="s">
        <v>0</v>
      </c>
      <c r="CK217" s="36" t="s">
        <v>2677</v>
      </c>
      <c r="CL217" s="36" t="s">
        <v>611</v>
      </c>
      <c r="CM217" s="38" t="s">
        <v>0</v>
      </c>
      <c r="CN217" s="38" t="s">
        <v>0</v>
      </c>
      <c r="CO217" s="38" t="s">
        <v>0</v>
      </c>
      <c r="CP217" s="38" t="s">
        <v>0</v>
      </c>
      <c r="CQ217" s="38" t="s">
        <v>0</v>
      </c>
      <c r="CR217" s="36" t="s">
        <v>715</v>
      </c>
      <c r="CS217" s="36" t="s">
        <v>3114</v>
      </c>
      <c r="CT217" s="36" t="s">
        <v>3114</v>
      </c>
      <c r="CU217" s="36" t="s">
        <v>3114</v>
      </c>
      <c r="CV217" s="36" t="s">
        <v>3114</v>
      </c>
      <c r="CW217" s="36" t="s">
        <v>0</v>
      </c>
      <c r="CX217" s="36" t="s">
        <v>835</v>
      </c>
    </row>
    <row r="218" spans="1:102" ht="12" customHeight="1">
      <c r="A218" s="51" t="s">
        <v>935</v>
      </c>
      <c r="B218" s="52" t="s">
        <v>0</v>
      </c>
      <c r="C218" s="52"/>
      <c r="D218" s="52"/>
      <c r="E218" s="52"/>
      <c r="F218" s="52" t="s">
        <v>0</v>
      </c>
      <c r="G218" s="52" t="s">
        <v>1413</v>
      </c>
      <c r="H218" s="52" t="s">
        <v>0</v>
      </c>
      <c r="I218" s="52" t="s">
        <v>1413</v>
      </c>
      <c r="J218" s="52"/>
      <c r="K218" s="52"/>
      <c r="L218" s="52"/>
      <c r="M218" s="52" t="s">
        <v>0</v>
      </c>
      <c r="N218" s="52" t="s">
        <v>1593</v>
      </c>
      <c r="O218" s="52" t="s">
        <v>0</v>
      </c>
      <c r="P218" s="52" t="s">
        <v>0</v>
      </c>
      <c r="Q218" s="52" t="s">
        <v>3357</v>
      </c>
      <c r="R218" s="52" t="s">
        <v>0</v>
      </c>
      <c r="S218" s="52" t="s">
        <v>0</v>
      </c>
      <c r="T218" s="52" t="s">
        <v>3357</v>
      </c>
      <c r="U218" s="52" t="s">
        <v>0</v>
      </c>
      <c r="V218" s="52" t="s">
        <v>0</v>
      </c>
      <c r="W218" s="52" t="s">
        <v>0</v>
      </c>
      <c r="X218" s="52" t="s">
        <v>1596</v>
      </c>
      <c r="Y218" s="52" t="s">
        <v>5275</v>
      </c>
      <c r="Z218" s="52"/>
      <c r="AA218" s="52"/>
      <c r="AB218" s="52"/>
      <c r="AC218" s="52"/>
      <c r="AD218" s="52"/>
      <c r="AE218" s="123" t="s">
        <v>0</v>
      </c>
      <c r="AF218" s="52" t="s">
        <v>0</v>
      </c>
      <c r="AG218" s="52" t="s">
        <v>0</v>
      </c>
      <c r="AH218" s="52" t="s">
        <v>0</v>
      </c>
      <c r="AI218" s="52"/>
      <c r="AJ218" s="52"/>
      <c r="AK218" s="52" t="s">
        <v>0</v>
      </c>
      <c r="AL218" s="52" t="s">
        <v>0</v>
      </c>
      <c r="AM218" s="52"/>
      <c r="AN218" s="52" t="s">
        <v>1818</v>
      </c>
      <c r="AO218" s="52"/>
      <c r="AP218" s="52"/>
      <c r="AQ218" s="52" t="s">
        <v>0</v>
      </c>
      <c r="AR218" s="52" t="s">
        <v>0</v>
      </c>
      <c r="AS218" s="52" t="s">
        <v>0</v>
      </c>
      <c r="AT218" s="52" t="s">
        <v>0</v>
      </c>
      <c r="AU218" s="52"/>
      <c r="AV218" s="52"/>
      <c r="AW218" s="52" t="s">
        <v>0</v>
      </c>
      <c r="AX218" s="52" t="s">
        <v>0</v>
      </c>
      <c r="AY218" s="52" t="s">
        <v>2932</v>
      </c>
      <c r="AZ218" s="52"/>
      <c r="BA218" s="52" t="s">
        <v>0</v>
      </c>
      <c r="BB218" s="52"/>
      <c r="BC218" s="52"/>
      <c r="BD218" s="52" t="s">
        <v>0</v>
      </c>
      <c r="BE218" s="52"/>
      <c r="BF218" s="52" t="s">
        <v>0</v>
      </c>
      <c r="BG218" s="52" t="s">
        <v>0</v>
      </c>
      <c r="BH218" s="52"/>
      <c r="BI218" s="52"/>
      <c r="BJ218" s="52"/>
      <c r="BK218" s="52" t="s">
        <v>0</v>
      </c>
      <c r="BL218" s="52" t="s">
        <v>0</v>
      </c>
      <c r="BM218" s="52"/>
      <c r="BN218" s="52"/>
      <c r="BO218" s="52"/>
      <c r="BP218" s="52"/>
      <c r="BQ218" s="52"/>
      <c r="BR218" s="52"/>
      <c r="BS218" s="52"/>
      <c r="BT218" s="52" t="s">
        <v>0</v>
      </c>
      <c r="BU218" s="52" t="s">
        <v>0</v>
      </c>
      <c r="BV218" s="52" t="s">
        <v>0</v>
      </c>
      <c r="BW218" s="52" t="s">
        <v>0</v>
      </c>
      <c r="BX218" s="52" t="s">
        <v>0</v>
      </c>
      <c r="BY218" s="52" t="s">
        <v>0</v>
      </c>
      <c r="BZ218" s="52" t="s">
        <v>0</v>
      </c>
      <c r="CA218" s="52"/>
      <c r="CB218" s="52"/>
      <c r="CC218" s="52"/>
      <c r="CD218" s="52" t="s">
        <v>0</v>
      </c>
      <c r="CE218" s="52" t="s">
        <v>0</v>
      </c>
      <c r="CF218" s="52"/>
      <c r="CG218" s="52" t="s">
        <v>0</v>
      </c>
      <c r="CH218" s="52" t="s">
        <v>0</v>
      </c>
      <c r="CI218" s="52" t="s">
        <v>0</v>
      </c>
      <c r="CJ218" s="52" t="s">
        <v>0</v>
      </c>
      <c r="CK218" s="52" t="s">
        <v>2676</v>
      </c>
      <c r="CL218" s="52"/>
      <c r="CM218" s="52"/>
      <c r="CN218" s="52"/>
      <c r="CO218" s="52" t="s">
        <v>0</v>
      </c>
      <c r="CP218" s="52" t="s">
        <v>0</v>
      </c>
      <c r="CQ218" s="52"/>
      <c r="CR218" s="52"/>
      <c r="CS218" s="52"/>
      <c r="CT218" s="52"/>
      <c r="CU218" s="52"/>
      <c r="CV218" s="52"/>
      <c r="CW218" s="52" t="s">
        <v>0</v>
      </c>
      <c r="CX218" s="52"/>
    </row>
    <row r="219" spans="1:102" ht="22.5" customHeight="1">
      <c r="A219" s="12" t="s">
        <v>31</v>
      </c>
      <c r="B219" s="38" t="s">
        <v>0</v>
      </c>
      <c r="C219" s="38" t="s">
        <v>0</v>
      </c>
      <c r="D219" s="38" t="s">
        <v>0</v>
      </c>
      <c r="E219" s="38" t="s">
        <v>0</v>
      </c>
      <c r="F219" s="38" t="s">
        <v>0</v>
      </c>
      <c r="G219" s="38" t="s">
        <v>0</v>
      </c>
      <c r="H219" s="38" t="s">
        <v>0</v>
      </c>
      <c r="I219" s="38" t="s">
        <v>859</v>
      </c>
      <c r="J219" s="38" t="s">
        <v>0</v>
      </c>
      <c r="K219" s="36" t="s">
        <v>471</v>
      </c>
      <c r="L219" s="36" t="s">
        <v>0</v>
      </c>
      <c r="M219" s="38" t="s">
        <v>0</v>
      </c>
      <c r="N219" s="36" t="s">
        <v>1601</v>
      </c>
      <c r="O219" s="36" t="s">
        <v>0</v>
      </c>
      <c r="P219" s="38" t="s">
        <v>0</v>
      </c>
      <c r="Q219" s="36" t="s">
        <v>1601</v>
      </c>
      <c r="R219" s="36" t="s">
        <v>0</v>
      </c>
      <c r="S219" s="38" t="s">
        <v>0</v>
      </c>
      <c r="T219" s="36" t="s">
        <v>1601</v>
      </c>
      <c r="U219" s="36" t="s">
        <v>0</v>
      </c>
      <c r="V219" s="38" t="s">
        <v>0</v>
      </c>
      <c r="W219" s="38" t="s">
        <v>0</v>
      </c>
      <c r="X219" s="36" t="s">
        <v>1601</v>
      </c>
      <c r="Y219" s="38" t="s">
        <v>0</v>
      </c>
      <c r="Z219" s="36" t="s">
        <v>750</v>
      </c>
      <c r="AA219" s="38" t="s">
        <v>0</v>
      </c>
      <c r="AB219" s="38" t="s">
        <v>0</v>
      </c>
      <c r="AC219" s="38" t="s">
        <v>0</v>
      </c>
      <c r="AD219" s="38" t="s">
        <v>0</v>
      </c>
      <c r="AE219" s="122" t="s">
        <v>0</v>
      </c>
      <c r="AF219" s="36" t="s">
        <v>4809</v>
      </c>
      <c r="AG219" s="36" t="s">
        <v>4812</v>
      </c>
      <c r="AH219" s="36" t="s">
        <v>4808</v>
      </c>
      <c r="AI219" s="7" t="s">
        <v>0</v>
      </c>
      <c r="AJ219" s="37" t="s">
        <v>0</v>
      </c>
      <c r="AK219" s="7" t="s">
        <v>0</v>
      </c>
      <c r="AL219" s="37" t="s">
        <v>111</v>
      </c>
      <c r="AM219" s="34" t="s">
        <v>0</v>
      </c>
      <c r="AN219" s="34" t="s">
        <v>0</v>
      </c>
      <c r="AO219" s="7" t="s">
        <v>0</v>
      </c>
      <c r="AP219" s="33" t="s">
        <v>111</v>
      </c>
      <c r="AQ219" s="7" t="s">
        <v>0</v>
      </c>
      <c r="AR219" s="37" t="s">
        <v>3062</v>
      </c>
      <c r="AS219" s="7" t="s">
        <v>0</v>
      </c>
      <c r="AT219" s="37" t="s">
        <v>3062</v>
      </c>
      <c r="AU219" s="38" t="s">
        <v>0</v>
      </c>
      <c r="AV219" s="36" t="s">
        <v>368</v>
      </c>
      <c r="AW219" s="34" t="s">
        <v>0</v>
      </c>
      <c r="AX219" s="34" t="s">
        <v>0</v>
      </c>
      <c r="AY219" s="37" t="s">
        <v>2909</v>
      </c>
      <c r="AZ219" s="38" t="s">
        <v>0</v>
      </c>
      <c r="BA219" s="36" t="s">
        <v>4125</v>
      </c>
      <c r="BB219" s="36" t="s">
        <v>272</v>
      </c>
      <c r="BC219" s="36" t="s">
        <v>272</v>
      </c>
      <c r="BD219" s="36" t="s">
        <v>272</v>
      </c>
      <c r="BE219" s="36" t="s">
        <v>272</v>
      </c>
      <c r="BF219" s="36" t="s">
        <v>272</v>
      </c>
      <c r="BG219" s="38" t="s">
        <v>0</v>
      </c>
      <c r="BH219" s="36" t="s">
        <v>0</v>
      </c>
      <c r="BI219" s="38" t="s">
        <v>111</v>
      </c>
      <c r="BJ219" s="38" t="s">
        <v>111</v>
      </c>
      <c r="BK219" s="38" t="s">
        <v>0</v>
      </c>
      <c r="BL219" s="36" t="s">
        <v>1290</v>
      </c>
      <c r="BM219" s="36" t="s">
        <v>0</v>
      </c>
      <c r="BN219" s="38" t="s">
        <v>0</v>
      </c>
      <c r="BO219" s="36" t="s">
        <v>111</v>
      </c>
      <c r="BP219" s="38" t="s">
        <v>0</v>
      </c>
      <c r="BQ219" s="36" t="s">
        <v>111</v>
      </c>
      <c r="BR219" s="36" t="s">
        <v>256</v>
      </c>
      <c r="BS219" s="36" t="s">
        <v>223</v>
      </c>
      <c r="BT219" s="36" t="s">
        <v>0</v>
      </c>
      <c r="BU219" s="36" t="s">
        <v>0</v>
      </c>
      <c r="BV219" s="7" t="s">
        <v>3453</v>
      </c>
      <c r="BW219" s="38" t="s">
        <v>0</v>
      </c>
      <c r="BX219" s="38" t="s">
        <v>0</v>
      </c>
      <c r="BY219" s="38" t="s">
        <v>0</v>
      </c>
      <c r="BZ219" s="36" t="s">
        <v>0</v>
      </c>
      <c r="CA219" s="36" t="s">
        <v>0</v>
      </c>
      <c r="CB219" s="36" t="s">
        <v>0</v>
      </c>
      <c r="CC219" s="36" t="s">
        <v>111</v>
      </c>
      <c r="CD219" s="38" t="s">
        <v>0</v>
      </c>
      <c r="CE219" s="38" t="s">
        <v>0</v>
      </c>
      <c r="CF219" s="38" t="s">
        <v>0</v>
      </c>
      <c r="CG219" s="36" t="s">
        <v>111</v>
      </c>
      <c r="CH219" s="36" t="s">
        <v>0</v>
      </c>
      <c r="CI219" s="38" t="s">
        <v>0</v>
      </c>
      <c r="CJ219" s="38" t="s">
        <v>0</v>
      </c>
      <c r="CK219" s="38" t="s">
        <v>0</v>
      </c>
      <c r="CL219" s="36" t="s">
        <v>612</v>
      </c>
      <c r="CM219" s="38" t="s">
        <v>0</v>
      </c>
      <c r="CN219" s="38" t="s">
        <v>0</v>
      </c>
      <c r="CO219" s="38" t="s">
        <v>0</v>
      </c>
      <c r="CP219" s="38" t="s">
        <v>0</v>
      </c>
      <c r="CQ219" s="38" t="s">
        <v>6</v>
      </c>
      <c r="CR219" s="38" t="s">
        <v>111</v>
      </c>
      <c r="CS219" s="36" t="s">
        <v>32</v>
      </c>
      <c r="CT219" s="36" t="s">
        <v>32</v>
      </c>
      <c r="CU219" s="36" t="s">
        <v>32</v>
      </c>
      <c r="CV219" s="36" t="s">
        <v>3068</v>
      </c>
      <c r="CW219" s="36" t="s">
        <v>1165</v>
      </c>
      <c r="CX219" s="36" t="s">
        <v>0</v>
      </c>
    </row>
    <row r="220" spans="1:102" ht="12" customHeight="1">
      <c r="A220" s="51" t="s">
        <v>935</v>
      </c>
      <c r="B220" s="52" t="s">
        <v>0</v>
      </c>
      <c r="C220" s="52"/>
      <c r="D220" s="52"/>
      <c r="E220" s="52"/>
      <c r="F220" s="52" t="s">
        <v>0</v>
      </c>
      <c r="G220" s="52" t="s">
        <v>0</v>
      </c>
      <c r="H220" s="52" t="s">
        <v>3308</v>
      </c>
      <c r="I220" s="52" t="s">
        <v>3308</v>
      </c>
      <c r="J220" s="52"/>
      <c r="K220" s="52"/>
      <c r="L220" s="52"/>
      <c r="M220" s="52" t="s">
        <v>0</v>
      </c>
      <c r="N220" s="52" t="s">
        <v>1600</v>
      </c>
      <c r="O220" s="52" t="s">
        <v>0</v>
      </c>
      <c r="P220" s="52" t="s">
        <v>0</v>
      </c>
      <c r="Q220" s="52" t="s">
        <v>1603</v>
      </c>
      <c r="R220" s="52" t="s">
        <v>0</v>
      </c>
      <c r="S220" s="52" t="s">
        <v>0</v>
      </c>
      <c r="T220" s="52" t="s">
        <v>1603</v>
      </c>
      <c r="U220" s="52" t="s">
        <v>0</v>
      </c>
      <c r="V220" s="52" t="s">
        <v>0</v>
      </c>
      <c r="W220" s="52" t="s">
        <v>0</v>
      </c>
      <c r="X220" s="52" t="s">
        <v>1604</v>
      </c>
      <c r="Y220" s="52" t="s">
        <v>0</v>
      </c>
      <c r="Z220" s="52"/>
      <c r="AA220" s="52"/>
      <c r="AB220" s="52"/>
      <c r="AC220" s="52"/>
      <c r="AD220" s="52"/>
      <c r="AE220" s="123" t="s">
        <v>0</v>
      </c>
      <c r="AF220" s="52" t="s">
        <v>4810</v>
      </c>
      <c r="AG220" s="52" t="s">
        <v>4811</v>
      </c>
      <c r="AH220" s="52" t="s">
        <v>4807</v>
      </c>
      <c r="AI220" s="52"/>
      <c r="AJ220" s="52"/>
      <c r="AK220" s="52" t="s">
        <v>0</v>
      </c>
      <c r="AL220" s="52" t="s">
        <v>1682</v>
      </c>
      <c r="AM220" s="52"/>
      <c r="AN220" s="52" t="s">
        <v>1815</v>
      </c>
      <c r="AO220" s="52"/>
      <c r="AP220" s="52"/>
      <c r="AQ220" s="52" t="s">
        <v>0</v>
      </c>
      <c r="AR220" s="52" t="s">
        <v>1876</v>
      </c>
      <c r="AS220" s="52" t="s">
        <v>0</v>
      </c>
      <c r="AT220" s="52" t="s">
        <v>1876</v>
      </c>
      <c r="AU220" s="52"/>
      <c r="AV220" s="52"/>
      <c r="AW220" s="52" t="s">
        <v>0</v>
      </c>
      <c r="AX220" s="52" t="s">
        <v>0</v>
      </c>
      <c r="AY220" s="52" t="s">
        <v>2933</v>
      </c>
      <c r="AZ220" s="52"/>
      <c r="BA220" s="52" t="s">
        <v>4117</v>
      </c>
      <c r="BB220" s="52"/>
      <c r="BC220" s="52"/>
      <c r="BD220" s="52" t="s">
        <v>1983</v>
      </c>
      <c r="BE220" s="52"/>
      <c r="BF220" s="52" t="s">
        <v>1983</v>
      </c>
      <c r="BG220" s="52" t="s">
        <v>0</v>
      </c>
      <c r="BH220" s="52"/>
      <c r="BI220" s="52"/>
      <c r="BJ220" s="52"/>
      <c r="BK220" s="52" t="s">
        <v>1343</v>
      </c>
      <c r="BL220" s="52" t="s">
        <v>1289</v>
      </c>
      <c r="BM220" s="52"/>
      <c r="BN220" s="52"/>
      <c r="BO220" s="52" t="s">
        <v>4577</v>
      </c>
      <c r="BP220" s="52"/>
      <c r="BQ220" s="52" t="s">
        <v>4577</v>
      </c>
      <c r="BR220" s="52"/>
      <c r="BS220" s="52"/>
      <c r="BT220" s="52" t="s">
        <v>3723</v>
      </c>
      <c r="BU220" s="52" t="s">
        <v>3724</v>
      </c>
      <c r="BV220" s="52" t="s">
        <v>3536</v>
      </c>
      <c r="BW220" s="52" t="s">
        <v>2477</v>
      </c>
      <c r="BX220" s="52" t="s">
        <v>2477</v>
      </c>
      <c r="BY220" s="52" t="s">
        <v>2477</v>
      </c>
      <c r="BZ220" s="52" t="s">
        <v>4156</v>
      </c>
      <c r="CA220" s="52"/>
      <c r="CB220" s="52"/>
      <c r="CC220" s="52"/>
      <c r="CD220" s="52" t="s">
        <v>2576</v>
      </c>
      <c r="CE220" s="52" t="s">
        <v>2576</v>
      </c>
      <c r="CF220" s="52"/>
      <c r="CG220" s="52" t="s">
        <v>2247</v>
      </c>
      <c r="CH220" s="52" t="s">
        <v>2280</v>
      </c>
      <c r="CI220" s="52" t="s">
        <v>4041</v>
      </c>
      <c r="CJ220" s="52" t="s">
        <v>4041</v>
      </c>
      <c r="CK220" s="52" t="s">
        <v>2707</v>
      </c>
      <c r="CL220" s="52"/>
      <c r="CM220" s="52"/>
      <c r="CN220" s="52"/>
      <c r="CO220" s="52" t="s">
        <v>2065</v>
      </c>
      <c r="CP220" s="52" t="s">
        <v>2833</v>
      </c>
      <c r="CQ220" s="52"/>
      <c r="CR220" s="52"/>
      <c r="CS220" s="52"/>
      <c r="CT220" s="52"/>
      <c r="CU220" s="52"/>
      <c r="CV220" s="52"/>
      <c r="CW220" s="52" t="s">
        <v>1150</v>
      </c>
      <c r="CX220" s="52"/>
    </row>
    <row r="221" spans="1:102" ht="22.5" customHeight="1">
      <c r="A221" s="12" t="s">
        <v>207</v>
      </c>
      <c r="B221" s="38" t="s">
        <v>0</v>
      </c>
      <c r="C221" s="38" t="s">
        <v>0</v>
      </c>
      <c r="D221" s="38" t="s">
        <v>0</v>
      </c>
      <c r="E221" s="38" t="s">
        <v>223</v>
      </c>
      <c r="F221" s="38" t="s">
        <v>0</v>
      </c>
      <c r="G221" s="38" t="s">
        <v>223</v>
      </c>
      <c r="H221" s="38" t="s">
        <v>0</v>
      </c>
      <c r="I221" s="38" t="s">
        <v>223</v>
      </c>
      <c r="J221" s="38" t="s">
        <v>6</v>
      </c>
      <c r="K221" s="38" t="s">
        <v>17</v>
      </c>
      <c r="L221" s="38" t="s">
        <v>111</v>
      </c>
      <c r="M221" s="38" t="s">
        <v>6</v>
      </c>
      <c r="N221" s="36" t="s">
        <v>1598</v>
      </c>
      <c r="O221" s="38" t="s">
        <v>111</v>
      </c>
      <c r="P221" s="38" t="s">
        <v>6</v>
      </c>
      <c r="Q221" s="36" t="s">
        <v>1598</v>
      </c>
      <c r="R221" s="38" t="s">
        <v>111</v>
      </c>
      <c r="S221" s="38" t="s">
        <v>6</v>
      </c>
      <c r="T221" s="36" t="s">
        <v>1598</v>
      </c>
      <c r="U221" s="38" t="s">
        <v>111</v>
      </c>
      <c r="V221" s="38" t="s">
        <v>0</v>
      </c>
      <c r="W221" s="36" t="s">
        <v>159</v>
      </c>
      <c r="X221" s="36" t="s">
        <v>44</v>
      </c>
      <c r="Y221" s="36" t="s">
        <v>17</v>
      </c>
      <c r="Z221" s="38" t="s">
        <v>111</v>
      </c>
      <c r="AA221" s="38" t="s">
        <v>0</v>
      </c>
      <c r="AB221" s="38" t="s">
        <v>0</v>
      </c>
      <c r="AC221" s="38" t="s">
        <v>0</v>
      </c>
      <c r="AD221" s="38" t="s">
        <v>0</v>
      </c>
      <c r="AE221" s="122" t="s">
        <v>0</v>
      </c>
      <c r="AF221" s="36" t="s">
        <v>4816</v>
      </c>
      <c r="AG221" s="36" t="s">
        <v>4817</v>
      </c>
      <c r="AH221" s="36" t="s">
        <v>4808</v>
      </c>
      <c r="AI221" s="7" t="s">
        <v>0</v>
      </c>
      <c r="AJ221" s="33" t="s">
        <v>197</v>
      </c>
      <c r="AK221" s="7" t="s">
        <v>0</v>
      </c>
      <c r="AL221" s="34" t="s">
        <v>197</v>
      </c>
      <c r="AM221" s="33" t="s">
        <v>6</v>
      </c>
      <c r="AN221" s="34" t="s">
        <v>6</v>
      </c>
      <c r="AO221" s="7" t="s">
        <v>0</v>
      </c>
      <c r="AP221" s="33" t="s">
        <v>27</v>
      </c>
      <c r="AQ221" s="7" t="s">
        <v>0</v>
      </c>
      <c r="AR221" s="34" t="s">
        <v>27</v>
      </c>
      <c r="AS221" s="7" t="s">
        <v>0</v>
      </c>
      <c r="AT221" s="34" t="s">
        <v>27</v>
      </c>
      <c r="AU221" s="38" t="s">
        <v>0</v>
      </c>
      <c r="AV221" s="38" t="s">
        <v>0</v>
      </c>
      <c r="AW221" s="34" t="s">
        <v>0</v>
      </c>
      <c r="AX221" s="34" t="s">
        <v>6</v>
      </c>
      <c r="AY221" s="34" t="s">
        <v>111</v>
      </c>
      <c r="AZ221" s="36" t="s">
        <v>900</v>
      </c>
      <c r="BA221" s="36" t="s">
        <v>685</v>
      </c>
      <c r="BB221" s="38" t="s">
        <v>0</v>
      </c>
      <c r="BC221" s="38" t="s">
        <v>0</v>
      </c>
      <c r="BD221" s="38" t="s">
        <v>0</v>
      </c>
      <c r="BE221" s="38" t="s">
        <v>0</v>
      </c>
      <c r="BF221" s="38" t="s">
        <v>0</v>
      </c>
      <c r="BG221" s="38" t="s">
        <v>0</v>
      </c>
      <c r="BH221" s="36" t="s">
        <v>0</v>
      </c>
      <c r="BI221" s="38" t="s">
        <v>0</v>
      </c>
      <c r="BJ221" s="38" t="s">
        <v>0</v>
      </c>
      <c r="BK221" s="38" t="s">
        <v>0</v>
      </c>
      <c r="BL221" s="38" t="s">
        <v>223</v>
      </c>
      <c r="BM221" s="36" t="s">
        <v>0</v>
      </c>
      <c r="BN221" s="38" t="s">
        <v>0</v>
      </c>
      <c r="BO221" s="36" t="s">
        <v>111</v>
      </c>
      <c r="BP221" s="38" t="s">
        <v>0</v>
      </c>
      <c r="BQ221" s="36" t="s">
        <v>159</v>
      </c>
      <c r="BR221" s="36" t="s">
        <v>247</v>
      </c>
      <c r="BS221" s="36" t="s">
        <v>223</v>
      </c>
      <c r="BT221" s="36" t="s">
        <v>0</v>
      </c>
      <c r="BU221" s="36" t="s">
        <v>350</v>
      </c>
      <c r="BV221" s="36" t="s">
        <v>3495</v>
      </c>
      <c r="BW221" s="36" t="s">
        <v>0</v>
      </c>
      <c r="BX221" s="36" t="s">
        <v>0</v>
      </c>
      <c r="BY221" s="36" t="s">
        <v>0</v>
      </c>
      <c r="BZ221" s="36" t="s">
        <v>6</v>
      </c>
      <c r="CA221" s="36" t="s">
        <v>6</v>
      </c>
      <c r="CB221" s="36" t="s">
        <v>111</v>
      </c>
      <c r="CC221" s="36" t="s">
        <v>111</v>
      </c>
      <c r="CD221" s="38" t="s">
        <v>0</v>
      </c>
      <c r="CE221" s="38" t="s">
        <v>0</v>
      </c>
      <c r="CF221" s="38" t="s">
        <v>0</v>
      </c>
      <c r="CG221" s="38" t="s">
        <v>0</v>
      </c>
      <c r="CH221" s="38" t="s">
        <v>0</v>
      </c>
      <c r="CI221" s="38" t="s">
        <v>0</v>
      </c>
      <c r="CJ221" s="38" t="s">
        <v>0</v>
      </c>
      <c r="CK221" s="38" t="s">
        <v>0</v>
      </c>
      <c r="CL221" s="38" t="s">
        <v>0</v>
      </c>
      <c r="CM221" s="38" t="s">
        <v>0</v>
      </c>
      <c r="CN221" s="38" t="s">
        <v>0</v>
      </c>
      <c r="CO221" s="38" t="s">
        <v>0</v>
      </c>
      <c r="CP221" s="38" t="s">
        <v>0</v>
      </c>
      <c r="CQ221" s="38" t="s">
        <v>685</v>
      </c>
      <c r="CR221" s="38" t="s">
        <v>685</v>
      </c>
      <c r="CS221" s="36" t="s">
        <v>0</v>
      </c>
      <c r="CT221" s="36" t="s">
        <v>0</v>
      </c>
      <c r="CU221" s="36" t="s">
        <v>0</v>
      </c>
      <c r="CV221" s="36" t="s">
        <v>0</v>
      </c>
      <c r="CW221" s="36" t="s">
        <v>6</v>
      </c>
      <c r="CX221" s="36" t="s">
        <v>837</v>
      </c>
    </row>
    <row r="222" spans="1:102" ht="12" customHeight="1">
      <c r="A222" s="51" t="s">
        <v>935</v>
      </c>
      <c r="B222" s="52" t="s">
        <v>0</v>
      </c>
      <c r="C222" s="52"/>
      <c r="D222" s="52"/>
      <c r="E222" s="52"/>
      <c r="F222" s="52" t="s">
        <v>0</v>
      </c>
      <c r="G222" s="52" t="s">
        <v>1408</v>
      </c>
      <c r="H222" s="52" t="s">
        <v>0</v>
      </c>
      <c r="I222" s="52" t="s">
        <v>1408</v>
      </c>
      <c r="J222" s="52"/>
      <c r="K222" s="52"/>
      <c r="L222" s="52"/>
      <c r="M222" s="52" t="s">
        <v>1502</v>
      </c>
      <c r="N222" s="52" t="s">
        <v>1597</v>
      </c>
      <c r="O222" s="52" t="s">
        <v>1544</v>
      </c>
      <c r="P222" s="52" t="s">
        <v>3325</v>
      </c>
      <c r="Q222" s="52" t="s">
        <v>1600</v>
      </c>
      <c r="R222" s="52" t="s">
        <v>3411</v>
      </c>
      <c r="S222" s="52" t="s">
        <v>3325</v>
      </c>
      <c r="T222" s="52" t="s">
        <v>1600</v>
      </c>
      <c r="U222" s="52" t="s">
        <v>3411</v>
      </c>
      <c r="V222" s="52" t="s">
        <v>0</v>
      </c>
      <c r="W222" s="52" t="s">
        <v>3325</v>
      </c>
      <c r="X222" s="52" t="s">
        <v>3360</v>
      </c>
      <c r="Y222" s="52" t="s">
        <v>5894</v>
      </c>
      <c r="Z222" s="52"/>
      <c r="AA222" s="52"/>
      <c r="AB222" s="52"/>
      <c r="AC222" s="52"/>
      <c r="AD222" s="52"/>
      <c r="AE222" s="123" t="s">
        <v>0</v>
      </c>
      <c r="AF222" s="52" t="s">
        <v>4814</v>
      </c>
      <c r="AG222" s="52" t="s">
        <v>4815</v>
      </c>
      <c r="AH222" s="52" t="s">
        <v>4813</v>
      </c>
      <c r="AI222" s="52"/>
      <c r="AJ222" s="52"/>
      <c r="AK222" s="52" t="s">
        <v>0</v>
      </c>
      <c r="AL222" s="52" t="s">
        <v>1682</v>
      </c>
      <c r="AM222" s="52"/>
      <c r="AN222" s="52" t="s">
        <v>1841</v>
      </c>
      <c r="AO222" s="52"/>
      <c r="AP222" s="52"/>
      <c r="AQ222" s="52" t="s">
        <v>0</v>
      </c>
      <c r="AR222" s="52" t="s">
        <v>1865</v>
      </c>
      <c r="AS222" s="52" t="s">
        <v>0</v>
      </c>
      <c r="AT222" s="52" t="s">
        <v>1865</v>
      </c>
      <c r="AU222" s="52"/>
      <c r="AV222" s="52"/>
      <c r="AW222" s="52" t="s">
        <v>0</v>
      </c>
      <c r="AX222" s="52" t="s">
        <v>2983</v>
      </c>
      <c r="AY222" s="52" t="s">
        <v>2981</v>
      </c>
      <c r="AZ222" s="52"/>
      <c r="BA222" s="52" t="s">
        <v>4117</v>
      </c>
      <c r="BB222" s="52"/>
      <c r="BC222" s="52"/>
      <c r="BD222" s="52" t="s">
        <v>0</v>
      </c>
      <c r="BE222" s="52"/>
      <c r="BF222" s="52" t="s">
        <v>0</v>
      </c>
      <c r="BG222" s="52" t="s">
        <v>0</v>
      </c>
      <c r="BH222" s="52"/>
      <c r="BI222" s="52"/>
      <c r="BJ222" s="52"/>
      <c r="BK222" s="52" t="s">
        <v>0</v>
      </c>
      <c r="BL222" s="52" t="s">
        <v>1280</v>
      </c>
      <c r="BM222" s="52"/>
      <c r="BN222" s="52"/>
      <c r="BO222" s="52" t="s">
        <v>4572</v>
      </c>
      <c r="BP222" s="52"/>
      <c r="BQ222" s="52"/>
      <c r="BR222" s="52"/>
      <c r="BS222" s="52"/>
      <c r="BT222" s="52" t="s">
        <v>0</v>
      </c>
      <c r="BU222" s="52" t="s">
        <v>3634</v>
      </c>
      <c r="BV222" s="52" t="s">
        <v>3494</v>
      </c>
      <c r="BW222" s="52" t="s">
        <v>0</v>
      </c>
      <c r="BX222" s="52" t="s">
        <v>0</v>
      </c>
      <c r="BY222" s="52" t="s">
        <v>0</v>
      </c>
      <c r="BZ222" s="52" t="s">
        <v>4606</v>
      </c>
      <c r="CA222" s="52"/>
      <c r="CB222" s="52"/>
      <c r="CC222" s="52"/>
      <c r="CD222" s="52" t="s">
        <v>0</v>
      </c>
      <c r="CE222" s="52" t="s">
        <v>0</v>
      </c>
      <c r="CF222" s="52"/>
      <c r="CG222" s="52" t="s">
        <v>0</v>
      </c>
      <c r="CH222" s="52" t="s">
        <v>0</v>
      </c>
      <c r="CI222" s="52" t="s">
        <v>0</v>
      </c>
      <c r="CJ222" s="52" t="s">
        <v>0</v>
      </c>
      <c r="CK222" s="52" t="s">
        <v>0</v>
      </c>
      <c r="CL222" s="52"/>
      <c r="CM222" s="52"/>
      <c r="CN222" s="52"/>
      <c r="CO222" s="52" t="s">
        <v>0</v>
      </c>
      <c r="CP222" s="52" t="s">
        <v>0</v>
      </c>
      <c r="CQ222" s="52"/>
      <c r="CR222" s="52"/>
      <c r="CS222" s="52"/>
      <c r="CT222" s="52"/>
      <c r="CU222" s="52"/>
      <c r="CV222" s="52"/>
      <c r="CW222" s="52" t="s">
        <v>1245</v>
      </c>
      <c r="CX222" s="52"/>
    </row>
    <row r="223" spans="1:102" ht="22.5" customHeight="1">
      <c r="A223" s="11" t="s">
        <v>5222</v>
      </c>
      <c r="B223" s="38" t="s">
        <v>0</v>
      </c>
      <c r="C223" s="38" t="s">
        <v>0</v>
      </c>
      <c r="D223" s="38" t="s">
        <v>0</v>
      </c>
      <c r="E223" s="38" t="s">
        <v>111</v>
      </c>
      <c r="F223" s="38" t="s">
        <v>0</v>
      </c>
      <c r="G223" s="38" t="s">
        <v>111</v>
      </c>
      <c r="H223" s="38" t="s">
        <v>659</v>
      </c>
      <c r="I223" s="38" t="s">
        <v>111</v>
      </c>
      <c r="J223" s="38" t="s">
        <v>366</v>
      </c>
      <c r="K223" s="38" t="s">
        <v>57</v>
      </c>
      <c r="L223" s="38" t="s">
        <v>27</v>
      </c>
      <c r="M223" s="38" t="s">
        <v>366</v>
      </c>
      <c r="N223" s="38" t="s">
        <v>57</v>
      </c>
      <c r="O223" s="38" t="s">
        <v>27</v>
      </c>
      <c r="P223" s="38" t="s">
        <v>366</v>
      </c>
      <c r="Q223" s="38" t="s">
        <v>57</v>
      </c>
      <c r="R223" s="38" t="s">
        <v>27</v>
      </c>
      <c r="S223" s="38" t="s">
        <v>366</v>
      </c>
      <c r="T223" s="38" t="s">
        <v>57</v>
      </c>
      <c r="U223" s="38" t="s">
        <v>27</v>
      </c>
      <c r="V223" s="38" t="s">
        <v>685</v>
      </c>
      <c r="W223" s="38" t="s">
        <v>366</v>
      </c>
      <c r="X223" s="38" t="s">
        <v>57</v>
      </c>
      <c r="Y223" s="38" t="s">
        <v>27</v>
      </c>
      <c r="Z223" s="38" t="s">
        <v>111</v>
      </c>
      <c r="AA223" s="38" t="s">
        <v>197</v>
      </c>
      <c r="AB223" s="38" t="s">
        <v>18</v>
      </c>
      <c r="AC223" s="38" t="s">
        <v>18</v>
      </c>
      <c r="AD223" s="38" t="s">
        <v>0</v>
      </c>
      <c r="AE223" s="124" t="s">
        <v>27</v>
      </c>
      <c r="AF223" s="38" t="s">
        <v>111</v>
      </c>
      <c r="AG223" s="38" t="s">
        <v>57</v>
      </c>
      <c r="AH223" s="38" t="s">
        <v>0</v>
      </c>
      <c r="AI223" s="7" t="s">
        <v>6</v>
      </c>
      <c r="AJ223" s="7" t="s">
        <v>6</v>
      </c>
      <c r="AK223" s="7" t="s">
        <v>6</v>
      </c>
      <c r="AL223" s="7" t="s">
        <v>6</v>
      </c>
      <c r="AM223" s="7" t="s">
        <v>6</v>
      </c>
      <c r="AN223" s="7" t="s">
        <v>6</v>
      </c>
      <c r="AO223" s="7" t="s">
        <v>0</v>
      </c>
      <c r="AP223" s="33" t="s">
        <v>159</v>
      </c>
      <c r="AQ223" s="7" t="s">
        <v>0</v>
      </c>
      <c r="AR223" s="34" t="s">
        <v>159</v>
      </c>
      <c r="AS223" s="7" t="s">
        <v>0</v>
      </c>
      <c r="AT223" s="34" t="s">
        <v>159</v>
      </c>
      <c r="AU223" s="38" t="s">
        <v>366</v>
      </c>
      <c r="AV223" s="38" t="s">
        <v>366</v>
      </c>
      <c r="AW223" s="34" t="s">
        <v>0</v>
      </c>
      <c r="AX223" s="34" t="s">
        <v>6</v>
      </c>
      <c r="AY223" s="34" t="s">
        <v>111</v>
      </c>
      <c r="AZ223" s="36" t="s">
        <v>900</v>
      </c>
      <c r="BA223" s="36" t="s">
        <v>27</v>
      </c>
      <c r="BB223" s="38" t="s">
        <v>111</v>
      </c>
      <c r="BC223" s="38" t="s">
        <v>111</v>
      </c>
      <c r="BD223" s="38" t="s">
        <v>111</v>
      </c>
      <c r="BE223" s="38" t="s">
        <v>6</v>
      </c>
      <c r="BF223" s="38" t="s">
        <v>6</v>
      </c>
      <c r="BG223" s="38" t="s">
        <v>0</v>
      </c>
      <c r="BH223" s="38" t="s">
        <v>0</v>
      </c>
      <c r="BI223" s="38" t="s">
        <v>111</v>
      </c>
      <c r="BJ223" s="38" t="s">
        <v>111</v>
      </c>
      <c r="BK223" s="38" t="s">
        <v>1317</v>
      </c>
      <c r="BL223" s="38" t="s">
        <v>57</v>
      </c>
      <c r="BM223" s="38" t="s">
        <v>0</v>
      </c>
      <c r="BN223" s="38" t="s">
        <v>18</v>
      </c>
      <c r="BO223" s="38" t="s">
        <v>18</v>
      </c>
      <c r="BP223" s="38" t="s">
        <v>18</v>
      </c>
      <c r="BQ223" s="38" t="s">
        <v>18</v>
      </c>
      <c r="BR223" s="38" t="s">
        <v>208</v>
      </c>
      <c r="BS223" s="36" t="s">
        <v>602</v>
      </c>
      <c r="BT223" s="36" t="s">
        <v>0</v>
      </c>
      <c r="BU223" s="36" t="s">
        <v>350</v>
      </c>
      <c r="BV223" s="36" t="s">
        <v>602</v>
      </c>
      <c r="BW223" s="36" t="s">
        <v>0</v>
      </c>
      <c r="BX223" s="36" t="s">
        <v>0</v>
      </c>
      <c r="BY223" s="36" t="s">
        <v>0</v>
      </c>
      <c r="BZ223" s="36" t="s">
        <v>113</v>
      </c>
      <c r="CA223" s="38" t="s">
        <v>6</v>
      </c>
      <c r="CB223" s="38" t="s">
        <v>197</v>
      </c>
      <c r="CC223" s="38" t="s">
        <v>111</v>
      </c>
      <c r="CD223" s="38" t="s">
        <v>111</v>
      </c>
      <c r="CE223" s="38" t="s">
        <v>197</v>
      </c>
      <c r="CF223" s="38" t="s">
        <v>27</v>
      </c>
      <c r="CG223" s="36" t="s">
        <v>778</v>
      </c>
      <c r="CH223" s="38" t="s">
        <v>0</v>
      </c>
      <c r="CI223" s="38" t="s">
        <v>0</v>
      </c>
      <c r="CJ223" s="38" t="s">
        <v>0</v>
      </c>
      <c r="CK223" s="36" t="s">
        <v>350</v>
      </c>
      <c r="CL223" s="38" t="s">
        <v>195</v>
      </c>
      <c r="CM223" s="38" t="s">
        <v>0</v>
      </c>
      <c r="CN223" s="38" t="s">
        <v>0</v>
      </c>
      <c r="CO223" s="38" t="s">
        <v>0</v>
      </c>
      <c r="CP223" s="38" t="s">
        <v>6</v>
      </c>
      <c r="CQ223" s="38" t="s">
        <v>6</v>
      </c>
      <c r="CR223" s="38" t="s">
        <v>111</v>
      </c>
      <c r="CS223" s="38" t="s">
        <v>27</v>
      </c>
      <c r="CT223" s="38" t="s">
        <v>27</v>
      </c>
      <c r="CU223" s="38" t="s">
        <v>27</v>
      </c>
      <c r="CV223" s="38" t="s">
        <v>27</v>
      </c>
      <c r="CW223" s="36" t="s">
        <v>6</v>
      </c>
      <c r="CX223" s="38" t="s">
        <v>366</v>
      </c>
    </row>
    <row r="224" spans="1:102" ht="12" customHeight="1">
      <c r="A224" s="51" t="s">
        <v>935</v>
      </c>
      <c r="B224" s="52" t="s">
        <v>0</v>
      </c>
      <c r="C224" s="52"/>
      <c r="D224" s="52"/>
      <c r="E224" s="52"/>
      <c r="F224" s="52" t="s">
        <v>0</v>
      </c>
      <c r="G224" s="52" t="s">
        <v>1413</v>
      </c>
      <c r="H224" s="52" t="s">
        <v>1413</v>
      </c>
      <c r="I224" s="52" t="s">
        <v>1413</v>
      </c>
      <c r="J224" s="52"/>
      <c r="K224" s="52"/>
      <c r="L224" s="52"/>
      <c r="M224" s="52" t="s">
        <v>1501</v>
      </c>
      <c r="N224" s="52" t="s">
        <v>1596</v>
      </c>
      <c r="O224" s="52" t="s">
        <v>1543</v>
      </c>
      <c r="P224" s="52" t="s">
        <v>3324</v>
      </c>
      <c r="Q224" s="52" t="s">
        <v>1597</v>
      </c>
      <c r="R224" s="52" t="s">
        <v>3410</v>
      </c>
      <c r="S224" s="52" t="s">
        <v>3324</v>
      </c>
      <c r="T224" s="52" t="s">
        <v>1597</v>
      </c>
      <c r="U224" s="52" t="s">
        <v>3410</v>
      </c>
      <c r="V224" s="52" t="s">
        <v>5297</v>
      </c>
      <c r="W224" s="52" t="s">
        <v>3324</v>
      </c>
      <c r="X224" s="52" t="s">
        <v>1599</v>
      </c>
      <c r="Y224" s="52" t="s">
        <v>5895</v>
      </c>
      <c r="Z224" s="52"/>
      <c r="AA224" s="52"/>
      <c r="AB224" s="52"/>
      <c r="AC224" s="52"/>
      <c r="AD224" s="52"/>
      <c r="AE224" s="123" t="s">
        <v>5690</v>
      </c>
      <c r="AF224" s="52" t="s">
        <v>4752</v>
      </c>
      <c r="AG224" s="52" t="s">
        <v>4752</v>
      </c>
      <c r="AH224" s="52" t="s">
        <v>0</v>
      </c>
      <c r="AI224" s="52"/>
      <c r="AJ224" s="52"/>
      <c r="AK224" s="52" t="s">
        <v>1737</v>
      </c>
      <c r="AL224" s="52" t="s">
        <v>1737</v>
      </c>
      <c r="AM224" s="52"/>
      <c r="AN224" s="52" t="s">
        <v>1841</v>
      </c>
      <c r="AO224" s="52"/>
      <c r="AP224" s="52"/>
      <c r="AQ224" s="52" t="s">
        <v>0</v>
      </c>
      <c r="AR224" s="52" t="s">
        <v>1857</v>
      </c>
      <c r="AS224" s="52" t="s">
        <v>0</v>
      </c>
      <c r="AT224" s="52" t="s">
        <v>1857</v>
      </c>
      <c r="AU224" s="52"/>
      <c r="AV224" s="52"/>
      <c r="AW224" s="52" t="s">
        <v>0</v>
      </c>
      <c r="AX224" s="52" t="s">
        <v>2984</v>
      </c>
      <c r="AY224" s="52" t="s">
        <v>2982</v>
      </c>
      <c r="AZ224" s="52"/>
      <c r="BA224" s="52" t="s">
        <v>4117</v>
      </c>
      <c r="BB224" s="52"/>
      <c r="BC224" s="52"/>
      <c r="BD224" s="52" t="s">
        <v>1954</v>
      </c>
      <c r="BE224" s="52"/>
      <c r="BF224" s="52" t="s">
        <v>2005</v>
      </c>
      <c r="BG224" s="52" t="s">
        <v>0</v>
      </c>
      <c r="BH224" s="52"/>
      <c r="BI224" s="52"/>
      <c r="BJ224" s="52"/>
      <c r="BK224" s="52" t="s">
        <v>1316</v>
      </c>
      <c r="BL224" s="52" t="s">
        <v>1274</v>
      </c>
      <c r="BM224" s="52"/>
      <c r="BN224" s="52"/>
      <c r="BO224" s="52" t="s">
        <v>4573</v>
      </c>
      <c r="BP224" s="52"/>
      <c r="BQ224" s="52" t="s">
        <v>4573</v>
      </c>
      <c r="BR224" s="52"/>
      <c r="BS224" s="52"/>
      <c r="BT224" s="52" t="s">
        <v>0</v>
      </c>
      <c r="BU224" s="52" t="s">
        <v>3633</v>
      </c>
      <c r="BV224" s="52" t="s">
        <v>3493</v>
      </c>
      <c r="BW224" s="52" t="s">
        <v>0</v>
      </c>
      <c r="BX224" s="52" t="s">
        <v>0</v>
      </c>
      <c r="BY224" s="52" t="s">
        <v>0</v>
      </c>
      <c r="BZ224" s="52" t="s">
        <v>4607</v>
      </c>
      <c r="CA224" s="52"/>
      <c r="CB224" s="52"/>
      <c r="CC224" s="52"/>
      <c r="CD224" s="52" t="s">
        <v>2556</v>
      </c>
      <c r="CE224" s="52" t="s">
        <v>2547</v>
      </c>
      <c r="CF224" s="52"/>
      <c r="CG224" s="52" t="s">
        <v>2245</v>
      </c>
      <c r="CH224" s="52" t="s">
        <v>0</v>
      </c>
      <c r="CI224" s="52" t="s">
        <v>0</v>
      </c>
      <c r="CJ224" s="52" t="s">
        <v>0</v>
      </c>
      <c r="CK224" s="52" t="s">
        <v>2651</v>
      </c>
      <c r="CL224" s="52"/>
      <c r="CM224" s="52"/>
      <c r="CN224" s="52"/>
      <c r="CO224" s="52" t="s">
        <v>0</v>
      </c>
      <c r="CP224" s="52" t="s">
        <v>2857</v>
      </c>
      <c r="CQ224" s="52"/>
      <c r="CR224" s="52"/>
      <c r="CS224" s="52"/>
      <c r="CT224" s="52"/>
      <c r="CU224" s="52"/>
      <c r="CV224" s="52"/>
      <c r="CW224" s="52" t="s">
        <v>1245</v>
      </c>
      <c r="CX224" s="52"/>
    </row>
    <row r="225" spans="1:102" ht="15" customHeight="1">
      <c r="AE225" s="131"/>
    </row>
    <row r="226" spans="1:102" ht="22.5" customHeight="1">
      <c r="A226" s="26" t="s">
        <v>334</v>
      </c>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129"/>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105"/>
      <c r="CK226" s="60"/>
      <c r="CL226" s="60"/>
      <c r="CM226" s="60"/>
      <c r="CN226" s="60"/>
      <c r="CO226" s="60"/>
      <c r="CP226" s="60"/>
      <c r="CQ226" s="60"/>
      <c r="CR226" s="60"/>
      <c r="CS226" s="60"/>
      <c r="CT226" s="60"/>
      <c r="CU226" s="60"/>
      <c r="CV226" s="60"/>
      <c r="CW226" s="60"/>
      <c r="CX226" s="60"/>
    </row>
    <row r="227" spans="1:102" ht="36">
      <c r="A227" s="12" t="s">
        <v>171</v>
      </c>
      <c r="B227" s="38" t="s">
        <v>57</v>
      </c>
      <c r="C227" s="38" t="s">
        <v>57</v>
      </c>
      <c r="D227" s="38" t="s">
        <v>57</v>
      </c>
      <c r="E227" s="38" t="s">
        <v>57</v>
      </c>
      <c r="F227" s="38" t="s">
        <v>57</v>
      </c>
      <c r="G227" s="38" t="s">
        <v>57</v>
      </c>
      <c r="H227" s="38" t="s">
        <v>57</v>
      </c>
      <c r="I227" s="38" t="s">
        <v>57</v>
      </c>
      <c r="J227" s="38" t="s">
        <v>57</v>
      </c>
      <c r="K227" s="36" t="s">
        <v>477</v>
      </c>
      <c r="L227" s="36" t="s">
        <v>477</v>
      </c>
      <c r="M227" s="38" t="s">
        <v>57</v>
      </c>
      <c r="N227" s="36" t="s">
        <v>477</v>
      </c>
      <c r="O227" s="36" t="s">
        <v>477</v>
      </c>
      <c r="P227" s="38" t="s">
        <v>57</v>
      </c>
      <c r="Q227" s="36" t="s">
        <v>477</v>
      </c>
      <c r="R227" s="36" t="s">
        <v>477</v>
      </c>
      <c r="S227" s="38" t="s">
        <v>57</v>
      </c>
      <c r="T227" s="36" t="s">
        <v>477</v>
      </c>
      <c r="U227" s="36" t="s">
        <v>477</v>
      </c>
      <c r="V227" s="38" t="s">
        <v>57</v>
      </c>
      <c r="W227" s="38" t="s">
        <v>57</v>
      </c>
      <c r="X227" s="36" t="s">
        <v>5278</v>
      </c>
      <c r="Y227" s="36" t="s">
        <v>5278</v>
      </c>
      <c r="Z227" s="38" t="s">
        <v>57</v>
      </c>
      <c r="AA227" s="38" t="s">
        <v>57</v>
      </c>
      <c r="AB227" s="38" t="s">
        <v>57</v>
      </c>
      <c r="AC227" s="38" t="s">
        <v>57</v>
      </c>
      <c r="AD227" s="38" t="s">
        <v>56</v>
      </c>
      <c r="AE227" s="122" t="s">
        <v>57</v>
      </c>
      <c r="AF227" s="36" t="s">
        <v>4796</v>
      </c>
      <c r="AG227" s="36" t="s">
        <v>4796</v>
      </c>
      <c r="AH227" s="36" t="s">
        <v>4796</v>
      </c>
      <c r="AI227" s="7" t="s">
        <v>57</v>
      </c>
      <c r="AJ227" s="33" t="s">
        <v>57</v>
      </c>
      <c r="AK227" s="7" t="s">
        <v>1688</v>
      </c>
      <c r="AL227" s="7" t="s">
        <v>1688</v>
      </c>
      <c r="AM227" s="37" t="s">
        <v>57</v>
      </c>
      <c r="AN227" s="37" t="s">
        <v>57</v>
      </c>
      <c r="AO227" s="38" t="s">
        <v>57</v>
      </c>
      <c r="AP227" s="38" t="s">
        <v>57</v>
      </c>
      <c r="AQ227" s="38" t="s">
        <v>57</v>
      </c>
      <c r="AR227" s="38" t="s">
        <v>57</v>
      </c>
      <c r="AS227" s="38" t="s">
        <v>57</v>
      </c>
      <c r="AT227" s="38" t="s">
        <v>57</v>
      </c>
      <c r="AU227" s="38" t="s">
        <v>57</v>
      </c>
      <c r="AV227" s="38" t="s">
        <v>57</v>
      </c>
      <c r="AW227" s="38" t="s">
        <v>2910</v>
      </c>
      <c r="AX227" s="38" t="s">
        <v>57</v>
      </c>
      <c r="AY227" s="38" t="s">
        <v>57</v>
      </c>
      <c r="AZ227" s="36" t="s">
        <v>890</v>
      </c>
      <c r="BA227" s="38" t="s">
        <v>57</v>
      </c>
      <c r="BB227" s="38" t="s">
        <v>57</v>
      </c>
      <c r="BC227" s="38" t="s">
        <v>57</v>
      </c>
      <c r="BD227" s="38" t="s">
        <v>57</v>
      </c>
      <c r="BE227" s="38" t="s">
        <v>57</v>
      </c>
      <c r="BF227" s="38" t="s">
        <v>57</v>
      </c>
      <c r="BG227" s="36" t="s">
        <v>4000</v>
      </c>
      <c r="BH227" s="38" t="s">
        <v>57</v>
      </c>
      <c r="BI227" s="38" t="s">
        <v>57</v>
      </c>
      <c r="BJ227" s="38" t="s">
        <v>57</v>
      </c>
      <c r="BK227" s="36" t="s">
        <v>57</v>
      </c>
      <c r="BL227" s="36" t="s">
        <v>57</v>
      </c>
      <c r="BM227" s="38" t="s">
        <v>57</v>
      </c>
      <c r="BN227" s="38" t="s">
        <v>57</v>
      </c>
      <c r="BO227" s="38" t="s">
        <v>57</v>
      </c>
      <c r="BP227" s="38" t="s">
        <v>57</v>
      </c>
      <c r="BQ227" s="38" t="s">
        <v>57</v>
      </c>
      <c r="BR227" s="38" t="s">
        <v>57</v>
      </c>
      <c r="BS227" s="38" t="s">
        <v>57</v>
      </c>
      <c r="BT227" s="38" t="s">
        <v>57</v>
      </c>
      <c r="BU227" s="38" t="s">
        <v>57</v>
      </c>
      <c r="BV227" s="38" t="s">
        <v>57</v>
      </c>
      <c r="BW227" s="38" t="s">
        <v>57</v>
      </c>
      <c r="BX227" s="38" t="s">
        <v>57</v>
      </c>
      <c r="BY227" s="38" t="s">
        <v>57</v>
      </c>
      <c r="BZ227" s="36" t="s">
        <v>57</v>
      </c>
      <c r="CA227" s="38" t="s">
        <v>0</v>
      </c>
      <c r="CB227" s="36" t="s">
        <v>335</v>
      </c>
      <c r="CC227" s="36" t="s">
        <v>57</v>
      </c>
      <c r="CD227" s="38" t="s">
        <v>57</v>
      </c>
      <c r="CE227" s="38" t="s">
        <v>57</v>
      </c>
      <c r="CF227" s="38" t="s">
        <v>57</v>
      </c>
      <c r="CG227" s="38" t="s">
        <v>57</v>
      </c>
      <c r="CH227" s="38" t="s">
        <v>57</v>
      </c>
      <c r="CI227" s="38" t="s">
        <v>57</v>
      </c>
      <c r="CJ227" s="38" t="s">
        <v>57</v>
      </c>
      <c r="CK227" s="36" t="s">
        <v>57</v>
      </c>
      <c r="CL227" s="38" t="s">
        <v>57</v>
      </c>
      <c r="CM227" s="38" t="s">
        <v>57</v>
      </c>
      <c r="CN227" s="38" t="s">
        <v>57</v>
      </c>
      <c r="CO227" s="38" t="s">
        <v>57</v>
      </c>
      <c r="CP227" s="38" t="s">
        <v>57</v>
      </c>
      <c r="CQ227" s="36" t="s">
        <v>57</v>
      </c>
      <c r="CR227" s="36" t="s">
        <v>57</v>
      </c>
      <c r="CS227" s="38" t="s">
        <v>57</v>
      </c>
      <c r="CT227" s="38" t="s">
        <v>57</v>
      </c>
      <c r="CU227" s="36" t="s">
        <v>3159</v>
      </c>
      <c r="CV227" s="36" t="s">
        <v>3159</v>
      </c>
      <c r="CW227" s="38" t="s">
        <v>57</v>
      </c>
      <c r="CX227" s="38" t="s">
        <v>57</v>
      </c>
    </row>
    <row r="228" spans="1:102" ht="12" customHeight="1">
      <c r="A228" s="51" t="s">
        <v>935</v>
      </c>
      <c r="B228" s="52" t="s">
        <v>3995</v>
      </c>
      <c r="C228" s="52"/>
      <c r="D228" s="52"/>
      <c r="E228" s="52"/>
      <c r="F228" s="52" t="s">
        <v>1434</v>
      </c>
      <c r="G228" s="52" t="s">
        <v>1434</v>
      </c>
      <c r="H228" s="52" t="s">
        <v>1434</v>
      </c>
      <c r="I228" s="52" t="s">
        <v>1434</v>
      </c>
      <c r="J228" s="52"/>
      <c r="K228" s="52"/>
      <c r="L228" s="52"/>
      <c r="M228" s="52" t="s">
        <v>1670</v>
      </c>
      <c r="N228" s="52" t="s">
        <v>1671</v>
      </c>
      <c r="O228" s="52" t="s">
        <v>1672</v>
      </c>
      <c r="P228" s="52" t="s">
        <v>1670</v>
      </c>
      <c r="Q228" s="52" t="s">
        <v>3434</v>
      </c>
      <c r="R228" s="52" t="s">
        <v>3435</v>
      </c>
      <c r="S228" s="52" t="s">
        <v>1670</v>
      </c>
      <c r="T228" s="52" t="s">
        <v>3434</v>
      </c>
      <c r="U228" s="52" t="s">
        <v>3435</v>
      </c>
      <c r="V228" s="52" t="s">
        <v>1670</v>
      </c>
      <c r="W228" s="52" t="s">
        <v>1670</v>
      </c>
      <c r="X228" s="52" t="s">
        <v>5257</v>
      </c>
      <c r="Y228" s="52" t="s">
        <v>5277</v>
      </c>
      <c r="Z228" s="52"/>
      <c r="AA228" s="52"/>
      <c r="AB228" s="52"/>
      <c r="AC228" s="52"/>
      <c r="AD228" s="52"/>
      <c r="AE228" s="123" t="s">
        <v>5691</v>
      </c>
      <c r="AF228" s="52" t="s">
        <v>4797</v>
      </c>
      <c r="AG228" s="52" t="s">
        <v>4797</v>
      </c>
      <c r="AH228" s="52" t="s">
        <v>4797</v>
      </c>
      <c r="AI228" s="52"/>
      <c r="AJ228" s="52"/>
      <c r="AK228" s="52" t="s">
        <v>1691</v>
      </c>
      <c r="AL228" s="52" t="s">
        <v>1691</v>
      </c>
      <c r="AM228" s="52"/>
      <c r="AN228" s="52" t="s">
        <v>1824</v>
      </c>
      <c r="AO228" s="52"/>
      <c r="AP228" s="52"/>
      <c r="AQ228" s="52" t="s">
        <v>1927</v>
      </c>
      <c r="AR228" s="52" t="s">
        <v>1927</v>
      </c>
      <c r="AS228" s="52" t="s">
        <v>1927</v>
      </c>
      <c r="AT228" s="52" t="s">
        <v>1927</v>
      </c>
      <c r="AU228" s="52"/>
      <c r="AV228" s="52"/>
      <c r="AW228" s="52" t="s">
        <v>0</v>
      </c>
      <c r="AX228" s="52" t="s">
        <v>2970</v>
      </c>
      <c r="AY228" s="52" t="s">
        <v>2970</v>
      </c>
      <c r="AZ228" s="52"/>
      <c r="BA228" s="52" t="s">
        <v>4157</v>
      </c>
      <c r="BB228" s="52"/>
      <c r="BC228" s="52"/>
      <c r="BD228" s="52" t="s">
        <v>1967</v>
      </c>
      <c r="BE228" s="52"/>
      <c r="BF228" s="52" t="s">
        <v>1967</v>
      </c>
      <c r="BG228" s="52" t="s">
        <v>0</v>
      </c>
      <c r="BH228" s="52"/>
      <c r="BI228" s="52"/>
      <c r="BJ228" s="52"/>
      <c r="BK228" s="52" t="s">
        <v>1363</v>
      </c>
      <c r="BL228" s="52" t="s">
        <v>1363</v>
      </c>
      <c r="BM228" s="52"/>
      <c r="BN228" s="52"/>
      <c r="BO228" s="52"/>
      <c r="BP228" s="52"/>
      <c r="BQ228" s="52"/>
      <c r="BR228" s="52"/>
      <c r="BS228" s="52"/>
      <c r="BT228" s="52" t="s">
        <v>3563</v>
      </c>
      <c r="BU228" s="52" t="s">
        <v>3563</v>
      </c>
      <c r="BV228" s="52" t="s">
        <v>3563</v>
      </c>
      <c r="BW228" s="52" t="s">
        <v>2296</v>
      </c>
      <c r="BX228" s="52" t="s">
        <v>2296</v>
      </c>
      <c r="BY228" s="52" t="s">
        <v>2296</v>
      </c>
      <c r="BZ228" s="52" t="s">
        <v>0</v>
      </c>
      <c r="CA228" s="52"/>
      <c r="CB228" s="52"/>
      <c r="CC228" s="52"/>
      <c r="CD228" s="52" t="s">
        <v>2573</v>
      </c>
      <c r="CE228" s="52" t="s">
        <v>2573</v>
      </c>
      <c r="CF228" s="52"/>
      <c r="CG228" s="52" t="s">
        <v>2296</v>
      </c>
      <c r="CH228" s="52" t="s">
        <v>2296</v>
      </c>
      <c r="CI228" s="52" t="s">
        <v>0</v>
      </c>
      <c r="CJ228" s="52" t="s">
        <v>0</v>
      </c>
      <c r="CK228" s="52" t="s">
        <v>2686</v>
      </c>
      <c r="CL228" s="52"/>
      <c r="CM228" s="52"/>
      <c r="CN228" s="52"/>
      <c r="CO228" s="52" t="s">
        <v>2071</v>
      </c>
      <c r="CP228" s="52" t="s">
        <v>2822</v>
      </c>
      <c r="CQ228" s="52"/>
      <c r="CR228" s="52"/>
      <c r="CS228" s="52"/>
      <c r="CT228" s="52"/>
      <c r="CU228" s="52"/>
      <c r="CV228" s="52"/>
      <c r="CW228" s="52" t="s">
        <v>1213</v>
      </c>
      <c r="CX228" s="52"/>
    </row>
    <row r="229" spans="1:102" ht="33.75" customHeight="1">
      <c r="A229" s="11" t="s">
        <v>172</v>
      </c>
      <c r="B229" s="38" t="s">
        <v>57</v>
      </c>
      <c r="C229" s="38" t="s">
        <v>57</v>
      </c>
      <c r="D229" s="38" t="s">
        <v>57</v>
      </c>
      <c r="E229" s="38" t="s">
        <v>57</v>
      </c>
      <c r="F229" s="38" t="s">
        <v>57</v>
      </c>
      <c r="G229" s="38" t="s">
        <v>57</v>
      </c>
      <c r="H229" s="38" t="s">
        <v>57</v>
      </c>
      <c r="I229" s="38" t="s">
        <v>57</v>
      </c>
      <c r="J229" s="38" t="s">
        <v>57</v>
      </c>
      <c r="K229" s="38" t="s">
        <v>57</v>
      </c>
      <c r="L229" s="38" t="s">
        <v>57</v>
      </c>
      <c r="M229" s="38" t="s">
        <v>57</v>
      </c>
      <c r="N229" s="38" t="s">
        <v>57</v>
      </c>
      <c r="O229" s="38" t="s">
        <v>57</v>
      </c>
      <c r="P229" s="38" t="s">
        <v>57</v>
      </c>
      <c r="Q229" s="38" t="s">
        <v>57</v>
      </c>
      <c r="R229" s="38" t="s">
        <v>57</v>
      </c>
      <c r="S229" s="38" t="s">
        <v>57</v>
      </c>
      <c r="T229" s="38" t="s">
        <v>57</v>
      </c>
      <c r="U229" s="38" t="s">
        <v>57</v>
      </c>
      <c r="V229" s="38" t="s">
        <v>57</v>
      </c>
      <c r="W229" s="38" t="s">
        <v>57</v>
      </c>
      <c r="X229" s="36" t="s">
        <v>5286</v>
      </c>
      <c r="Y229" s="36" t="s">
        <v>57</v>
      </c>
      <c r="Z229" s="38" t="s">
        <v>57</v>
      </c>
      <c r="AA229" s="38" t="s">
        <v>57</v>
      </c>
      <c r="AB229" s="38" t="s">
        <v>57</v>
      </c>
      <c r="AC229" s="38" t="s">
        <v>57</v>
      </c>
      <c r="AD229" s="38" t="s">
        <v>57</v>
      </c>
      <c r="AE229" s="124" t="s">
        <v>57</v>
      </c>
      <c r="AF229" s="38" t="s">
        <v>57</v>
      </c>
      <c r="AG229" s="38" t="s">
        <v>57</v>
      </c>
      <c r="AH229" s="38" t="s">
        <v>57</v>
      </c>
      <c r="AI229" s="7" t="s">
        <v>57</v>
      </c>
      <c r="AJ229" s="33" t="s">
        <v>57</v>
      </c>
      <c r="AK229" s="7" t="s">
        <v>57</v>
      </c>
      <c r="AL229" s="34" t="s">
        <v>57</v>
      </c>
      <c r="AM229" s="37" t="s">
        <v>57</v>
      </c>
      <c r="AN229" s="37" t="s">
        <v>57</v>
      </c>
      <c r="AO229" s="38" t="s">
        <v>57</v>
      </c>
      <c r="AP229" s="38" t="s">
        <v>57</v>
      </c>
      <c r="AQ229" s="38" t="s">
        <v>57</v>
      </c>
      <c r="AR229" s="38" t="s">
        <v>57</v>
      </c>
      <c r="AS229" s="38" t="s">
        <v>57</v>
      </c>
      <c r="AT229" s="38" t="s">
        <v>57</v>
      </c>
      <c r="AU229" s="38" t="s">
        <v>57</v>
      </c>
      <c r="AV229" s="38" t="s">
        <v>57</v>
      </c>
      <c r="AW229" s="38" t="s">
        <v>2910</v>
      </c>
      <c r="AX229" s="38" t="s">
        <v>57</v>
      </c>
      <c r="AY229" s="38" t="s">
        <v>57</v>
      </c>
      <c r="AZ229" s="38" t="s">
        <v>57</v>
      </c>
      <c r="BA229" s="38" t="s">
        <v>57</v>
      </c>
      <c r="BB229" s="38" t="s">
        <v>57</v>
      </c>
      <c r="BC229" s="38" t="s">
        <v>57</v>
      </c>
      <c r="BD229" s="38" t="s">
        <v>57</v>
      </c>
      <c r="BE229" s="38" t="s">
        <v>57</v>
      </c>
      <c r="BF229" s="38" t="s">
        <v>57</v>
      </c>
      <c r="BG229" s="38" t="s">
        <v>4000</v>
      </c>
      <c r="BH229" s="36" t="s">
        <v>580</v>
      </c>
      <c r="BI229" s="36" t="s">
        <v>580</v>
      </c>
      <c r="BJ229" s="36" t="s">
        <v>580</v>
      </c>
      <c r="BK229" s="38" t="s">
        <v>57</v>
      </c>
      <c r="BL229" s="38" t="s">
        <v>57</v>
      </c>
      <c r="BM229" s="38" t="s">
        <v>57</v>
      </c>
      <c r="BN229" s="38" t="s">
        <v>57</v>
      </c>
      <c r="BO229" s="38" t="s">
        <v>57</v>
      </c>
      <c r="BP229" s="38" t="s">
        <v>57</v>
      </c>
      <c r="BQ229" s="38" t="s">
        <v>57</v>
      </c>
      <c r="BR229" s="38" t="s">
        <v>57</v>
      </c>
      <c r="BS229" s="38" t="s">
        <v>57</v>
      </c>
      <c r="BT229" s="38" t="s">
        <v>57</v>
      </c>
      <c r="BU229" s="38" t="s">
        <v>57</v>
      </c>
      <c r="BV229" s="38" t="s">
        <v>57</v>
      </c>
      <c r="BW229" s="38" t="s">
        <v>57</v>
      </c>
      <c r="BX229" s="38" t="s">
        <v>57</v>
      </c>
      <c r="BY229" s="38" t="s">
        <v>57</v>
      </c>
      <c r="BZ229" s="36" t="s">
        <v>57</v>
      </c>
      <c r="CA229" s="38" t="s">
        <v>0</v>
      </c>
      <c r="CB229" s="36" t="s">
        <v>333</v>
      </c>
      <c r="CC229" s="36" t="s">
        <v>57</v>
      </c>
      <c r="CD229" s="38" t="s">
        <v>57</v>
      </c>
      <c r="CE229" s="38" t="s">
        <v>57</v>
      </c>
      <c r="CF229" s="38" t="s">
        <v>57</v>
      </c>
      <c r="CG229" s="38" t="s">
        <v>57</v>
      </c>
      <c r="CH229" s="38" t="s">
        <v>57</v>
      </c>
      <c r="CI229" s="36" t="s">
        <v>355</v>
      </c>
      <c r="CJ229" s="36" t="s">
        <v>355</v>
      </c>
      <c r="CK229" s="36" t="s">
        <v>57</v>
      </c>
      <c r="CL229" s="36" t="s">
        <v>57</v>
      </c>
      <c r="CM229" s="36" t="s">
        <v>57</v>
      </c>
      <c r="CN229" s="38" t="s">
        <v>57</v>
      </c>
      <c r="CO229" s="38" t="s">
        <v>57</v>
      </c>
      <c r="CP229" s="38" t="s">
        <v>57</v>
      </c>
      <c r="CQ229" s="36" t="s">
        <v>57</v>
      </c>
      <c r="CR229" s="36" t="s">
        <v>57</v>
      </c>
      <c r="CS229" s="38" t="s">
        <v>57</v>
      </c>
      <c r="CT229" s="38" t="s">
        <v>57</v>
      </c>
      <c r="CU229" s="38" t="s">
        <v>57</v>
      </c>
      <c r="CV229" s="38" t="s">
        <v>57</v>
      </c>
      <c r="CW229" s="38" t="s">
        <v>57</v>
      </c>
      <c r="CX229" s="38" t="s">
        <v>57</v>
      </c>
    </row>
    <row r="230" spans="1:102" ht="12" customHeight="1">
      <c r="A230" s="51" t="s">
        <v>935</v>
      </c>
      <c r="B230" s="52" t="s">
        <v>3996</v>
      </c>
      <c r="C230" s="52"/>
      <c r="D230" s="52"/>
      <c r="E230" s="52"/>
      <c r="F230" s="52" t="s">
        <v>1435</v>
      </c>
      <c r="G230" s="52" t="s">
        <v>1435</v>
      </c>
      <c r="H230" s="52" t="s">
        <v>1435</v>
      </c>
      <c r="I230" s="52" t="s">
        <v>1435</v>
      </c>
      <c r="J230" s="52"/>
      <c r="K230" s="52"/>
      <c r="L230" s="52"/>
      <c r="M230" s="52" t="s">
        <v>1673</v>
      </c>
      <c r="N230" s="52" t="s">
        <v>1673</v>
      </c>
      <c r="O230" s="52" t="s">
        <v>1673</v>
      </c>
      <c r="P230" s="52" t="s">
        <v>1673</v>
      </c>
      <c r="Q230" s="52" t="s">
        <v>1673</v>
      </c>
      <c r="R230" s="52" t="s">
        <v>1673</v>
      </c>
      <c r="S230" s="52" t="s">
        <v>1673</v>
      </c>
      <c r="T230" s="52" t="s">
        <v>1673</v>
      </c>
      <c r="U230" s="52" t="s">
        <v>1673</v>
      </c>
      <c r="V230" s="52" t="s">
        <v>1673</v>
      </c>
      <c r="W230" s="52" t="s">
        <v>1673</v>
      </c>
      <c r="X230" s="52" t="s">
        <v>5258</v>
      </c>
      <c r="Y230" s="52" t="s">
        <v>1673</v>
      </c>
      <c r="Z230" s="52"/>
      <c r="AA230" s="52"/>
      <c r="AB230" s="52"/>
      <c r="AC230" s="52"/>
      <c r="AD230" s="52"/>
      <c r="AE230" s="123" t="s">
        <v>5692</v>
      </c>
      <c r="AF230" s="52" t="s">
        <v>4753</v>
      </c>
      <c r="AG230" s="52" t="s">
        <v>4753</v>
      </c>
      <c r="AH230" s="52" t="s">
        <v>4753</v>
      </c>
      <c r="AI230" s="52"/>
      <c r="AJ230" s="52"/>
      <c r="AK230" s="52" t="s">
        <v>1692</v>
      </c>
      <c r="AL230" s="52" t="s">
        <v>1692</v>
      </c>
      <c r="AM230" s="52"/>
      <c r="AN230" s="52" t="s">
        <v>1824</v>
      </c>
      <c r="AO230" s="52"/>
      <c r="AP230" s="52"/>
      <c r="AQ230" s="52" t="s">
        <v>1927</v>
      </c>
      <c r="AR230" s="52" t="s">
        <v>1927</v>
      </c>
      <c r="AS230" s="52" t="s">
        <v>1927</v>
      </c>
      <c r="AT230" s="52" t="s">
        <v>1927</v>
      </c>
      <c r="AU230" s="52"/>
      <c r="AV230" s="52"/>
      <c r="AW230" s="52" t="s">
        <v>0</v>
      </c>
      <c r="AX230" s="52" t="s">
        <v>2970</v>
      </c>
      <c r="AY230" s="52" t="s">
        <v>2970</v>
      </c>
      <c r="AZ230" s="52"/>
      <c r="BA230" s="52" t="s">
        <v>4158</v>
      </c>
      <c r="BB230" s="52"/>
      <c r="BC230" s="52"/>
      <c r="BD230" s="52" t="s">
        <v>1967</v>
      </c>
      <c r="BE230" s="52"/>
      <c r="BF230" s="52" t="s">
        <v>1967</v>
      </c>
      <c r="BG230" s="52" t="s">
        <v>0</v>
      </c>
      <c r="BH230" s="52"/>
      <c r="BI230" s="52"/>
      <c r="BJ230" s="52"/>
      <c r="BK230" s="52" t="s">
        <v>1363</v>
      </c>
      <c r="BL230" s="52" t="s">
        <v>1363</v>
      </c>
      <c r="BM230" s="52"/>
      <c r="BN230" s="52"/>
      <c r="BO230" s="52"/>
      <c r="BP230" s="52"/>
      <c r="BQ230" s="52"/>
      <c r="BR230" s="52"/>
      <c r="BS230" s="52"/>
      <c r="BT230" s="52" t="s">
        <v>3563</v>
      </c>
      <c r="BU230" s="52" t="s">
        <v>3563</v>
      </c>
      <c r="BV230" s="52" t="s">
        <v>3563</v>
      </c>
      <c r="BW230" s="52" t="s">
        <v>2298</v>
      </c>
      <c r="BX230" s="52" t="s">
        <v>2298</v>
      </c>
      <c r="BY230" s="52" t="s">
        <v>2298</v>
      </c>
      <c r="BZ230" s="52" t="s">
        <v>0</v>
      </c>
      <c r="CA230" s="52"/>
      <c r="CB230" s="52"/>
      <c r="CC230" s="52"/>
      <c r="CD230" s="52" t="s">
        <v>2573</v>
      </c>
      <c r="CE230" s="52" t="s">
        <v>2573</v>
      </c>
      <c r="CF230" s="52"/>
      <c r="CG230" s="52" t="s">
        <v>2298</v>
      </c>
      <c r="CH230" s="52" t="s">
        <v>2298</v>
      </c>
      <c r="CI230" s="52" t="s">
        <v>0</v>
      </c>
      <c r="CJ230" s="52" t="s">
        <v>0</v>
      </c>
      <c r="CK230" s="52" t="s">
        <v>2687</v>
      </c>
      <c r="CL230" s="52"/>
      <c r="CM230" s="52"/>
      <c r="CN230" s="52"/>
      <c r="CO230" s="52" t="s">
        <v>2071</v>
      </c>
      <c r="CP230" s="52" t="s">
        <v>2823</v>
      </c>
      <c r="CQ230" s="52"/>
      <c r="CR230" s="52"/>
      <c r="CS230" s="52"/>
      <c r="CT230" s="52"/>
      <c r="CU230" s="52"/>
      <c r="CV230" s="52"/>
      <c r="CW230" s="52" t="s">
        <v>1214</v>
      </c>
      <c r="CX230" s="52"/>
    </row>
    <row r="231" spans="1:102" ht="22.5" customHeight="1">
      <c r="A231" s="82" t="s">
        <v>646</v>
      </c>
      <c r="B231" s="36" t="s">
        <v>3998</v>
      </c>
      <c r="C231" s="36" t="s">
        <v>660</v>
      </c>
      <c r="D231" s="36" t="s">
        <v>652</v>
      </c>
      <c r="E231" s="36" t="s">
        <v>652</v>
      </c>
      <c r="F231" s="36" t="s">
        <v>2524</v>
      </c>
      <c r="G231" s="36" t="s">
        <v>2524</v>
      </c>
      <c r="H231" s="36" t="s">
        <v>2524</v>
      </c>
      <c r="I231" s="36" t="s">
        <v>2524</v>
      </c>
      <c r="J231" s="36" t="s">
        <v>647</v>
      </c>
      <c r="K231" s="36" t="s">
        <v>647</v>
      </c>
      <c r="L231" s="36" t="s">
        <v>647</v>
      </c>
      <c r="M231" s="36" t="s">
        <v>2525</v>
      </c>
      <c r="N231" s="36" t="s">
        <v>2525</v>
      </c>
      <c r="O231" s="36" t="s">
        <v>2525</v>
      </c>
      <c r="P231" s="36" t="s">
        <v>3436</v>
      </c>
      <c r="Q231" s="36" t="s">
        <v>3436</v>
      </c>
      <c r="R231" s="36" t="s">
        <v>3436</v>
      </c>
      <c r="S231" s="36" t="s">
        <v>3436</v>
      </c>
      <c r="T231" s="36" t="s">
        <v>3436</v>
      </c>
      <c r="U231" s="36" t="s">
        <v>3436</v>
      </c>
      <c r="V231" s="36" t="s">
        <v>3436</v>
      </c>
      <c r="W231" s="36" t="s">
        <v>3436</v>
      </c>
      <c r="X231" s="36" t="s">
        <v>3436</v>
      </c>
      <c r="Y231" s="36" t="s">
        <v>3436</v>
      </c>
      <c r="Z231" s="36" t="s">
        <v>760</v>
      </c>
      <c r="AA231" s="36" t="s">
        <v>2524</v>
      </c>
      <c r="AB231" s="36" t="s">
        <v>2524</v>
      </c>
      <c r="AC231" s="36" t="s">
        <v>2524</v>
      </c>
      <c r="AD231" s="36" t="s">
        <v>2524</v>
      </c>
      <c r="AE231" s="122" t="s">
        <v>5693</v>
      </c>
      <c r="AF231" s="36" t="s">
        <v>4755</v>
      </c>
      <c r="AG231" s="36" t="s">
        <v>4756</v>
      </c>
      <c r="AH231" s="36" t="s">
        <v>4754</v>
      </c>
      <c r="AI231" s="38" t="s">
        <v>0</v>
      </c>
      <c r="AJ231" s="38" t="s">
        <v>0</v>
      </c>
      <c r="AK231" s="38" t="s">
        <v>0</v>
      </c>
      <c r="AL231" s="38" t="s">
        <v>0</v>
      </c>
      <c r="AM231" s="38" t="s">
        <v>659</v>
      </c>
      <c r="AN231" s="38" t="s">
        <v>659</v>
      </c>
      <c r="AO231" s="36" t="s">
        <v>653</v>
      </c>
      <c r="AP231" s="36" t="s">
        <v>653</v>
      </c>
      <c r="AQ231" s="36" t="s">
        <v>2526</v>
      </c>
      <c r="AR231" s="36" t="s">
        <v>2526</v>
      </c>
      <c r="AS231" s="36" t="s">
        <v>2526</v>
      </c>
      <c r="AT231" s="36" t="s">
        <v>2526</v>
      </c>
      <c r="AU231" s="36" t="s">
        <v>2527</v>
      </c>
      <c r="AV231" s="36" t="s">
        <v>2527</v>
      </c>
      <c r="AW231" s="36" t="s">
        <v>2910</v>
      </c>
      <c r="AX231" s="36" t="s">
        <v>2527</v>
      </c>
      <c r="AY231" s="36" t="s">
        <v>2527</v>
      </c>
      <c r="AZ231" s="36" t="s">
        <v>659</v>
      </c>
      <c r="BA231" s="36" t="s">
        <v>2527</v>
      </c>
      <c r="BB231" s="36" t="s">
        <v>654</v>
      </c>
      <c r="BC231" s="36" t="s">
        <v>654</v>
      </c>
      <c r="BD231" s="36" t="s">
        <v>2527</v>
      </c>
      <c r="BE231" s="36" t="s">
        <v>654</v>
      </c>
      <c r="BF231" s="36" t="s">
        <v>2527</v>
      </c>
      <c r="BG231" s="36" t="s">
        <v>4000</v>
      </c>
      <c r="BH231" s="36" t="s">
        <v>3201</v>
      </c>
      <c r="BI231" s="36" t="s">
        <v>859</v>
      </c>
      <c r="BJ231" s="36" t="s">
        <v>859</v>
      </c>
      <c r="BK231" s="36" t="s">
        <v>5067</v>
      </c>
      <c r="BL231" s="36" t="s">
        <v>5067</v>
      </c>
      <c r="BM231" s="38" t="s">
        <v>659</v>
      </c>
      <c r="BN231" s="36" t="s">
        <v>655</v>
      </c>
      <c r="BO231" s="36" t="s">
        <v>3191</v>
      </c>
      <c r="BP231" s="36" t="s">
        <v>655</v>
      </c>
      <c r="BQ231" s="36" t="s">
        <v>3191</v>
      </c>
      <c r="BR231" s="36"/>
      <c r="BS231" s="38" t="s">
        <v>0</v>
      </c>
      <c r="BT231" s="38" t="s">
        <v>0</v>
      </c>
      <c r="BU231" s="38" t="s">
        <v>0</v>
      </c>
      <c r="BV231" s="38" t="s">
        <v>0</v>
      </c>
      <c r="BW231" s="36" t="s">
        <v>2520</v>
      </c>
      <c r="BX231" s="36" t="s">
        <v>2520</v>
      </c>
      <c r="BY231" s="36" t="s">
        <v>2520</v>
      </c>
      <c r="BZ231" s="36" t="s">
        <v>4000</v>
      </c>
      <c r="CA231" s="38"/>
      <c r="CB231" s="38"/>
      <c r="CC231" s="36" t="s">
        <v>721</v>
      </c>
      <c r="CD231" s="36" t="s">
        <v>2527</v>
      </c>
      <c r="CE231" s="36" t="s">
        <v>2527</v>
      </c>
      <c r="CF231" s="36" t="s">
        <v>656</v>
      </c>
      <c r="CG231" s="36" t="s">
        <v>2300</v>
      </c>
      <c r="CH231" s="36" t="s">
        <v>2300</v>
      </c>
      <c r="CI231" s="36" t="s">
        <v>2521</v>
      </c>
      <c r="CJ231" s="36" t="s">
        <v>2521</v>
      </c>
      <c r="CK231" s="36" t="s">
        <v>859</v>
      </c>
      <c r="CL231" s="36" t="s">
        <v>654</v>
      </c>
      <c r="CM231" s="36" t="s">
        <v>654</v>
      </c>
      <c r="CN231" s="38" t="s">
        <v>657</v>
      </c>
      <c r="CO231" s="38" t="s">
        <v>657</v>
      </c>
      <c r="CP231" s="38" t="s">
        <v>657</v>
      </c>
      <c r="CQ231" s="36" t="s">
        <v>2522</v>
      </c>
      <c r="CR231" s="36" t="s">
        <v>2522</v>
      </c>
      <c r="CS231" s="36" t="s">
        <v>658</v>
      </c>
      <c r="CT231" s="36" t="s">
        <v>658</v>
      </c>
      <c r="CU231" s="36" t="s">
        <v>2522</v>
      </c>
      <c r="CV231" s="36" t="s">
        <v>2522</v>
      </c>
      <c r="CW231" s="36" t="s">
        <v>1242</v>
      </c>
      <c r="CX231" s="36" t="s">
        <v>817</v>
      </c>
    </row>
    <row r="232" spans="1:102" ht="12" customHeight="1">
      <c r="A232" s="51" t="s">
        <v>935</v>
      </c>
      <c r="B232" s="52" t="s">
        <v>3997</v>
      </c>
      <c r="C232" s="52"/>
      <c r="D232" s="52"/>
      <c r="E232" s="52"/>
      <c r="F232" s="52" t="s">
        <v>1433</v>
      </c>
      <c r="G232" s="52" t="s">
        <v>1433</v>
      </c>
      <c r="H232" s="52" t="s">
        <v>1433</v>
      </c>
      <c r="I232" s="52" t="s">
        <v>1433</v>
      </c>
      <c r="J232" s="52"/>
      <c r="K232" s="52"/>
      <c r="L232" s="52"/>
      <c r="M232" s="52" t="s">
        <v>1674</v>
      </c>
      <c r="N232" s="52" t="s">
        <v>1674</v>
      </c>
      <c r="O232" s="52" t="s">
        <v>1674</v>
      </c>
      <c r="P232" s="52" t="s">
        <v>1674</v>
      </c>
      <c r="Q232" s="52" t="s">
        <v>1674</v>
      </c>
      <c r="R232" s="52" t="s">
        <v>1674</v>
      </c>
      <c r="S232" s="52" t="s">
        <v>1674</v>
      </c>
      <c r="T232" s="52" t="s">
        <v>1674</v>
      </c>
      <c r="U232" s="52" t="s">
        <v>1674</v>
      </c>
      <c r="V232" s="52" t="s">
        <v>1674</v>
      </c>
      <c r="W232" s="52" t="s">
        <v>1674</v>
      </c>
      <c r="X232" s="52" t="s">
        <v>5259</v>
      </c>
      <c r="Y232" s="52" t="s">
        <v>1674</v>
      </c>
      <c r="Z232" s="52"/>
      <c r="AA232" s="52"/>
      <c r="AB232" s="52"/>
      <c r="AC232" s="52"/>
      <c r="AD232" s="52"/>
      <c r="AE232" s="123"/>
      <c r="AF232" s="52" t="s">
        <v>4758</v>
      </c>
      <c r="AG232" s="52" t="s">
        <v>4759</v>
      </c>
      <c r="AH232" s="52" t="s">
        <v>4757</v>
      </c>
      <c r="AI232" s="52"/>
      <c r="AJ232" s="52"/>
      <c r="AK232" s="52" t="s">
        <v>0</v>
      </c>
      <c r="AL232" s="52" t="s">
        <v>0</v>
      </c>
      <c r="AM232" s="52"/>
      <c r="AN232" s="52" t="s">
        <v>1687</v>
      </c>
      <c r="AO232" s="52"/>
      <c r="AP232" s="52"/>
      <c r="AQ232" s="52" t="s">
        <v>1442</v>
      </c>
      <c r="AR232" s="52" t="s">
        <v>1442</v>
      </c>
      <c r="AS232" s="52" t="s">
        <v>1442</v>
      </c>
      <c r="AT232" s="52" t="s">
        <v>1442</v>
      </c>
      <c r="AU232" s="52"/>
      <c r="AV232" s="52"/>
      <c r="AW232" s="52" t="s">
        <v>0</v>
      </c>
      <c r="AX232" s="52" t="s">
        <v>2971</v>
      </c>
      <c r="AY232" s="52" t="s">
        <v>2971</v>
      </c>
      <c r="AZ232" s="52"/>
      <c r="BA232" s="52" t="s">
        <v>4159</v>
      </c>
      <c r="BB232" s="52"/>
      <c r="BC232" s="52"/>
      <c r="BD232" s="52" t="s">
        <v>1966</v>
      </c>
      <c r="BE232" s="52"/>
      <c r="BF232" s="52" t="s">
        <v>1966</v>
      </c>
      <c r="BG232" s="52" t="s">
        <v>0</v>
      </c>
      <c r="BH232" s="52"/>
      <c r="BI232" s="52"/>
      <c r="BJ232" s="52"/>
      <c r="BK232" s="52" t="s">
        <v>1364</v>
      </c>
      <c r="BL232" s="52" t="s">
        <v>1364</v>
      </c>
      <c r="BM232" s="52"/>
      <c r="BN232" s="52"/>
      <c r="BO232" s="52"/>
      <c r="BP232" s="52"/>
      <c r="BQ232" s="52"/>
      <c r="BR232" s="52"/>
      <c r="BS232" s="52"/>
      <c r="BT232" s="52" t="s">
        <v>3564</v>
      </c>
      <c r="BU232" s="52" t="s">
        <v>3564</v>
      </c>
      <c r="BV232" s="52" t="s">
        <v>3564</v>
      </c>
      <c r="BW232" s="52" t="s">
        <v>2478</v>
      </c>
      <c r="BX232" s="52" t="s">
        <v>2478</v>
      </c>
      <c r="BY232" s="52" t="s">
        <v>2478</v>
      </c>
      <c r="BZ232" s="52" t="s">
        <v>0</v>
      </c>
      <c r="CA232" s="52"/>
      <c r="CB232" s="52"/>
      <c r="CC232" s="52"/>
      <c r="CD232" s="52" t="s">
        <v>2574</v>
      </c>
      <c r="CE232" s="52" t="s">
        <v>2574</v>
      </c>
      <c r="CF232" s="52"/>
      <c r="CG232" s="52" t="s">
        <v>2299</v>
      </c>
      <c r="CH232" s="52" t="s">
        <v>2299</v>
      </c>
      <c r="CI232" s="52" t="s">
        <v>0</v>
      </c>
      <c r="CJ232" s="52" t="s">
        <v>0</v>
      </c>
      <c r="CK232" s="52" t="s">
        <v>2701</v>
      </c>
      <c r="CL232" s="52"/>
      <c r="CM232" s="52"/>
      <c r="CN232" s="52"/>
      <c r="CO232" s="52" t="s">
        <v>2072</v>
      </c>
      <c r="CP232" s="52" t="s">
        <v>1025</v>
      </c>
      <c r="CQ232" s="52"/>
      <c r="CR232" s="52"/>
      <c r="CS232" s="52"/>
      <c r="CT232" s="52"/>
      <c r="CU232" s="52"/>
      <c r="CV232" s="52"/>
      <c r="CW232" s="52" t="s">
        <v>1243</v>
      </c>
      <c r="CX232" s="52"/>
    </row>
    <row r="233" spans="1:102" ht="22.5" customHeight="1">
      <c r="AE233" s="131"/>
    </row>
    <row r="234" spans="1:102" ht="22.5" customHeight="1">
      <c r="A234" s="22" t="s">
        <v>15</v>
      </c>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133"/>
      <c r="AF234" s="48"/>
      <c r="AG234" s="64"/>
      <c r="AH234" s="48"/>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48"/>
      <c r="BH234" s="64"/>
      <c r="BI234" s="48"/>
      <c r="BJ234" s="48"/>
      <c r="BK234" s="48"/>
      <c r="BL234" s="48"/>
      <c r="BM234" s="64"/>
      <c r="BN234" s="64"/>
      <c r="BO234" s="64"/>
      <c r="BP234" s="64"/>
      <c r="BQ234" s="64"/>
      <c r="BR234" s="64"/>
      <c r="BS234" s="64"/>
      <c r="BT234" s="64"/>
      <c r="BU234" s="64"/>
      <c r="BV234" s="64"/>
      <c r="BW234" s="64"/>
      <c r="BX234" s="64"/>
      <c r="BY234" s="64"/>
      <c r="BZ234" s="64"/>
      <c r="CA234" s="64"/>
      <c r="CB234" s="64"/>
      <c r="CC234" s="48"/>
      <c r="CD234" s="64"/>
      <c r="CE234" s="64"/>
      <c r="CF234" s="64"/>
      <c r="CG234" s="48"/>
      <c r="CH234" s="48"/>
      <c r="CI234" s="64"/>
      <c r="CJ234" s="64"/>
      <c r="CK234" s="64"/>
      <c r="CL234" s="64"/>
      <c r="CM234" s="64"/>
      <c r="CN234" s="64"/>
      <c r="CO234" s="64"/>
      <c r="CP234" s="64"/>
      <c r="CQ234" s="64"/>
      <c r="CR234" s="64"/>
      <c r="CS234" s="64"/>
      <c r="CT234" s="64"/>
      <c r="CU234" s="64"/>
      <c r="CV234" s="64"/>
      <c r="CW234" s="48"/>
      <c r="CX234" s="48"/>
    </row>
    <row r="235" spans="1:102" ht="22.5" customHeight="1">
      <c r="A235" s="62" t="s">
        <v>2745</v>
      </c>
      <c r="B235" s="38" t="s">
        <v>57</v>
      </c>
      <c r="C235" s="38" t="s">
        <v>57</v>
      </c>
      <c r="D235" s="38" t="s">
        <v>57</v>
      </c>
      <c r="E235" s="38" t="s">
        <v>57</v>
      </c>
      <c r="F235" s="38" t="s">
        <v>57</v>
      </c>
      <c r="G235" s="38" t="s">
        <v>57</v>
      </c>
      <c r="H235" s="38" t="s">
        <v>57</v>
      </c>
      <c r="I235" s="38" t="s">
        <v>57</v>
      </c>
      <c r="J235" s="38" t="s">
        <v>57</v>
      </c>
      <c r="K235" s="38" t="s">
        <v>57</v>
      </c>
      <c r="L235" s="38" t="s">
        <v>57</v>
      </c>
      <c r="M235" s="38" t="s">
        <v>57</v>
      </c>
      <c r="N235" s="38" t="s">
        <v>57</v>
      </c>
      <c r="O235" s="38" t="s">
        <v>57</v>
      </c>
      <c r="P235" s="38" t="s">
        <v>57</v>
      </c>
      <c r="Q235" s="38" t="s">
        <v>57</v>
      </c>
      <c r="R235" s="38" t="s">
        <v>57</v>
      </c>
      <c r="S235" s="38" t="s">
        <v>57</v>
      </c>
      <c r="T235" s="38" t="s">
        <v>57</v>
      </c>
      <c r="U235" s="38" t="s">
        <v>57</v>
      </c>
      <c r="V235" s="38" t="s">
        <v>57</v>
      </c>
      <c r="W235" s="38" t="s">
        <v>57</v>
      </c>
      <c r="X235" s="38" t="s">
        <v>57</v>
      </c>
      <c r="Y235" s="38" t="s">
        <v>57</v>
      </c>
      <c r="Z235" s="38" t="s">
        <v>57</v>
      </c>
      <c r="AA235" s="38" t="s">
        <v>57</v>
      </c>
      <c r="AB235" s="38" t="s">
        <v>57</v>
      </c>
      <c r="AC235" s="38" t="s">
        <v>57</v>
      </c>
      <c r="AD235" s="38" t="s">
        <v>57</v>
      </c>
      <c r="AE235" s="124" t="s">
        <v>57</v>
      </c>
      <c r="AF235" s="38" t="s">
        <v>57</v>
      </c>
      <c r="AG235" s="38" t="s">
        <v>57</v>
      </c>
      <c r="AH235" s="38" t="s">
        <v>57</v>
      </c>
      <c r="AI235" s="7" t="s">
        <v>434</v>
      </c>
      <c r="AJ235" s="7" t="s">
        <v>434</v>
      </c>
      <c r="AK235" s="7" t="s">
        <v>434</v>
      </c>
      <c r="AL235" s="7" t="s">
        <v>434</v>
      </c>
      <c r="AM235" s="7" t="s">
        <v>57</v>
      </c>
      <c r="AN235" s="7" t="s">
        <v>57</v>
      </c>
      <c r="AO235" s="7" t="s">
        <v>57</v>
      </c>
      <c r="AP235" s="34" t="s">
        <v>57</v>
      </c>
      <c r="AQ235" s="7" t="s">
        <v>57</v>
      </c>
      <c r="AR235" s="7" t="s">
        <v>57</v>
      </c>
      <c r="AS235" s="7" t="s">
        <v>57</v>
      </c>
      <c r="AT235" s="7" t="s">
        <v>57</v>
      </c>
      <c r="AU235" s="38" t="s">
        <v>57</v>
      </c>
      <c r="AV235" s="38" t="s">
        <v>57</v>
      </c>
      <c r="AW235" s="34" t="s">
        <v>57</v>
      </c>
      <c r="AX235" s="34" t="s">
        <v>57</v>
      </c>
      <c r="AY235" s="34" t="s">
        <v>57</v>
      </c>
      <c r="AZ235" s="38" t="s">
        <v>57</v>
      </c>
      <c r="BA235" s="38" t="s">
        <v>57</v>
      </c>
      <c r="BB235" s="38" t="s">
        <v>57</v>
      </c>
      <c r="BC235" s="38" t="s">
        <v>57</v>
      </c>
      <c r="BD235" s="38" t="s">
        <v>57</v>
      </c>
      <c r="BE235" s="38" t="s">
        <v>57</v>
      </c>
      <c r="BF235" s="38" t="s">
        <v>57</v>
      </c>
      <c r="BG235" s="38" t="s">
        <v>4056</v>
      </c>
      <c r="BH235" s="38" t="s">
        <v>57</v>
      </c>
      <c r="BI235" s="38" t="s">
        <v>57</v>
      </c>
      <c r="BJ235" s="38" t="s">
        <v>57</v>
      </c>
      <c r="BK235" s="38" t="s">
        <v>57</v>
      </c>
      <c r="BL235" s="38" t="s">
        <v>57</v>
      </c>
      <c r="BM235" s="38" t="s">
        <v>57</v>
      </c>
      <c r="BN235" s="38" t="s">
        <v>57</v>
      </c>
      <c r="BO235" s="38" t="s">
        <v>57</v>
      </c>
      <c r="BP235" s="38" t="s">
        <v>57</v>
      </c>
      <c r="BQ235" s="38" t="s">
        <v>57</v>
      </c>
      <c r="BR235" s="38" t="s">
        <v>57</v>
      </c>
      <c r="BS235" s="36" t="s">
        <v>57</v>
      </c>
      <c r="BT235" s="36" t="s">
        <v>57</v>
      </c>
      <c r="BU235" s="36" t="s">
        <v>57</v>
      </c>
      <c r="BV235" s="36" t="s">
        <v>57</v>
      </c>
      <c r="BW235" s="38" t="s">
        <v>57</v>
      </c>
      <c r="BX235" s="38" t="s">
        <v>57</v>
      </c>
      <c r="BY235" s="38" t="s">
        <v>57</v>
      </c>
      <c r="BZ235" s="38" t="s">
        <v>57</v>
      </c>
      <c r="CA235" s="38" t="s">
        <v>57</v>
      </c>
      <c r="CB235" s="38" t="s">
        <v>57</v>
      </c>
      <c r="CC235" s="38" t="s">
        <v>57</v>
      </c>
      <c r="CD235" s="38" t="s">
        <v>57</v>
      </c>
      <c r="CE235" s="38" t="s">
        <v>57</v>
      </c>
      <c r="CF235" s="38" t="s">
        <v>57</v>
      </c>
      <c r="CG235" s="38" t="s">
        <v>57</v>
      </c>
      <c r="CH235" s="38" t="s">
        <v>57</v>
      </c>
      <c r="CI235" s="38" t="s">
        <v>57</v>
      </c>
      <c r="CJ235" s="38" t="s">
        <v>57</v>
      </c>
      <c r="CK235" s="36" t="s">
        <v>57</v>
      </c>
      <c r="CL235" s="38" t="s">
        <v>57</v>
      </c>
      <c r="CM235" s="38" t="s">
        <v>57</v>
      </c>
      <c r="CN235" s="38" t="s">
        <v>57</v>
      </c>
      <c r="CO235" s="36" t="s">
        <v>57</v>
      </c>
      <c r="CP235" s="36" t="s">
        <v>57</v>
      </c>
      <c r="CQ235" s="38" t="s">
        <v>57</v>
      </c>
      <c r="CR235" s="38" t="s">
        <v>57</v>
      </c>
      <c r="CS235" s="38" t="s">
        <v>57</v>
      </c>
      <c r="CT235" s="38" t="s">
        <v>57</v>
      </c>
      <c r="CU235" s="38" t="s">
        <v>57</v>
      </c>
      <c r="CV235" s="38" t="s">
        <v>57</v>
      </c>
      <c r="CW235" s="38" t="s">
        <v>57</v>
      </c>
      <c r="CX235" s="38" t="s">
        <v>434</v>
      </c>
    </row>
    <row r="236" spans="1:102" ht="12" customHeight="1">
      <c r="A236" s="51" t="s">
        <v>935</v>
      </c>
      <c r="B236" s="52" t="s">
        <v>3952</v>
      </c>
      <c r="C236" s="52"/>
      <c r="D236" s="52"/>
      <c r="E236" s="52"/>
      <c r="F236" s="52" t="s">
        <v>1468</v>
      </c>
      <c r="G236" s="52" t="s">
        <v>1468</v>
      </c>
      <c r="H236" s="52" t="s">
        <v>5521</v>
      </c>
      <c r="I236" s="52" t="s">
        <v>5521</v>
      </c>
      <c r="J236" s="52"/>
      <c r="K236" s="52"/>
      <c r="L236" s="52"/>
      <c r="M236" s="52" t="s">
        <v>1676</v>
      </c>
      <c r="N236" s="52" t="s">
        <v>1676</v>
      </c>
      <c r="O236" s="52" t="s">
        <v>1676</v>
      </c>
      <c r="P236" s="52" t="s">
        <v>1676</v>
      </c>
      <c r="Q236" s="52" t="s">
        <v>1676</v>
      </c>
      <c r="R236" s="52" t="s">
        <v>1676</v>
      </c>
      <c r="S236" s="52" t="s">
        <v>1676</v>
      </c>
      <c r="T236" s="52" t="s">
        <v>1676</v>
      </c>
      <c r="U236" s="52" t="s">
        <v>1676</v>
      </c>
      <c r="V236" s="52" t="s">
        <v>1676</v>
      </c>
      <c r="W236" s="52" t="s">
        <v>1676</v>
      </c>
      <c r="X236" s="52" t="s">
        <v>1676</v>
      </c>
      <c r="Y236" s="52" t="s">
        <v>1676</v>
      </c>
      <c r="Z236" s="52"/>
      <c r="AA236" s="52"/>
      <c r="AB236" s="52"/>
      <c r="AC236" s="52"/>
      <c r="AD236" s="52"/>
      <c r="AE236" s="123" t="s">
        <v>5694</v>
      </c>
      <c r="AF236" s="52" t="s">
        <v>4760</v>
      </c>
      <c r="AG236" s="52" t="s">
        <v>4760</v>
      </c>
      <c r="AH236" s="52" t="s">
        <v>4760</v>
      </c>
      <c r="AI236" s="52"/>
      <c r="AJ236" s="52"/>
      <c r="AK236" s="52" t="s">
        <v>1759</v>
      </c>
      <c r="AL236" s="52" t="s">
        <v>1759</v>
      </c>
      <c r="AM236" s="52"/>
      <c r="AN236" s="52" t="s">
        <v>1829</v>
      </c>
      <c r="AO236" s="52"/>
      <c r="AP236" s="52"/>
      <c r="AQ236" s="52" t="s">
        <v>1892</v>
      </c>
      <c r="AR236" s="52" t="s">
        <v>1892</v>
      </c>
      <c r="AS236" s="52" t="s">
        <v>1892</v>
      </c>
      <c r="AT236" s="52" t="s">
        <v>1892</v>
      </c>
      <c r="AU236" s="52"/>
      <c r="AV236" s="52"/>
      <c r="AW236" s="52" t="s">
        <v>3050</v>
      </c>
      <c r="AX236" s="52" t="s">
        <v>3050</v>
      </c>
      <c r="AY236" s="52" t="s">
        <v>3050</v>
      </c>
      <c r="AZ236" s="52"/>
      <c r="BA236" s="52" t="s">
        <v>4160</v>
      </c>
      <c r="BB236" s="52"/>
      <c r="BC236" s="52"/>
      <c r="BD236" s="52" t="s">
        <v>2040</v>
      </c>
      <c r="BE236" s="52"/>
      <c r="BF236" s="52" t="s">
        <v>2040</v>
      </c>
      <c r="BG236" s="52" t="s">
        <v>4055</v>
      </c>
      <c r="BH236" s="52"/>
      <c r="BI236" s="52"/>
      <c r="BJ236" s="52"/>
      <c r="BK236" s="52" t="s">
        <v>1361</v>
      </c>
      <c r="BL236" s="52" t="s">
        <v>1361</v>
      </c>
      <c r="BM236" s="52"/>
      <c r="BN236" s="52"/>
      <c r="BO236" s="52"/>
      <c r="BP236" s="52"/>
      <c r="BQ236" s="52"/>
      <c r="BR236" s="52"/>
      <c r="BS236" s="52"/>
      <c r="BT236" s="52" t="s">
        <v>3669</v>
      </c>
      <c r="BU236" s="52" t="s">
        <v>3635</v>
      </c>
      <c r="BV236" s="52" t="s">
        <v>3538</v>
      </c>
      <c r="BW236" s="52" t="s">
        <v>2510</v>
      </c>
      <c r="BX236" s="52" t="s">
        <v>2510</v>
      </c>
      <c r="BY236" s="52" t="s">
        <v>2510</v>
      </c>
      <c r="BZ236" s="52" t="s">
        <v>3952</v>
      </c>
      <c r="CA236" s="52"/>
      <c r="CB236" s="52"/>
      <c r="CC236" s="52"/>
      <c r="CD236" s="52" t="s">
        <v>2572</v>
      </c>
      <c r="CE236" s="52" t="s">
        <v>2572</v>
      </c>
      <c r="CF236" s="52"/>
      <c r="CG236" s="52" t="s">
        <v>2306</v>
      </c>
      <c r="CH236" s="52" t="s">
        <v>2306</v>
      </c>
      <c r="CI236" s="52" t="s">
        <v>3952</v>
      </c>
      <c r="CJ236" s="52" t="s">
        <v>3952</v>
      </c>
      <c r="CK236" s="52" t="s">
        <v>2695</v>
      </c>
      <c r="CL236" s="52"/>
      <c r="CM236" s="52"/>
      <c r="CN236" s="52"/>
      <c r="CO236" s="52" t="s">
        <v>2089</v>
      </c>
      <c r="CP236" s="52" t="s">
        <v>2875</v>
      </c>
      <c r="CQ236" s="52"/>
      <c r="CR236" s="52"/>
      <c r="CS236" s="52"/>
      <c r="CT236" s="52"/>
      <c r="CU236" s="52"/>
      <c r="CV236" s="52"/>
      <c r="CW236" s="52" t="s">
        <v>1232</v>
      </c>
      <c r="CX236" s="52"/>
    </row>
    <row r="237" spans="1:102" ht="22.5" customHeight="1">
      <c r="A237" s="11" t="s">
        <v>38</v>
      </c>
      <c r="B237" s="36" t="s">
        <v>356</v>
      </c>
      <c r="C237" s="36" t="s">
        <v>356</v>
      </c>
      <c r="D237" s="36" t="s">
        <v>236</v>
      </c>
      <c r="E237" s="36" t="s">
        <v>235</v>
      </c>
      <c r="F237" s="36" t="s">
        <v>1411</v>
      </c>
      <c r="G237" s="36" t="s">
        <v>1410</v>
      </c>
      <c r="H237" s="36" t="s">
        <v>57</v>
      </c>
      <c r="I237" s="36" t="s">
        <v>57</v>
      </c>
      <c r="J237" s="36" t="s">
        <v>311</v>
      </c>
      <c r="K237" s="36" t="s">
        <v>311</v>
      </c>
      <c r="L237" s="36" t="s">
        <v>311</v>
      </c>
      <c r="M237" s="36" t="s">
        <v>311</v>
      </c>
      <c r="N237" s="36" t="s">
        <v>311</v>
      </c>
      <c r="O237" s="36" t="s">
        <v>311</v>
      </c>
      <c r="P237" s="36" t="s">
        <v>311</v>
      </c>
      <c r="Q237" s="36" t="s">
        <v>311</v>
      </c>
      <c r="R237" s="36" t="s">
        <v>311</v>
      </c>
      <c r="S237" s="36" t="s">
        <v>311</v>
      </c>
      <c r="T237" s="36" t="s">
        <v>311</v>
      </c>
      <c r="U237" s="36" t="s">
        <v>311</v>
      </c>
      <c r="V237" s="36" t="s">
        <v>311</v>
      </c>
      <c r="W237" s="36" t="s">
        <v>311</v>
      </c>
      <c r="X237" s="36" t="s">
        <v>311</v>
      </c>
      <c r="Y237" s="36" t="s">
        <v>311</v>
      </c>
      <c r="Z237" s="38" t="s">
        <v>435</v>
      </c>
      <c r="AA237" s="36" t="s">
        <v>397</v>
      </c>
      <c r="AB237" s="36" t="s">
        <v>398</v>
      </c>
      <c r="AC237" s="36" t="s">
        <v>398</v>
      </c>
      <c r="AD237" s="38" t="s">
        <v>44</v>
      </c>
      <c r="AE237" s="124" t="s">
        <v>5695</v>
      </c>
      <c r="AF237" s="36" t="s">
        <v>311</v>
      </c>
      <c r="AG237" s="38" t="s">
        <v>57</v>
      </c>
      <c r="AH237" s="38" t="s">
        <v>2362</v>
      </c>
      <c r="AI237" s="7" t="s">
        <v>435</v>
      </c>
      <c r="AJ237" s="7" t="s">
        <v>435</v>
      </c>
      <c r="AK237" s="7" t="s">
        <v>311</v>
      </c>
      <c r="AL237" s="7" t="s">
        <v>311</v>
      </c>
      <c r="AM237" s="7" t="s">
        <v>356</v>
      </c>
      <c r="AN237" s="7" t="s">
        <v>356</v>
      </c>
      <c r="AO237" s="7" t="s">
        <v>356</v>
      </c>
      <c r="AP237" s="7" t="s">
        <v>356</v>
      </c>
      <c r="AQ237" s="7" t="s">
        <v>356</v>
      </c>
      <c r="AR237" s="7" t="s">
        <v>356</v>
      </c>
      <c r="AS237" s="7" t="s">
        <v>356</v>
      </c>
      <c r="AT237" s="7" t="s">
        <v>356</v>
      </c>
      <c r="AU237" s="38" t="s">
        <v>311</v>
      </c>
      <c r="AV237" s="38" t="s">
        <v>311</v>
      </c>
      <c r="AW237" s="7" t="s">
        <v>2904</v>
      </c>
      <c r="AX237" s="7" t="s">
        <v>1032</v>
      </c>
      <c r="AY237" s="7" t="s">
        <v>851</v>
      </c>
      <c r="AZ237" s="38" t="s">
        <v>851</v>
      </c>
      <c r="BA237" s="38" t="s">
        <v>57</v>
      </c>
      <c r="BB237" s="38" t="s">
        <v>57</v>
      </c>
      <c r="BC237" s="38" t="s">
        <v>57</v>
      </c>
      <c r="BD237" s="38" t="s">
        <v>57</v>
      </c>
      <c r="BE237" s="38" t="s">
        <v>57</v>
      </c>
      <c r="BF237" s="38" t="s">
        <v>57</v>
      </c>
      <c r="BG237" s="38" t="s">
        <v>0</v>
      </c>
      <c r="BH237" s="38" t="s">
        <v>590</v>
      </c>
      <c r="BI237" s="38" t="s">
        <v>867</v>
      </c>
      <c r="BJ237" s="38" t="s">
        <v>867</v>
      </c>
      <c r="BK237" s="36" t="s">
        <v>113</v>
      </c>
      <c r="BL237" s="36" t="s">
        <v>113</v>
      </c>
      <c r="BM237" s="38" t="s">
        <v>0</v>
      </c>
      <c r="BN237" s="38" t="s">
        <v>39</v>
      </c>
      <c r="BO237" s="38" t="s">
        <v>173</v>
      </c>
      <c r="BP237" s="38" t="s">
        <v>39</v>
      </c>
      <c r="BQ237" s="38" t="s">
        <v>173</v>
      </c>
      <c r="BR237" s="38" t="s">
        <v>57</v>
      </c>
      <c r="BS237" s="38" t="s">
        <v>57</v>
      </c>
      <c r="BT237" s="38" t="s">
        <v>57</v>
      </c>
      <c r="BU237" s="38" t="s">
        <v>57</v>
      </c>
      <c r="BV237" s="38" t="s">
        <v>57</v>
      </c>
      <c r="BW237" s="38" t="s">
        <v>851</v>
      </c>
      <c r="BX237" s="38" t="s">
        <v>851</v>
      </c>
      <c r="BY237" s="38" t="s">
        <v>851</v>
      </c>
      <c r="BZ237" s="36" t="s">
        <v>851</v>
      </c>
      <c r="CA237" s="38" t="s">
        <v>57</v>
      </c>
      <c r="CB237" s="38" t="s">
        <v>57</v>
      </c>
      <c r="CC237" s="38" t="s">
        <v>197</v>
      </c>
      <c r="CD237" s="38" t="s">
        <v>1032</v>
      </c>
      <c r="CE237" s="38" t="s">
        <v>1032</v>
      </c>
      <c r="CF237" s="38" t="s">
        <v>356</v>
      </c>
      <c r="CG237" s="38" t="s">
        <v>851</v>
      </c>
      <c r="CH237" s="38" t="s">
        <v>1032</v>
      </c>
      <c r="CI237" s="38" t="s">
        <v>356</v>
      </c>
      <c r="CJ237" s="38" t="s">
        <v>356</v>
      </c>
      <c r="CK237" s="38" t="s">
        <v>311</v>
      </c>
      <c r="CL237" s="38" t="s">
        <v>311</v>
      </c>
      <c r="CM237" s="38" t="s">
        <v>39</v>
      </c>
      <c r="CN237" s="38" t="s">
        <v>356</v>
      </c>
      <c r="CO237" s="38" t="s">
        <v>356</v>
      </c>
      <c r="CP237" s="38" t="s">
        <v>311</v>
      </c>
      <c r="CQ237" s="38" t="s">
        <v>0</v>
      </c>
      <c r="CR237" s="38" t="s">
        <v>39</v>
      </c>
      <c r="CS237" s="38" t="s">
        <v>39</v>
      </c>
      <c r="CT237" s="38" t="s">
        <v>39</v>
      </c>
      <c r="CU237" s="38" t="s">
        <v>39</v>
      </c>
      <c r="CV237" s="38" t="s">
        <v>39</v>
      </c>
      <c r="CW237" s="38" t="s">
        <v>1032</v>
      </c>
      <c r="CX237" s="38" t="s">
        <v>828</v>
      </c>
    </row>
    <row r="238" spans="1:102" ht="12" customHeight="1">
      <c r="A238" s="51" t="s">
        <v>935</v>
      </c>
      <c r="B238" s="52" t="s">
        <v>3959</v>
      </c>
      <c r="C238" s="52"/>
      <c r="D238" s="52"/>
      <c r="E238" s="52"/>
      <c r="F238" s="52" t="s">
        <v>1471</v>
      </c>
      <c r="G238" s="52" t="s">
        <v>1408</v>
      </c>
      <c r="H238" s="52" t="s">
        <v>5522</v>
      </c>
      <c r="I238" s="52" t="s">
        <v>5522</v>
      </c>
      <c r="J238" s="52"/>
      <c r="K238" s="52"/>
      <c r="L238" s="52"/>
      <c r="M238" s="52" t="s">
        <v>1677</v>
      </c>
      <c r="N238" s="52" t="s">
        <v>1677</v>
      </c>
      <c r="O238" s="52" t="s">
        <v>1677</v>
      </c>
      <c r="P238" s="52" t="s">
        <v>1677</v>
      </c>
      <c r="Q238" s="52" t="s">
        <v>1677</v>
      </c>
      <c r="R238" s="52" t="s">
        <v>1677</v>
      </c>
      <c r="S238" s="52" t="s">
        <v>1677</v>
      </c>
      <c r="T238" s="52" t="s">
        <v>1677</v>
      </c>
      <c r="U238" s="52" t="s">
        <v>1677</v>
      </c>
      <c r="V238" s="52" t="s">
        <v>1677</v>
      </c>
      <c r="W238" s="52" t="s">
        <v>1677</v>
      </c>
      <c r="X238" s="52" t="s">
        <v>1677</v>
      </c>
      <c r="Y238" s="52" t="s">
        <v>1677</v>
      </c>
      <c r="Z238" s="52"/>
      <c r="AA238" s="52"/>
      <c r="AB238" s="52"/>
      <c r="AC238" s="52"/>
      <c r="AD238" s="52"/>
      <c r="AE238" s="123" t="s">
        <v>5696</v>
      </c>
      <c r="AF238" s="52" t="s">
        <v>4762</v>
      </c>
      <c r="AG238" s="52" t="s">
        <v>4762</v>
      </c>
      <c r="AH238" s="52" t="s">
        <v>4761</v>
      </c>
      <c r="AI238" s="52"/>
      <c r="AJ238" s="52"/>
      <c r="AK238" s="52" t="s">
        <v>1766</v>
      </c>
      <c r="AL238" s="52" t="s">
        <v>1766</v>
      </c>
      <c r="AM238" s="52"/>
      <c r="AN238" s="52" t="s">
        <v>1830</v>
      </c>
      <c r="AO238" s="52"/>
      <c r="AP238" s="52"/>
      <c r="AQ238" s="52" t="s">
        <v>1902</v>
      </c>
      <c r="AR238" s="52" t="s">
        <v>1902</v>
      </c>
      <c r="AS238" s="52" t="s">
        <v>1902</v>
      </c>
      <c r="AT238" s="52" t="s">
        <v>1902</v>
      </c>
      <c r="AU238" s="52"/>
      <c r="AV238" s="52"/>
      <c r="AW238" s="52" t="s">
        <v>2999</v>
      </c>
      <c r="AX238" s="52" t="s">
        <v>2937</v>
      </c>
      <c r="AY238" s="52" t="s">
        <v>2944</v>
      </c>
      <c r="AZ238" s="52"/>
      <c r="BA238" s="52" t="s">
        <v>4161</v>
      </c>
      <c r="BB238" s="52"/>
      <c r="BC238" s="52"/>
      <c r="BD238" s="52" t="s">
        <v>2001</v>
      </c>
      <c r="BE238" s="52"/>
      <c r="BF238" s="52" t="s">
        <v>2001</v>
      </c>
      <c r="BG238" s="52" t="s">
        <v>0</v>
      </c>
      <c r="BH238" s="52"/>
      <c r="BI238" s="52"/>
      <c r="BJ238" s="52"/>
      <c r="BK238" s="52" t="s">
        <v>1314</v>
      </c>
      <c r="BL238" s="52" t="s">
        <v>1314</v>
      </c>
      <c r="BM238" s="52"/>
      <c r="BN238" s="52"/>
      <c r="BO238" s="52"/>
      <c r="BP238" s="52"/>
      <c r="BQ238" s="52"/>
      <c r="BR238" s="52"/>
      <c r="BS238" s="52"/>
      <c r="BT238" s="52" t="s">
        <v>3668</v>
      </c>
      <c r="BU238" s="52" t="s">
        <v>3636</v>
      </c>
      <c r="BV238" s="52" t="s">
        <v>3562</v>
      </c>
      <c r="BW238" s="52" t="s">
        <v>2511</v>
      </c>
      <c r="BX238" s="52" t="s">
        <v>2511</v>
      </c>
      <c r="BY238" s="52" t="s">
        <v>2511</v>
      </c>
      <c r="BZ238" s="52" t="s">
        <v>4027</v>
      </c>
      <c r="CA238" s="52"/>
      <c r="CB238" s="52"/>
      <c r="CC238" s="52"/>
      <c r="CD238" s="52" t="s">
        <v>2571</v>
      </c>
      <c r="CE238" s="52" t="s">
        <v>2571</v>
      </c>
      <c r="CF238" s="52"/>
      <c r="CG238" s="52" t="s">
        <v>2223</v>
      </c>
      <c r="CH238" s="52" t="s">
        <v>2310</v>
      </c>
      <c r="CI238" s="52" t="s">
        <v>4027</v>
      </c>
      <c r="CJ238" s="52" t="s">
        <v>4027</v>
      </c>
      <c r="CK238" s="52" t="s">
        <v>2664</v>
      </c>
      <c r="CL238" s="52"/>
      <c r="CM238" s="52"/>
      <c r="CN238" s="52"/>
      <c r="CO238" s="52" t="s">
        <v>2093</v>
      </c>
      <c r="CP238" s="52" t="s">
        <v>2879</v>
      </c>
      <c r="CQ238" s="52"/>
      <c r="CR238" s="52"/>
      <c r="CS238" s="52"/>
      <c r="CT238" s="52"/>
      <c r="CU238" s="52"/>
      <c r="CV238" s="52"/>
      <c r="CW238" s="52" t="s">
        <v>1236</v>
      </c>
      <c r="CX238" s="52"/>
    </row>
    <row r="239" spans="1:102" ht="22.5" customHeight="1">
      <c r="A239" s="11" t="s">
        <v>42</v>
      </c>
      <c r="B239" s="38" t="s">
        <v>57</v>
      </c>
      <c r="C239" s="38" t="s">
        <v>57</v>
      </c>
      <c r="D239" s="38" t="s">
        <v>0</v>
      </c>
      <c r="E239" s="38" t="s">
        <v>111</v>
      </c>
      <c r="F239" s="38" t="s">
        <v>57</v>
      </c>
      <c r="G239" s="36" t="s">
        <v>1474</v>
      </c>
      <c r="H239" s="38" t="s">
        <v>57</v>
      </c>
      <c r="I239" s="36" t="s">
        <v>57</v>
      </c>
      <c r="J239" s="36" t="s">
        <v>507</v>
      </c>
      <c r="K239" s="38" t="s">
        <v>57</v>
      </c>
      <c r="L239" s="36" t="s">
        <v>496</v>
      </c>
      <c r="M239" s="36" t="s">
        <v>507</v>
      </c>
      <c r="N239" s="38" t="s">
        <v>57</v>
      </c>
      <c r="O239" s="36" t="s">
        <v>496</v>
      </c>
      <c r="P239" s="36" t="s">
        <v>507</v>
      </c>
      <c r="Q239" s="38" t="s">
        <v>57</v>
      </c>
      <c r="R239" s="36" t="s">
        <v>496</v>
      </c>
      <c r="S239" s="36" t="s">
        <v>507</v>
      </c>
      <c r="T239" s="38" t="s">
        <v>57</v>
      </c>
      <c r="U239" s="36" t="s">
        <v>496</v>
      </c>
      <c r="V239" s="36" t="s">
        <v>504</v>
      </c>
      <c r="W239" s="38" t="s">
        <v>57</v>
      </c>
      <c r="X239" s="38" t="s">
        <v>57</v>
      </c>
      <c r="Y239" s="38" t="s">
        <v>57</v>
      </c>
      <c r="Z239" s="38" t="s">
        <v>57</v>
      </c>
      <c r="AA239" s="38" t="s">
        <v>57</v>
      </c>
      <c r="AB239" s="38" t="s">
        <v>57</v>
      </c>
      <c r="AC239" s="38" t="s">
        <v>57</v>
      </c>
      <c r="AD239" s="38" t="s">
        <v>44</v>
      </c>
      <c r="AE239" s="124" t="s">
        <v>57</v>
      </c>
      <c r="AF239" s="38" t="s">
        <v>57</v>
      </c>
      <c r="AG239" s="38" t="s">
        <v>57</v>
      </c>
      <c r="AH239" s="36" t="s">
        <v>0</v>
      </c>
      <c r="AI239" s="7" t="s">
        <v>196</v>
      </c>
      <c r="AJ239" s="7" t="s">
        <v>196</v>
      </c>
      <c r="AK239" s="7" t="s">
        <v>196</v>
      </c>
      <c r="AL239" s="7" t="s">
        <v>196</v>
      </c>
      <c r="AM239" s="7" t="s">
        <v>57</v>
      </c>
      <c r="AN239" s="7" t="s">
        <v>57</v>
      </c>
      <c r="AO239" s="7" t="s">
        <v>413</v>
      </c>
      <c r="AP239" s="33" t="s">
        <v>57</v>
      </c>
      <c r="AQ239" s="7" t="s">
        <v>413</v>
      </c>
      <c r="AR239" s="34" t="s">
        <v>57</v>
      </c>
      <c r="AS239" s="7" t="s">
        <v>413</v>
      </c>
      <c r="AT239" s="34" t="s">
        <v>57</v>
      </c>
      <c r="AU239" s="38" t="s">
        <v>57</v>
      </c>
      <c r="AV239" s="38" t="s">
        <v>57</v>
      </c>
      <c r="AW239" s="34" t="s">
        <v>57</v>
      </c>
      <c r="AX239" s="34" t="s">
        <v>57</v>
      </c>
      <c r="AY239" s="34" t="s">
        <v>57</v>
      </c>
      <c r="AZ239" s="38" t="s">
        <v>57</v>
      </c>
      <c r="BA239" s="38" t="s">
        <v>57</v>
      </c>
      <c r="BB239" s="38" t="s">
        <v>57</v>
      </c>
      <c r="BC239" s="38" t="s">
        <v>57</v>
      </c>
      <c r="BD239" s="36" t="s">
        <v>734</v>
      </c>
      <c r="BE239" s="38" t="s">
        <v>57</v>
      </c>
      <c r="BF239" s="36" t="s">
        <v>734</v>
      </c>
      <c r="BG239" s="38" t="s">
        <v>0</v>
      </c>
      <c r="BH239" s="38" t="s">
        <v>57</v>
      </c>
      <c r="BI239" s="38" t="s">
        <v>57</v>
      </c>
      <c r="BJ239" s="38" t="s">
        <v>57</v>
      </c>
      <c r="BK239" s="38" t="s">
        <v>57</v>
      </c>
      <c r="BL239" s="38" t="s">
        <v>57</v>
      </c>
      <c r="BM239" s="38" t="s">
        <v>0</v>
      </c>
      <c r="BN239" s="38" t="s">
        <v>57</v>
      </c>
      <c r="BO239" s="38" t="s">
        <v>57</v>
      </c>
      <c r="BP239" s="38" t="s">
        <v>57</v>
      </c>
      <c r="BQ239" s="38" t="s">
        <v>57</v>
      </c>
      <c r="BR239" s="38" t="s">
        <v>57</v>
      </c>
      <c r="BS239" s="38" t="s">
        <v>57</v>
      </c>
      <c r="BT239" s="38" t="s">
        <v>57</v>
      </c>
      <c r="BU239" s="38" t="s">
        <v>57</v>
      </c>
      <c r="BV239" s="38" t="s">
        <v>57</v>
      </c>
      <c r="BW239" s="38" t="s">
        <v>57</v>
      </c>
      <c r="BX239" s="38" t="s">
        <v>57</v>
      </c>
      <c r="BY239" s="38" t="s">
        <v>57</v>
      </c>
      <c r="BZ239" s="38" t="s">
        <v>57</v>
      </c>
      <c r="CA239" s="38" t="s">
        <v>57</v>
      </c>
      <c r="CB239" s="38" t="s">
        <v>57</v>
      </c>
      <c r="CC239" s="36" t="s">
        <v>734</v>
      </c>
      <c r="CD239" s="38" t="s">
        <v>57</v>
      </c>
      <c r="CE239" s="38" t="s">
        <v>57</v>
      </c>
      <c r="CF239" s="38" t="s">
        <v>57</v>
      </c>
      <c r="CG239" s="38" t="s">
        <v>57</v>
      </c>
      <c r="CH239" s="38" t="s">
        <v>57</v>
      </c>
      <c r="CI239" s="38" t="s">
        <v>57</v>
      </c>
      <c r="CJ239" s="38" t="s">
        <v>57</v>
      </c>
      <c r="CK239" s="38" t="s">
        <v>57</v>
      </c>
      <c r="CL239" s="38" t="s">
        <v>57</v>
      </c>
      <c r="CM239" s="38" t="s">
        <v>57</v>
      </c>
      <c r="CN239" s="38" t="s">
        <v>57</v>
      </c>
      <c r="CO239" s="38" t="s">
        <v>57</v>
      </c>
      <c r="CP239" s="38" t="s">
        <v>57</v>
      </c>
      <c r="CQ239" s="38" t="s">
        <v>57</v>
      </c>
      <c r="CR239" s="38" t="s">
        <v>57</v>
      </c>
      <c r="CS239" s="38" t="s">
        <v>57</v>
      </c>
      <c r="CT239" s="38" t="s">
        <v>57</v>
      </c>
      <c r="CU239" s="38" t="s">
        <v>57</v>
      </c>
      <c r="CV239" s="38" t="s">
        <v>57</v>
      </c>
      <c r="CW239" s="38" t="s">
        <v>57</v>
      </c>
      <c r="CX239" s="38" t="s">
        <v>57</v>
      </c>
    </row>
    <row r="240" spans="1:102" ht="12" customHeight="1">
      <c r="A240" s="51" t="s">
        <v>935</v>
      </c>
      <c r="B240" s="52" t="s">
        <v>3958</v>
      </c>
      <c r="C240" s="52"/>
      <c r="D240" s="52"/>
      <c r="E240" s="52"/>
      <c r="F240" s="52" t="s">
        <v>1473</v>
      </c>
      <c r="G240" s="52" t="s">
        <v>1408</v>
      </c>
      <c r="H240" s="52" t="s">
        <v>5523</v>
      </c>
      <c r="I240" s="52" t="s">
        <v>5523</v>
      </c>
      <c r="J240" s="52"/>
      <c r="K240" s="52"/>
      <c r="L240" s="52"/>
      <c r="M240" s="52" t="s">
        <v>1514</v>
      </c>
      <c r="N240" s="52" t="s">
        <v>1612</v>
      </c>
      <c r="O240" s="52" t="s">
        <v>1554</v>
      </c>
      <c r="P240" s="52" t="s">
        <v>1516</v>
      </c>
      <c r="Q240" s="52" t="s">
        <v>1614</v>
      </c>
      <c r="R240" s="52" t="s">
        <v>1556</v>
      </c>
      <c r="S240" s="52" t="s">
        <v>1516</v>
      </c>
      <c r="T240" s="52" t="s">
        <v>1614</v>
      </c>
      <c r="U240" s="52" t="s">
        <v>1556</v>
      </c>
      <c r="V240" s="52" t="s">
        <v>5305</v>
      </c>
      <c r="W240" s="52" t="s">
        <v>1516</v>
      </c>
      <c r="X240" s="52" t="s">
        <v>5260</v>
      </c>
      <c r="Y240" s="52" t="s">
        <v>1557</v>
      </c>
      <c r="Z240" s="52"/>
      <c r="AA240" s="52"/>
      <c r="AB240" s="52"/>
      <c r="AC240" s="52"/>
      <c r="AD240" s="52"/>
      <c r="AE240" s="123" t="s">
        <v>5697</v>
      </c>
      <c r="AF240" s="52" t="s">
        <v>4763</v>
      </c>
      <c r="AG240" s="52" t="s">
        <v>4763</v>
      </c>
      <c r="AH240" s="52" t="s">
        <v>0</v>
      </c>
      <c r="AI240" s="52"/>
      <c r="AJ240" s="52"/>
      <c r="AK240" s="52" t="s">
        <v>1767</v>
      </c>
      <c r="AL240" s="52" t="s">
        <v>1767</v>
      </c>
      <c r="AM240" s="52"/>
      <c r="AN240" s="52" t="s">
        <v>1830</v>
      </c>
      <c r="AO240" s="52"/>
      <c r="AP240" s="52"/>
      <c r="AQ240" s="52" t="s">
        <v>1901</v>
      </c>
      <c r="AR240" s="52" t="s">
        <v>1901</v>
      </c>
      <c r="AS240" s="52" t="s">
        <v>1901</v>
      </c>
      <c r="AT240" s="52" t="s">
        <v>1901</v>
      </c>
      <c r="AU240" s="52"/>
      <c r="AV240" s="52"/>
      <c r="AW240" s="52" t="s">
        <v>3052</v>
      </c>
      <c r="AX240" s="52" t="s">
        <v>3052</v>
      </c>
      <c r="AY240" s="52" t="s">
        <v>3052</v>
      </c>
      <c r="AZ240" s="52"/>
      <c r="BA240" s="52" t="s">
        <v>4162</v>
      </c>
      <c r="BB240" s="52"/>
      <c r="BC240" s="52"/>
      <c r="BD240" s="52" t="s">
        <v>2050</v>
      </c>
      <c r="BE240" s="52"/>
      <c r="BF240" s="52" t="s">
        <v>2050</v>
      </c>
      <c r="BG240" s="52" t="s">
        <v>0</v>
      </c>
      <c r="BH240" s="52"/>
      <c r="BI240" s="52"/>
      <c r="BJ240" s="52"/>
      <c r="BK240" s="52" t="s">
        <v>1362</v>
      </c>
      <c r="BL240" s="52" t="s">
        <v>1362</v>
      </c>
      <c r="BM240" s="52"/>
      <c r="BN240" s="52"/>
      <c r="BO240" s="52"/>
      <c r="BP240" s="52"/>
      <c r="BQ240" s="52"/>
      <c r="BR240" s="52"/>
      <c r="BS240" s="52"/>
      <c r="BT240" s="52" t="s">
        <v>3667</v>
      </c>
      <c r="BU240" s="52" t="s">
        <v>3581</v>
      </c>
      <c r="BV240" s="52" t="s">
        <v>3488</v>
      </c>
      <c r="BW240" s="52" t="s">
        <v>2516</v>
      </c>
      <c r="BX240" s="52" t="s">
        <v>2516</v>
      </c>
      <c r="BY240" s="52" t="s">
        <v>2516</v>
      </c>
      <c r="BZ240" s="52" t="s">
        <v>4028</v>
      </c>
      <c r="CA240" s="52"/>
      <c r="CB240" s="52"/>
      <c r="CC240" s="52"/>
      <c r="CD240" s="52" t="s">
        <v>2570</v>
      </c>
      <c r="CE240" s="52" t="s">
        <v>2570</v>
      </c>
      <c r="CF240" s="52"/>
      <c r="CG240" s="52" t="s">
        <v>2312</v>
      </c>
      <c r="CH240" s="52" t="s">
        <v>2312</v>
      </c>
      <c r="CI240" s="52" t="s">
        <v>4028</v>
      </c>
      <c r="CJ240" s="52" t="s">
        <v>4028</v>
      </c>
      <c r="CK240" s="52" t="s">
        <v>2698</v>
      </c>
      <c r="CL240" s="52"/>
      <c r="CM240" s="52"/>
      <c r="CN240" s="52"/>
      <c r="CO240" s="52" t="s">
        <v>2094</v>
      </c>
      <c r="CP240" s="52" t="s">
        <v>2881</v>
      </c>
      <c r="CQ240" s="52"/>
      <c r="CR240" s="52"/>
      <c r="CS240" s="52"/>
      <c r="CT240" s="52"/>
      <c r="CU240" s="52"/>
      <c r="CV240" s="52"/>
      <c r="CW240" s="52" t="s">
        <v>1237</v>
      </c>
      <c r="CX240" s="52"/>
    </row>
    <row r="241" spans="1:102" ht="22.5" customHeight="1">
      <c r="A241" s="11" t="s">
        <v>174</v>
      </c>
      <c r="B241" s="38" t="s">
        <v>0</v>
      </c>
      <c r="C241" s="38" t="s">
        <v>0</v>
      </c>
      <c r="D241" s="38" t="s">
        <v>0</v>
      </c>
      <c r="E241" s="38" t="s">
        <v>0</v>
      </c>
      <c r="F241" s="38" t="s">
        <v>0</v>
      </c>
      <c r="G241" s="38" t="s">
        <v>0</v>
      </c>
      <c r="H241" s="38" t="s">
        <v>0</v>
      </c>
      <c r="I241" s="38" t="s">
        <v>0</v>
      </c>
      <c r="J241" s="38" t="s">
        <v>0</v>
      </c>
      <c r="K241" s="38" t="s">
        <v>57</v>
      </c>
      <c r="L241" s="38" t="s">
        <v>0</v>
      </c>
      <c r="M241" s="38" t="s">
        <v>0</v>
      </c>
      <c r="N241" s="36" t="s">
        <v>1622</v>
      </c>
      <c r="O241" s="38" t="s">
        <v>0</v>
      </c>
      <c r="P241" s="38" t="s">
        <v>0</v>
      </c>
      <c r="Q241" s="36" t="s">
        <v>1622</v>
      </c>
      <c r="R241" s="38" t="s">
        <v>0</v>
      </c>
      <c r="S241" s="38" t="s">
        <v>0</v>
      </c>
      <c r="T241" s="36" t="s">
        <v>1622</v>
      </c>
      <c r="U241" s="38" t="s">
        <v>0</v>
      </c>
      <c r="V241" s="38" t="s">
        <v>0</v>
      </c>
      <c r="W241" s="38" t="s">
        <v>0</v>
      </c>
      <c r="X241" s="36" t="s">
        <v>1622</v>
      </c>
      <c r="Y241" s="38" t="s">
        <v>0</v>
      </c>
      <c r="Z241" s="38" t="s">
        <v>763</v>
      </c>
      <c r="AA241" s="38" t="s">
        <v>57</v>
      </c>
      <c r="AB241" s="38" t="s">
        <v>57</v>
      </c>
      <c r="AC241" s="38" t="s">
        <v>57</v>
      </c>
      <c r="AD241" s="38" t="s">
        <v>0</v>
      </c>
      <c r="AE241" s="124" t="s">
        <v>0</v>
      </c>
      <c r="AF241" s="38" t="s">
        <v>0</v>
      </c>
      <c r="AG241" s="38" t="s">
        <v>0</v>
      </c>
      <c r="AH241" s="38" t="s">
        <v>0</v>
      </c>
      <c r="AI241" s="7" t="s">
        <v>196</v>
      </c>
      <c r="AJ241" s="7" t="s">
        <v>196</v>
      </c>
      <c r="AK241" s="7" t="s">
        <v>1769</v>
      </c>
      <c r="AL241" s="7" t="s">
        <v>1769</v>
      </c>
      <c r="AM241" s="7" t="s">
        <v>0</v>
      </c>
      <c r="AN241" s="7" t="s">
        <v>1834</v>
      </c>
      <c r="AO241" s="7" t="s">
        <v>0</v>
      </c>
      <c r="AP241" s="33" t="s">
        <v>0</v>
      </c>
      <c r="AQ241" s="7" t="s">
        <v>0</v>
      </c>
      <c r="AR241" s="7" t="s">
        <v>0</v>
      </c>
      <c r="AS241" s="7" t="s">
        <v>0</v>
      </c>
      <c r="AT241" s="7" t="s">
        <v>0</v>
      </c>
      <c r="AU241" s="38" t="s">
        <v>0</v>
      </c>
      <c r="AV241" s="38" t="s">
        <v>0</v>
      </c>
      <c r="AW241" s="34" t="s">
        <v>0</v>
      </c>
      <c r="AX241" s="34" t="s">
        <v>57</v>
      </c>
      <c r="AY241" s="34" t="s">
        <v>57</v>
      </c>
      <c r="AZ241" s="38" t="s">
        <v>0</v>
      </c>
      <c r="BA241" s="38" t="s">
        <v>0</v>
      </c>
      <c r="BB241" s="38" t="s">
        <v>0</v>
      </c>
      <c r="BC241" s="38" t="s">
        <v>0</v>
      </c>
      <c r="BD241" s="38" t="s">
        <v>0</v>
      </c>
      <c r="BE241" s="38" t="s">
        <v>0</v>
      </c>
      <c r="BF241" s="38" t="s">
        <v>0</v>
      </c>
      <c r="BG241" s="38" t="s">
        <v>0</v>
      </c>
      <c r="BH241" s="38" t="s">
        <v>0</v>
      </c>
      <c r="BI241" s="38" t="s">
        <v>0</v>
      </c>
      <c r="BJ241" s="38" t="s">
        <v>0</v>
      </c>
      <c r="BK241" s="36" t="s">
        <v>0</v>
      </c>
      <c r="BL241" s="38" t="s">
        <v>0</v>
      </c>
      <c r="BM241" s="38" t="s">
        <v>0</v>
      </c>
      <c r="BN241" s="38" t="s">
        <v>0</v>
      </c>
      <c r="BO241" s="38" t="s">
        <v>57</v>
      </c>
      <c r="BP241" s="38" t="s">
        <v>0</v>
      </c>
      <c r="BQ241" s="38" t="s">
        <v>57</v>
      </c>
      <c r="BR241" s="38" t="s">
        <v>57</v>
      </c>
      <c r="BS241" s="38" t="s">
        <v>57</v>
      </c>
      <c r="BT241" s="38" t="s">
        <v>0</v>
      </c>
      <c r="BU241" s="38" t="s">
        <v>0</v>
      </c>
      <c r="BV241" s="36" t="s">
        <v>3547</v>
      </c>
      <c r="BW241" s="36" t="s">
        <v>0</v>
      </c>
      <c r="BX241" s="36" t="s">
        <v>0</v>
      </c>
      <c r="BY241" s="36" t="s">
        <v>0</v>
      </c>
      <c r="BZ241" s="38" t="s">
        <v>0</v>
      </c>
      <c r="CA241" s="38" t="s">
        <v>0</v>
      </c>
      <c r="CB241" s="38" t="s">
        <v>0</v>
      </c>
      <c r="CC241" s="38" t="s">
        <v>0</v>
      </c>
      <c r="CD241" s="38" t="s">
        <v>57</v>
      </c>
      <c r="CE241" s="38" t="s">
        <v>57</v>
      </c>
      <c r="CF241" s="38" t="s">
        <v>0</v>
      </c>
      <c r="CG241" s="38" t="s">
        <v>0</v>
      </c>
      <c r="CH241" s="38" t="s">
        <v>0</v>
      </c>
      <c r="CI241" s="38" t="s">
        <v>0</v>
      </c>
      <c r="CJ241" s="38" t="s">
        <v>0</v>
      </c>
      <c r="CK241" s="38" t="s">
        <v>0</v>
      </c>
      <c r="CL241" s="38" t="s">
        <v>0</v>
      </c>
      <c r="CM241" s="38" t="s">
        <v>0</v>
      </c>
      <c r="CN241" s="38" t="s">
        <v>0</v>
      </c>
      <c r="CO241" s="38" t="s">
        <v>0</v>
      </c>
      <c r="CP241" s="38" t="s">
        <v>0</v>
      </c>
      <c r="CQ241" s="38" t="s">
        <v>195</v>
      </c>
      <c r="CR241" s="38" t="s">
        <v>57</v>
      </c>
      <c r="CS241" s="38" t="s">
        <v>0</v>
      </c>
      <c r="CT241" s="38" t="s">
        <v>0</v>
      </c>
      <c r="CU241" s="38" t="s">
        <v>57</v>
      </c>
      <c r="CV241" s="38" t="s">
        <v>57</v>
      </c>
      <c r="CW241" s="38" t="s">
        <v>0</v>
      </c>
      <c r="CX241" s="36" t="s">
        <v>825</v>
      </c>
    </row>
    <row r="242" spans="1:102" ht="12" customHeight="1">
      <c r="A242" s="51" t="s">
        <v>935</v>
      </c>
      <c r="B242" s="52" t="s">
        <v>0</v>
      </c>
      <c r="C242" s="52"/>
      <c r="D242" s="52"/>
      <c r="E242" s="52"/>
      <c r="F242" s="52" t="s">
        <v>0</v>
      </c>
      <c r="G242" s="52" t="s">
        <v>0</v>
      </c>
      <c r="H242" s="52" t="s">
        <v>0</v>
      </c>
      <c r="I242" s="52" t="s">
        <v>0</v>
      </c>
      <c r="J242" s="52"/>
      <c r="K242" s="52"/>
      <c r="L242" s="52"/>
      <c r="M242" s="52" t="s">
        <v>0</v>
      </c>
      <c r="N242" s="52" t="s">
        <v>1621</v>
      </c>
      <c r="O242" s="52" t="s">
        <v>0</v>
      </c>
      <c r="P242" s="52" t="s">
        <v>0</v>
      </c>
      <c r="Q242" s="52" t="s">
        <v>3378</v>
      </c>
      <c r="R242" s="52" t="s">
        <v>0</v>
      </c>
      <c r="S242" s="52" t="s">
        <v>0</v>
      </c>
      <c r="T242" s="52" t="s">
        <v>3378</v>
      </c>
      <c r="U242" s="52" t="s">
        <v>0</v>
      </c>
      <c r="V242" s="52" t="s">
        <v>0</v>
      </c>
      <c r="W242" s="52" t="s">
        <v>0</v>
      </c>
      <c r="X242" s="52" t="s">
        <v>5896</v>
      </c>
      <c r="Y242" s="52" t="s">
        <v>0</v>
      </c>
      <c r="Z242" s="52"/>
      <c r="AA242" s="52"/>
      <c r="AB242" s="52"/>
      <c r="AC242" s="52"/>
      <c r="AD242" s="52"/>
      <c r="AE242" s="123" t="s">
        <v>0</v>
      </c>
      <c r="AF242" s="52" t="s">
        <v>0</v>
      </c>
      <c r="AG242" s="52" t="s">
        <v>0</v>
      </c>
      <c r="AH242" s="52" t="s">
        <v>0</v>
      </c>
      <c r="AI242" s="52"/>
      <c r="AJ242" s="52"/>
      <c r="AK242" s="52" t="s">
        <v>1768</v>
      </c>
      <c r="AL242" s="52" t="s">
        <v>1768</v>
      </c>
      <c r="AM242" s="52"/>
      <c r="AN242" s="52" t="s">
        <v>1833</v>
      </c>
      <c r="AO242" s="52"/>
      <c r="AP242" s="52"/>
      <c r="AQ242" s="52" t="s">
        <v>0</v>
      </c>
      <c r="AR242" s="52" t="s">
        <v>0</v>
      </c>
      <c r="AS242" s="52" t="s">
        <v>0</v>
      </c>
      <c r="AT242" s="52" t="s">
        <v>0</v>
      </c>
      <c r="AU242" s="52"/>
      <c r="AV242" s="52"/>
      <c r="AW242" s="52" t="s">
        <v>0</v>
      </c>
      <c r="AX242" s="52" t="s">
        <v>2990</v>
      </c>
      <c r="AY242" s="52" t="s">
        <v>2959</v>
      </c>
      <c r="AZ242" s="52"/>
      <c r="BA242" s="52" t="s">
        <v>0</v>
      </c>
      <c r="BB242" s="52"/>
      <c r="BC242" s="52"/>
      <c r="BD242" s="52" t="s">
        <v>0</v>
      </c>
      <c r="BE242" s="52"/>
      <c r="BF242" s="52" t="s">
        <v>0</v>
      </c>
      <c r="BG242" s="52" t="s">
        <v>0</v>
      </c>
      <c r="BH242" s="52"/>
      <c r="BI242" s="52"/>
      <c r="BJ242" s="52"/>
      <c r="BK242" s="52" t="s">
        <v>0</v>
      </c>
      <c r="BL242" s="52" t="s">
        <v>0</v>
      </c>
      <c r="BM242" s="52"/>
      <c r="BN242" s="52"/>
      <c r="BO242" s="52"/>
      <c r="BP242" s="52"/>
      <c r="BQ242" s="52"/>
      <c r="BR242" s="52"/>
      <c r="BS242" s="52"/>
      <c r="BT242" s="52" t="s">
        <v>0</v>
      </c>
      <c r="BU242" s="52" t="s">
        <v>0</v>
      </c>
      <c r="BV242" s="52" t="s">
        <v>3546</v>
      </c>
      <c r="BW242" s="52" t="s">
        <v>0</v>
      </c>
      <c r="BX242" s="52" t="s">
        <v>0</v>
      </c>
      <c r="BY242" s="52" t="s">
        <v>0</v>
      </c>
      <c r="BZ242" s="52" t="s">
        <v>0</v>
      </c>
      <c r="CA242" s="52"/>
      <c r="CB242" s="52"/>
      <c r="CC242" s="52"/>
      <c r="CD242" s="52" t="s">
        <v>2556</v>
      </c>
      <c r="CE242" s="52" t="s">
        <v>2547</v>
      </c>
      <c r="CF242" s="52"/>
      <c r="CG242" s="52" t="s">
        <v>0</v>
      </c>
      <c r="CH242" s="52" t="s">
        <v>0</v>
      </c>
      <c r="CI242" s="52" t="s">
        <v>0</v>
      </c>
      <c r="CJ242" s="52" t="s">
        <v>0</v>
      </c>
      <c r="CK242" s="52" t="s">
        <v>0</v>
      </c>
      <c r="CL242" s="52"/>
      <c r="CM242" s="52"/>
      <c r="CN242" s="52"/>
      <c r="CO242" s="52" t="s">
        <v>0</v>
      </c>
      <c r="CP242" s="52" t="s">
        <v>0</v>
      </c>
      <c r="CQ242" s="52"/>
      <c r="CR242" s="52"/>
      <c r="CS242" s="52"/>
      <c r="CT242" s="52"/>
      <c r="CU242" s="52"/>
      <c r="CV242" s="52"/>
      <c r="CW242" s="52" t="s">
        <v>0</v>
      </c>
      <c r="CX242" s="52"/>
    </row>
    <row r="243" spans="1:102" ht="22.5" customHeight="1">
      <c r="A243" s="11" t="s">
        <v>43</v>
      </c>
      <c r="B243" s="38" t="s">
        <v>57</v>
      </c>
      <c r="C243" s="38" t="s">
        <v>57</v>
      </c>
      <c r="D243" s="38" t="s">
        <v>57</v>
      </c>
      <c r="E243" s="38" t="s">
        <v>57</v>
      </c>
      <c r="F243" s="38" t="s">
        <v>57</v>
      </c>
      <c r="G243" s="38" t="s">
        <v>57</v>
      </c>
      <c r="H243" s="38" t="s">
        <v>57</v>
      </c>
      <c r="I243" s="38" t="s">
        <v>57</v>
      </c>
      <c r="J243" s="38" t="s">
        <v>57</v>
      </c>
      <c r="K243" s="38" t="s">
        <v>57</v>
      </c>
      <c r="L243" s="38" t="s">
        <v>57</v>
      </c>
      <c r="M243" s="38" t="s">
        <v>57</v>
      </c>
      <c r="N243" s="38" t="s">
        <v>57</v>
      </c>
      <c r="O243" s="38" t="s">
        <v>57</v>
      </c>
      <c r="P243" s="38" t="s">
        <v>57</v>
      </c>
      <c r="Q243" s="38" t="s">
        <v>57</v>
      </c>
      <c r="R243" s="38" t="s">
        <v>57</v>
      </c>
      <c r="S243" s="38" t="s">
        <v>57</v>
      </c>
      <c r="T243" s="38" t="s">
        <v>57</v>
      </c>
      <c r="U243" s="38" t="s">
        <v>57</v>
      </c>
      <c r="V243" s="38" t="s">
        <v>57</v>
      </c>
      <c r="W243" s="38" t="s">
        <v>57</v>
      </c>
      <c r="X243" s="38" t="s">
        <v>57</v>
      </c>
      <c r="Y243" s="38" t="s">
        <v>57</v>
      </c>
      <c r="Z243" s="38" t="s">
        <v>57</v>
      </c>
      <c r="AA243" s="38" t="s">
        <v>57</v>
      </c>
      <c r="AB243" s="38" t="s">
        <v>57</v>
      </c>
      <c r="AC243" s="38" t="s">
        <v>57</v>
      </c>
      <c r="AD243" s="38" t="s">
        <v>57</v>
      </c>
      <c r="AE243" s="124" t="s">
        <v>57</v>
      </c>
      <c r="AF243" s="38" t="s">
        <v>57</v>
      </c>
      <c r="AG243" s="38" t="s">
        <v>57</v>
      </c>
      <c r="AH243" s="38" t="s">
        <v>57</v>
      </c>
      <c r="AI243" s="7" t="s">
        <v>196</v>
      </c>
      <c r="AJ243" s="7" t="s">
        <v>196</v>
      </c>
      <c r="AK243" s="7" t="s">
        <v>196</v>
      </c>
      <c r="AL243" s="7" t="s">
        <v>1685</v>
      </c>
      <c r="AM243" s="7" t="s">
        <v>449</v>
      </c>
      <c r="AN243" s="7" t="s">
        <v>449</v>
      </c>
      <c r="AO243" s="7" t="s">
        <v>0</v>
      </c>
      <c r="AP243" s="32" t="s">
        <v>6</v>
      </c>
      <c r="AQ243" s="7" t="s">
        <v>57</v>
      </c>
      <c r="AR243" s="37" t="s">
        <v>1896</v>
      </c>
      <c r="AS243" s="7" t="s">
        <v>57</v>
      </c>
      <c r="AT243" s="37" t="s">
        <v>1896</v>
      </c>
      <c r="AU243" s="38" t="s">
        <v>57</v>
      </c>
      <c r="AV243" s="38" t="s">
        <v>57</v>
      </c>
      <c r="AW243" s="34" t="s">
        <v>57</v>
      </c>
      <c r="AX243" s="34" t="s">
        <v>57</v>
      </c>
      <c r="AY243" s="34" t="s">
        <v>57</v>
      </c>
      <c r="AZ243" s="38" t="s">
        <v>57</v>
      </c>
      <c r="BA243" s="38" t="s">
        <v>57</v>
      </c>
      <c r="BB243" s="38" t="s">
        <v>57</v>
      </c>
      <c r="BC243" s="38" t="s">
        <v>57</v>
      </c>
      <c r="BD243" s="36" t="s">
        <v>1956</v>
      </c>
      <c r="BE243" s="38" t="s">
        <v>57</v>
      </c>
      <c r="BF243" s="38" t="s">
        <v>57</v>
      </c>
      <c r="BG243" s="36" t="s">
        <v>4076</v>
      </c>
      <c r="BH243" s="38" t="s">
        <v>57</v>
      </c>
      <c r="BI243" s="38" t="s">
        <v>57</v>
      </c>
      <c r="BJ243" s="38" t="s">
        <v>57</v>
      </c>
      <c r="BK243" s="36" t="s">
        <v>57</v>
      </c>
      <c r="BL243" s="36" t="s">
        <v>1277</v>
      </c>
      <c r="BM243" s="38" t="s">
        <v>57</v>
      </c>
      <c r="BN243" s="38" t="s">
        <v>57</v>
      </c>
      <c r="BO243" s="38" t="s">
        <v>57</v>
      </c>
      <c r="BP243" s="38" t="s">
        <v>57</v>
      </c>
      <c r="BQ243" s="38" t="s">
        <v>57</v>
      </c>
      <c r="BR243" s="38" t="s">
        <v>57</v>
      </c>
      <c r="BS243" s="38" t="s">
        <v>57</v>
      </c>
      <c r="BT243" s="38" t="s">
        <v>57</v>
      </c>
      <c r="BU243" s="38" t="s">
        <v>57</v>
      </c>
      <c r="BV243" s="38" t="s">
        <v>57</v>
      </c>
      <c r="BW243" s="38" t="s">
        <v>57</v>
      </c>
      <c r="BX243" s="38" t="s">
        <v>57</v>
      </c>
      <c r="BY243" s="38" t="s">
        <v>57</v>
      </c>
      <c r="BZ243" s="36" t="s">
        <v>57</v>
      </c>
      <c r="CA243" s="38" t="s">
        <v>57</v>
      </c>
      <c r="CB243" s="38" t="s">
        <v>57</v>
      </c>
      <c r="CC243" s="38" t="s">
        <v>57</v>
      </c>
      <c r="CD243" s="38" t="s">
        <v>57</v>
      </c>
      <c r="CE243" s="38" t="s">
        <v>57</v>
      </c>
      <c r="CF243" s="38" t="s">
        <v>57</v>
      </c>
      <c r="CG243" s="36" t="s">
        <v>2261</v>
      </c>
      <c r="CH243" s="36" t="s">
        <v>2261</v>
      </c>
      <c r="CI243" s="38" t="s">
        <v>57</v>
      </c>
      <c r="CJ243" s="38" t="s">
        <v>57</v>
      </c>
      <c r="CK243" s="38" t="s">
        <v>57</v>
      </c>
      <c r="CL243" s="38" t="s">
        <v>57</v>
      </c>
      <c r="CM243" s="38" t="s">
        <v>57</v>
      </c>
      <c r="CN243" s="38" t="s">
        <v>57</v>
      </c>
      <c r="CO243" s="38" t="s">
        <v>57</v>
      </c>
      <c r="CP243" s="38" t="s">
        <v>57</v>
      </c>
      <c r="CQ243" s="38" t="s">
        <v>57</v>
      </c>
      <c r="CR243" s="38" t="s">
        <v>57</v>
      </c>
      <c r="CS243" s="38" t="s">
        <v>57</v>
      </c>
      <c r="CT243" s="38" t="s">
        <v>57</v>
      </c>
      <c r="CU243" s="38" t="s">
        <v>57</v>
      </c>
      <c r="CV243" s="38" t="s">
        <v>57</v>
      </c>
      <c r="CW243" s="38" t="s">
        <v>57</v>
      </c>
      <c r="CX243" s="38" t="s">
        <v>57</v>
      </c>
    </row>
    <row r="244" spans="1:102" ht="12" customHeight="1">
      <c r="A244" s="51" t="s">
        <v>935</v>
      </c>
      <c r="B244" s="52" t="s">
        <v>3954</v>
      </c>
      <c r="C244" s="52"/>
      <c r="D244" s="52"/>
      <c r="E244" s="52"/>
      <c r="F244" s="52" t="s">
        <v>1470</v>
      </c>
      <c r="G244" s="52" t="s">
        <v>1470</v>
      </c>
      <c r="H244" s="52" t="s">
        <v>1470</v>
      </c>
      <c r="I244" s="52" t="s">
        <v>1470</v>
      </c>
      <c r="J244" s="52"/>
      <c r="K244" s="52"/>
      <c r="L244" s="52"/>
      <c r="M244" s="52" t="s">
        <v>1678</v>
      </c>
      <c r="N244" s="52" t="s">
        <v>1678</v>
      </c>
      <c r="O244" s="52" t="s">
        <v>1678</v>
      </c>
      <c r="P244" s="52" t="s">
        <v>1678</v>
      </c>
      <c r="Q244" s="52" t="s">
        <v>1678</v>
      </c>
      <c r="R244" s="52" t="s">
        <v>1678</v>
      </c>
      <c r="S244" s="52" t="s">
        <v>1678</v>
      </c>
      <c r="T244" s="52" t="s">
        <v>1678</v>
      </c>
      <c r="U244" s="52" t="s">
        <v>1678</v>
      </c>
      <c r="V244" s="52" t="s">
        <v>1678</v>
      </c>
      <c r="W244" s="52" t="s">
        <v>1678</v>
      </c>
      <c r="X244" s="52" t="s">
        <v>1678</v>
      </c>
      <c r="Y244" s="52" t="s">
        <v>1678</v>
      </c>
      <c r="Z244" s="52"/>
      <c r="AA244" s="52"/>
      <c r="AB244" s="52"/>
      <c r="AC244" s="52"/>
      <c r="AD244" s="52"/>
      <c r="AE244" s="123" t="s">
        <v>5698</v>
      </c>
      <c r="AF244" s="52" t="s">
        <v>4764</v>
      </c>
      <c r="AG244" s="52" t="s">
        <v>4764</v>
      </c>
      <c r="AH244" s="52" t="s">
        <v>4764</v>
      </c>
      <c r="AI244" s="52"/>
      <c r="AJ244" s="52"/>
      <c r="AK244" s="52" t="s">
        <v>1764</v>
      </c>
      <c r="AL244" s="52" t="s">
        <v>1765</v>
      </c>
      <c r="AM244" s="52"/>
      <c r="AN244" s="52" t="s">
        <v>1831</v>
      </c>
      <c r="AO244" s="52"/>
      <c r="AP244" s="52"/>
      <c r="AQ244" s="52" t="s">
        <v>1894</v>
      </c>
      <c r="AR244" s="52" t="s">
        <v>1895</v>
      </c>
      <c r="AS244" s="52" t="s">
        <v>1894</v>
      </c>
      <c r="AT244" s="52" t="s">
        <v>1895</v>
      </c>
      <c r="AU244" s="52"/>
      <c r="AV244" s="52"/>
      <c r="AW244" s="52" t="s">
        <v>3051</v>
      </c>
      <c r="AX244" s="52" t="s">
        <v>3051</v>
      </c>
      <c r="AY244" s="52" t="s">
        <v>3051</v>
      </c>
      <c r="AZ244" s="52"/>
      <c r="BA244" s="52" t="s">
        <v>4163</v>
      </c>
      <c r="BB244" s="52"/>
      <c r="BC244" s="52"/>
      <c r="BD244" s="52" t="s">
        <v>2042</v>
      </c>
      <c r="BE244" s="52"/>
      <c r="BF244" s="52" t="s">
        <v>2041</v>
      </c>
      <c r="BG244" s="52" t="s">
        <v>4075</v>
      </c>
      <c r="BH244" s="52"/>
      <c r="BI244" s="52"/>
      <c r="BJ244" s="52"/>
      <c r="BK244" s="52" t="s">
        <v>1342</v>
      </c>
      <c r="BL244" s="52" t="s">
        <v>1276</v>
      </c>
      <c r="BM244" s="52"/>
      <c r="BN244" s="52"/>
      <c r="BO244" s="52"/>
      <c r="BP244" s="52"/>
      <c r="BQ244" s="52"/>
      <c r="BR244" s="52"/>
      <c r="BS244" s="52"/>
      <c r="BT244" s="52" t="s">
        <v>3726</v>
      </c>
      <c r="BU244" s="52" t="s">
        <v>3637</v>
      </c>
      <c r="BV244" s="52" t="s">
        <v>3542</v>
      </c>
      <c r="BW244" s="52" t="s">
        <v>2514</v>
      </c>
      <c r="BX244" s="52" t="s">
        <v>2514</v>
      </c>
      <c r="BY244" s="52" t="s">
        <v>2514</v>
      </c>
      <c r="BZ244" s="52" t="s">
        <v>3954</v>
      </c>
      <c r="CA244" s="52"/>
      <c r="CB244" s="52"/>
      <c r="CC244" s="52"/>
      <c r="CD244" s="52" t="s">
        <v>2569</v>
      </c>
      <c r="CE244" s="52" t="s">
        <v>2569</v>
      </c>
      <c r="CF244" s="52"/>
      <c r="CG244" s="52" t="s">
        <v>2281</v>
      </c>
      <c r="CH244" s="52" t="s">
        <v>2281</v>
      </c>
      <c r="CI244" s="52" t="s">
        <v>3954</v>
      </c>
      <c r="CJ244" s="52" t="s">
        <v>3954</v>
      </c>
      <c r="CK244" s="52" t="s">
        <v>2697</v>
      </c>
      <c r="CL244" s="52"/>
      <c r="CM244" s="52"/>
      <c r="CN244" s="52"/>
      <c r="CO244" s="52" t="s">
        <v>2092</v>
      </c>
      <c r="CP244" s="52" t="s">
        <v>2878</v>
      </c>
      <c r="CQ244" s="52"/>
      <c r="CR244" s="52"/>
      <c r="CS244" s="52"/>
      <c r="CT244" s="52"/>
      <c r="CU244" s="52"/>
      <c r="CV244" s="52"/>
      <c r="CW244" s="52" t="s">
        <v>1235</v>
      </c>
      <c r="CX244" s="52"/>
    </row>
    <row r="245" spans="1:102" ht="22.5" customHeight="1">
      <c r="A245" s="11" t="s">
        <v>175</v>
      </c>
      <c r="B245" s="38" t="s">
        <v>0</v>
      </c>
      <c r="C245" s="38" t="s">
        <v>0</v>
      </c>
      <c r="D245" s="38" t="s">
        <v>0</v>
      </c>
      <c r="E245" s="36" t="s">
        <v>237</v>
      </c>
      <c r="F245" s="38" t="s">
        <v>0</v>
      </c>
      <c r="G245" s="36" t="s">
        <v>237</v>
      </c>
      <c r="H245" s="38" t="s">
        <v>5524</v>
      </c>
      <c r="I245" s="36" t="s">
        <v>5525</v>
      </c>
      <c r="J245" s="36" t="s">
        <v>507</v>
      </c>
      <c r="K245" s="36" t="s">
        <v>57</v>
      </c>
      <c r="L245" s="36" t="s">
        <v>496</v>
      </c>
      <c r="M245" s="36" t="s">
        <v>507</v>
      </c>
      <c r="N245" s="36" t="s">
        <v>57</v>
      </c>
      <c r="O245" s="36" t="s">
        <v>496</v>
      </c>
      <c r="P245" s="36" t="s">
        <v>507</v>
      </c>
      <c r="Q245" s="36" t="s">
        <v>57</v>
      </c>
      <c r="R245" s="36" t="s">
        <v>496</v>
      </c>
      <c r="S245" s="36" t="s">
        <v>507</v>
      </c>
      <c r="T245" s="36" t="s">
        <v>57</v>
      </c>
      <c r="U245" s="36" t="s">
        <v>496</v>
      </c>
      <c r="V245" s="36" t="s">
        <v>314</v>
      </c>
      <c r="W245" s="36" t="s">
        <v>57</v>
      </c>
      <c r="X245" s="36" t="s">
        <v>57</v>
      </c>
      <c r="Y245" s="36" t="s">
        <v>57</v>
      </c>
      <c r="Z245" s="36" t="s">
        <v>755</v>
      </c>
      <c r="AA245" s="36" t="s">
        <v>0</v>
      </c>
      <c r="AB245" s="36" t="s">
        <v>0</v>
      </c>
      <c r="AC245" s="36" t="s">
        <v>0</v>
      </c>
      <c r="AD245" s="38" t="s">
        <v>0</v>
      </c>
      <c r="AE245" s="124" t="s">
        <v>26</v>
      </c>
      <c r="AF245" s="36" t="s">
        <v>57</v>
      </c>
      <c r="AG245" s="38" t="s">
        <v>57</v>
      </c>
      <c r="AH245" s="38" t="s">
        <v>57</v>
      </c>
      <c r="AI245" s="7" t="s">
        <v>0</v>
      </c>
      <c r="AJ245" s="33" t="s">
        <v>197</v>
      </c>
      <c r="AK245" s="7" t="s">
        <v>0</v>
      </c>
      <c r="AL245" s="34" t="s">
        <v>197</v>
      </c>
      <c r="AM245" s="33" t="s">
        <v>111</v>
      </c>
      <c r="AN245" s="34" t="s">
        <v>111</v>
      </c>
      <c r="AO245" s="7" t="s">
        <v>0</v>
      </c>
      <c r="AP245" s="33" t="s">
        <v>0</v>
      </c>
      <c r="AQ245" s="7" t="s">
        <v>0</v>
      </c>
      <c r="AR245" s="7" t="s">
        <v>0</v>
      </c>
      <c r="AS245" s="7" t="s">
        <v>0</v>
      </c>
      <c r="AT245" s="7" t="s">
        <v>0</v>
      </c>
      <c r="AU245" s="38" t="s">
        <v>0</v>
      </c>
      <c r="AV245" s="38" t="s">
        <v>0</v>
      </c>
      <c r="AW245" s="34" t="s">
        <v>0</v>
      </c>
      <c r="AX245" s="34" t="s">
        <v>0</v>
      </c>
      <c r="AY245" s="34" t="s">
        <v>111</v>
      </c>
      <c r="AZ245" s="38" t="s">
        <v>0</v>
      </c>
      <c r="BA245" s="36" t="s">
        <v>4127</v>
      </c>
      <c r="BB245" s="38" t="s">
        <v>57</v>
      </c>
      <c r="BC245" s="38" t="s">
        <v>57</v>
      </c>
      <c r="BD245" s="38" t="s">
        <v>57</v>
      </c>
      <c r="BE245" s="38" t="s">
        <v>57</v>
      </c>
      <c r="BF245" s="38" t="s">
        <v>57</v>
      </c>
      <c r="BG245" s="38" t="s">
        <v>0</v>
      </c>
      <c r="BH245" s="38" t="s">
        <v>17</v>
      </c>
      <c r="BI245" s="38" t="s">
        <v>17</v>
      </c>
      <c r="BJ245" s="38" t="s">
        <v>17</v>
      </c>
      <c r="BK245" s="36" t="s">
        <v>57</v>
      </c>
      <c r="BL245" s="36" t="s">
        <v>57</v>
      </c>
      <c r="BM245" s="38" t="s">
        <v>0</v>
      </c>
      <c r="BN245" s="38" t="s">
        <v>18</v>
      </c>
      <c r="BO245" s="38" t="s">
        <v>57</v>
      </c>
      <c r="BP245" s="38" t="s">
        <v>18</v>
      </c>
      <c r="BQ245" s="38" t="s">
        <v>57</v>
      </c>
      <c r="BR245" s="38" t="s">
        <v>26</v>
      </c>
      <c r="BS245" s="38" t="s">
        <v>57</v>
      </c>
      <c r="BT245" s="36" t="s">
        <v>0</v>
      </c>
      <c r="BU245" s="36" t="s">
        <v>3639</v>
      </c>
      <c r="BV245" s="38" t="s">
        <v>57</v>
      </c>
      <c r="BW245" s="38" t="s">
        <v>0</v>
      </c>
      <c r="BX245" s="38" t="s">
        <v>0</v>
      </c>
      <c r="BY245" s="38" t="s">
        <v>0</v>
      </c>
      <c r="BZ245" s="38" t="s">
        <v>0</v>
      </c>
      <c r="CA245" s="38" t="s">
        <v>0</v>
      </c>
      <c r="CB245" s="38" t="s">
        <v>111</v>
      </c>
      <c r="CC245" s="38" t="s">
        <v>223</v>
      </c>
      <c r="CD245" s="38" t="s">
        <v>111</v>
      </c>
      <c r="CE245" s="38" t="s">
        <v>197</v>
      </c>
      <c r="CF245" s="38" t="s">
        <v>197</v>
      </c>
      <c r="CG245" s="38" t="s">
        <v>57</v>
      </c>
      <c r="CH245" s="38" t="s">
        <v>57</v>
      </c>
      <c r="CI245" s="38" t="s">
        <v>0</v>
      </c>
      <c r="CJ245" s="38" t="s">
        <v>0</v>
      </c>
      <c r="CK245" s="38" t="s">
        <v>0</v>
      </c>
      <c r="CL245" s="38" t="s">
        <v>197</v>
      </c>
      <c r="CM245" s="38" t="s">
        <v>0</v>
      </c>
      <c r="CN245" s="38" t="s">
        <v>0</v>
      </c>
      <c r="CO245" s="38" t="s">
        <v>0</v>
      </c>
      <c r="CP245" s="38" t="s">
        <v>57</v>
      </c>
      <c r="CQ245" s="36" t="s">
        <v>17</v>
      </c>
      <c r="CR245" s="36" t="s">
        <v>57</v>
      </c>
      <c r="CS245" s="38" t="s">
        <v>26</v>
      </c>
      <c r="CT245" s="38" t="s">
        <v>26</v>
      </c>
      <c r="CU245" s="38" t="s">
        <v>26</v>
      </c>
      <c r="CV245" s="38" t="s">
        <v>26</v>
      </c>
      <c r="CW245" s="38" t="s">
        <v>0</v>
      </c>
      <c r="CX245" s="38" t="s">
        <v>0</v>
      </c>
    </row>
    <row r="246" spans="1:102" ht="12" customHeight="1">
      <c r="A246" s="51" t="s">
        <v>935</v>
      </c>
      <c r="B246" s="52" t="s">
        <v>0</v>
      </c>
      <c r="C246" s="52"/>
      <c r="D246" s="52"/>
      <c r="E246" s="52"/>
      <c r="F246" s="52" t="s">
        <v>0</v>
      </c>
      <c r="G246" s="52" t="s">
        <v>1408</v>
      </c>
      <c r="H246" s="52" t="s">
        <v>1408</v>
      </c>
      <c r="I246" s="52" t="s">
        <v>1408</v>
      </c>
      <c r="J246" s="52"/>
      <c r="K246" s="52"/>
      <c r="L246" s="52"/>
      <c r="M246" s="52" t="s">
        <v>1516</v>
      </c>
      <c r="N246" s="52" t="s">
        <v>1614</v>
      </c>
      <c r="O246" s="52" t="s">
        <v>1556</v>
      </c>
      <c r="P246" s="52" t="s">
        <v>1520</v>
      </c>
      <c r="Q246" s="52" t="s">
        <v>1618</v>
      </c>
      <c r="R246" s="52" t="s">
        <v>1560</v>
      </c>
      <c r="S246" s="52" t="s">
        <v>1520</v>
      </c>
      <c r="T246" s="52" t="s">
        <v>1618</v>
      </c>
      <c r="U246" s="52" t="s">
        <v>1560</v>
      </c>
      <c r="V246" s="52" t="s">
        <v>5307</v>
      </c>
      <c r="W246" s="52" t="s">
        <v>1520</v>
      </c>
      <c r="X246" s="52" t="s">
        <v>1620</v>
      </c>
      <c r="Y246" s="52" t="s">
        <v>1561</v>
      </c>
      <c r="Z246" s="52"/>
      <c r="AA246" s="52"/>
      <c r="AB246" s="52"/>
      <c r="AC246" s="52"/>
      <c r="AD246" s="52"/>
      <c r="AE246" s="123" t="s">
        <v>5699</v>
      </c>
      <c r="AF246" s="52" t="s">
        <v>4766</v>
      </c>
      <c r="AG246" s="52" t="s">
        <v>4766</v>
      </c>
      <c r="AH246" s="52" t="s">
        <v>4765</v>
      </c>
      <c r="AI246" s="52"/>
      <c r="AJ246" s="52"/>
      <c r="AK246" s="52" t="s">
        <v>0</v>
      </c>
      <c r="AL246" s="52" t="s">
        <v>1682</v>
      </c>
      <c r="AM246" s="52"/>
      <c r="AN246" s="52" t="s">
        <v>1842</v>
      </c>
      <c r="AO246" s="52"/>
      <c r="AP246" s="52"/>
      <c r="AQ246" s="52" t="s">
        <v>0</v>
      </c>
      <c r="AR246" s="52" t="s">
        <v>0</v>
      </c>
      <c r="AS246" s="52" t="s">
        <v>0</v>
      </c>
      <c r="AT246" s="52" t="s">
        <v>0</v>
      </c>
      <c r="AU246" s="52"/>
      <c r="AV246" s="52"/>
      <c r="AW246" s="52" t="s">
        <v>0</v>
      </c>
      <c r="AX246" s="52" t="s">
        <v>0</v>
      </c>
      <c r="AY246" s="52" t="s">
        <v>2943</v>
      </c>
      <c r="AZ246" s="52"/>
      <c r="BA246" s="52" t="s">
        <v>4117</v>
      </c>
      <c r="BB246" s="52"/>
      <c r="BC246" s="52"/>
      <c r="BD246" s="52" t="s">
        <v>2002</v>
      </c>
      <c r="BE246" s="52"/>
      <c r="BF246" s="52" t="s">
        <v>2002</v>
      </c>
      <c r="BG246" s="52" t="s">
        <v>0</v>
      </c>
      <c r="BH246" s="52" t="s">
        <v>3192</v>
      </c>
      <c r="BI246" s="52"/>
      <c r="BJ246" s="52"/>
      <c r="BK246" s="52" t="s">
        <v>1319</v>
      </c>
      <c r="BL246" s="52" t="s">
        <v>1319</v>
      </c>
      <c r="BM246" s="52"/>
      <c r="BN246" s="52"/>
      <c r="BO246" s="52"/>
      <c r="BP246" s="52"/>
      <c r="BQ246" s="52"/>
      <c r="BR246" s="52"/>
      <c r="BS246" s="52"/>
      <c r="BT246" s="52" t="s">
        <v>0</v>
      </c>
      <c r="BU246" s="52" t="s">
        <v>3638</v>
      </c>
      <c r="BV246" s="52" t="s">
        <v>3544</v>
      </c>
      <c r="BW246" s="52" t="s">
        <v>0</v>
      </c>
      <c r="BX246" s="52" t="s">
        <v>0</v>
      </c>
      <c r="BY246" s="52" t="s">
        <v>0</v>
      </c>
      <c r="BZ246" s="52" t="s">
        <v>0</v>
      </c>
      <c r="CA246" s="52"/>
      <c r="CB246" s="52"/>
      <c r="CC246" s="52"/>
      <c r="CD246" s="52" t="s">
        <v>2556</v>
      </c>
      <c r="CE246" s="52" t="s">
        <v>2547</v>
      </c>
      <c r="CF246" s="52"/>
      <c r="CG246" s="52" t="s">
        <v>2265</v>
      </c>
      <c r="CH246" s="52" t="s">
        <v>2265</v>
      </c>
      <c r="CI246" s="52" t="s">
        <v>0</v>
      </c>
      <c r="CJ246" s="52" t="s">
        <v>0</v>
      </c>
      <c r="CK246" s="52" t="s">
        <v>0</v>
      </c>
      <c r="CL246" s="52"/>
      <c r="CM246" s="52"/>
      <c r="CN246" s="52"/>
      <c r="CO246" s="52" t="s">
        <v>0</v>
      </c>
      <c r="CP246" s="52" t="s">
        <v>2887</v>
      </c>
      <c r="CQ246" s="52"/>
      <c r="CR246" s="52"/>
      <c r="CS246" s="52"/>
      <c r="CT246" s="52"/>
      <c r="CU246" s="52"/>
      <c r="CV246" s="52"/>
      <c r="CW246" s="52" t="s">
        <v>0</v>
      </c>
      <c r="CX246" s="52"/>
    </row>
    <row r="247" spans="1:102" ht="22.5" customHeight="1">
      <c r="A247" s="11" t="s">
        <v>176</v>
      </c>
      <c r="B247" s="38" t="s">
        <v>0</v>
      </c>
      <c r="C247" s="38" t="s">
        <v>0</v>
      </c>
      <c r="D247" s="38" t="s">
        <v>0</v>
      </c>
      <c r="E247" s="38" t="s">
        <v>0</v>
      </c>
      <c r="F247" s="38" t="s">
        <v>0</v>
      </c>
      <c r="G247" s="38" t="s">
        <v>0</v>
      </c>
      <c r="H247" s="38" t="s">
        <v>0</v>
      </c>
      <c r="I247" s="36" t="s">
        <v>5526</v>
      </c>
      <c r="J247" s="38" t="s">
        <v>0</v>
      </c>
      <c r="K247" s="36" t="s">
        <v>475</v>
      </c>
      <c r="L247" s="36" t="s">
        <v>498</v>
      </c>
      <c r="M247" s="38" t="s">
        <v>0</v>
      </c>
      <c r="N247" s="36" t="s">
        <v>3376</v>
      </c>
      <c r="O247" s="36" t="s">
        <v>3377</v>
      </c>
      <c r="P247" s="38" t="s">
        <v>0</v>
      </c>
      <c r="Q247" s="36" t="s">
        <v>3376</v>
      </c>
      <c r="R247" s="36" t="s">
        <v>3377</v>
      </c>
      <c r="S247" s="38" t="s">
        <v>0</v>
      </c>
      <c r="T247" s="36" t="s">
        <v>3376</v>
      </c>
      <c r="U247" s="36" t="s">
        <v>3377</v>
      </c>
      <c r="V247" s="38" t="s">
        <v>0</v>
      </c>
      <c r="W247" s="38" t="s">
        <v>0</v>
      </c>
      <c r="X247" s="36" t="s">
        <v>3376</v>
      </c>
      <c r="Y247" s="36" t="s">
        <v>3377</v>
      </c>
      <c r="Z247" s="38" t="s">
        <v>0</v>
      </c>
      <c r="AA247" s="38" t="s">
        <v>0</v>
      </c>
      <c r="AB247" s="38" t="s">
        <v>0</v>
      </c>
      <c r="AC247" s="38" t="s">
        <v>0</v>
      </c>
      <c r="AD247" s="38" t="s">
        <v>0</v>
      </c>
      <c r="AE247" s="124" t="s">
        <v>0</v>
      </c>
      <c r="AF247" s="38" t="s">
        <v>61</v>
      </c>
      <c r="AG247" s="38" t="s">
        <v>57</v>
      </c>
      <c r="AH247" s="38" t="s">
        <v>0</v>
      </c>
      <c r="AI247" s="7" t="s">
        <v>0</v>
      </c>
      <c r="AJ247" s="33" t="s">
        <v>0</v>
      </c>
      <c r="AK247" s="7" t="s">
        <v>0</v>
      </c>
      <c r="AL247" s="34" t="s">
        <v>0</v>
      </c>
      <c r="AM247" s="37" t="s">
        <v>111</v>
      </c>
      <c r="AN247" s="37" t="s">
        <v>1850</v>
      </c>
      <c r="AO247" s="7" t="s">
        <v>0</v>
      </c>
      <c r="AP247" s="33" t="s">
        <v>0</v>
      </c>
      <c r="AQ247" s="7" t="s">
        <v>0</v>
      </c>
      <c r="AR247" s="7" t="s">
        <v>0</v>
      </c>
      <c r="AS247" s="7" t="s">
        <v>0</v>
      </c>
      <c r="AT247" s="7" t="s">
        <v>0</v>
      </c>
      <c r="AU247" s="38" t="s">
        <v>0</v>
      </c>
      <c r="AV247" s="38" t="s">
        <v>159</v>
      </c>
      <c r="AW247" s="37" t="s">
        <v>3000</v>
      </c>
      <c r="AX247" s="37" t="s">
        <v>3000</v>
      </c>
      <c r="AY247" s="37" t="s">
        <v>2907</v>
      </c>
      <c r="AZ247" s="38" t="s">
        <v>0</v>
      </c>
      <c r="BA247" s="38" t="s">
        <v>0</v>
      </c>
      <c r="BB247" s="38" t="s">
        <v>17</v>
      </c>
      <c r="BC247" s="38" t="s">
        <v>17</v>
      </c>
      <c r="BD247" s="38" t="s">
        <v>17</v>
      </c>
      <c r="BE247" s="38" t="s">
        <v>159</v>
      </c>
      <c r="BF247" s="38" t="s">
        <v>159</v>
      </c>
      <c r="BG247" s="38" t="s">
        <v>0</v>
      </c>
      <c r="BH247" s="36" t="s">
        <v>581</v>
      </c>
      <c r="BI247" s="36" t="s">
        <v>581</v>
      </c>
      <c r="BJ247" s="36" t="s">
        <v>581</v>
      </c>
      <c r="BK247" s="38" t="s">
        <v>0</v>
      </c>
      <c r="BL247" s="38" t="s">
        <v>223</v>
      </c>
      <c r="BM247" s="38" t="s">
        <v>0</v>
      </c>
      <c r="BN247" s="38" t="s">
        <v>0</v>
      </c>
      <c r="BO247" s="36" t="s">
        <v>4902</v>
      </c>
      <c r="BP247" s="38" t="s">
        <v>0</v>
      </c>
      <c r="BQ247" s="36" t="s">
        <v>4902</v>
      </c>
      <c r="BR247" s="38" t="s">
        <v>57</v>
      </c>
      <c r="BS247" s="38" t="s">
        <v>57</v>
      </c>
      <c r="BT247" s="36" t="s">
        <v>0</v>
      </c>
      <c r="BU247" s="38" t="s">
        <v>0</v>
      </c>
      <c r="BV247" s="38" t="s">
        <v>57</v>
      </c>
      <c r="BW247" s="38" t="s">
        <v>0</v>
      </c>
      <c r="BX247" s="38" t="s">
        <v>0</v>
      </c>
      <c r="BY247" s="38" t="s">
        <v>0</v>
      </c>
      <c r="BZ247" s="38" t="s">
        <v>0</v>
      </c>
      <c r="CA247" s="38" t="s">
        <v>0</v>
      </c>
      <c r="CB247" s="38" t="s">
        <v>0</v>
      </c>
      <c r="CC247" s="38" t="s">
        <v>0</v>
      </c>
      <c r="CD247" s="38" t="s">
        <v>0</v>
      </c>
      <c r="CE247" s="38" t="s">
        <v>0</v>
      </c>
      <c r="CF247" s="38" t="s">
        <v>0</v>
      </c>
      <c r="CG247" s="38" t="s">
        <v>0</v>
      </c>
      <c r="CH247" s="38" t="s">
        <v>0</v>
      </c>
      <c r="CI247" s="38" t="s">
        <v>0</v>
      </c>
      <c r="CJ247" s="38" t="s">
        <v>0</v>
      </c>
      <c r="CK247" s="38" t="s">
        <v>350</v>
      </c>
      <c r="CL247" s="38" t="s">
        <v>0</v>
      </c>
      <c r="CM247" s="38" t="s">
        <v>0</v>
      </c>
      <c r="CN247" s="38" t="s">
        <v>0</v>
      </c>
      <c r="CO247" s="38" t="s">
        <v>0</v>
      </c>
      <c r="CP247" s="38" t="s">
        <v>0</v>
      </c>
      <c r="CQ247" s="36" t="s">
        <v>674</v>
      </c>
      <c r="CR247" s="36" t="s">
        <v>692</v>
      </c>
      <c r="CS247" s="38" t="s">
        <v>0</v>
      </c>
      <c r="CT247" s="38" t="s">
        <v>0</v>
      </c>
      <c r="CU247" s="38" t="s">
        <v>0</v>
      </c>
      <c r="CV247" s="38" t="s">
        <v>0</v>
      </c>
      <c r="CW247" s="36" t="s">
        <v>1165</v>
      </c>
      <c r="CX247" s="38" t="s">
        <v>0</v>
      </c>
    </row>
    <row r="248" spans="1:102" ht="12" customHeight="1">
      <c r="A248" s="51" t="s">
        <v>935</v>
      </c>
      <c r="B248" s="52" t="s">
        <v>0</v>
      </c>
      <c r="C248" s="52"/>
      <c r="D248" s="52"/>
      <c r="E248" s="52"/>
      <c r="F248" s="52" t="s">
        <v>0</v>
      </c>
      <c r="G248" s="52" t="s">
        <v>0</v>
      </c>
      <c r="H248" s="52" t="s">
        <v>0</v>
      </c>
      <c r="I248" s="52" t="s">
        <v>5508</v>
      </c>
      <c r="J248" s="52"/>
      <c r="K248" s="52"/>
      <c r="L248" s="52"/>
      <c r="M248" s="52" t="s">
        <v>0</v>
      </c>
      <c r="N248" s="52" t="s">
        <v>1619</v>
      </c>
      <c r="O248" s="52" t="s">
        <v>1561</v>
      </c>
      <c r="P248" s="52" t="s">
        <v>0</v>
      </c>
      <c r="Q248" s="52" t="s">
        <v>1626</v>
      </c>
      <c r="R248" s="52" t="s">
        <v>1566</v>
      </c>
      <c r="S248" s="52" t="s">
        <v>0</v>
      </c>
      <c r="T248" s="52" t="s">
        <v>1626</v>
      </c>
      <c r="U248" s="52" t="s">
        <v>1566</v>
      </c>
      <c r="V248" s="52" t="s">
        <v>0</v>
      </c>
      <c r="W248" s="52" t="s">
        <v>0</v>
      </c>
      <c r="X248" s="52" t="s">
        <v>5264</v>
      </c>
      <c r="Y248" s="52" t="s">
        <v>3420</v>
      </c>
      <c r="Z248" s="52"/>
      <c r="AA248" s="52"/>
      <c r="AB248" s="52"/>
      <c r="AC248" s="52"/>
      <c r="AD248" s="52"/>
      <c r="AE248" s="123" t="s">
        <v>0</v>
      </c>
      <c r="AF248" s="52" t="s">
        <v>4767</v>
      </c>
      <c r="AG248" s="52" t="s">
        <v>4767</v>
      </c>
      <c r="AH248" s="52" t="s">
        <v>0</v>
      </c>
      <c r="AI248" s="52"/>
      <c r="AJ248" s="52"/>
      <c r="AK248" s="52" t="s">
        <v>0</v>
      </c>
      <c r="AL248" s="52" t="s">
        <v>0</v>
      </c>
      <c r="AM248" s="52"/>
      <c r="AN248" s="52" t="s">
        <v>1687</v>
      </c>
      <c r="AO248" s="52"/>
      <c r="AP248" s="52"/>
      <c r="AQ248" s="52" t="s">
        <v>0</v>
      </c>
      <c r="AR248" s="52" t="s">
        <v>0</v>
      </c>
      <c r="AS248" s="52" t="s">
        <v>0</v>
      </c>
      <c r="AT248" s="52" t="s">
        <v>0</v>
      </c>
      <c r="AU248" s="52"/>
      <c r="AV248" s="52"/>
      <c r="AW248" s="52" t="s">
        <v>3001</v>
      </c>
      <c r="AX248" s="52" t="s">
        <v>3001</v>
      </c>
      <c r="AY248" s="52" t="s">
        <v>3002</v>
      </c>
      <c r="AZ248" s="52"/>
      <c r="BA248" s="52" t="s">
        <v>0</v>
      </c>
      <c r="BB248" s="52"/>
      <c r="BC248" s="52"/>
      <c r="BD248" s="52" t="s">
        <v>1950</v>
      </c>
      <c r="BE248" s="52"/>
      <c r="BF248" s="52" t="s">
        <v>1997</v>
      </c>
      <c r="BG248" s="52" t="s">
        <v>0</v>
      </c>
      <c r="BH248" s="52"/>
      <c r="BI248" s="52"/>
      <c r="BJ248" s="52"/>
      <c r="BK248" s="52" t="s">
        <v>0</v>
      </c>
      <c r="BL248" s="52" t="s">
        <v>1282</v>
      </c>
      <c r="BM248" s="52"/>
      <c r="BN248" s="52"/>
      <c r="BO248" s="52"/>
      <c r="BP248" s="52"/>
      <c r="BQ248" s="52"/>
      <c r="BR248" s="52"/>
      <c r="BS248" s="52"/>
      <c r="BT248" s="52" t="s">
        <v>0</v>
      </c>
      <c r="BU248" s="52" t="s">
        <v>0</v>
      </c>
      <c r="BV248" s="52" t="s">
        <v>3539</v>
      </c>
      <c r="BW248" s="52" t="s">
        <v>0</v>
      </c>
      <c r="BX248" s="52" t="s">
        <v>0</v>
      </c>
      <c r="BY248" s="52" t="s">
        <v>0</v>
      </c>
      <c r="BZ248" s="52" t="s">
        <v>0</v>
      </c>
      <c r="CA248" s="52"/>
      <c r="CB248" s="52"/>
      <c r="CC248" s="52"/>
      <c r="CD248" s="52" t="s">
        <v>0</v>
      </c>
      <c r="CE248" s="52" t="s">
        <v>0</v>
      </c>
      <c r="CF248" s="52"/>
      <c r="CG248" s="52" t="s">
        <v>0</v>
      </c>
      <c r="CH248" s="52" t="s">
        <v>0</v>
      </c>
      <c r="CI248" s="52" t="s">
        <v>0</v>
      </c>
      <c r="CJ248" s="52" t="s">
        <v>0</v>
      </c>
      <c r="CK248" s="52" t="s">
        <v>2670</v>
      </c>
      <c r="CL248" s="52"/>
      <c r="CM248" s="52"/>
      <c r="CN248" s="52"/>
      <c r="CO248" s="52" t="s">
        <v>0</v>
      </c>
      <c r="CP248" s="52" t="s">
        <v>0</v>
      </c>
      <c r="CQ248" s="52"/>
      <c r="CR248" s="52"/>
      <c r="CS248" s="52"/>
      <c r="CT248" s="52"/>
      <c r="CU248" s="52"/>
      <c r="CV248" s="52"/>
      <c r="CW248" s="52" t="s">
        <v>1150</v>
      </c>
      <c r="CX248" s="52"/>
    </row>
    <row r="249" spans="1:102" ht="22.5" customHeight="1">
      <c r="A249" s="11" t="s">
        <v>177</v>
      </c>
      <c r="B249" s="38" t="s">
        <v>40</v>
      </c>
      <c r="C249" s="38" t="s">
        <v>40</v>
      </c>
      <c r="D249" s="38" t="s">
        <v>40</v>
      </c>
      <c r="E249" s="38" t="s">
        <v>41</v>
      </c>
      <c r="F249" s="38" t="s">
        <v>40</v>
      </c>
      <c r="G249" s="38" t="s">
        <v>41</v>
      </c>
      <c r="H249" s="38" t="s">
        <v>336</v>
      </c>
      <c r="I249" s="38" t="s">
        <v>41</v>
      </c>
      <c r="J249" s="38" t="s">
        <v>336</v>
      </c>
      <c r="K249" s="38" t="s">
        <v>336</v>
      </c>
      <c r="L249" s="38" t="s">
        <v>336</v>
      </c>
      <c r="M249" s="38" t="s">
        <v>336</v>
      </c>
      <c r="N249" s="38" t="s">
        <v>336</v>
      </c>
      <c r="O249" s="38" t="s">
        <v>336</v>
      </c>
      <c r="P249" s="38" t="s">
        <v>336</v>
      </c>
      <c r="Q249" s="38" t="s">
        <v>336</v>
      </c>
      <c r="R249" s="38" t="s">
        <v>336</v>
      </c>
      <c r="S249" s="38" t="s">
        <v>336</v>
      </c>
      <c r="T249" s="38" t="s">
        <v>336</v>
      </c>
      <c r="U249" s="38" t="s">
        <v>336</v>
      </c>
      <c r="V249" s="38" t="s">
        <v>40</v>
      </c>
      <c r="W249" s="38" t="s">
        <v>275</v>
      </c>
      <c r="X249" s="38" t="s">
        <v>275</v>
      </c>
      <c r="Y249" s="38" t="s">
        <v>275</v>
      </c>
      <c r="Z249" s="38" t="s">
        <v>40</v>
      </c>
      <c r="AA249" s="38" t="s">
        <v>57</v>
      </c>
      <c r="AB249" s="38" t="s">
        <v>57</v>
      </c>
      <c r="AC249" s="38" t="s">
        <v>57</v>
      </c>
      <c r="AD249" s="38" t="s">
        <v>46</v>
      </c>
      <c r="AE249" s="124" t="s">
        <v>40</v>
      </c>
      <c r="AF249" s="38" t="s">
        <v>41</v>
      </c>
      <c r="AG249" s="38" t="s">
        <v>57</v>
      </c>
      <c r="AH249" s="38" t="s">
        <v>40</v>
      </c>
      <c r="AI249" s="7" t="s">
        <v>41</v>
      </c>
      <c r="AJ249" s="7" t="s">
        <v>41</v>
      </c>
      <c r="AK249" s="7" t="s">
        <v>41</v>
      </c>
      <c r="AL249" s="7" t="s">
        <v>41</v>
      </c>
      <c r="AM249" s="7" t="s">
        <v>336</v>
      </c>
      <c r="AN249" s="7" t="s">
        <v>336</v>
      </c>
      <c r="AO249" s="7" t="s">
        <v>40</v>
      </c>
      <c r="AP249" s="33" t="s">
        <v>57</v>
      </c>
      <c r="AQ249" s="7" t="s">
        <v>40</v>
      </c>
      <c r="AR249" s="34" t="s">
        <v>57</v>
      </c>
      <c r="AS249" s="7" t="s">
        <v>40</v>
      </c>
      <c r="AT249" s="34" t="s">
        <v>57</v>
      </c>
      <c r="AU249" s="38" t="s">
        <v>40</v>
      </c>
      <c r="AV249" s="38" t="s">
        <v>40</v>
      </c>
      <c r="AW249" s="34" t="s">
        <v>110</v>
      </c>
      <c r="AX249" s="34" t="s">
        <v>46</v>
      </c>
      <c r="AY249" s="34" t="s">
        <v>2900</v>
      </c>
      <c r="AZ249" s="38" t="s">
        <v>40</v>
      </c>
      <c r="BA249" s="38" t="s">
        <v>41</v>
      </c>
      <c r="BB249" s="38" t="s">
        <v>288</v>
      </c>
      <c r="BC249" s="38" t="s">
        <v>288</v>
      </c>
      <c r="BD249" s="38" t="s">
        <v>275</v>
      </c>
      <c r="BE249" s="38" t="s">
        <v>220</v>
      </c>
      <c r="BF249" s="38" t="s">
        <v>220</v>
      </c>
      <c r="BG249" s="38" t="s">
        <v>0</v>
      </c>
      <c r="BH249" s="38" t="s">
        <v>40</v>
      </c>
      <c r="BI249" s="38" t="s">
        <v>617</v>
      </c>
      <c r="BJ249" s="38" t="s">
        <v>617</v>
      </c>
      <c r="BK249" s="36" t="s">
        <v>113</v>
      </c>
      <c r="BL249" s="36" t="s">
        <v>113</v>
      </c>
      <c r="BM249" s="38" t="s">
        <v>40</v>
      </c>
      <c r="BN249" s="38" t="s">
        <v>40</v>
      </c>
      <c r="BO249" s="38" t="s">
        <v>41</v>
      </c>
      <c r="BP249" s="38" t="s">
        <v>40</v>
      </c>
      <c r="BQ249" s="38" t="s">
        <v>41</v>
      </c>
      <c r="BR249" s="38" t="s">
        <v>57</v>
      </c>
      <c r="BS249" s="38" t="s">
        <v>57</v>
      </c>
      <c r="BT249" s="38" t="s">
        <v>40</v>
      </c>
      <c r="BU249" s="38" t="s">
        <v>41</v>
      </c>
      <c r="BV249" s="38" t="s">
        <v>57</v>
      </c>
      <c r="BW249" s="38" t="s">
        <v>40</v>
      </c>
      <c r="BX249" s="38" t="s">
        <v>40</v>
      </c>
      <c r="BY249" s="38" t="s">
        <v>40</v>
      </c>
      <c r="BZ249" s="38" t="s">
        <v>337</v>
      </c>
      <c r="CA249" s="38" t="s">
        <v>336</v>
      </c>
      <c r="CB249" s="38" t="s">
        <v>337</v>
      </c>
      <c r="CC249" s="38" t="s">
        <v>731</v>
      </c>
      <c r="CD249" s="38" t="s">
        <v>41</v>
      </c>
      <c r="CE249" s="38" t="s">
        <v>41</v>
      </c>
      <c r="CF249" s="38" t="s">
        <v>41</v>
      </c>
      <c r="CG249" s="38" t="s">
        <v>41</v>
      </c>
      <c r="CH249" s="38" t="s">
        <v>40</v>
      </c>
      <c r="CI249" s="38" t="s">
        <v>40</v>
      </c>
      <c r="CJ249" s="38" t="s">
        <v>40</v>
      </c>
      <c r="CK249" s="38" t="s">
        <v>40</v>
      </c>
      <c r="CL249" s="36" t="s">
        <v>617</v>
      </c>
      <c r="CM249" s="38" t="s">
        <v>40</v>
      </c>
      <c r="CN249" s="38" t="s">
        <v>40</v>
      </c>
      <c r="CO249" s="38" t="s">
        <v>40</v>
      </c>
      <c r="CP249" s="38" t="s">
        <v>336</v>
      </c>
      <c r="CQ249" s="38" t="s">
        <v>46</v>
      </c>
      <c r="CR249" s="38" t="s">
        <v>57</v>
      </c>
      <c r="CS249" s="38" t="s">
        <v>41</v>
      </c>
      <c r="CT249" s="38" t="s">
        <v>41</v>
      </c>
      <c r="CU249" s="38" t="s">
        <v>41</v>
      </c>
      <c r="CV249" s="38" t="s">
        <v>41</v>
      </c>
      <c r="CW249" s="38" t="s">
        <v>275</v>
      </c>
      <c r="CX249" s="36" t="s">
        <v>40</v>
      </c>
    </row>
    <row r="250" spans="1:102" ht="12" customHeight="1">
      <c r="A250" s="51" t="s">
        <v>935</v>
      </c>
      <c r="B250" s="52" t="s">
        <v>3953</v>
      </c>
      <c r="C250" s="52"/>
      <c r="D250" s="52"/>
      <c r="E250" s="52"/>
      <c r="F250" s="52" t="s">
        <v>1469</v>
      </c>
      <c r="G250" s="52" t="s">
        <v>1417</v>
      </c>
      <c r="H250" s="52" t="s">
        <v>5527</v>
      </c>
      <c r="I250" s="52" t="s">
        <v>5527</v>
      </c>
      <c r="J250" s="52"/>
      <c r="K250" s="52"/>
      <c r="L250" s="52"/>
      <c r="M250" s="52" t="s">
        <v>1520</v>
      </c>
      <c r="N250" s="52" t="s">
        <v>1617</v>
      </c>
      <c r="O250" s="52" t="s">
        <v>1559</v>
      </c>
      <c r="P250" s="52" t="s">
        <v>1524</v>
      </c>
      <c r="Q250" s="52" t="s">
        <v>3374</v>
      </c>
      <c r="R250" s="52" t="s">
        <v>3419</v>
      </c>
      <c r="S250" s="52" t="s">
        <v>1524</v>
      </c>
      <c r="T250" s="52" t="s">
        <v>3374</v>
      </c>
      <c r="U250" s="52" t="s">
        <v>3419</v>
      </c>
      <c r="V250" s="52" t="s">
        <v>5311</v>
      </c>
      <c r="W250" s="52" t="s">
        <v>1524</v>
      </c>
      <c r="X250" s="52" t="s">
        <v>1626</v>
      </c>
      <c r="Y250" s="52" t="s">
        <v>1565</v>
      </c>
      <c r="Z250" s="52"/>
      <c r="AA250" s="52"/>
      <c r="AB250" s="52"/>
      <c r="AC250" s="52"/>
      <c r="AD250" s="52"/>
      <c r="AE250" s="123" t="s">
        <v>5700</v>
      </c>
      <c r="AF250" s="52" t="s">
        <v>4769</v>
      </c>
      <c r="AG250" s="52" t="s">
        <v>4769</v>
      </c>
      <c r="AH250" s="52" t="s">
        <v>4768</v>
      </c>
      <c r="AI250" s="52"/>
      <c r="AJ250" s="52"/>
      <c r="AK250" s="52" t="s">
        <v>1763</v>
      </c>
      <c r="AL250" s="52" t="s">
        <v>1763</v>
      </c>
      <c r="AM250" s="52"/>
      <c r="AN250" s="52" t="s">
        <v>1840</v>
      </c>
      <c r="AO250" s="52"/>
      <c r="AP250" s="52"/>
      <c r="AQ250" s="52" t="s">
        <v>1893</v>
      </c>
      <c r="AR250" s="52" t="s">
        <v>1893</v>
      </c>
      <c r="AS250" s="52" t="s">
        <v>1893</v>
      </c>
      <c r="AT250" s="52" t="s">
        <v>1893</v>
      </c>
      <c r="AU250" s="52"/>
      <c r="AV250" s="52"/>
      <c r="AW250" s="52" t="s">
        <v>2976</v>
      </c>
      <c r="AX250" s="52" t="s">
        <v>2980</v>
      </c>
      <c r="AY250" s="52" t="s">
        <v>2942</v>
      </c>
      <c r="AZ250" s="52"/>
      <c r="BA250" s="52" t="s">
        <v>4117</v>
      </c>
      <c r="BB250" s="52"/>
      <c r="BC250" s="52"/>
      <c r="BD250" s="52" t="s">
        <v>1952</v>
      </c>
      <c r="BE250" s="52"/>
      <c r="BF250" s="52" t="s">
        <v>1999</v>
      </c>
      <c r="BG250" s="52" t="s">
        <v>0</v>
      </c>
      <c r="BH250" s="52"/>
      <c r="BI250" s="52"/>
      <c r="BJ250" s="52"/>
      <c r="BK250" s="52" t="s">
        <v>1293</v>
      </c>
      <c r="BL250" s="52" t="s">
        <v>1293</v>
      </c>
      <c r="BM250" s="52"/>
      <c r="BN250" s="52"/>
      <c r="BO250" s="52"/>
      <c r="BP250" s="52"/>
      <c r="BQ250" s="52"/>
      <c r="BR250" s="52"/>
      <c r="BS250" s="52"/>
      <c r="BT250" s="52" t="s">
        <v>3727</v>
      </c>
      <c r="BU250" s="52" t="s">
        <v>3640</v>
      </c>
      <c r="BV250" s="52" t="s">
        <v>3543</v>
      </c>
      <c r="BW250" s="52" t="s">
        <v>2513</v>
      </c>
      <c r="BX250" s="52" t="s">
        <v>2513</v>
      </c>
      <c r="BY250" s="52" t="s">
        <v>2513</v>
      </c>
      <c r="BZ250" s="52" t="s">
        <v>4604</v>
      </c>
      <c r="CA250" s="52"/>
      <c r="CB250" s="52"/>
      <c r="CC250" s="52"/>
      <c r="CD250" s="52" t="s">
        <v>2556</v>
      </c>
      <c r="CE250" s="52" t="s">
        <v>2547</v>
      </c>
      <c r="CF250" s="52"/>
      <c r="CG250" s="52" t="s">
        <v>2246</v>
      </c>
      <c r="CH250" s="52" t="s">
        <v>2309</v>
      </c>
      <c r="CI250" s="52" t="s">
        <v>4026</v>
      </c>
      <c r="CJ250" s="52" t="s">
        <v>4026</v>
      </c>
      <c r="CK250" s="52" t="s">
        <v>2696</v>
      </c>
      <c r="CL250" s="52"/>
      <c r="CM250" s="52"/>
      <c r="CN250" s="52"/>
      <c r="CO250" s="52" t="s">
        <v>2091</v>
      </c>
      <c r="CP250" s="52" t="s">
        <v>2877</v>
      </c>
      <c r="CQ250" s="52"/>
      <c r="CR250" s="52"/>
      <c r="CS250" s="52"/>
      <c r="CT250" s="52"/>
      <c r="CU250" s="52"/>
      <c r="CV250" s="52"/>
      <c r="CW250" s="52" t="s">
        <v>1150</v>
      </c>
      <c r="CX250" s="52"/>
    </row>
    <row r="251" spans="1:102" ht="22.5" customHeight="1">
      <c r="A251" s="12" t="s">
        <v>11</v>
      </c>
      <c r="B251" s="36" t="s">
        <v>874</v>
      </c>
      <c r="C251" s="36" t="s">
        <v>874</v>
      </c>
      <c r="D251" s="36" t="s">
        <v>227</v>
      </c>
      <c r="E251" s="36" t="s">
        <v>227</v>
      </c>
      <c r="F251" s="36" t="s">
        <v>1432</v>
      </c>
      <c r="G251" s="36" t="s">
        <v>1432</v>
      </c>
      <c r="H251" s="36" t="s">
        <v>5528</v>
      </c>
      <c r="I251" s="36" t="s">
        <v>5529</v>
      </c>
      <c r="J251" s="36" t="s">
        <v>508</v>
      </c>
      <c r="K251" s="36" t="s">
        <v>479</v>
      </c>
      <c r="L251" s="36" t="s">
        <v>497</v>
      </c>
      <c r="M251" s="36" t="s">
        <v>508</v>
      </c>
      <c r="N251" s="36" t="s">
        <v>479</v>
      </c>
      <c r="O251" s="36" t="s">
        <v>497</v>
      </c>
      <c r="P251" s="36" t="s">
        <v>508</v>
      </c>
      <c r="Q251" s="36" t="s">
        <v>3371</v>
      </c>
      <c r="R251" s="36" t="s">
        <v>497</v>
      </c>
      <c r="S251" s="36" t="s">
        <v>508</v>
      </c>
      <c r="T251" s="36" t="s">
        <v>3371</v>
      </c>
      <c r="U251" s="36" t="s">
        <v>497</v>
      </c>
      <c r="V251" s="36" t="s">
        <v>5306</v>
      </c>
      <c r="W251" s="36" t="s">
        <v>296</v>
      </c>
      <c r="X251" s="36" t="s">
        <v>5261</v>
      </c>
      <c r="Y251" s="36" t="s">
        <v>35</v>
      </c>
      <c r="Z251" s="36" t="s">
        <v>764</v>
      </c>
      <c r="AA251" s="36" t="s">
        <v>113</v>
      </c>
      <c r="AB251" s="36" t="s">
        <v>197</v>
      </c>
      <c r="AC251" s="36" t="s">
        <v>197</v>
      </c>
      <c r="AD251" s="36" t="s">
        <v>383</v>
      </c>
      <c r="AE251" s="122" t="s">
        <v>35</v>
      </c>
      <c r="AF251" s="36" t="s">
        <v>4770</v>
      </c>
      <c r="AG251" s="36" t="s">
        <v>4771</v>
      </c>
      <c r="AH251" s="36" t="s">
        <v>0</v>
      </c>
      <c r="AI251" s="7" t="s">
        <v>436</v>
      </c>
      <c r="AJ251" s="7" t="s">
        <v>436</v>
      </c>
      <c r="AK251" s="7" t="s">
        <v>197</v>
      </c>
      <c r="AL251" s="7" t="s">
        <v>197</v>
      </c>
      <c r="AM251" s="7" t="s">
        <v>296</v>
      </c>
      <c r="AN251" s="7" t="s">
        <v>296</v>
      </c>
      <c r="AO251" s="7" t="s">
        <v>0</v>
      </c>
      <c r="AP251" s="33" t="s">
        <v>26</v>
      </c>
      <c r="AQ251" s="7" t="s">
        <v>0</v>
      </c>
      <c r="AR251" s="36" t="s">
        <v>315</v>
      </c>
      <c r="AS251" s="7" t="s">
        <v>0</v>
      </c>
      <c r="AT251" s="36" t="s">
        <v>315</v>
      </c>
      <c r="AU251" s="36" t="s">
        <v>315</v>
      </c>
      <c r="AV251" s="36" t="s">
        <v>315</v>
      </c>
      <c r="AW251" s="34" t="s">
        <v>0</v>
      </c>
      <c r="AX251" s="37" t="s">
        <v>296</v>
      </c>
      <c r="AY251" s="37" t="s">
        <v>2940</v>
      </c>
      <c r="AZ251" s="36" t="s">
        <v>901</v>
      </c>
      <c r="BA251" s="36" t="s">
        <v>35</v>
      </c>
      <c r="BB251" s="36" t="s">
        <v>35</v>
      </c>
      <c r="BC251" s="36" t="s">
        <v>35</v>
      </c>
      <c r="BD251" s="36" t="s">
        <v>35</v>
      </c>
      <c r="BE251" s="36" t="s">
        <v>296</v>
      </c>
      <c r="BF251" s="36" t="s">
        <v>296</v>
      </c>
      <c r="BG251" s="38" t="s">
        <v>0</v>
      </c>
      <c r="BH251" s="36" t="s">
        <v>579</v>
      </c>
      <c r="BI251" s="36" t="s">
        <v>874</v>
      </c>
      <c r="BJ251" s="36" t="s">
        <v>874</v>
      </c>
      <c r="BK251" s="36" t="s">
        <v>111</v>
      </c>
      <c r="BL251" s="36" t="s">
        <v>197</v>
      </c>
      <c r="BM251" s="36" t="s">
        <v>0</v>
      </c>
      <c r="BN251" s="36" t="s">
        <v>178</v>
      </c>
      <c r="BO251" s="36" t="s">
        <v>35</v>
      </c>
      <c r="BP251" s="36" t="s">
        <v>178</v>
      </c>
      <c r="BQ251" s="36" t="s">
        <v>35</v>
      </c>
      <c r="BR251" s="36" t="s">
        <v>209</v>
      </c>
      <c r="BS251" s="36" t="s">
        <v>3065</v>
      </c>
      <c r="BT251" s="36" t="s">
        <v>0</v>
      </c>
      <c r="BU251" s="36" t="s">
        <v>823</v>
      </c>
      <c r="BV251" s="36" t="s">
        <v>3065</v>
      </c>
      <c r="BW251" s="36" t="s">
        <v>0</v>
      </c>
      <c r="BX251" s="36" t="s">
        <v>0</v>
      </c>
      <c r="BY251" s="36" t="s">
        <v>0</v>
      </c>
      <c r="BZ251" s="36" t="s">
        <v>35</v>
      </c>
      <c r="CA251" s="36" t="s">
        <v>338</v>
      </c>
      <c r="CB251" s="36" t="s">
        <v>339</v>
      </c>
      <c r="CC251" s="36" t="s">
        <v>597</v>
      </c>
      <c r="CD251" s="36" t="s">
        <v>2543</v>
      </c>
      <c r="CE251" s="36" t="s">
        <v>2544</v>
      </c>
      <c r="CF251" s="36" t="s">
        <v>315</v>
      </c>
      <c r="CG251" s="36" t="s">
        <v>315</v>
      </c>
      <c r="CH251" s="36" t="s">
        <v>0</v>
      </c>
      <c r="CI251" s="36" t="s">
        <v>0</v>
      </c>
      <c r="CJ251" s="36" t="s">
        <v>357</v>
      </c>
      <c r="CK251" s="36" t="s">
        <v>823</v>
      </c>
      <c r="CL251" s="36" t="s">
        <v>619</v>
      </c>
      <c r="CM251" s="36" t="s">
        <v>0</v>
      </c>
      <c r="CN251" s="36" t="s">
        <v>597</v>
      </c>
      <c r="CO251" s="36" t="s">
        <v>597</v>
      </c>
      <c r="CP251" s="36" t="s">
        <v>597</v>
      </c>
      <c r="CQ251" s="36" t="s">
        <v>296</v>
      </c>
      <c r="CR251" s="36" t="s">
        <v>597</v>
      </c>
      <c r="CS251" s="36" t="s">
        <v>35</v>
      </c>
      <c r="CT251" s="36" t="s">
        <v>35</v>
      </c>
      <c r="CU251" s="36" t="s">
        <v>35</v>
      </c>
      <c r="CV251" s="36" t="s">
        <v>35</v>
      </c>
      <c r="CW251" s="36" t="s">
        <v>1249</v>
      </c>
      <c r="CX251" s="36" t="s">
        <v>823</v>
      </c>
    </row>
    <row r="252" spans="1:102" ht="12" customHeight="1">
      <c r="A252" s="51" t="s">
        <v>935</v>
      </c>
      <c r="B252" s="52" t="s">
        <v>3960</v>
      </c>
      <c r="C252" s="52"/>
      <c r="D252" s="52"/>
      <c r="E252" s="52"/>
      <c r="F252" s="52" t="s">
        <v>1428</v>
      </c>
      <c r="G252" s="52" t="s">
        <v>1428</v>
      </c>
      <c r="H252" s="52" t="s">
        <v>1408</v>
      </c>
      <c r="I252" s="52" t="s">
        <v>1408</v>
      </c>
      <c r="J252" s="52"/>
      <c r="K252" s="52"/>
      <c r="L252" s="52"/>
      <c r="M252" s="52" t="s">
        <v>1515</v>
      </c>
      <c r="N252" s="52" t="s">
        <v>1613</v>
      </c>
      <c r="O252" s="52" t="s">
        <v>1555</v>
      </c>
      <c r="P252" s="52" t="s">
        <v>1519</v>
      </c>
      <c r="Q252" s="52" t="s">
        <v>3372</v>
      </c>
      <c r="R252" s="52" t="s">
        <v>1559</v>
      </c>
      <c r="S252" s="52" t="s">
        <v>1519</v>
      </c>
      <c r="T252" s="52" t="s">
        <v>3372</v>
      </c>
      <c r="U252" s="52" t="s">
        <v>1559</v>
      </c>
      <c r="V252" s="52" t="s">
        <v>5897</v>
      </c>
      <c r="W252" s="52" t="s">
        <v>1519</v>
      </c>
      <c r="X252" s="52" t="s">
        <v>5898</v>
      </c>
      <c r="Y252" s="52" t="s">
        <v>1560</v>
      </c>
      <c r="Z252" s="52"/>
      <c r="AA252" s="52"/>
      <c r="AB252" s="52"/>
      <c r="AC252" s="52"/>
      <c r="AD252" s="52"/>
      <c r="AE252" s="123" t="s">
        <v>5701</v>
      </c>
      <c r="AF252" s="52" t="s">
        <v>4772</v>
      </c>
      <c r="AG252" s="52" t="s">
        <v>4772</v>
      </c>
      <c r="AH252" s="52" t="s">
        <v>0</v>
      </c>
      <c r="AI252" s="52"/>
      <c r="AJ252" s="52"/>
      <c r="AK252" s="52" t="s">
        <v>1761</v>
      </c>
      <c r="AL252" s="52" t="s">
        <v>1761</v>
      </c>
      <c r="AM252" s="52"/>
      <c r="AN252" s="52" t="s">
        <v>1839</v>
      </c>
      <c r="AO252" s="52"/>
      <c r="AP252" s="52"/>
      <c r="AQ252" s="52" t="s">
        <v>0</v>
      </c>
      <c r="AR252" s="52" t="s">
        <v>1863</v>
      </c>
      <c r="AS252" s="52" t="s">
        <v>0</v>
      </c>
      <c r="AT252" s="52" t="s">
        <v>1863</v>
      </c>
      <c r="AU252" s="52"/>
      <c r="AV252" s="52"/>
      <c r="AW252" s="52" t="s">
        <v>0</v>
      </c>
      <c r="AX252" s="52" t="s">
        <v>2977</v>
      </c>
      <c r="AY252" s="52" t="s">
        <v>2939</v>
      </c>
      <c r="AZ252" s="52"/>
      <c r="BA252" s="52" t="s">
        <v>4117</v>
      </c>
      <c r="BB252" s="52"/>
      <c r="BC252" s="52"/>
      <c r="BD252" s="52" t="s">
        <v>1953</v>
      </c>
      <c r="BE252" s="52"/>
      <c r="BF252" s="52" t="s">
        <v>2000</v>
      </c>
      <c r="BG252" s="52" t="s">
        <v>0</v>
      </c>
      <c r="BH252" s="52"/>
      <c r="BI252" s="52"/>
      <c r="BJ252" s="52"/>
      <c r="BK252" s="52" t="s">
        <v>1318</v>
      </c>
      <c r="BL252" s="52" t="s">
        <v>1275</v>
      </c>
      <c r="BM252" s="52"/>
      <c r="BN252" s="52"/>
      <c r="BO252" s="52"/>
      <c r="BP252" s="52"/>
      <c r="BQ252" s="52"/>
      <c r="BR252" s="52"/>
      <c r="BS252" s="52"/>
      <c r="BT252" s="52" t="s">
        <v>0</v>
      </c>
      <c r="BU252" s="52" t="s">
        <v>3645</v>
      </c>
      <c r="BV252" s="52" t="s">
        <v>3537</v>
      </c>
      <c r="BW252" s="52" t="s">
        <v>0</v>
      </c>
      <c r="BX252" s="52" t="s">
        <v>0</v>
      </c>
      <c r="BY252" s="52" t="s">
        <v>0</v>
      </c>
      <c r="BZ252" s="52" t="s">
        <v>4582</v>
      </c>
      <c r="CA252" s="52"/>
      <c r="CB252" s="52"/>
      <c r="CC252" s="52"/>
      <c r="CD252" s="52" t="s">
        <v>2556</v>
      </c>
      <c r="CE252" s="52" t="s">
        <v>2547</v>
      </c>
      <c r="CF252" s="52"/>
      <c r="CG252" s="52" t="s">
        <v>2240</v>
      </c>
      <c r="CH252" s="52" t="s">
        <v>0</v>
      </c>
      <c r="CI252" s="52" t="s">
        <v>0</v>
      </c>
      <c r="CJ252" s="52" t="s">
        <v>4040</v>
      </c>
      <c r="CK252" s="52" t="s">
        <v>2633</v>
      </c>
      <c r="CL252" s="52"/>
      <c r="CM252" s="52"/>
      <c r="CN252" s="52"/>
      <c r="CO252" s="52" t="s">
        <v>2056</v>
      </c>
      <c r="CP252" s="52" t="s">
        <v>2882</v>
      </c>
      <c r="CQ252" s="52"/>
      <c r="CR252" s="52"/>
      <c r="CS252" s="52"/>
      <c r="CT252" s="52"/>
      <c r="CU252" s="52"/>
      <c r="CV252" s="52"/>
      <c r="CW252" s="52" t="s">
        <v>1245</v>
      </c>
      <c r="CX252" s="52"/>
    </row>
    <row r="253" spans="1:102" ht="39" customHeight="1">
      <c r="A253" s="12" t="s">
        <v>12</v>
      </c>
      <c r="B253" s="36" t="s">
        <v>336</v>
      </c>
      <c r="C253" s="36" t="s">
        <v>336</v>
      </c>
      <c r="D253" s="36" t="s">
        <v>238</v>
      </c>
      <c r="E253" s="36" t="s">
        <v>239</v>
      </c>
      <c r="F253" s="36" t="s">
        <v>238</v>
      </c>
      <c r="G253" s="36" t="s">
        <v>239</v>
      </c>
      <c r="H253" s="36" t="s">
        <v>5530</v>
      </c>
      <c r="I253" s="36" t="s">
        <v>5531</v>
      </c>
      <c r="J253" s="36" t="s">
        <v>495</v>
      </c>
      <c r="K253" s="36" t="s">
        <v>57</v>
      </c>
      <c r="L253" s="36" t="s">
        <v>495</v>
      </c>
      <c r="M253" s="36" t="s">
        <v>495</v>
      </c>
      <c r="N253" s="36" t="s">
        <v>495</v>
      </c>
      <c r="O253" s="36" t="s">
        <v>495</v>
      </c>
      <c r="P253" s="36" t="s">
        <v>495</v>
      </c>
      <c r="Q253" s="36" t="s">
        <v>495</v>
      </c>
      <c r="R253" s="36" t="s">
        <v>495</v>
      </c>
      <c r="S253" s="36" t="s">
        <v>495</v>
      </c>
      <c r="T253" s="36" t="s">
        <v>495</v>
      </c>
      <c r="U253" s="36" t="s">
        <v>495</v>
      </c>
      <c r="V253" s="36" t="s">
        <v>312</v>
      </c>
      <c r="W253" s="36" t="s">
        <v>5899</v>
      </c>
      <c r="X253" s="36" t="s">
        <v>5263</v>
      </c>
      <c r="Y253" s="36" t="s">
        <v>5263</v>
      </c>
      <c r="Z253" s="36" t="s">
        <v>754</v>
      </c>
      <c r="AA253" s="36" t="s">
        <v>57</v>
      </c>
      <c r="AB253" s="36" t="s">
        <v>57</v>
      </c>
      <c r="AC253" s="36" t="s">
        <v>57</v>
      </c>
      <c r="AD253" s="36" t="s">
        <v>384</v>
      </c>
      <c r="AE253" s="122" t="s">
        <v>5702</v>
      </c>
      <c r="AF253" s="36" t="s">
        <v>4774</v>
      </c>
      <c r="AG253" s="36" t="s">
        <v>4775</v>
      </c>
      <c r="AH253" s="36" t="s">
        <v>4773</v>
      </c>
      <c r="AI253" s="7" t="s">
        <v>437</v>
      </c>
      <c r="AJ253" s="7" t="s">
        <v>437</v>
      </c>
      <c r="AK253" s="7" t="s">
        <v>437</v>
      </c>
      <c r="AL253" s="7" t="s">
        <v>437</v>
      </c>
      <c r="AM253" s="7" t="s">
        <v>448</v>
      </c>
      <c r="AN253" s="7" t="s">
        <v>1838</v>
      </c>
      <c r="AO253" s="7" t="s">
        <v>414</v>
      </c>
      <c r="AP253" s="32" t="s">
        <v>415</v>
      </c>
      <c r="AQ253" s="7" t="s">
        <v>414</v>
      </c>
      <c r="AR253" s="37" t="s">
        <v>1900</v>
      </c>
      <c r="AS253" s="7" t="s">
        <v>414</v>
      </c>
      <c r="AT253" s="37" t="s">
        <v>1900</v>
      </c>
      <c r="AU253" s="36" t="s">
        <v>369</v>
      </c>
      <c r="AV253" s="36" t="s">
        <v>369</v>
      </c>
      <c r="AW253" s="37" t="s">
        <v>2901</v>
      </c>
      <c r="AX253" s="37" t="s">
        <v>2902</v>
      </c>
      <c r="AY253" s="37" t="s">
        <v>2903</v>
      </c>
      <c r="AZ253" s="36" t="s">
        <v>852</v>
      </c>
      <c r="BA253" s="36" t="s">
        <v>4129</v>
      </c>
      <c r="BB253" s="36" t="s">
        <v>782</v>
      </c>
      <c r="BC253" s="36" t="s">
        <v>286</v>
      </c>
      <c r="BD253" s="36" t="s">
        <v>286</v>
      </c>
      <c r="BE253" s="36" t="s">
        <v>287</v>
      </c>
      <c r="BF253" s="36" t="s">
        <v>287</v>
      </c>
      <c r="BG253" s="38" t="s">
        <v>0</v>
      </c>
      <c r="BH253" s="36" t="s">
        <v>3197</v>
      </c>
      <c r="BI253" s="36" t="s">
        <v>868</v>
      </c>
      <c r="BJ253" s="36" t="s">
        <v>868</v>
      </c>
      <c r="BK253" s="36" t="s">
        <v>1341</v>
      </c>
      <c r="BL253" s="36" t="s">
        <v>1340</v>
      </c>
      <c r="BM253" s="36" t="s">
        <v>312</v>
      </c>
      <c r="BN253" s="36" t="s">
        <v>36</v>
      </c>
      <c r="BO253" s="36" t="s">
        <v>179</v>
      </c>
      <c r="BP253" s="36" t="s">
        <v>36</v>
      </c>
      <c r="BQ253" s="36" t="s">
        <v>179</v>
      </c>
      <c r="BR253" s="36" t="s">
        <v>57</v>
      </c>
      <c r="BS253" s="36" t="s">
        <v>3074</v>
      </c>
      <c r="BT253" s="36" t="s">
        <v>3729</v>
      </c>
      <c r="BU253" s="36" t="s">
        <v>3642</v>
      </c>
      <c r="BV253" s="36" t="s">
        <v>3074</v>
      </c>
      <c r="BW253" s="36" t="s">
        <v>2539</v>
      </c>
      <c r="BX253" s="36" t="s">
        <v>2308</v>
      </c>
      <c r="BY253" s="36" t="s">
        <v>2308</v>
      </c>
      <c r="BZ253" s="36" t="s">
        <v>341</v>
      </c>
      <c r="CA253" s="36" t="s">
        <v>340</v>
      </c>
      <c r="CB253" s="36" t="s">
        <v>341</v>
      </c>
      <c r="CC253" s="36" t="s">
        <v>732</v>
      </c>
      <c r="CD253" s="36" t="s">
        <v>2542</v>
      </c>
      <c r="CE253" s="36" t="s">
        <v>437</v>
      </c>
      <c r="CF253" s="36" t="s">
        <v>513</v>
      </c>
      <c r="CG253" s="36" t="s">
        <v>2237</v>
      </c>
      <c r="CH253" s="36" t="s">
        <v>2308</v>
      </c>
      <c r="CI253" s="36" t="s">
        <v>312</v>
      </c>
      <c r="CJ253" s="36" t="s">
        <v>312</v>
      </c>
      <c r="CK253" s="36" t="s">
        <v>534</v>
      </c>
      <c r="CL253" s="36" t="s">
        <v>616</v>
      </c>
      <c r="CM253" s="36" t="s">
        <v>624</v>
      </c>
      <c r="CN253" s="36" t="s">
        <v>534</v>
      </c>
      <c r="CO253" s="36" t="s">
        <v>534</v>
      </c>
      <c r="CP253" s="36" t="s">
        <v>2816</v>
      </c>
      <c r="CQ253" s="36" t="s">
        <v>690</v>
      </c>
      <c r="CR253" s="36" t="s">
        <v>691</v>
      </c>
      <c r="CS253" s="36" t="s">
        <v>193</v>
      </c>
      <c r="CT253" s="36" t="s">
        <v>194</v>
      </c>
      <c r="CU253" s="36" t="s">
        <v>193</v>
      </c>
      <c r="CV253" s="36" t="s">
        <v>194</v>
      </c>
      <c r="CW253" s="36" t="s">
        <v>1160</v>
      </c>
      <c r="CX253" s="36" t="s">
        <v>829</v>
      </c>
    </row>
    <row r="254" spans="1:102" ht="12" customHeight="1">
      <c r="A254" s="51" t="s">
        <v>935</v>
      </c>
      <c r="B254" s="52" t="s">
        <v>3957</v>
      </c>
      <c r="C254" s="52"/>
      <c r="D254" s="52"/>
      <c r="E254" s="52"/>
      <c r="F254" s="52" t="s">
        <v>1406</v>
      </c>
      <c r="G254" s="52" t="s">
        <v>1413</v>
      </c>
      <c r="H254" s="52" t="s">
        <v>1413</v>
      </c>
      <c r="I254" s="52" t="s">
        <v>1413</v>
      </c>
      <c r="J254" s="52"/>
      <c r="K254" s="52"/>
      <c r="L254" s="52"/>
      <c r="M254" s="52" t="s">
        <v>1519</v>
      </c>
      <c r="N254" s="52" t="s">
        <v>1616</v>
      </c>
      <c r="O254" s="52" t="s">
        <v>1558</v>
      </c>
      <c r="P254" s="52" t="s">
        <v>3331</v>
      </c>
      <c r="Q254" s="52" t="s">
        <v>3373</v>
      </c>
      <c r="R254" s="52" t="s">
        <v>1562</v>
      </c>
      <c r="S254" s="52" t="s">
        <v>3331</v>
      </c>
      <c r="T254" s="52" t="s">
        <v>3373</v>
      </c>
      <c r="U254" s="52" t="s">
        <v>1562</v>
      </c>
      <c r="V254" s="52" t="s">
        <v>5310</v>
      </c>
      <c r="W254" s="52" t="s">
        <v>3331</v>
      </c>
      <c r="X254" s="52" t="s">
        <v>3375</v>
      </c>
      <c r="Y254" s="52" t="s">
        <v>3419</v>
      </c>
      <c r="Z254" s="52"/>
      <c r="AA254" s="52"/>
      <c r="AB254" s="52"/>
      <c r="AC254" s="52"/>
      <c r="AD254" s="52"/>
      <c r="AE254" s="123" t="s">
        <v>5703</v>
      </c>
      <c r="AF254" s="52" t="s">
        <v>4777</v>
      </c>
      <c r="AG254" s="52" t="s">
        <v>4777</v>
      </c>
      <c r="AH254" s="52" t="s">
        <v>4776</v>
      </c>
      <c r="AI254" s="52"/>
      <c r="AJ254" s="52"/>
      <c r="AK254" s="52" t="s">
        <v>1760</v>
      </c>
      <c r="AL254" s="52" t="s">
        <v>1760</v>
      </c>
      <c r="AM254" s="52"/>
      <c r="AN254" s="52" t="s">
        <v>1837</v>
      </c>
      <c r="AO254" s="52"/>
      <c r="AP254" s="52"/>
      <c r="AQ254" s="52" t="s">
        <v>1899</v>
      </c>
      <c r="AR254" s="52" t="s">
        <v>1899</v>
      </c>
      <c r="AS254" s="52" t="s">
        <v>1899</v>
      </c>
      <c r="AT254" s="52" t="s">
        <v>1899</v>
      </c>
      <c r="AU254" s="52"/>
      <c r="AV254" s="52"/>
      <c r="AW254" s="52" t="s">
        <v>2979</v>
      </c>
      <c r="AX254" s="52" t="s">
        <v>2978</v>
      </c>
      <c r="AY254" s="52" t="s">
        <v>2941</v>
      </c>
      <c r="AZ254" s="52"/>
      <c r="BA254" s="52" t="s">
        <v>4117</v>
      </c>
      <c r="BB254" s="52"/>
      <c r="BC254" s="52"/>
      <c r="BD254" s="52" t="s">
        <v>1951</v>
      </c>
      <c r="BE254" s="52"/>
      <c r="BF254" s="52" t="s">
        <v>1998</v>
      </c>
      <c r="BG254" s="52" t="s">
        <v>0</v>
      </c>
      <c r="BH254" s="52" t="s">
        <v>3192</v>
      </c>
      <c r="BI254" s="52"/>
      <c r="BJ254" s="52"/>
      <c r="BK254" s="52" t="s">
        <v>1338</v>
      </c>
      <c r="BL254" s="52" t="s">
        <v>1339</v>
      </c>
      <c r="BM254" s="52"/>
      <c r="BN254" s="52"/>
      <c r="BO254" s="52"/>
      <c r="BP254" s="52"/>
      <c r="BQ254" s="52"/>
      <c r="BR254" s="52"/>
      <c r="BS254" s="52"/>
      <c r="BT254" s="52" t="s">
        <v>3728</v>
      </c>
      <c r="BU254" s="52" t="s">
        <v>3641</v>
      </c>
      <c r="BV254" s="52" t="s">
        <v>3540</v>
      </c>
      <c r="BW254" s="52" t="s">
        <v>2538</v>
      </c>
      <c r="BX254" s="52" t="s">
        <v>2512</v>
      </c>
      <c r="BY254" s="52" t="s">
        <v>2512</v>
      </c>
      <c r="BZ254" s="52" t="s">
        <v>4605</v>
      </c>
      <c r="CA254" s="52"/>
      <c r="CB254" s="52"/>
      <c r="CC254" s="52"/>
      <c r="CD254" s="52" t="s">
        <v>2567</v>
      </c>
      <c r="CE254" s="52" t="s">
        <v>2547</v>
      </c>
      <c r="CF254" s="52"/>
      <c r="CG254" s="52" t="s">
        <v>2236</v>
      </c>
      <c r="CH254" s="52" t="s">
        <v>2307</v>
      </c>
      <c r="CI254" s="52" t="s">
        <v>3953</v>
      </c>
      <c r="CJ254" s="52" t="s">
        <v>3953</v>
      </c>
      <c r="CK254" s="52" t="s">
        <v>2635</v>
      </c>
      <c r="CL254" s="52"/>
      <c r="CM254" s="52"/>
      <c r="CN254" s="52"/>
      <c r="CO254" s="52" t="s">
        <v>2090</v>
      </c>
      <c r="CP254" s="52" t="s">
        <v>2876</v>
      </c>
      <c r="CQ254" s="52"/>
      <c r="CR254" s="52"/>
      <c r="CS254" s="52"/>
      <c r="CT254" s="52"/>
      <c r="CU254" s="52"/>
      <c r="CV254" s="52"/>
      <c r="CW254" s="52" t="s">
        <v>1150</v>
      </c>
      <c r="CX254" s="52"/>
    </row>
    <row r="255" spans="1:102" ht="22.5" customHeight="1">
      <c r="A255" s="12" t="s">
        <v>49</v>
      </c>
      <c r="B255" s="38" t="s">
        <v>0</v>
      </c>
      <c r="C255" s="36" t="s">
        <v>466</v>
      </c>
      <c r="D255" s="38" t="s">
        <v>0</v>
      </c>
      <c r="E255" s="36" t="s">
        <v>240</v>
      </c>
      <c r="F255" s="38" t="s">
        <v>0</v>
      </c>
      <c r="G255" s="36" t="s">
        <v>240</v>
      </c>
      <c r="H255" s="36" t="s">
        <v>5533</v>
      </c>
      <c r="I255" s="36" t="s">
        <v>5532</v>
      </c>
      <c r="J255" s="36" t="s">
        <v>509</v>
      </c>
      <c r="K255" s="36" t="s">
        <v>479</v>
      </c>
      <c r="L255" s="36" t="s">
        <v>499</v>
      </c>
      <c r="M255" s="36" t="s">
        <v>1517</v>
      </c>
      <c r="N255" s="36" t="s">
        <v>479</v>
      </c>
      <c r="O255" s="36" t="s">
        <v>499</v>
      </c>
      <c r="P255" s="36" t="s">
        <v>1517</v>
      </c>
      <c r="Q255" s="36" t="s">
        <v>479</v>
      </c>
      <c r="R255" s="36" t="s">
        <v>499</v>
      </c>
      <c r="S255" s="36" t="s">
        <v>1517</v>
      </c>
      <c r="T255" s="36" t="s">
        <v>479</v>
      </c>
      <c r="U255" s="36" t="s">
        <v>499</v>
      </c>
      <c r="V255" s="36" t="s">
        <v>5309</v>
      </c>
      <c r="W255" s="36" t="s">
        <v>1517</v>
      </c>
      <c r="X255" s="36" t="s">
        <v>5262</v>
      </c>
      <c r="Y255" s="36" t="s">
        <v>499</v>
      </c>
      <c r="Z255" s="36" t="s">
        <v>756</v>
      </c>
      <c r="AA255" s="36" t="s">
        <v>0</v>
      </c>
      <c r="AB255" s="36" t="s">
        <v>0</v>
      </c>
      <c r="AC255" s="36" t="s">
        <v>0</v>
      </c>
      <c r="AD255" s="38" t="s">
        <v>0</v>
      </c>
      <c r="AE255" s="122" t="s">
        <v>0</v>
      </c>
      <c r="AF255" s="36" t="s">
        <v>3647</v>
      </c>
      <c r="AG255" s="36" t="s">
        <v>3647</v>
      </c>
      <c r="AH255" s="36" t="s">
        <v>0</v>
      </c>
      <c r="AI255" s="7" t="s">
        <v>438</v>
      </c>
      <c r="AJ255" s="7" t="s">
        <v>796</v>
      </c>
      <c r="AK255" s="7" t="s">
        <v>756</v>
      </c>
      <c r="AL255" s="7" t="s">
        <v>756</v>
      </c>
      <c r="AM255" s="36" t="s">
        <v>48</v>
      </c>
      <c r="AN255" s="36" t="s">
        <v>756</v>
      </c>
      <c r="AO255" s="7" t="s">
        <v>0</v>
      </c>
      <c r="AP255" s="34" t="s">
        <v>0</v>
      </c>
      <c r="AQ255" s="7" t="s">
        <v>0</v>
      </c>
      <c r="AR255" s="7" t="s">
        <v>0</v>
      </c>
      <c r="AS255" s="7" t="s">
        <v>0</v>
      </c>
      <c r="AT255" s="7" t="s">
        <v>0</v>
      </c>
      <c r="AU255" s="36" t="s">
        <v>5355</v>
      </c>
      <c r="AV255" s="36" t="s">
        <v>5355</v>
      </c>
      <c r="AW255" s="34" t="s">
        <v>0</v>
      </c>
      <c r="AX255" s="37" t="s">
        <v>2544</v>
      </c>
      <c r="AY255" s="37" t="s">
        <v>2544</v>
      </c>
      <c r="AZ255" s="36" t="s">
        <v>0</v>
      </c>
      <c r="BA255" s="36" t="s">
        <v>4128</v>
      </c>
      <c r="BB255" s="36" t="s">
        <v>297</v>
      </c>
      <c r="BC255" s="36" t="s">
        <v>297</v>
      </c>
      <c r="BD255" s="36" t="s">
        <v>2004</v>
      </c>
      <c r="BE255" s="36" t="s">
        <v>297</v>
      </c>
      <c r="BF255" s="36" t="s">
        <v>2004</v>
      </c>
      <c r="BG255" s="36" t="s">
        <v>0</v>
      </c>
      <c r="BH255" s="36" t="s">
        <v>0</v>
      </c>
      <c r="BI255" s="36" t="s">
        <v>869</v>
      </c>
      <c r="BJ255" s="36" t="s">
        <v>869</v>
      </c>
      <c r="BK255" s="36" t="s">
        <v>0</v>
      </c>
      <c r="BL255" s="36" t="s">
        <v>1279</v>
      </c>
      <c r="BM255" s="36" t="s">
        <v>0</v>
      </c>
      <c r="BN255" s="36" t="s">
        <v>48</v>
      </c>
      <c r="BO255" s="36" t="s">
        <v>48</v>
      </c>
      <c r="BP255" s="36" t="s">
        <v>45</v>
      </c>
      <c r="BQ255" s="36" t="s">
        <v>180</v>
      </c>
      <c r="BR255" s="36" t="s">
        <v>264</v>
      </c>
      <c r="BS255" s="36" t="s">
        <v>597</v>
      </c>
      <c r="BT255" s="36" t="s">
        <v>0</v>
      </c>
      <c r="BU255" s="36" t="s">
        <v>3647</v>
      </c>
      <c r="BV255" s="36" t="s">
        <v>597</v>
      </c>
      <c r="BW255" s="36" t="s">
        <v>0</v>
      </c>
      <c r="BX255" s="36" t="s">
        <v>0</v>
      </c>
      <c r="BY255" s="36" t="s">
        <v>0</v>
      </c>
      <c r="BZ255" s="36" t="s">
        <v>0</v>
      </c>
      <c r="CA255" s="36" t="s">
        <v>342</v>
      </c>
      <c r="CB255" s="36" t="s">
        <v>343</v>
      </c>
      <c r="CC255" s="36" t="s">
        <v>733</v>
      </c>
      <c r="CD255" s="36" t="s">
        <v>2543</v>
      </c>
      <c r="CE255" s="36" t="s">
        <v>2544</v>
      </c>
      <c r="CF255" s="38" t="s">
        <v>0</v>
      </c>
      <c r="CG255" s="36" t="s">
        <v>2242</v>
      </c>
      <c r="CH255" s="36" t="s">
        <v>0</v>
      </c>
      <c r="CI255" s="38" t="s">
        <v>0</v>
      </c>
      <c r="CJ255" s="38" t="s">
        <v>0</v>
      </c>
      <c r="CK255" s="36" t="s">
        <v>2625</v>
      </c>
      <c r="CL255" s="36" t="s">
        <v>618</v>
      </c>
      <c r="CM255" s="38" t="s">
        <v>0</v>
      </c>
      <c r="CN255" s="36" t="s">
        <v>535</v>
      </c>
      <c r="CO255" s="36" t="s">
        <v>2073</v>
      </c>
      <c r="CP255" s="36" t="s">
        <v>2073</v>
      </c>
      <c r="CQ255" s="36" t="s">
        <v>694</v>
      </c>
      <c r="CR255" s="36" t="s">
        <v>597</v>
      </c>
      <c r="CS255" s="36" t="s">
        <v>37</v>
      </c>
      <c r="CT255" s="36" t="s">
        <v>37</v>
      </c>
      <c r="CU255" s="36" t="s">
        <v>37</v>
      </c>
      <c r="CV255" s="36" t="s">
        <v>37</v>
      </c>
      <c r="CW255" s="36" t="s">
        <v>1250</v>
      </c>
      <c r="CX255" s="36" t="s">
        <v>826</v>
      </c>
    </row>
    <row r="256" spans="1:102" ht="12" customHeight="1">
      <c r="A256" s="51" t="s">
        <v>935</v>
      </c>
      <c r="B256" s="52" t="s">
        <v>4002</v>
      </c>
      <c r="C256" s="52"/>
      <c r="D256" s="52"/>
      <c r="E256" s="52"/>
      <c r="F256" s="52" t="s">
        <v>1420</v>
      </c>
      <c r="G256" s="52" t="s">
        <v>1413</v>
      </c>
      <c r="H256" s="52" t="s">
        <v>1413</v>
      </c>
      <c r="I256" s="52" t="s">
        <v>1413</v>
      </c>
      <c r="J256" s="52"/>
      <c r="K256" s="52"/>
      <c r="L256" s="52"/>
      <c r="M256" s="52" t="s">
        <v>1518</v>
      </c>
      <c r="N256" s="52" t="s">
        <v>1615</v>
      </c>
      <c r="O256" s="52" t="s">
        <v>1557</v>
      </c>
      <c r="P256" s="52" t="s">
        <v>1521</v>
      </c>
      <c r="Q256" s="52" t="s">
        <v>1619</v>
      </c>
      <c r="R256" s="52" t="s">
        <v>1561</v>
      </c>
      <c r="S256" s="52" t="s">
        <v>1521</v>
      </c>
      <c r="T256" s="52" t="s">
        <v>1619</v>
      </c>
      <c r="U256" s="52" t="s">
        <v>1561</v>
      </c>
      <c r="V256" s="52" t="s">
        <v>5308</v>
      </c>
      <c r="W256" s="52" t="s">
        <v>1521</v>
      </c>
      <c r="X256" s="52" t="s">
        <v>3373</v>
      </c>
      <c r="Y256" s="52" t="s">
        <v>1562</v>
      </c>
      <c r="Z256" s="52"/>
      <c r="AA256" s="52"/>
      <c r="AB256" s="52"/>
      <c r="AC256" s="52"/>
      <c r="AD256" s="52"/>
      <c r="AE256" s="123" t="s">
        <v>0</v>
      </c>
      <c r="AF256" s="52" t="s">
        <v>4779</v>
      </c>
      <c r="AG256" s="52" t="s">
        <v>4779</v>
      </c>
      <c r="AH256" s="52" t="s">
        <v>4778</v>
      </c>
      <c r="AI256" s="52"/>
      <c r="AJ256" s="52"/>
      <c r="AK256" s="52" t="s">
        <v>1762</v>
      </c>
      <c r="AL256" s="52" t="s">
        <v>1762</v>
      </c>
      <c r="AM256" s="52"/>
      <c r="AN256" s="52" t="s">
        <v>1828</v>
      </c>
      <c r="AO256" s="52"/>
      <c r="AP256" s="52"/>
      <c r="AQ256" s="52" t="s">
        <v>1904</v>
      </c>
      <c r="AR256" s="52" t="s">
        <v>1904</v>
      </c>
      <c r="AS256" s="52" t="s">
        <v>1904</v>
      </c>
      <c r="AT256" s="52" t="s">
        <v>1904</v>
      </c>
      <c r="AU256" s="52"/>
      <c r="AV256" s="52"/>
      <c r="AW256" s="52" t="s">
        <v>3007</v>
      </c>
      <c r="AX256" s="52" t="s">
        <v>2988</v>
      </c>
      <c r="AY256" s="52" t="s">
        <v>2953</v>
      </c>
      <c r="AZ256" s="52"/>
      <c r="BA256" s="52" t="s">
        <v>4117</v>
      </c>
      <c r="BB256" s="52"/>
      <c r="BC256" s="52"/>
      <c r="BD256" s="52" t="s">
        <v>2003</v>
      </c>
      <c r="BE256" s="52"/>
      <c r="BF256" s="52" t="s">
        <v>2003</v>
      </c>
      <c r="BG256" s="52" t="s">
        <v>4107</v>
      </c>
      <c r="BH256" s="52"/>
      <c r="BI256" s="52"/>
      <c r="BJ256" s="52"/>
      <c r="BK256" s="52" t="s">
        <v>1337</v>
      </c>
      <c r="BL256" s="52" t="s">
        <v>1278</v>
      </c>
      <c r="BM256" s="52"/>
      <c r="BN256" s="52"/>
      <c r="BO256" s="52"/>
      <c r="BP256" s="52"/>
      <c r="BQ256" s="52"/>
      <c r="BR256" s="52"/>
      <c r="BS256" s="52"/>
      <c r="BT256" s="52" t="s">
        <v>3732</v>
      </c>
      <c r="BU256" s="52" t="s">
        <v>3646</v>
      </c>
      <c r="BV256" s="52" t="s">
        <v>3559</v>
      </c>
      <c r="BW256" s="52" t="s">
        <v>2517</v>
      </c>
      <c r="BX256" s="52" t="s">
        <v>2517</v>
      </c>
      <c r="BY256" s="52" t="s">
        <v>2517</v>
      </c>
      <c r="BZ256" s="52" t="s">
        <v>4620</v>
      </c>
      <c r="CA256" s="52"/>
      <c r="CB256" s="52"/>
      <c r="CC256" s="52"/>
      <c r="CD256" s="52" t="s">
        <v>2556</v>
      </c>
      <c r="CE256" s="52" t="s">
        <v>2547</v>
      </c>
      <c r="CF256" s="52"/>
      <c r="CG256" s="52" t="s">
        <v>2241</v>
      </c>
      <c r="CH256" s="52" t="s">
        <v>2313</v>
      </c>
      <c r="CI256" s="52" t="s">
        <v>4042</v>
      </c>
      <c r="CJ256" s="52" t="s">
        <v>4042</v>
      </c>
      <c r="CK256" s="52" t="s">
        <v>2632</v>
      </c>
      <c r="CL256" s="52"/>
      <c r="CM256" s="52"/>
      <c r="CN256" s="52"/>
      <c r="CO256" s="52" t="s">
        <v>2074</v>
      </c>
      <c r="CP256" s="52" t="s">
        <v>2883</v>
      </c>
      <c r="CQ256" s="52"/>
      <c r="CR256" s="52"/>
      <c r="CS256" s="52"/>
      <c r="CT256" s="52"/>
      <c r="CU256" s="52"/>
      <c r="CV256" s="52"/>
      <c r="CW256" s="52" t="s">
        <v>1245</v>
      </c>
      <c r="CX256" s="52"/>
    </row>
    <row r="257" spans="1:102" ht="22.5" customHeight="1">
      <c r="A257" s="12" t="s">
        <v>33</v>
      </c>
      <c r="B257" s="38" t="s">
        <v>0</v>
      </c>
      <c r="C257" s="38" t="s">
        <v>0</v>
      </c>
      <c r="D257" s="38" t="s">
        <v>0</v>
      </c>
      <c r="E257" s="38" t="s">
        <v>6</v>
      </c>
      <c r="F257" s="38" t="s">
        <v>0</v>
      </c>
      <c r="G257" s="38" t="s">
        <v>6</v>
      </c>
      <c r="H257" s="38" t="s">
        <v>6</v>
      </c>
      <c r="I257" s="38" t="s">
        <v>111</v>
      </c>
      <c r="J257" s="38" t="s">
        <v>0</v>
      </c>
      <c r="K257" s="38" t="s">
        <v>57</v>
      </c>
      <c r="L257" s="38" t="s">
        <v>57</v>
      </c>
      <c r="M257" s="38" t="s">
        <v>0</v>
      </c>
      <c r="N257" s="38" t="s">
        <v>57</v>
      </c>
      <c r="O257" s="38" t="s">
        <v>159</v>
      </c>
      <c r="P257" s="38" t="s">
        <v>0</v>
      </c>
      <c r="Q257" s="38" t="s">
        <v>57</v>
      </c>
      <c r="R257" s="38" t="s">
        <v>159</v>
      </c>
      <c r="S257" s="38" t="s">
        <v>0</v>
      </c>
      <c r="T257" s="38" t="s">
        <v>57</v>
      </c>
      <c r="U257" s="38" t="s">
        <v>159</v>
      </c>
      <c r="V257" s="38" t="s">
        <v>0</v>
      </c>
      <c r="W257" s="38" t="s">
        <v>0</v>
      </c>
      <c r="X257" s="38" t="s">
        <v>57</v>
      </c>
      <c r="Y257" s="38" t="s">
        <v>159</v>
      </c>
      <c r="Z257" s="38" t="s">
        <v>6</v>
      </c>
      <c r="AA257" s="38" t="s">
        <v>0</v>
      </c>
      <c r="AB257" s="38" t="s">
        <v>0</v>
      </c>
      <c r="AC257" s="38" t="s">
        <v>0</v>
      </c>
      <c r="AD257" s="38" t="s">
        <v>0</v>
      </c>
      <c r="AE257" s="124" t="s">
        <v>0</v>
      </c>
      <c r="AF257" s="36" t="s">
        <v>6</v>
      </c>
      <c r="AG257" s="38" t="s">
        <v>111</v>
      </c>
      <c r="AH257" s="36" t="s">
        <v>0</v>
      </c>
      <c r="AI257" s="7" t="s">
        <v>0</v>
      </c>
      <c r="AJ257" s="33" t="s">
        <v>111</v>
      </c>
      <c r="AK257" s="7" t="s">
        <v>0</v>
      </c>
      <c r="AL257" s="34" t="s">
        <v>111</v>
      </c>
      <c r="AM257" s="33" t="s">
        <v>56</v>
      </c>
      <c r="AN257" s="37" t="s">
        <v>1849</v>
      </c>
      <c r="AO257" s="7" t="s">
        <v>0</v>
      </c>
      <c r="AP257" s="33" t="s">
        <v>0</v>
      </c>
      <c r="AQ257" s="7" t="s">
        <v>0</v>
      </c>
      <c r="AR257" s="7" t="s">
        <v>0</v>
      </c>
      <c r="AS257" s="7" t="s">
        <v>0</v>
      </c>
      <c r="AT257" s="7" t="s">
        <v>0</v>
      </c>
      <c r="AU257" s="38" t="s">
        <v>0</v>
      </c>
      <c r="AV257" s="36" t="s">
        <v>314</v>
      </c>
      <c r="AW257" s="34" t="s">
        <v>0</v>
      </c>
      <c r="AX257" s="34" t="s">
        <v>6</v>
      </c>
      <c r="AY257" s="34" t="s">
        <v>111</v>
      </c>
      <c r="AZ257" s="36" t="s">
        <v>904</v>
      </c>
      <c r="BA257" s="36" t="s">
        <v>6</v>
      </c>
      <c r="BB257" s="38" t="s">
        <v>17</v>
      </c>
      <c r="BC257" s="38" t="s">
        <v>17</v>
      </c>
      <c r="BD257" s="38" t="s">
        <v>17</v>
      </c>
      <c r="BE257" s="38" t="s">
        <v>159</v>
      </c>
      <c r="BF257" s="38" t="s">
        <v>159</v>
      </c>
      <c r="BG257" s="38" t="s">
        <v>0</v>
      </c>
      <c r="BH257" s="36" t="s">
        <v>581</v>
      </c>
      <c r="BI257" s="36" t="s">
        <v>581</v>
      </c>
      <c r="BJ257" s="36" t="s">
        <v>581</v>
      </c>
      <c r="BK257" s="36" t="s">
        <v>366</v>
      </c>
      <c r="BL257" s="36" t="s">
        <v>223</v>
      </c>
      <c r="BM257" s="38" t="s">
        <v>0</v>
      </c>
      <c r="BN257" s="38" t="s">
        <v>27</v>
      </c>
      <c r="BO257" s="36" t="s">
        <v>5011</v>
      </c>
      <c r="BP257" s="38" t="s">
        <v>27</v>
      </c>
      <c r="BQ257" s="36" t="s">
        <v>3272</v>
      </c>
      <c r="BR257" s="38" t="s">
        <v>210</v>
      </c>
      <c r="BS257" s="38" t="s">
        <v>210</v>
      </c>
      <c r="BT257" s="38" t="s">
        <v>0</v>
      </c>
      <c r="BU257" s="38" t="s">
        <v>0</v>
      </c>
      <c r="BV257" s="38" t="s">
        <v>210</v>
      </c>
      <c r="BW257" s="36" t="s">
        <v>0</v>
      </c>
      <c r="BX257" s="36" t="s">
        <v>0</v>
      </c>
      <c r="BY257" s="36" t="s">
        <v>0</v>
      </c>
      <c r="BZ257" s="36" t="s">
        <v>0</v>
      </c>
      <c r="CA257" s="36" t="s">
        <v>0</v>
      </c>
      <c r="CB257" s="36" t="s">
        <v>0</v>
      </c>
      <c r="CC257" s="36" t="s">
        <v>6</v>
      </c>
      <c r="CD257" s="38" t="s">
        <v>111</v>
      </c>
      <c r="CE257" s="38" t="s">
        <v>197</v>
      </c>
      <c r="CF257" s="38" t="s">
        <v>0</v>
      </c>
      <c r="CG257" s="36" t="s">
        <v>314</v>
      </c>
      <c r="CH257" s="36" t="s">
        <v>0</v>
      </c>
      <c r="CI257" s="38" t="s">
        <v>0</v>
      </c>
      <c r="CJ257" s="38" t="s">
        <v>0</v>
      </c>
      <c r="CK257" s="38" t="s">
        <v>350</v>
      </c>
      <c r="CL257" s="36" t="s">
        <v>620</v>
      </c>
      <c r="CM257" s="38" t="s">
        <v>0</v>
      </c>
      <c r="CN257" s="38" t="s">
        <v>0</v>
      </c>
      <c r="CO257" s="38" t="s">
        <v>0</v>
      </c>
      <c r="CP257" s="38" t="s">
        <v>111</v>
      </c>
      <c r="CQ257" s="38" t="s">
        <v>111</v>
      </c>
      <c r="CR257" s="36" t="s">
        <v>716</v>
      </c>
      <c r="CS257" s="38" t="s">
        <v>6</v>
      </c>
      <c r="CT257" s="38" t="s">
        <v>6</v>
      </c>
      <c r="CU257" s="38" t="s">
        <v>6</v>
      </c>
      <c r="CV257" s="38" t="s">
        <v>6</v>
      </c>
      <c r="CW257" s="36" t="s">
        <v>0</v>
      </c>
      <c r="CX257" s="38" t="s">
        <v>0</v>
      </c>
    </row>
    <row r="258" spans="1:102" ht="12" customHeight="1">
      <c r="A258" s="51" t="s">
        <v>935</v>
      </c>
      <c r="B258" s="52" t="s">
        <v>0</v>
      </c>
      <c r="C258" s="52"/>
      <c r="D258" s="52"/>
      <c r="E258" s="52"/>
      <c r="F258" s="52" t="s">
        <v>0</v>
      </c>
      <c r="G258" s="52" t="s">
        <v>1412</v>
      </c>
      <c r="H258" s="52" t="s">
        <v>0</v>
      </c>
      <c r="I258" s="52" t="s">
        <v>1413</v>
      </c>
      <c r="J258" s="52"/>
      <c r="K258" s="52"/>
      <c r="L258" s="52"/>
      <c r="M258" s="52" t="s">
        <v>0</v>
      </c>
      <c r="N258" s="52" t="s">
        <v>1620</v>
      </c>
      <c r="O258" s="52" t="s">
        <v>1562</v>
      </c>
      <c r="P258" s="52" t="s">
        <v>0</v>
      </c>
      <c r="Q258" s="52" t="s">
        <v>1627</v>
      </c>
      <c r="R258" s="52" t="s">
        <v>3420</v>
      </c>
      <c r="S258" s="52" t="s">
        <v>0</v>
      </c>
      <c r="T258" s="52" t="s">
        <v>1627</v>
      </c>
      <c r="U258" s="52" t="s">
        <v>3420</v>
      </c>
      <c r="V258" s="52" t="s">
        <v>0</v>
      </c>
      <c r="W258" s="52" t="s">
        <v>0</v>
      </c>
      <c r="X258" s="52" t="s">
        <v>5265</v>
      </c>
      <c r="Y258" s="52" t="s">
        <v>5900</v>
      </c>
      <c r="Z258" s="52"/>
      <c r="AA258" s="52"/>
      <c r="AB258" s="52"/>
      <c r="AC258" s="52"/>
      <c r="AD258" s="52"/>
      <c r="AE258" s="123" t="s">
        <v>0</v>
      </c>
      <c r="AF258" s="52" t="s">
        <v>4781</v>
      </c>
      <c r="AG258" s="52" t="s">
        <v>4781</v>
      </c>
      <c r="AH258" s="52" t="s">
        <v>4780</v>
      </c>
      <c r="AI258" s="52"/>
      <c r="AJ258" s="52"/>
      <c r="AK258" s="52" t="s">
        <v>0</v>
      </c>
      <c r="AL258" s="52" t="s">
        <v>1682</v>
      </c>
      <c r="AM258" s="52"/>
      <c r="AN258" s="52" t="s">
        <v>1687</v>
      </c>
      <c r="AO258" s="52"/>
      <c r="AP258" s="52"/>
      <c r="AQ258" s="52" t="s">
        <v>0</v>
      </c>
      <c r="AR258" s="52" t="s">
        <v>0</v>
      </c>
      <c r="AS258" s="52" t="s">
        <v>0</v>
      </c>
      <c r="AT258" s="52" t="s">
        <v>0</v>
      </c>
      <c r="AU258" s="52"/>
      <c r="AV258" s="52"/>
      <c r="AW258" s="52" t="s">
        <v>0</v>
      </c>
      <c r="AX258" s="52" t="s">
        <v>2989</v>
      </c>
      <c r="AY258" s="52" t="s">
        <v>2955</v>
      </c>
      <c r="AZ258" s="52"/>
      <c r="BA258" s="52" t="s">
        <v>4117</v>
      </c>
      <c r="BB258" s="52"/>
      <c r="BC258" s="52"/>
      <c r="BD258" s="52" t="s">
        <v>1955</v>
      </c>
      <c r="BE258" s="52"/>
      <c r="BF258" s="52" t="s">
        <v>2006</v>
      </c>
      <c r="BG258" s="52" t="s">
        <v>0</v>
      </c>
      <c r="BH258" s="52"/>
      <c r="BI258" s="52"/>
      <c r="BJ258" s="52"/>
      <c r="BK258" s="52" t="s">
        <v>1320</v>
      </c>
      <c r="BL258" s="52" t="s">
        <v>1281</v>
      </c>
      <c r="BM258" s="52"/>
      <c r="BN258" s="52"/>
      <c r="BO258" s="52" t="s">
        <v>5012</v>
      </c>
      <c r="BP258" s="52"/>
      <c r="BQ258" s="52" t="s">
        <v>4579</v>
      </c>
      <c r="BR258" s="52"/>
      <c r="BS258" s="52"/>
      <c r="BT258" s="52" t="s">
        <v>3731</v>
      </c>
      <c r="BU258" s="52" t="s">
        <v>3644</v>
      </c>
      <c r="BV258" s="52" t="s">
        <v>3545</v>
      </c>
      <c r="BW258" s="52" t="s">
        <v>2518</v>
      </c>
      <c r="BX258" s="52" t="s">
        <v>2518</v>
      </c>
      <c r="BY258" s="52" t="s">
        <v>2518</v>
      </c>
      <c r="BZ258" s="52" t="s">
        <v>0</v>
      </c>
      <c r="CA258" s="52"/>
      <c r="CB258" s="52"/>
      <c r="CC258" s="52"/>
      <c r="CD258" s="52" t="s">
        <v>2556</v>
      </c>
      <c r="CE258" s="52" t="s">
        <v>2547</v>
      </c>
      <c r="CF258" s="52"/>
      <c r="CG258" s="52" t="s">
        <v>2224</v>
      </c>
      <c r="CH258" s="52" t="s">
        <v>0</v>
      </c>
      <c r="CI258" s="52" t="s">
        <v>0</v>
      </c>
      <c r="CJ258" s="52" t="s">
        <v>0</v>
      </c>
      <c r="CK258" s="52" t="s">
        <v>2668</v>
      </c>
      <c r="CL258" s="52"/>
      <c r="CM258" s="52"/>
      <c r="CN258" s="52"/>
      <c r="CO258" s="52" t="s">
        <v>0</v>
      </c>
      <c r="CP258" s="52" t="s">
        <v>2886</v>
      </c>
      <c r="CQ258" s="52"/>
      <c r="CR258" s="52"/>
      <c r="CS258" s="52"/>
      <c r="CT258" s="52"/>
      <c r="CU258" s="52"/>
      <c r="CV258" s="52"/>
      <c r="CW258" s="52" t="s">
        <v>0</v>
      </c>
      <c r="CX258" s="52"/>
    </row>
    <row r="259" spans="1:102" ht="22.5" customHeight="1">
      <c r="A259" s="12" t="s">
        <v>34</v>
      </c>
      <c r="B259" s="38" t="s">
        <v>0</v>
      </c>
      <c r="C259" s="38" t="s">
        <v>0</v>
      </c>
      <c r="D259" s="38" t="s">
        <v>0</v>
      </c>
      <c r="E259" s="38" t="s">
        <v>0</v>
      </c>
      <c r="F259" s="38" t="s">
        <v>0</v>
      </c>
      <c r="G259" s="38" t="s">
        <v>0</v>
      </c>
      <c r="H259" s="38" t="s">
        <v>0</v>
      </c>
      <c r="I259" s="38" t="s">
        <v>0</v>
      </c>
      <c r="J259" s="38" t="s">
        <v>0</v>
      </c>
      <c r="K259" s="38" t="s">
        <v>0</v>
      </c>
      <c r="L259" s="38" t="s">
        <v>0</v>
      </c>
      <c r="M259" s="38" t="s">
        <v>0</v>
      </c>
      <c r="N259" s="38" t="s">
        <v>0</v>
      </c>
      <c r="O259" s="38" t="s">
        <v>0</v>
      </c>
      <c r="P259" s="38" t="s">
        <v>0</v>
      </c>
      <c r="Q259" s="38" t="s">
        <v>0</v>
      </c>
      <c r="R259" s="38" t="s">
        <v>0</v>
      </c>
      <c r="S259" s="38" t="s">
        <v>0</v>
      </c>
      <c r="T259" s="38" t="s">
        <v>0</v>
      </c>
      <c r="U259" s="38" t="s">
        <v>0</v>
      </c>
      <c r="V259" s="38" t="s">
        <v>0</v>
      </c>
      <c r="W259" s="38" t="s">
        <v>0</v>
      </c>
      <c r="X259" s="38" t="s">
        <v>0</v>
      </c>
      <c r="Y259" s="38" t="s">
        <v>0</v>
      </c>
      <c r="Z259" s="36" t="s">
        <v>757</v>
      </c>
      <c r="AA259" s="36" t="s">
        <v>791</v>
      </c>
      <c r="AB259" s="38" t="s">
        <v>0</v>
      </c>
      <c r="AC259" s="38" t="s">
        <v>0</v>
      </c>
      <c r="AD259" s="38" t="s">
        <v>0</v>
      </c>
      <c r="AE259" s="122" t="s">
        <v>0</v>
      </c>
      <c r="AF259" s="36" t="s">
        <v>0</v>
      </c>
      <c r="AG259" s="36" t="s">
        <v>0</v>
      </c>
      <c r="AH259" s="36" t="s">
        <v>0</v>
      </c>
      <c r="AI259" s="7" t="s">
        <v>111</v>
      </c>
      <c r="AJ259" s="37" t="s">
        <v>797</v>
      </c>
      <c r="AK259" s="7" t="s">
        <v>0</v>
      </c>
      <c r="AL259" s="37" t="s">
        <v>797</v>
      </c>
      <c r="AM259" s="34" t="s">
        <v>0</v>
      </c>
      <c r="AN259" s="34" t="s">
        <v>0</v>
      </c>
      <c r="AO259" s="7" t="s">
        <v>0</v>
      </c>
      <c r="AP259" s="33" t="s">
        <v>0</v>
      </c>
      <c r="AQ259" s="7" t="s">
        <v>0</v>
      </c>
      <c r="AR259" s="37" t="s">
        <v>3061</v>
      </c>
      <c r="AS259" s="7" t="s">
        <v>0</v>
      </c>
      <c r="AT259" s="37" t="s">
        <v>3061</v>
      </c>
      <c r="AU259" s="36" t="s">
        <v>0</v>
      </c>
      <c r="AV259" s="36" t="s">
        <v>0</v>
      </c>
      <c r="AW259" s="34" t="s">
        <v>0</v>
      </c>
      <c r="AX259" s="37" t="s">
        <v>0</v>
      </c>
      <c r="AY259" s="37" t="s">
        <v>0</v>
      </c>
      <c r="AZ259" s="36" t="s">
        <v>853</v>
      </c>
      <c r="BA259" s="36" t="s">
        <v>0</v>
      </c>
      <c r="BB259" s="36" t="s">
        <v>0</v>
      </c>
      <c r="BC259" s="36" t="s">
        <v>802</v>
      </c>
      <c r="BD259" s="36" t="s">
        <v>2045</v>
      </c>
      <c r="BE259" s="38" t="s">
        <v>0</v>
      </c>
      <c r="BF259" s="38" t="s">
        <v>0</v>
      </c>
      <c r="BG259" s="38" t="s">
        <v>0</v>
      </c>
      <c r="BH259" s="36" t="s">
        <v>0</v>
      </c>
      <c r="BI259" s="36" t="s">
        <v>0</v>
      </c>
      <c r="BJ259" s="36" t="s">
        <v>0</v>
      </c>
      <c r="BK259" s="36" t="s">
        <v>0</v>
      </c>
      <c r="BL259" s="36" t="s">
        <v>0</v>
      </c>
      <c r="BM259" s="38" t="s">
        <v>0</v>
      </c>
      <c r="BN259" s="38" t="s">
        <v>0</v>
      </c>
      <c r="BO259" s="36" t="s">
        <v>181</v>
      </c>
      <c r="BP259" s="38" t="s">
        <v>0</v>
      </c>
      <c r="BQ259" s="36" t="s">
        <v>181</v>
      </c>
      <c r="BR259" s="38" t="s">
        <v>0</v>
      </c>
      <c r="BS259" s="38" t="s">
        <v>0</v>
      </c>
      <c r="BT259" s="38" t="s">
        <v>0</v>
      </c>
      <c r="BU259" s="38" t="s">
        <v>0</v>
      </c>
      <c r="BV259" s="38" t="s">
        <v>0</v>
      </c>
      <c r="BW259" s="36" t="s">
        <v>0</v>
      </c>
      <c r="BX259" s="36" t="s">
        <v>0</v>
      </c>
      <c r="BY259" s="36" t="s">
        <v>0</v>
      </c>
      <c r="BZ259" s="36" t="s">
        <v>0</v>
      </c>
      <c r="CA259" s="36" t="s">
        <v>0</v>
      </c>
      <c r="CB259" s="36" t="s">
        <v>0</v>
      </c>
      <c r="CC259" s="36" t="s">
        <v>0</v>
      </c>
      <c r="CD259" s="38" t="s">
        <v>0</v>
      </c>
      <c r="CE259" s="38" t="s">
        <v>0</v>
      </c>
      <c r="CF259" s="38" t="s">
        <v>0</v>
      </c>
      <c r="CG259" s="36" t="s">
        <v>0</v>
      </c>
      <c r="CH259" s="36" t="s">
        <v>0</v>
      </c>
      <c r="CI259" s="38" t="s">
        <v>0</v>
      </c>
      <c r="CJ259" s="38" t="s">
        <v>0</v>
      </c>
      <c r="CK259" s="38" t="s">
        <v>0</v>
      </c>
      <c r="CL259" s="38" t="s">
        <v>0</v>
      </c>
      <c r="CM259" s="38" t="s">
        <v>0</v>
      </c>
      <c r="CN259" s="38" t="s">
        <v>0</v>
      </c>
      <c r="CO259" s="38" t="s">
        <v>0</v>
      </c>
      <c r="CP259" s="38" t="s">
        <v>0</v>
      </c>
      <c r="CQ259" s="38" t="s">
        <v>0</v>
      </c>
      <c r="CR259" s="36" t="s">
        <v>714</v>
      </c>
      <c r="CS259" s="38" t="s">
        <v>0</v>
      </c>
      <c r="CT259" s="38" t="s">
        <v>6</v>
      </c>
      <c r="CU259" s="38" t="s">
        <v>0</v>
      </c>
      <c r="CV259" s="36" t="s">
        <v>3087</v>
      </c>
      <c r="CW259" s="36" t="s">
        <v>0</v>
      </c>
      <c r="CX259" s="38" t="s">
        <v>0</v>
      </c>
    </row>
    <row r="260" spans="1:102" ht="12" customHeight="1">
      <c r="A260" s="51" t="s">
        <v>935</v>
      </c>
      <c r="B260" s="52" t="s">
        <v>0</v>
      </c>
      <c r="C260" s="52"/>
      <c r="D260" s="52"/>
      <c r="E260" s="52"/>
      <c r="F260" s="52" t="s">
        <v>0</v>
      </c>
      <c r="G260" s="52" t="s">
        <v>0</v>
      </c>
      <c r="H260" s="52" t="s">
        <v>0</v>
      </c>
      <c r="I260" s="52" t="s">
        <v>0</v>
      </c>
      <c r="J260" s="52"/>
      <c r="K260" s="52"/>
      <c r="L260" s="52"/>
      <c r="M260" s="52" t="s">
        <v>0</v>
      </c>
      <c r="N260" s="52" t="s">
        <v>0</v>
      </c>
      <c r="O260" s="52" t="s">
        <v>0</v>
      </c>
      <c r="P260" s="52" t="s">
        <v>0</v>
      </c>
      <c r="Q260" s="52" t="s">
        <v>0</v>
      </c>
      <c r="R260" s="52" t="s">
        <v>0</v>
      </c>
      <c r="S260" s="52" t="s">
        <v>0</v>
      </c>
      <c r="T260" s="52" t="s">
        <v>0</v>
      </c>
      <c r="U260" s="52" t="s">
        <v>0</v>
      </c>
      <c r="V260" s="52" t="s">
        <v>0</v>
      </c>
      <c r="W260" s="52" t="s">
        <v>0</v>
      </c>
      <c r="X260" s="52" t="s">
        <v>0</v>
      </c>
      <c r="Y260" s="52" t="s">
        <v>0</v>
      </c>
      <c r="Z260" s="52"/>
      <c r="AA260" s="52"/>
      <c r="AB260" s="52"/>
      <c r="AC260" s="52"/>
      <c r="AD260" s="52"/>
      <c r="AE260" s="123" t="s">
        <v>0</v>
      </c>
      <c r="AF260" s="52" t="s">
        <v>0</v>
      </c>
      <c r="AG260" s="52" t="s">
        <v>0</v>
      </c>
      <c r="AH260" s="52" t="s">
        <v>0</v>
      </c>
      <c r="AI260" s="52"/>
      <c r="AJ260" s="52"/>
      <c r="AK260" s="52" t="s">
        <v>0</v>
      </c>
      <c r="AL260" s="52" t="s">
        <v>1682</v>
      </c>
      <c r="AM260" s="52"/>
      <c r="AN260" s="52" t="s">
        <v>0</v>
      </c>
      <c r="AO260" s="52"/>
      <c r="AP260" s="52"/>
      <c r="AQ260" s="52" t="s">
        <v>0</v>
      </c>
      <c r="AR260" s="52" t="s">
        <v>2047</v>
      </c>
      <c r="AS260" s="52" t="s">
        <v>0</v>
      </c>
      <c r="AT260" s="52" t="s">
        <v>2047</v>
      </c>
      <c r="AU260" s="52"/>
      <c r="AV260" s="52"/>
      <c r="AW260" s="52" t="s">
        <v>0</v>
      </c>
      <c r="AX260" s="52" t="s">
        <v>0</v>
      </c>
      <c r="AY260" s="52" t="s">
        <v>0</v>
      </c>
      <c r="AZ260" s="52"/>
      <c r="BA260" s="52" t="s">
        <v>0</v>
      </c>
      <c r="BB260" s="52"/>
      <c r="BC260" s="52"/>
      <c r="BD260" s="52" t="s">
        <v>2044</v>
      </c>
      <c r="BE260" s="52"/>
      <c r="BF260" s="52" t="s">
        <v>0</v>
      </c>
      <c r="BG260" s="52" t="s">
        <v>0</v>
      </c>
      <c r="BH260" s="52"/>
      <c r="BI260" s="52"/>
      <c r="BJ260" s="52"/>
      <c r="BK260" s="52" t="s">
        <v>0</v>
      </c>
      <c r="BL260" s="52" t="s">
        <v>0</v>
      </c>
      <c r="BM260" s="52"/>
      <c r="BN260" s="52"/>
      <c r="BO260" s="52"/>
      <c r="BP260" s="52"/>
      <c r="BQ260" s="52"/>
      <c r="BR260" s="52"/>
      <c r="BS260" s="52"/>
      <c r="BT260" s="52" t="s">
        <v>0</v>
      </c>
      <c r="BU260" s="52" t="s">
        <v>0</v>
      </c>
      <c r="BV260" s="52" t="s">
        <v>0</v>
      </c>
      <c r="BW260" s="52" t="s">
        <v>0</v>
      </c>
      <c r="BX260" s="52" t="s">
        <v>0</v>
      </c>
      <c r="BY260" s="52" t="s">
        <v>0</v>
      </c>
      <c r="BZ260" s="52" t="s">
        <v>0</v>
      </c>
      <c r="CA260" s="52"/>
      <c r="CB260" s="52"/>
      <c r="CC260" s="52"/>
      <c r="CD260" s="52" t="s">
        <v>0</v>
      </c>
      <c r="CE260" s="52" t="s">
        <v>0</v>
      </c>
      <c r="CF260" s="52"/>
      <c r="CG260" s="52" t="s">
        <v>0</v>
      </c>
      <c r="CH260" s="52" t="s">
        <v>0</v>
      </c>
      <c r="CI260" s="52" t="s">
        <v>0</v>
      </c>
      <c r="CJ260" s="52" t="s">
        <v>0</v>
      </c>
      <c r="CK260" s="52" t="s">
        <v>0</v>
      </c>
      <c r="CL260" s="52"/>
      <c r="CM260" s="52"/>
      <c r="CN260" s="52"/>
      <c r="CO260" s="52" t="s">
        <v>0</v>
      </c>
      <c r="CP260" s="52" t="s">
        <v>0</v>
      </c>
      <c r="CQ260" s="52"/>
      <c r="CR260" s="52"/>
      <c r="CS260" s="52"/>
      <c r="CT260" s="52"/>
      <c r="CU260" s="52"/>
      <c r="CV260" s="52"/>
      <c r="CW260" s="52" t="s">
        <v>0</v>
      </c>
      <c r="CX260" s="52"/>
    </row>
    <row r="261" spans="1:102" ht="30" customHeight="1">
      <c r="A261" s="12" t="s">
        <v>182</v>
      </c>
      <c r="B261" s="36" t="s">
        <v>3955</v>
      </c>
      <c r="C261" s="38" t="s">
        <v>57</v>
      </c>
      <c r="D261" s="38" t="s">
        <v>57</v>
      </c>
      <c r="E261" s="38" t="s">
        <v>57</v>
      </c>
      <c r="F261" s="38" t="s">
        <v>57</v>
      </c>
      <c r="G261" s="38" t="s">
        <v>57</v>
      </c>
      <c r="H261" s="38" t="s">
        <v>57</v>
      </c>
      <c r="I261" s="38" t="s">
        <v>57</v>
      </c>
      <c r="J261" s="38" t="s">
        <v>57</v>
      </c>
      <c r="K261" s="38" t="s">
        <v>57</v>
      </c>
      <c r="L261" s="38" t="s">
        <v>57</v>
      </c>
      <c r="M261" s="38" t="s">
        <v>57</v>
      </c>
      <c r="N261" s="38" t="s">
        <v>57</v>
      </c>
      <c r="O261" s="38" t="s">
        <v>57</v>
      </c>
      <c r="P261" s="36" t="s">
        <v>3329</v>
      </c>
      <c r="Q261" s="36" t="s">
        <v>3329</v>
      </c>
      <c r="R261" s="36" t="s">
        <v>3329</v>
      </c>
      <c r="S261" s="36" t="s">
        <v>3329</v>
      </c>
      <c r="T261" s="36" t="s">
        <v>3329</v>
      </c>
      <c r="U261" s="36" t="s">
        <v>3329</v>
      </c>
      <c r="V261" s="38" t="s">
        <v>57</v>
      </c>
      <c r="W261" s="36" t="s">
        <v>3329</v>
      </c>
      <c r="X261" s="36" t="s">
        <v>3329</v>
      </c>
      <c r="Y261" s="36" t="s">
        <v>3329</v>
      </c>
      <c r="Z261" s="38" t="s">
        <v>57</v>
      </c>
      <c r="AA261" s="38" t="s">
        <v>0</v>
      </c>
      <c r="AB261" s="38" t="s">
        <v>0</v>
      </c>
      <c r="AC261" s="38" t="s">
        <v>0</v>
      </c>
      <c r="AD261" s="38" t="s">
        <v>0</v>
      </c>
      <c r="AE261" s="124" t="s">
        <v>57</v>
      </c>
      <c r="AF261" s="38" t="s">
        <v>57</v>
      </c>
      <c r="AG261" s="38" t="s">
        <v>57</v>
      </c>
      <c r="AH261" s="38" t="s">
        <v>57</v>
      </c>
      <c r="AI261" s="7" t="s">
        <v>439</v>
      </c>
      <c r="AJ261" s="7" t="s">
        <v>439</v>
      </c>
      <c r="AK261" s="7" t="s">
        <v>1770</v>
      </c>
      <c r="AL261" s="7" t="s">
        <v>1773</v>
      </c>
      <c r="AM261" s="7" t="s">
        <v>57</v>
      </c>
      <c r="AN261" s="7" t="s">
        <v>57</v>
      </c>
      <c r="AO261" s="7" t="s">
        <v>453</v>
      </c>
      <c r="AP261" s="7" t="s">
        <v>453</v>
      </c>
      <c r="AQ261" s="7" t="s">
        <v>1897</v>
      </c>
      <c r="AR261" s="7" t="s">
        <v>1897</v>
      </c>
      <c r="AS261" s="7" t="s">
        <v>1897</v>
      </c>
      <c r="AT261" s="7" t="s">
        <v>1897</v>
      </c>
      <c r="AU261" s="38" t="s">
        <v>57</v>
      </c>
      <c r="AV261" s="38" t="s">
        <v>57</v>
      </c>
      <c r="AW261" s="34" t="s">
        <v>57</v>
      </c>
      <c r="AX261" s="34" t="s">
        <v>57</v>
      </c>
      <c r="AY261" s="34" t="s">
        <v>57</v>
      </c>
      <c r="AZ261" s="38" t="s">
        <v>57</v>
      </c>
      <c r="BA261" s="36" t="s">
        <v>57</v>
      </c>
      <c r="BB261" s="38" t="s">
        <v>57</v>
      </c>
      <c r="BC261" s="38" t="s">
        <v>57</v>
      </c>
      <c r="BD261" s="38" t="s">
        <v>57</v>
      </c>
      <c r="BE261" s="38" t="s">
        <v>57</v>
      </c>
      <c r="BF261" s="38" t="s">
        <v>57</v>
      </c>
      <c r="BG261" s="36" t="s">
        <v>4088</v>
      </c>
      <c r="BH261" s="36" t="s">
        <v>57</v>
      </c>
      <c r="BI261" s="36" t="s">
        <v>57</v>
      </c>
      <c r="BJ261" s="36" t="s">
        <v>57</v>
      </c>
      <c r="BK261" s="38" t="s">
        <v>57</v>
      </c>
      <c r="BL261" s="38" t="s">
        <v>57</v>
      </c>
      <c r="BM261" s="38" t="s">
        <v>0</v>
      </c>
      <c r="BN261" s="38" t="s">
        <v>57</v>
      </c>
      <c r="BO261" s="36" t="s">
        <v>57</v>
      </c>
      <c r="BP261" s="38" t="s">
        <v>57</v>
      </c>
      <c r="BQ261" s="36" t="s">
        <v>57</v>
      </c>
      <c r="BR261" s="38" t="s">
        <v>57</v>
      </c>
      <c r="BS261" s="38" t="s">
        <v>57</v>
      </c>
      <c r="BT261" s="38" t="s">
        <v>57</v>
      </c>
      <c r="BU261" s="38" t="s">
        <v>57</v>
      </c>
      <c r="BV261" s="38" t="s">
        <v>57</v>
      </c>
      <c r="BW261" s="36" t="s">
        <v>57</v>
      </c>
      <c r="BX261" s="36" t="s">
        <v>57</v>
      </c>
      <c r="BY261" s="36" t="s">
        <v>57</v>
      </c>
      <c r="BZ261" s="36" t="s">
        <v>57</v>
      </c>
      <c r="CA261" s="36" t="s">
        <v>57</v>
      </c>
      <c r="CB261" s="36" t="s">
        <v>57</v>
      </c>
      <c r="CC261" s="36" t="s">
        <v>57</v>
      </c>
      <c r="CD261" s="38" t="s">
        <v>57</v>
      </c>
      <c r="CE261" s="38" t="s">
        <v>57</v>
      </c>
      <c r="CF261" s="38" t="s">
        <v>57</v>
      </c>
      <c r="CG261" s="38" t="s">
        <v>57</v>
      </c>
      <c r="CH261" s="38" t="s">
        <v>57</v>
      </c>
      <c r="CI261" s="38" t="s">
        <v>57</v>
      </c>
      <c r="CJ261" s="38" t="s">
        <v>57</v>
      </c>
      <c r="CK261" s="38" t="s">
        <v>57</v>
      </c>
      <c r="CL261" s="38" t="s">
        <v>57</v>
      </c>
      <c r="CM261" s="38" t="s">
        <v>57</v>
      </c>
      <c r="CN261" s="36" t="s">
        <v>57</v>
      </c>
      <c r="CO261" s="38" t="s">
        <v>57</v>
      </c>
      <c r="CP261" s="38" t="s">
        <v>57</v>
      </c>
      <c r="CQ261" s="38" t="s">
        <v>57</v>
      </c>
      <c r="CR261" s="38" t="s">
        <v>57</v>
      </c>
      <c r="CS261" s="38" t="s">
        <v>57</v>
      </c>
      <c r="CT261" s="38" t="s">
        <v>57</v>
      </c>
      <c r="CU261" s="38" t="s">
        <v>57</v>
      </c>
      <c r="CV261" s="38" t="s">
        <v>57</v>
      </c>
      <c r="CW261" s="38" t="s">
        <v>57</v>
      </c>
      <c r="CX261" s="38" t="s">
        <v>57</v>
      </c>
    </row>
    <row r="262" spans="1:102" ht="12" customHeight="1">
      <c r="A262" s="51" t="s">
        <v>935</v>
      </c>
      <c r="B262" s="52" t="s">
        <v>3956</v>
      </c>
      <c r="C262" s="52"/>
      <c r="D262" s="52"/>
      <c r="E262" s="52"/>
      <c r="F262" s="52" t="s">
        <v>1472</v>
      </c>
      <c r="G262" s="52" t="s">
        <v>1472</v>
      </c>
      <c r="H262" s="52" t="s">
        <v>5534</v>
      </c>
      <c r="I262" s="52" t="s">
        <v>5534</v>
      </c>
      <c r="J262" s="52"/>
      <c r="K262" s="52"/>
      <c r="L262" s="52"/>
      <c r="M262" s="52" t="s">
        <v>1679</v>
      </c>
      <c r="N262" s="52" t="s">
        <v>1679</v>
      </c>
      <c r="O262" s="52" t="s">
        <v>1679</v>
      </c>
      <c r="P262" s="52" t="s">
        <v>3330</v>
      </c>
      <c r="Q262" s="52" t="s">
        <v>3370</v>
      </c>
      <c r="R262" s="52" t="s">
        <v>3418</v>
      </c>
      <c r="S262" s="52" t="s">
        <v>3330</v>
      </c>
      <c r="T262" s="52" t="s">
        <v>3370</v>
      </c>
      <c r="U262" s="52" t="s">
        <v>3418</v>
      </c>
      <c r="V262" s="52" t="s">
        <v>1679</v>
      </c>
      <c r="W262" s="52" t="s">
        <v>3330</v>
      </c>
      <c r="X262" s="52" t="s">
        <v>5271</v>
      </c>
      <c r="Y262" s="52" t="s">
        <v>5279</v>
      </c>
      <c r="Z262" s="52"/>
      <c r="AA262" s="52"/>
      <c r="AB262" s="52"/>
      <c r="AC262" s="52"/>
      <c r="AD262" s="52"/>
      <c r="AE262" s="123" t="s">
        <v>5704</v>
      </c>
      <c r="AF262" s="52" t="s">
        <v>4782</v>
      </c>
      <c r="AG262" s="52" t="s">
        <v>4782</v>
      </c>
      <c r="AH262" s="52" t="s">
        <v>4782</v>
      </c>
      <c r="AI262" s="52"/>
      <c r="AJ262" s="52"/>
      <c r="AK262" s="52" t="s">
        <v>1771</v>
      </c>
      <c r="AL262" s="52" t="s">
        <v>1772</v>
      </c>
      <c r="AM262" s="52"/>
      <c r="AN262" s="52" t="s">
        <v>1832</v>
      </c>
      <c r="AO262" s="52"/>
      <c r="AP262" s="52"/>
      <c r="AQ262" s="52" t="s">
        <v>1898</v>
      </c>
      <c r="AR262" s="52" t="s">
        <v>1898</v>
      </c>
      <c r="AS262" s="52" t="s">
        <v>1898</v>
      </c>
      <c r="AT262" s="52" t="s">
        <v>1898</v>
      </c>
      <c r="AU262" s="52"/>
      <c r="AV262" s="52"/>
      <c r="AW262" s="52" t="s">
        <v>3053</v>
      </c>
      <c r="AX262" s="52" t="s">
        <v>3053</v>
      </c>
      <c r="AY262" s="52" t="s">
        <v>3053</v>
      </c>
      <c r="AZ262" s="52"/>
      <c r="BA262" s="52" t="s">
        <v>4164</v>
      </c>
      <c r="BB262" s="52"/>
      <c r="BC262" s="52"/>
      <c r="BD262" s="52" t="s">
        <v>2043</v>
      </c>
      <c r="BE262" s="52"/>
      <c r="BF262" s="52" t="s">
        <v>2043</v>
      </c>
      <c r="BG262" s="52" t="s">
        <v>4087</v>
      </c>
      <c r="BH262" s="52"/>
      <c r="BI262" s="52"/>
      <c r="BJ262" s="52"/>
      <c r="BK262" s="52" t="s">
        <v>1360</v>
      </c>
      <c r="BL262" s="52" t="s">
        <v>1360</v>
      </c>
      <c r="BM262" s="52"/>
      <c r="BN262" s="52"/>
      <c r="BO262" s="52"/>
      <c r="BP262" s="52"/>
      <c r="BQ262" s="52"/>
      <c r="BR262" s="52"/>
      <c r="BS262" s="52"/>
      <c r="BT262" s="52" t="s">
        <v>3730</v>
      </c>
      <c r="BU262" s="52" t="s">
        <v>3643</v>
      </c>
      <c r="BV262" s="52" t="s">
        <v>3541</v>
      </c>
      <c r="BW262" s="52" t="s">
        <v>2515</v>
      </c>
      <c r="BX262" s="52" t="s">
        <v>2515</v>
      </c>
      <c r="BY262" s="52" t="s">
        <v>2515</v>
      </c>
      <c r="BZ262" s="52" t="s">
        <v>4029</v>
      </c>
      <c r="CA262" s="52"/>
      <c r="CB262" s="52"/>
      <c r="CC262" s="52"/>
      <c r="CD262" s="52" t="s">
        <v>2568</v>
      </c>
      <c r="CE262" s="52" t="s">
        <v>2568</v>
      </c>
      <c r="CF262" s="52"/>
      <c r="CG262" s="52" t="s">
        <v>2311</v>
      </c>
      <c r="CH262" s="52" t="s">
        <v>2311</v>
      </c>
      <c r="CI262" s="52" t="s">
        <v>4029</v>
      </c>
      <c r="CJ262" s="52" t="s">
        <v>4029</v>
      </c>
      <c r="CK262" s="52" t="s">
        <v>2699</v>
      </c>
      <c r="CL262" s="52"/>
      <c r="CM262" s="52"/>
      <c r="CN262" s="52"/>
      <c r="CO262" s="52" t="s">
        <v>2095</v>
      </c>
      <c r="CP262" s="52" t="s">
        <v>2880</v>
      </c>
      <c r="CQ262" s="52"/>
      <c r="CR262" s="52"/>
      <c r="CS262" s="52"/>
      <c r="CT262" s="52"/>
      <c r="CU262" s="52"/>
      <c r="CV262" s="52"/>
      <c r="CW262" s="52" t="s">
        <v>1238</v>
      </c>
      <c r="CX262" s="52"/>
    </row>
    <row r="263" spans="1:102" ht="22.5" customHeight="1">
      <c r="A263" s="11" t="s">
        <v>183</v>
      </c>
      <c r="B263" s="38" t="s">
        <v>0</v>
      </c>
      <c r="C263" s="38" t="s">
        <v>0</v>
      </c>
      <c r="D263" s="38" t="s">
        <v>0</v>
      </c>
      <c r="E263" s="38" t="s">
        <v>111</v>
      </c>
      <c r="F263" s="38" t="s">
        <v>0</v>
      </c>
      <c r="G263" s="38" t="s">
        <v>111</v>
      </c>
      <c r="H263" s="38" t="s">
        <v>6</v>
      </c>
      <c r="I263" s="38" t="s">
        <v>111</v>
      </c>
      <c r="J263" s="38" t="s">
        <v>506</v>
      </c>
      <c r="K263" s="38" t="s">
        <v>57</v>
      </c>
      <c r="L263" s="38" t="s">
        <v>494</v>
      </c>
      <c r="M263" s="38" t="s">
        <v>366</v>
      </c>
      <c r="N263" s="38" t="s">
        <v>57</v>
      </c>
      <c r="O263" s="38" t="s">
        <v>14</v>
      </c>
      <c r="P263" s="38" t="s">
        <v>366</v>
      </c>
      <c r="Q263" s="38" t="s">
        <v>57</v>
      </c>
      <c r="R263" s="38" t="s">
        <v>14</v>
      </c>
      <c r="S263" s="38" t="s">
        <v>366</v>
      </c>
      <c r="T263" s="38" t="s">
        <v>57</v>
      </c>
      <c r="U263" s="38" t="s">
        <v>14</v>
      </c>
      <c r="V263" s="38" t="s">
        <v>685</v>
      </c>
      <c r="W263" s="38" t="s">
        <v>111</v>
      </c>
      <c r="X263" s="38" t="s">
        <v>57</v>
      </c>
      <c r="Y263" s="38" t="s">
        <v>57</v>
      </c>
      <c r="Z263" s="36" t="s">
        <v>766</v>
      </c>
      <c r="AA263" s="38" t="s">
        <v>57</v>
      </c>
      <c r="AB263" s="38" t="s">
        <v>57</v>
      </c>
      <c r="AC263" s="38" t="s">
        <v>57</v>
      </c>
      <c r="AD263" s="38" t="s">
        <v>0</v>
      </c>
      <c r="AE263" s="124" t="s">
        <v>0</v>
      </c>
      <c r="AF263" s="36" t="s">
        <v>4783</v>
      </c>
      <c r="AG263" s="36" t="s">
        <v>4784</v>
      </c>
      <c r="AH263" s="36" t="s">
        <v>0</v>
      </c>
      <c r="AI263" s="7" t="s">
        <v>0</v>
      </c>
      <c r="AJ263" s="32" t="s">
        <v>440</v>
      </c>
      <c r="AK263" s="7" t="s">
        <v>0</v>
      </c>
      <c r="AL263" s="37" t="s">
        <v>1251</v>
      </c>
      <c r="AM263" s="37" t="s">
        <v>57</v>
      </c>
      <c r="AN263" s="37" t="s">
        <v>57</v>
      </c>
      <c r="AO263" s="7" t="s">
        <v>0</v>
      </c>
      <c r="AP263" s="33" t="s">
        <v>0</v>
      </c>
      <c r="AQ263" s="7" t="s">
        <v>0</v>
      </c>
      <c r="AR263" s="7" t="s">
        <v>0</v>
      </c>
      <c r="AS263" s="7" t="s">
        <v>0</v>
      </c>
      <c r="AT263" s="7" t="s">
        <v>0</v>
      </c>
      <c r="AU263" s="38" t="s">
        <v>0</v>
      </c>
      <c r="AV263" s="36" t="s">
        <v>370</v>
      </c>
      <c r="AW263" s="34" t="s">
        <v>0</v>
      </c>
      <c r="AX263" s="34" t="s">
        <v>0</v>
      </c>
      <c r="AY263" s="34" t="s">
        <v>111</v>
      </c>
      <c r="AZ263" s="38" t="s">
        <v>0</v>
      </c>
      <c r="BA263" s="38" t="s">
        <v>111</v>
      </c>
      <c r="BB263" s="38" t="s">
        <v>57</v>
      </c>
      <c r="BC263" s="38" t="s">
        <v>57</v>
      </c>
      <c r="BD263" s="38" t="s">
        <v>57</v>
      </c>
      <c r="BE263" s="38" t="s">
        <v>111</v>
      </c>
      <c r="BF263" s="38" t="s">
        <v>111</v>
      </c>
      <c r="BG263" s="38" t="s">
        <v>0</v>
      </c>
      <c r="BH263" s="36" t="s">
        <v>0</v>
      </c>
      <c r="BI263" s="36" t="s">
        <v>57</v>
      </c>
      <c r="BJ263" s="36" t="s">
        <v>57</v>
      </c>
      <c r="BK263" s="38" t="s">
        <v>57</v>
      </c>
      <c r="BL263" s="38" t="s">
        <v>57</v>
      </c>
      <c r="BM263" s="38" t="s">
        <v>0</v>
      </c>
      <c r="BN263" s="38" t="s">
        <v>0</v>
      </c>
      <c r="BO263" s="36" t="s">
        <v>687</v>
      </c>
      <c r="BP263" s="38" t="s">
        <v>0</v>
      </c>
      <c r="BQ263" s="36" t="s">
        <v>687</v>
      </c>
      <c r="BR263" s="38" t="s">
        <v>57</v>
      </c>
      <c r="BS263" s="36" t="s">
        <v>596</v>
      </c>
      <c r="BT263" s="36" t="s">
        <v>0</v>
      </c>
      <c r="BU263" s="36" t="s">
        <v>596</v>
      </c>
      <c r="BV263" s="36" t="s">
        <v>596</v>
      </c>
      <c r="BW263" s="36" t="s">
        <v>0</v>
      </c>
      <c r="BX263" s="36" t="s">
        <v>0</v>
      </c>
      <c r="BY263" s="36" t="s">
        <v>0</v>
      </c>
      <c r="BZ263" s="36" t="s">
        <v>0</v>
      </c>
      <c r="CA263" s="36" t="s">
        <v>61</v>
      </c>
      <c r="CB263" s="36" t="s">
        <v>111</v>
      </c>
      <c r="CC263" s="36" t="s">
        <v>730</v>
      </c>
      <c r="CD263" s="36" t="s">
        <v>2564</v>
      </c>
      <c r="CE263" s="36" t="s">
        <v>2563</v>
      </c>
      <c r="CF263" s="36" t="s">
        <v>514</v>
      </c>
      <c r="CG263" s="38" t="s">
        <v>111</v>
      </c>
      <c r="CH263" s="38" t="s">
        <v>6</v>
      </c>
      <c r="CI263" s="38" t="s">
        <v>0</v>
      </c>
      <c r="CJ263" s="38" t="s">
        <v>0</v>
      </c>
      <c r="CK263" s="38" t="s">
        <v>0</v>
      </c>
      <c r="CL263" s="38" t="s">
        <v>6</v>
      </c>
      <c r="CM263" s="38" t="s">
        <v>0</v>
      </c>
      <c r="CN263" s="38" t="s">
        <v>0</v>
      </c>
      <c r="CO263" s="38" t="s">
        <v>0</v>
      </c>
      <c r="CP263" s="36" t="s">
        <v>687</v>
      </c>
      <c r="CQ263" s="36" t="s">
        <v>686</v>
      </c>
      <c r="CR263" s="36" t="s">
        <v>687</v>
      </c>
      <c r="CS263" s="38" t="s">
        <v>111</v>
      </c>
      <c r="CT263" s="38" t="s">
        <v>111</v>
      </c>
      <c r="CU263" s="38" t="s">
        <v>111</v>
      </c>
      <c r="CV263" s="38" t="s">
        <v>111</v>
      </c>
      <c r="CW263" s="36" t="s">
        <v>1251</v>
      </c>
      <c r="CX263" s="38" t="s">
        <v>27</v>
      </c>
    </row>
    <row r="264" spans="1:102" ht="12" customHeight="1">
      <c r="A264" s="51" t="s">
        <v>935</v>
      </c>
      <c r="B264" s="52" t="s">
        <v>0</v>
      </c>
      <c r="C264" s="52"/>
      <c r="D264" s="52"/>
      <c r="E264" s="52"/>
      <c r="F264" s="52" t="s">
        <v>0</v>
      </c>
      <c r="G264" s="52" t="s">
        <v>1413</v>
      </c>
      <c r="H264" s="52" t="s">
        <v>1413</v>
      </c>
      <c r="I264" s="52" t="s">
        <v>1413</v>
      </c>
      <c r="J264" s="52"/>
      <c r="K264" s="52"/>
      <c r="L264" s="52"/>
      <c r="M264" s="52" t="s">
        <v>1521</v>
      </c>
      <c r="N264" s="52" t="s">
        <v>1618</v>
      </c>
      <c r="O264" s="52" t="s">
        <v>1560</v>
      </c>
      <c r="P264" s="52" t="s">
        <v>1525</v>
      </c>
      <c r="Q264" s="52" t="s">
        <v>3375</v>
      </c>
      <c r="R264" s="52" t="s">
        <v>1565</v>
      </c>
      <c r="S264" s="52" t="s">
        <v>1525</v>
      </c>
      <c r="T264" s="52" t="s">
        <v>3375</v>
      </c>
      <c r="U264" s="52" t="s">
        <v>1565</v>
      </c>
      <c r="V264" s="52" t="s">
        <v>5312</v>
      </c>
      <c r="W264" s="52" t="s">
        <v>1525</v>
      </c>
      <c r="X264" s="52" t="s">
        <v>1627</v>
      </c>
      <c r="Y264" s="52" t="s">
        <v>1566</v>
      </c>
      <c r="Z264" s="52"/>
      <c r="AA264" s="52"/>
      <c r="AB264" s="52"/>
      <c r="AC264" s="52"/>
      <c r="AD264" s="52"/>
      <c r="AE264" s="123" t="s">
        <v>0</v>
      </c>
      <c r="AF264" s="52" t="s">
        <v>4785</v>
      </c>
      <c r="AG264" s="52" t="s">
        <v>4785</v>
      </c>
      <c r="AH264" s="52" t="s">
        <v>0</v>
      </c>
      <c r="AI264" s="52"/>
      <c r="AJ264" s="52"/>
      <c r="AK264" s="52" t="s">
        <v>0</v>
      </c>
      <c r="AL264" s="52" t="s">
        <v>1682</v>
      </c>
      <c r="AM264" s="52"/>
      <c r="AN264" s="52" t="s">
        <v>1835</v>
      </c>
      <c r="AO264" s="52"/>
      <c r="AP264" s="52"/>
      <c r="AQ264" s="52" t="s">
        <v>0</v>
      </c>
      <c r="AR264" s="52" t="s">
        <v>0</v>
      </c>
      <c r="AS264" s="52" t="s">
        <v>0</v>
      </c>
      <c r="AT264" s="52" t="s">
        <v>0</v>
      </c>
      <c r="AU264" s="52"/>
      <c r="AV264" s="52"/>
      <c r="AW264" s="52" t="s">
        <v>0</v>
      </c>
      <c r="AX264" s="52" t="s">
        <v>0</v>
      </c>
      <c r="AY264" s="52" t="s">
        <v>2937</v>
      </c>
      <c r="AZ264" s="52"/>
      <c r="BA264" s="52" t="s">
        <v>4117</v>
      </c>
      <c r="BB264" s="52"/>
      <c r="BC264" s="52"/>
      <c r="BD264" s="52" t="s">
        <v>1944</v>
      </c>
      <c r="BE264" s="52"/>
      <c r="BF264" s="52" t="s">
        <v>1987</v>
      </c>
      <c r="BG264" s="52" t="s">
        <v>0</v>
      </c>
      <c r="BH264" s="52"/>
      <c r="BI264" s="52"/>
      <c r="BJ264" s="52"/>
      <c r="BK264" s="52" t="s">
        <v>1315</v>
      </c>
      <c r="BL264" s="52" t="s">
        <v>1315</v>
      </c>
      <c r="BM264" s="52"/>
      <c r="BN264" s="52"/>
      <c r="BO264" s="52"/>
      <c r="BP264" s="52"/>
      <c r="BQ264" s="52"/>
      <c r="BR264" s="52"/>
      <c r="BS264" s="52"/>
      <c r="BT264" s="52" t="s">
        <v>0</v>
      </c>
      <c r="BU264" s="52" t="s">
        <v>3579</v>
      </c>
      <c r="BV264" s="52" t="s">
        <v>3484</v>
      </c>
      <c r="BW264" s="52" t="s">
        <v>0</v>
      </c>
      <c r="BX264" s="52" t="s">
        <v>0</v>
      </c>
      <c r="BY264" s="52" t="s">
        <v>0</v>
      </c>
      <c r="BZ264" s="52" t="s">
        <v>0</v>
      </c>
      <c r="CA264" s="52"/>
      <c r="CB264" s="52"/>
      <c r="CC264" s="52"/>
      <c r="CD264" s="52" t="s">
        <v>2556</v>
      </c>
      <c r="CE264" s="52" t="s">
        <v>2547</v>
      </c>
      <c r="CF264" s="52"/>
      <c r="CG264" s="52" t="s">
        <v>2251</v>
      </c>
      <c r="CH264" s="52" t="s">
        <v>2274</v>
      </c>
      <c r="CI264" s="52" t="s">
        <v>0</v>
      </c>
      <c r="CJ264" s="52" t="s">
        <v>0</v>
      </c>
      <c r="CK264" s="52" t="s">
        <v>0</v>
      </c>
      <c r="CL264" s="52"/>
      <c r="CM264" s="52"/>
      <c r="CN264" s="52"/>
      <c r="CO264" s="52" t="s">
        <v>0</v>
      </c>
      <c r="CP264" s="52" t="s">
        <v>2884</v>
      </c>
      <c r="CQ264" s="52"/>
      <c r="CR264" s="52"/>
      <c r="CS264" s="52"/>
      <c r="CT264" s="52"/>
      <c r="CU264" s="52"/>
      <c r="CV264" s="52"/>
      <c r="CW264" s="52" t="s">
        <v>1252</v>
      </c>
      <c r="CX264" s="52"/>
    </row>
    <row r="265" spans="1:102" s="41" customFormat="1" ht="22.5" customHeight="1">
      <c r="A265" s="11" t="s">
        <v>184</v>
      </c>
      <c r="B265" s="38" t="s">
        <v>0</v>
      </c>
      <c r="C265" s="38" t="s">
        <v>0</v>
      </c>
      <c r="D265" s="38" t="s">
        <v>0</v>
      </c>
      <c r="E265" s="38" t="s">
        <v>0</v>
      </c>
      <c r="F265" s="38" t="s">
        <v>0</v>
      </c>
      <c r="G265" s="38" t="s">
        <v>0</v>
      </c>
      <c r="H265" s="38" t="s">
        <v>0</v>
      </c>
      <c r="I265" s="38" t="s">
        <v>0</v>
      </c>
      <c r="J265" s="38" t="s">
        <v>0</v>
      </c>
      <c r="K265" s="38" t="s">
        <v>159</v>
      </c>
      <c r="L265" s="38" t="s">
        <v>0</v>
      </c>
      <c r="M265" s="38" t="s">
        <v>0</v>
      </c>
      <c r="N265" s="38" t="s">
        <v>159</v>
      </c>
      <c r="O265" s="38" t="s">
        <v>0</v>
      </c>
      <c r="P265" s="38" t="s">
        <v>0</v>
      </c>
      <c r="Q265" s="38" t="s">
        <v>159</v>
      </c>
      <c r="R265" s="38" t="s">
        <v>0</v>
      </c>
      <c r="S265" s="38" t="s">
        <v>0</v>
      </c>
      <c r="T265" s="38" t="s">
        <v>159</v>
      </c>
      <c r="U265" s="38" t="s">
        <v>0</v>
      </c>
      <c r="V265" s="38" t="s">
        <v>0</v>
      </c>
      <c r="W265" s="38" t="s">
        <v>0</v>
      </c>
      <c r="X265" s="38" t="s">
        <v>159</v>
      </c>
      <c r="Y265" s="38" t="s">
        <v>0</v>
      </c>
      <c r="Z265" s="38" t="s">
        <v>0</v>
      </c>
      <c r="AA265" s="38" t="s">
        <v>0</v>
      </c>
      <c r="AB265" s="38" t="s">
        <v>0</v>
      </c>
      <c r="AC265" s="38" t="s">
        <v>0</v>
      </c>
      <c r="AD265" s="38" t="s">
        <v>0</v>
      </c>
      <c r="AE265" s="124" t="s">
        <v>0</v>
      </c>
      <c r="AF265" s="38" t="s">
        <v>0</v>
      </c>
      <c r="AG265" s="38" t="s">
        <v>0</v>
      </c>
      <c r="AH265" s="38" t="s">
        <v>0</v>
      </c>
      <c r="AI265" s="7" t="s">
        <v>0</v>
      </c>
      <c r="AJ265" s="33" t="s">
        <v>111</v>
      </c>
      <c r="AK265" s="7" t="s">
        <v>0</v>
      </c>
      <c r="AL265" s="34" t="s">
        <v>111</v>
      </c>
      <c r="AM265" s="34" t="s">
        <v>0</v>
      </c>
      <c r="AN265" s="34" t="s">
        <v>0</v>
      </c>
      <c r="AO265" s="7" t="s">
        <v>0</v>
      </c>
      <c r="AP265" s="33" t="s">
        <v>0</v>
      </c>
      <c r="AQ265" s="7" t="s">
        <v>0</v>
      </c>
      <c r="AR265" s="7" t="s">
        <v>0</v>
      </c>
      <c r="AS265" s="7" t="s">
        <v>0</v>
      </c>
      <c r="AT265" s="7" t="s">
        <v>0</v>
      </c>
      <c r="AU265" s="38" t="s">
        <v>0</v>
      </c>
      <c r="AV265" s="38" t="s">
        <v>0</v>
      </c>
      <c r="AW265" s="34" t="s">
        <v>0</v>
      </c>
      <c r="AX265" s="34" t="s">
        <v>0</v>
      </c>
      <c r="AY265" s="34" t="s">
        <v>18</v>
      </c>
      <c r="AZ265" s="38" t="s">
        <v>0</v>
      </c>
      <c r="BA265" s="38" t="s">
        <v>0</v>
      </c>
      <c r="BB265" s="38" t="s">
        <v>0</v>
      </c>
      <c r="BC265" s="38" t="s">
        <v>0</v>
      </c>
      <c r="BD265" s="38" t="s">
        <v>0</v>
      </c>
      <c r="BE265" s="38" t="s">
        <v>0</v>
      </c>
      <c r="BF265" s="38" t="s">
        <v>0</v>
      </c>
      <c r="BG265" s="38" t="s">
        <v>0</v>
      </c>
      <c r="BH265" s="36" t="s">
        <v>111</v>
      </c>
      <c r="BI265" s="36" t="s">
        <v>876</v>
      </c>
      <c r="BJ265" s="36" t="s">
        <v>876</v>
      </c>
      <c r="BK265" s="38" t="s">
        <v>0</v>
      </c>
      <c r="BL265" s="38" t="s">
        <v>0</v>
      </c>
      <c r="BM265" s="38" t="s">
        <v>0</v>
      </c>
      <c r="BN265" s="38" t="s">
        <v>0</v>
      </c>
      <c r="BO265" s="36" t="s">
        <v>6</v>
      </c>
      <c r="BP265" s="38" t="s">
        <v>0</v>
      </c>
      <c r="BQ265" s="36" t="s">
        <v>6</v>
      </c>
      <c r="BR265" s="38" t="s">
        <v>0</v>
      </c>
      <c r="BS265" s="38" t="s">
        <v>0</v>
      </c>
      <c r="BT265" s="38" t="s">
        <v>0</v>
      </c>
      <c r="BU265" s="38" t="s">
        <v>0</v>
      </c>
      <c r="BV265" s="38" t="s">
        <v>0</v>
      </c>
      <c r="BW265" s="36" t="s">
        <v>0</v>
      </c>
      <c r="BX265" s="36" t="s">
        <v>0</v>
      </c>
      <c r="BY265" s="36" t="s">
        <v>0</v>
      </c>
      <c r="BZ265" s="36" t="s">
        <v>0</v>
      </c>
      <c r="CA265" s="36" t="s">
        <v>0</v>
      </c>
      <c r="CB265" s="36" t="s">
        <v>0</v>
      </c>
      <c r="CC265" s="36" t="s">
        <v>722</v>
      </c>
      <c r="CD265" s="38" t="s">
        <v>0</v>
      </c>
      <c r="CE265" s="38" t="s">
        <v>0</v>
      </c>
      <c r="CF265" s="38" t="s">
        <v>0</v>
      </c>
      <c r="CG265" s="38" t="s">
        <v>0</v>
      </c>
      <c r="CH265" s="38" t="s">
        <v>0</v>
      </c>
      <c r="CI265" s="38" t="s">
        <v>0</v>
      </c>
      <c r="CJ265" s="38" t="s">
        <v>0</v>
      </c>
      <c r="CK265" s="38" t="s">
        <v>0</v>
      </c>
      <c r="CL265" s="38" t="s">
        <v>0</v>
      </c>
      <c r="CM265" s="38" t="s">
        <v>0</v>
      </c>
      <c r="CN265" s="38" t="s">
        <v>0</v>
      </c>
      <c r="CO265" s="38" t="s">
        <v>0</v>
      </c>
      <c r="CP265" s="38" t="s">
        <v>0</v>
      </c>
      <c r="CQ265" s="38" t="s">
        <v>0</v>
      </c>
      <c r="CR265" s="38" t="s">
        <v>111</v>
      </c>
      <c r="CS265" s="38" t="s">
        <v>0</v>
      </c>
      <c r="CT265" s="38" t="s">
        <v>0</v>
      </c>
      <c r="CU265" s="38" t="s">
        <v>0</v>
      </c>
      <c r="CV265" s="38" t="s">
        <v>0</v>
      </c>
      <c r="CW265" s="38" t="s">
        <v>0</v>
      </c>
      <c r="CX265" s="38" t="s">
        <v>0</v>
      </c>
    </row>
    <row r="266" spans="1:102" ht="12" customHeight="1">
      <c r="A266" s="51" t="s">
        <v>935</v>
      </c>
      <c r="B266" s="52" t="s">
        <v>0</v>
      </c>
      <c r="C266" s="52"/>
      <c r="D266" s="52"/>
      <c r="E266" s="52"/>
      <c r="F266" s="52" t="s">
        <v>0</v>
      </c>
      <c r="G266" s="52" t="s">
        <v>0</v>
      </c>
      <c r="H266" s="52" t="s">
        <v>0</v>
      </c>
      <c r="I266" s="52" t="s">
        <v>0</v>
      </c>
      <c r="J266" s="52"/>
      <c r="K266" s="52"/>
      <c r="L266" s="52"/>
      <c r="M266" s="52" t="s">
        <v>0</v>
      </c>
      <c r="N266" s="52" t="s">
        <v>1602</v>
      </c>
      <c r="O266" s="52" t="s">
        <v>0</v>
      </c>
      <c r="P266" s="52" t="s">
        <v>0</v>
      </c>
      <c r="Q266" s="52" t="s">
        <v>3361</v>
      </c>
      <c r="R266" s="52" t="s">
        <v>0</v>
      </c>
      <c r="S266" s="52" t="s">
        <v>0</v>
      </c>
      <c r="T266" s="52" t="s">
        <v>3361</v>
      </c>
      <c r="U266" s="52" t="s">
        <v>0</v>
      </c>
      <c r="V266" s="52" t="s">
        <v>0</v>
      </c>
      <c r="W266" s="52" t="s">
        <v>0</v>
      </c>
      <c r="X266" s="52" t="s">
        <v>5901</v>
      </c>
      <c r="Y266" s="52" t="s">
        <v>0</v>
      </c>
      <c r="Z266" s="52"/>
      <c r="AA266" s="52"/>
      <c r="AB266" s="52"/>
      <c r="AC266" s="52"/>
      <c r="AD266" s="52"/>
      <c r="AE266" s="123" t="s">
        <v>0</v>
      </c>
      <c r="AF266" s="52" t="s">
        <v>0</v>
      </c>
      <c r="AG266" s="52" t="s">
        <v>0</v>
      </c>
      <c r="AH266" s="52" t="s">
        <v>0</v>
      </c>
      <c r="AI266" s="52"/>
      <c r="AJ266" s="52"/>
      <c r="AK266" s="52" t="s">
        <v>0</v>
      </c>
      <c r="AL266" s="52" t="s">
        <v>1682</v>
      </c>
      <c r="AM266" s="52"/>
      <c r="AN266" s="52" t="s">
        <v>0</v>
      </c>
      <c r="AO266" s="52"/>
      <c r="AP266" s="52"/>
      <c r="AQ266" s="52" t="s">
        <v>0</v>
      </c>
      <c r="AR266" s="52" t="s">
        <v>0</v>
      </c>
      <c r="AS266" s="52" t="s">
        <v>0</v>
      </c>
      <c r="AT266" s="52" t="s">
        <v>0</v>
      </c>
      <c r="AU266" s="52"/>
      <c r="AV266" s="52"/>
      <c r="AW266" s="52" t="s">
        <v>0</v>
      </c>
      <c r="AX266" s="52" t="s">
        <v>0</v>
      </c>
      <c r="AY266" s="52" t="s">
        <v>2962</v>
      </c>
      <c r="AZ266" s="52"/>
      <c r="BA266" s="52" t="s">
        <v>0</v>
      </c>
      <c r="BB266" s="52"/>
      <c r="BC266" s="52"/>
      <c r="BD266" s="52" t="s">
        <v>0</v>
      </c>
      <c r="BE266" s="52"/>
      <c r="BF266" s="52" t="s">
        <v>0</v>
      </c>
      <c r="BG266" s="52" t="s">
        <v>0</v>
      </c>
      <c r="BH266" s="52" t="s">
        <v>3192</v>
      </c>
      <c r="BI266" s="52"/>
      <c r="BJ266" s="52"/>
      <c r="BK266" s="52" t="s">
        <v>0</v>
      </c>
      <c r="BL266" s="52" t="s">
        <v>0</v>
      </c>
      <c r="BM266" s="52"/>
      <c r="BN266" s="52"/>
      <c r="BO266" s="52"/>
      <c r="BP266" s="52"/>
      <c r="BQ266" s="52"/>
      <c r="BR266" s="52"/>
      <c r="BS266" s="52"/>
      <c r="BT266" s="52" t="s">
        <v>0</v>
      </c>
      <c r="BU266" s="52" t="s">
        <v>0</v>
      </c>
      <c r="BV266" s="52" t="s">
        <v>0</v>
      </c>
      <c r="BW266" s="52" t="s">
        <v>0</v>
      </c>
      <c r="BX266" s="52" t="s">
        <v>0</v>
      </c>
      <c r="BY266" s="52" t="s">
        <v>0</v>
      </c>
      <c r="BZ266" s="52" t="s">
        <v>0</v>
      </c>
      <c r="CA266" s="52"/>
      <c r="CB266" s="52"/>
      <c r="CC266" s="52"/>
      <c r="CD266" s="52" t="s">
        <v>0</v>
      </c>
      <c r="CE266" s="52" t="s">
        <v>0</v>
      </c>
      <c r="CF266" s="52"/>
      <c r="CG266" s="52" t="s">
        <v>0</v>
      </c>
      <c r="CH266" s="52" t="s">
        <v>0</v>
      </c>
      <c r="CI266" s="52" t="s">
        <v>0</v>
      </c>
      <c r="CJ266" s="52" t="s">
        <v>0</v>
      </c>
      <c r="CK266" s="52" t="s">
        <v>0</v>
      </c>
      <c r="CL266" s="52"/>
      <c r="CM266" s="52"/>
      <c r="CN266" s="52"/>
      <c r="CO266" s="52" t="s">
        <v>0</v>
      </c>
      <c r="CP266" s="52" t="s">
        <v>0</v>
      </c>
      <c r="CQ266" s="52"/>
      <c r="CR266" s="52"/>
      <c r="CS266" s="52"/>
      <c r="CT266" s="52"/>
      <c r="CU266" s="52"/>
      <c r="CV266" s="52"/>
      <c r="CW266" s="52" t="s">
        <v>0</v>
      </c>
      <c r="CX266" s="52"/>
    </row>
    <row r="267" spans="1:102" ht="22.5" customHeight="1">
      <c r="A267" s="31"/>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134"/>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77"/>
      <c r="BI267" s="65"/>
      <c r="BJ267" s="65"/>
      <c r="BK267" s="65"/>
      <c r="BL267" s="65"/>
      <c r="BM267" s="65"/>
      <c r="BN267" s="77"/>
      <c r="BO267" s="77"/>
      <c r="BP267" s="77"/>
      <c r="BQ267" s="77"/>
      <c r="BR267" s="65"/>
      <c r="BS267" s="65"/>
      <c r="BT267" s="65"/>
      <c r="BU267" s="65"/>
      <c r="BV267" s="65"/>
      <c r="BW267" s="77"/>
      <c r="BX267" s="77"/>
      <c r="BY267" s="77"/>
      <c r="BZ267" s="77"/>
      <c r="CA267" s="77"/>
      <c r="CB267" s="77"/>
      <c r="CC267" s="77"/>
      <c r="CD267" s="77"/>
      <c r="CE267" s="77"/>
      <c r="CF267" s="77"/>
      <c r="CG267" s="65"/>
      <c r="CH267" s="65"/>
      <c r="CI267" s="77"/>
      <c r="CJ267" s="65"/>
      <c r="CK267" s="77"/>
      <c r="CL267" s="77"/>
      <c r="CM267" s="77"/>
      <c r="CN267" s="77"/>
      <c r="CO267" s="77"/>
      <c r="CP267" s="77"/>
      <c r="CQ267" s="77"/>
      <c r="CR267" s="77"/>
      <c r="CS267" s="77"/>
      <c r="CT267" s="77"/>
      <c r="CU267" s="77"/>
      <c r="CV267" s="77"/>
      <c r="CW267" s="65"/>
      <c r="CX267" s="77"/>
    </row>
    <row r="268" spans="1:102" ht="22.5" customHeight="1">
      <c r="A268" s="10" t="s">
        <v>20</v>
      </c>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135"/>
      <c r="AF268" s="48"/>
      <c r="AG268" s="49"/>
      <c r="AH268" s="48"/>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8"/>
      <c r="BH268" s="49"/>
      <c r="BI268" s="48"/>
      <c r="BJ268" s="48"/>
      <c r="BK268" s="48"/>
      <c r="BL268" s="48"/>
      <c r="BM268" s="49"/>
      <c r="BN268" s="49"/>
      <c r="BO268" s="49"/>
      <c r="BP268" s="49"/>
      <c r="BQ268" s="49"/>
      <c r="BR268" s="49"/>
      <c r="BS268" s="49"/>
      <c r="BT268" s="49"/>
      <c r="BU268" s="49"/>
      <c r="BV268" s="49"/>
      <c r="BW268" s="49"/>
      <c r="BX268" s="49"/>
      <c r="BY268" s="49"/>
      <c r="BZ268" s="49"/>
      <c r="CA268" s="49"/>
      <c r="CB268" s="49"/>
      <c r="CC268" s="48"/>
      <c r="CD268" s="49"/>
      <c r="CE268" s="49"/>
      <c r="CF268" s="49"/>
      <c r="CG268" s="48"/>
      <c r="CH268" s="48"/>
      <c r="CI268" s="49"/>
      <c r="CJ268" s="49"/>
      <c r="CK268" s="49"/>
      <c r="CL268" s="49"/>
      <c r="CM268" s="49"/>
      <c r="CN268" s="49"/>
      <c r="CO268" s="49"/>
      <c r="CP268" s="49"/>
      <c r="CQ268" s="49"/>
      <c r="CR268" s="49"/>
      <c r="CS268" s="49"/>
      <c r="CT268" s="49"/>
      <c r="CU268" s="49"/>
      <c r="CV268" s="49"/>
      <c r="CW268" s="48"/>
      <c r="CX268" s="48"/>
    </row>
    <row r="269" spans="1:102" ht="22.5" customHeight="1">
      <c r="A269" s="66" t="s">
        <v>21</v>
      </c>
      <c r="B269" s="38" t="s">
        <v>0</v>
      </c>
      <c r="C269" s="38" t="s">
        <v>0</v>
      </c>
      <c r="D269" s="38" t="s">
        <v>220</v>
      </c>
      <c r="E269" s="38" t="s">
        <v>220</v>
      </c>
      <c r="F269" s="38" t="s">
        <v>220</v>
      </c>
      <c r="G269" s="38" t="s">
        <v>220</v>
      </c>
      <c r="H269" s="38" t="s">
        <v>57</v>
      </c>
      <c r="I269" s="38" t="s">
        <v>57</v>
      </c>
      <c r="J269" s="38" t="s">
        <v>349</v>
      </c>
      <c r="K269" s="38" t="s">
        <v>349</v>
      </c>
      <c r="L269" s="38" t="s">
        <v>349</v>
      </c>
      <c r="M269" s="38" t="s">
        <v>1507</v>
      </c>
      <c r="N269" s="38" t="s">
        <v>402</v>
      </c>
      <c r="O269" s="38" t="s">
        <v>1507</v>
      </c>
      <c r="P269" s="38" t="s">
        <v>1507</v>
      </c>
      <c r="Q269" s="38" t="s">
        <v>57</v>
      </c>
      <c r="R269" s="38" t="s">
        <v>1507</v>
      </c>
      <c r="S269" s="38" t="s">
        <v>1507</v>
      </c>
      <c r="T269" s="38" t="s">
        <v>57</v>
      </c>
      <c r="U269" s="38" t="s">
        <v>1507</v>
      </c>
      <c r="V269" s="38" t="s">
        <v>1507</v>
      </c>
      <c r="W269" s="38" t="s">
        <v>1507</v>
      </c>
      <c r="X269" s="38" t="s">
        <v>57</v>
      </c>
      <c r="Y269" s="38" t="s">
        <v>1507</v>
      </c>
      <c r="Z269" s="38" t="s">
        <v>349</v>
      </c>
      <c r="AA269" s="36" t="s">
        <v>0</v>
      </c>
      <c r="AB269" s="38" t="s">
        <v>0</v>
      </c>
      <c r="AC269" s="38" t="s">
        <v>0</v>
      </c>
      <c r="AD269" s="38" t="s">
        <v>0</v>
      </c>
      <c r="AE269" s="124" t="s">
        <v>57</v>
      </c>
      <c r="AF269" s="38" t="s">
        <v>57</v>
      </c>
      <c r="AG269" s="38" t="s">
        <v>57</v>
      </c>
      <c r="AH269" s="38" t="s">
        <v>57</v>
      </c>
      <c r="AI269" s="7" t="s">
        <v>441</v>
      </c>
      <c r="AJ269" s="7" t="s">
        <v>441</v>
      </c>
      <c r="AK269" s="7" t="s">
        <v>441</v>
      </c>
      <c r="AL269" s="7" t="s">
        <v>441</v>
      </c>
      <c r="AM269" s="7" t="s">
        <v>57</v>
      </c>
      <c r="AN269" s="7" t="s">
        <v>0</v>
      </c>
      <c r="AO269" s="7" t="s">
        <v>0</v>
      </c>
      <c r="AP269" s="34" t="s">
        <v>0</v>
      </c>
      <c r="AQ269" s="7" t="s">
        <v>0</v>
      </c>
      <c r="AR269" s="7" t="s">
        <v>0</v>
      </c>
      <c r="AS269" s="7" t="s">
        <v>0</v>
      </c>
      <c r="AT269" s="7" t="s">
        <v>0</v>
      </c>
      <c r="AU269" s="38" t="s">
        <v>57</v>
      </c>
      <c r="AV269" s="36" t="s">
        <v>57</v>
      </c>
      <c r="AW269" s="34" t="s">
        <v>349</v>
      </c>
      <c r="AX269" s="34" t="s">
        <v>349</v>
      </c>
      <c r="AY269" s="34" t="s">
        <v>349</v>
      </c>
      <c r="AZ269" s="38" t="s">
        <v>57</v>
      </c>
      <c r="BA269" s="36" t="s">
        <v>4133</v>
      </c>
      <c r="BB269" s="38" t="s">
        <v>57</v>
      </c>
      <c r="BC269" s="38" t="s">
        <v>57</v>
      </c>
      <c r="BD269" s="38" t="s">
        <v>57</v>
      </c>
      <c r="BE269" s="38" t="s">
        <v>57</v>
      </c>
      <c r="BF269" s="38" t="s">
        <v>57</v>
      </c>
      <c r="BG269" s="36" t="s">
        <v>4109</v>
      </c>
      <c r="BH269" s="38" t="s">
        <v>0</v>
      </c>
      <c r="BI269" s="38" t="s">
        <v>0</v>
      </c>
      <c r="BJ269" s="38" t="s">
        <v>0</v>
      </c>
      <c r="BK269" s="36" t="s">
        <v>1334</v>
      </c>
      <c r="BL269" s="36" t="s">
        <v>1334</v>
      </c>
      <c r="BM269" s="38" t="s">
        <v>0</v>
      </c>
      <c r="BN269" s="38" t="s">
        <v>57</v>
      </c>
      <c r="BO269" s="38" t="s">
        <v>57</v>
      </c>
      <c r="BP269" s="38" t="s">
        <v>57</v>
      </c>
      <c r="BQ269" s="38" t="s">
        <v>57</v>
      </c>
      <c r="BR269" s="38" t="s">
        <v>57</v>
      </c>
      <c r="BS269" s="38" t="s">
        <v>57</v>
      </c>
      <c r="BT269" s="38" t="s">
        <v>57</v>
      </c>
      <c r="BU269" s="38" t="s">
        <v>57</v>
      </c>
      <c r="BV269" s="38" t="s">
        <v>57</v>
      </c>
      <c r="BW269" s="38" t="s">
        <v>0</v>
      </c>
      <c r="BX269" s="38" t="s">
        <v>0</v>
      </c>
      <c r="BY269" s="38" t="s">
        <v>0</v>
      </c>
      <c r="BZ269" s="38" t="s">
        <v>0</v>
      </c>
      <c r="CA269" s="38" t="s">
        <v>57</v>
      </c>
      <c r="CB269" s="38" t="s">
        <v>57</v>
      </c>
      <c r="CC269" s="38" t="s">
        <v>57</v>
      </c>
      <c r="CD269" s="38" t="s">
        <v>57</v>
      </c>
      <c r="CE269" s="38" t="s">
        <v>57</v>
      </c>
      <c r="CF269" s="38" t="s">
        <v>57</v>
      </c>
      <c r="CG269" s="38" t="s">
        <v>57</v>
      </c>
      <c r="CH269" s="38" t="s">
        <v>57</v>
      </c>
      <c r="CI269" s="38" t="s">
        <v>0</v>
      </c>
      <c r="CJ269" s="38" t="s">
        <v>0</v>
      </c>
      <c r="CK269" s="38" t="s">
        <v>0</v>
      </c>
      <c r="CL269" s="38" t="s">
        <v>0</v>
      </c>
      <c r="CM269" s="38" t="s">
        <v>0</v>
      </c>
      <c r="CN269" s="38" t="s">
        <v>0</v>
      </c>
      <c r="CO269" s="38" t="s">
        <v>0</v>
      </c>
      <c r="CP269" s="38" t="s">
        <v>57</v>
      </c>
      <c r="CQ269" s="38" t="s">
        <v>57</v>
      </c>
      <c r="CR269" s="38" t="s">
        <v>57</v>
      </c>
      <c r="CS269" s="38" t="s">
        <v>57</v>
      </c>
      <c r="CT269" s="38" t="s">
        <v>57</v>
      </c>
      <c r="CU269" s="38" t="s">
        <v>57</v>
      </c>
      <c r="CV269" s="38" t="s">
        <v>57</v>
      </c>
      <c r="CW269" s="38" t="s">
        <v>0</v>
      </c>
      <c r="CX269" s="38" t="s">
        <v>0</v>
      </c>
    </row>
    <row r="270" spans="1:102" ht="12" customHeight="1">
      <c r="A270" s="51" t="s">
        <v>935</v>
      </c>
      <c r="B270" s="52" t="s">
        <v>0</v>
      </c>
      <c r="C270" s="52"/>
      <c r="D270" s="52"/>
      <c r="E270" s="52"/>
      <c r="F270" s="52" t="s">
        <v>1405</v>
      </c>
      <c r="G270" s="52" t="s">
        <v>1405</v>
      </c>
      <c r="H270" s="52" t="s">
        <v>5505</v>
      </c>
      <c r="I270" s="52" t="s">
        <v>5505</v>
      </c>
      <c r="J270" s="52"/>
      <c r="K270" s="52"/>
      <c r="L270" s="52"/>
      <c r="M270" s="52" t="s">
        <v>1506</v>
      </c>
      <c r="N270" s="52" t="s">
        <v>1606</v>
      </c>
      <c r="O270" s="52" t="s">
        <v>1549</v>
      </c>
      <c r="P270" s="52" t="s">
        <v>3326</v>
      </c>
      <c r="Q270" s="52" t="s">
        <v>1608</v>
      </c>
      <c r="R270" s="52" t="s">
        <v>1551</v>
      </c>
      <c r="S270" s="52" t="s">
        <v>3326</v>
      </c>
      <c r="T270" s="52" t="s">
        <v>1608</v>
      </c>
      <c r="U270" s="52" t="s">
        <v>1551</v>
      </c>
      <c r="V270" s="52" t="s">
        <v>5300</v>
      </c>
      <c r="W270" s="52" t="s">
        <v>3326</v>
      </c>
      <c r="X270" s="52" t="s">
        <v>3366</v>
      </c>
      <c r="Y270" s="52" t="s">
        <v>3413</v>
      </c>
      <c r="Z270" s="52"/>
      <c r="AA270" s="52"/>
      <c r="AB270" s="52"/>
      <c r="AC270" s="52"/>
      <c r="AD270" s="52"/>
      <c r="AE270" s="123" t="s">
        <v>0</v>
      </c>
      <c r="AF270" s="52" t="s">
        <v>4787</v>
      </c>
      <c r="AG270" s="52" t="s">
        <v>4787</v>
      </c>
      <c r="AH270" s="52" t="s">
        <v>4786</v>
      </c>
      <c r="AI270" s="52"/>
      <c r="AJ270" s="52"/>
      <c r="AK270" s="52" t="s">
        <v>1774</v>
      </c>
      <c r="AL270" s="52" t="s">
        <v>1774</v>
      </c>
      <c r="AM270" s="52"/>
      <c r="AN270" s="52" t="s">
        <v>1845</v>
      </c>
      <c r="AO270" s="52"/>
      <c r="AP270" s="52"/>
      <c r="AQ270" s="52" t="s">
        <v>0</v>
      </c>
      <c r="AR270" s="52" t="s">
        <v>0</v>
      </c>
      <c r="AS270" s="52" t="s">
        <v>0</v>
      </c>
      <c r="AT270" s="52" t="s">
        <v>0</v>
      </c>
      <c r="AU270" s="52"/>
      <c r="AV270" s="52"/>
      <c r="AW270" s="52" t="s">
        <v>2997</v>
      </c>
      <c r="AX270" s="52" t="s">
        <v>2944</v>
      </c>
      <c r="AY270" s="52" t="s">
        <v>2956</v>
      </c>
      <c r="AZ270" s="52"/>
      <c r="BA270" s="52" t="s">
        <v>4117</v>
      </c>
      <c r="BB270" s="52"/>
      <c r="BC270" s="52"/>
      <c r="BD270" s="52" t="s">
        <v>1993</v>
      </c>
      <c r="BE270" s="52"/>
      <c r="BF270" s="52" t="s">
        <v>1993</v>
      </c>
      <c r="BG270" s="52" t="s">
        <v>4108</v>
      </c>
      <c r="BH270" s="52"/>
      <c r="BI270" s="52"/>
      <c r="BJ270" s="52"/>
      <c r="BK270" s="52" t="s">
        <v>1272</v>
      </c>
      <c r="BL270" s="52" t="s">
        <v>1272</v>
      </c>
      <c r="BM270" s="52"/>
      <c r="BN270" s="52"/>
      <c r="BO270" s="52"/>
      <c r="BP270" s="52"/>
      <c r="BQ270" s="52"/>
      <c r="BR270" s="52"/>
      <c r="BS270" s="52"/>
      <c r="BT270" s="52" t="s">
        <v>3733</v>
      </c>
      <c r="BU270" s="52" t="s">
        <v>3648</v>
      </c>
      <c r="BV270" s="52" t="s">
        <v>3555</v>
      </c>
      <c r="BW270" s="52" t="s">
        <v>2519</v>
      </c>
      <c r="BX270" s="52" t="s">
        <v>2519</v>
      </c>
      <c r="BY270" s="52" t="s">
        <v>2519</v>
      </c>
      <c r="BZ270" s="52" t="s">
        <v>0</v>
      </c>
      <c r="CA270" s="52"/>
      <c r="CB270" s="52"/>
      <c r="CC270" s="52"/>
      <c r="CD270" s="52" t="s">
        <v>2556</v>
      </c>
      <c r="CE270" s="52" t="s">
        <v>2547</v>
      </c>
      <c r="CF270" s="52"/>
      <c r="CG270" s="52" t="s">
        <v>2257</v>
      </c>
      <c r="CH270" s="52" t="s">
        <v>2257</v>
      </c>
      <c r="CI270" s="52" t="s">
        <v>0</v>
      </c>
      <c r="CJ270" s="52" t="s">
        <v>0</v>
      </c>
      <c r="CK270" s="52" t="s">
        <v>2728</v>
      </c>
      <c r="CL270" s="52"/>
      <c r="CM270" s="52"/>
      <c r="CN270" s="52"/>
      <c r="CO270" s="52" t="s">
        <v>0</v>
      </c>
      <c r="CP270" s="52" t="s">
        <v>2897</v>
      </c>
      <c r="CQ270" s="52"/>
      <c r="CR270" s="52"/>
      <c r="CS270" s="52"/>
      <c r="CT270" s="52"/>
      <c r="CU270" s="52"/>
      <c r="CV270" s="52"/>
      <c r="CW270" s="52" t="s">
        <v>0</v>
      </c>
      <c r="CX270" s="52"/>
    </row>
    <row r="271" spans="1:102" ht="22.5" customHeight="1">
      <c r="A271" s="67" t="s">
        <v>5</v>
      </c>
      <c r="B271" s="38" t="s">
        <v>0</v>
      </c>
      <c r="C271" s="38" t="s">
        <v>0</v>
      </c>
      <c r="D271" s="38" t="s">
        <v>0</v>
      </c>
      <c r="E271" s="38" t="s">
        <v>0</v>
      </c>
      <c r="F271" s="38" t="s">
        <v>0</v>
      </c>
      <c r="G271" s="38" t="s">
        <v>0</v>
      </c>
      <c r="H271" s="38" t="s">
        <v>0</v>
      </c>
      <c r="I271" s="38" t="s">
        <v>0</v>
      </c>
      <c r="J271" s="38" t="s">
        <v>0</v>
      </c>
      <c r="K271" s="38" t="s">
        <v>0</v>
      </c>
      <c r="L271" s="38" t="s">
        <v>0</v>
      </c>
      <c r="M271" s="38" t="s">
        <v>0</v>
      </c>
      <c r="N271" s="38" t="s">
        <v>0</v>
      </c>
      <c r="O271" s="38" t="s">
        <v>0</v>
      </c>
      <c r="P271" s="38" t="s">
        <v>0</v>
      </c>
      <c r="Q271" s="38" t="s">
        <v>0</v>
      </c>
      <c r="R271" s="38" t="s">
        <v>0</v>
      </c>
      <c r="S271" s="38" t="s">
        <v>0</v>
      </c>
      <c r="T271" s="38" t="s">
        <v>0</v>
      </c>
      <c r="U271" s="38" t="s">
        <v>0</v>
      </c>
      <c r="V271" s="38" t="s">
        <v>0</v>
      </c>
      <c r="W271" s="38" t="s">
        <v>0</v>
      </c>
      <c r="X271" s="38" t="s">
        <v>0</v>
      </c>
      <c r="Y271" s="38" t="s">
        <v>0</v>
      </c>
      <c r="Z271" s="38" t="s">
        <v>0</v>
      </c>
      <c r="AA271" s="38" t="s">
        <v>0</v>
      </c>
      <c r="AB271" s="38" t="s">
        <v>0</v>
      </c>
      <c r="AC271" s="38" t="s">
        <v>0</v>
      </c>
      <c r="AD271" s="38" t="s">
        <v>0</v>
      </c>
      <c r="AE271" s="124" t="s">
        <v>0</v>
      </c>
      <c r="AF271" s="68" t="s">
        <v>0</v>
      </c>
      <c r="AG271" s="68" t="s">
        <v>0</v>
      </c>
      <c r="AH271" s="68" t="s">
        <v>0</v>
      </c>
      <c r="AI271" s="7" t="s">
        <v>0</v>
      </c>
      <c r="AJ271" s="33" t="s">
        <v>0</v>
      </c>
      <c r="AK271" s="7" t="s">
        <v>0</v>
      </c>
      <c r="AL271" s="34" t="s">
        <v>0</v>
      </c>
      <c r="AM271" s="34" t="s">
        <v>0</v>
      </c>
      <c r="AN271" s="34" t="s">
        <v>0</v>
      </c>
      <c r="AO271" s="7" t="s">
        <v>0</v>
      </c>
      <c r="AP271" s="33" t="s">
        <v>0</v>
      </c>
      <c r="AQ271" s="7" t="s">
        <v>0</v>
      </c>
      <c r="AR271" s="7" t="s">
        <v>0</v>
      </c>
      <c r="AS271" s="7" t="s">
        <v>0</v>
      </c>
      <c r="AT271" s="7" t="s">
        <v>0</v>
      </c>
      <c r="AU271" s="38" t="s">
        <v>0</v>
      </c>
      <c r="AV271" s="38" t="s">
        <v>0</v>
      </c>
      <c r="AW271" s="34" t="s">
        <v>0</v>
      </c>
      <c r="AX271" s="34" t="s">
        <v>0</v>
      </c>
      <c r="AY271" s="34" t="s">
        <v>0</v>
      </c>
      <c r="AZ271" s="38" t="s">
        <v>0</v>
      </c>
      <c r="BA271" s="38" t="s">
        <v>0</v>
      </c>
      <c r="BB271" s="38" t="s">
        <v>0</v>
      </c>
      <c r="BC271" s="38" t="s">
        <v>0</v>
      </c>
      <c r="BD271" s="38" t="s">
        <v>0</v>
      </c>
      <c r="BE271" s="38" t="s">
        <v>0</v>
      </c>
      <c r="BF271" s="38" t="s">
        <v>0</v>
      </c>
      <c r="BG271" s="68" t="s">
        <v>4103</v>
      </c>
      <c r="BH271" s="38" t="s">
        <v>0</v>
      </c>
      <c r="BI271" s="38" t="s">
        <v>0</v>
      </c>
      <c r="BJ271" s="38" t="s">
        <v>0</v>
      </c>
      <c r="BK271" s="68" t="s">
        <v>0</v>
      </c>
      <c r="BL271" s="68" t="s">
        <v>0</v>
      </c>
      <c r="BM271" s="38" t="s">
        <v>0</v>
      </c>
      <c r="BN271" s="38" t="s">
        <v>185</v>
      </c>
      <c r="BO271" s="38" t="s">
        <v>185</v>
      </c>
      <c r="BP271" s="38" t="s">
        <v>185</v>
      </c>
      <c r="BQ271" s="38" t="s">
        <v>185</v>
      </c>
      <c r="BR271" s="38" t="s">
        <v>0</v>
      </c>
      <c r="BS271" s="38" t="s">
        <v>0</v>
      </c>
      <c r="BT271" s="36" t="s">
        <v>3650</v>
      </c>
      <c r="BU271" s="36" t="s">
        <v>3650</v>
      </c>
      <c r="BV271" s="36" t="s">
        <v>3553</v>
      </c>
      <c r="BW271" s="38" t="s">
        <v>0</v>
      </c>
      <c r="BX271" s="38" t="s">
        <v>0</v>
      </c>
      <c r="BY271" s="38" t="s">
        <v>0</v>
      </c>
      <c r="BZ271" s="38" t="s">
        <v>57</v>
      </c>
      <c r="CA271" s="38" t="s">
        <v>57</v>
      </c>
      <c r="CB271" s="38" t="s">
        <v>57</v>
      </c>
      <c r="CC271" s="38" t="s">
        <v>0</v>
      </c>
      <c r="CD271" s="38" t="s">
        <v>2600</v>
      </c>
      <c r="CE271" s="38" t="s">
        <v>2600</v>
      </c>
      <c r="CF271" s="38" t="s">
        <v>0</v>
      </c>
      <c r="CG271" s="68" t="s">
        <v>0</v>
      </c>
      <c r="CH271" s="68" t="s">
        <v>0</v>
      </c>
      <c r="CI271" s="38" t="s">
        <v>0</v>
      </c>
      <c r="CJ271" s="38" t="s">
        <v>0</v>
      </c>
      <c r="CK271" s="38" t="s">
        <v>0</v>
      </c>
      <c r="CL271" s="38" t="s">
        <v>0</v>
      </c>
      <c r="CM271" s="38" t="s">
        <v>0</v>
      </c>
      <c r="CN271" s="38" t="s">
        <v>0</v>
      </c>
      <c r="CO271" s="38" t="s">
        <v>0</v>
      </c>
      <c r="CP271" s="38" t="s">
        <v>0</v>
      </c>
      <c r="CQ271" s="38" t="s">
        <v>0</v>
      </c>
      <c r="CR271" s="38" t="s">
        <v>0</v>
      </c>
      <c r="CS271" s="38" t="s">
        <v>0</v>
      </c>
      <c r="CT271" s="38" t="s">
        <v>0</v>
      </c>
      <c r="CU271" s="38" t="s">
        <v>0</v>
      </c>
      <c r="CV271" s="38" t="s">
        <v>0</v>
      </c>
      <c r="CW271" s="38" t="s">
        <v>0</v>
      </c>
      <c r="CX271" s="38" t="s">
        <v>0</v>
      </c>
    </row>
    <row r="272" spans="1:102" ht="12" customHeight="1">
      <c r="A272" s="51" t="s">
        <v>935</v>
      </c>
      <c r="B272" s="52" t="s">
        <v>4001</v>
      </c>
      <c r="C272" s="52"/>
      <c r="D272" s="52"/>
      <c r="E272" s="52"/>
      <c r="F272" s="52" t="s">
        <v>1475</v>
      </c>
      <c r="G272" s="52" t="s">
        <v>1475</v>
      </c>
      <c r="H272" s="52" t="s">
        <v>1475</v>
      </c>
      <c r="I272" s="52" t="s">
        <v>1475</v>
      </c>
      <c r="J272" s="52"/>
      <c r="K272" s="52"/>
      <c r="L272" s="52"/>
      <c r="M272" s="52" t="s">
        <v>1680</v>
      </c>
      <c r="N272" s="52" t="s">
        <v>1680</v>
      </c>
      <c r="O272" s="52" t="s">
        <v>1680</v>
      </c>
      <c r="P272" s="52" t="s">
        <v>1680</v>
      </c>
      <c r="Q272" s="52" t="s">
        <v>1680</v>
      </c>
      <c r="R272" s="52" t="s">
        <v>1680</v>
      </c>
      <c r="S272" s="52" t="s">
        <v>1680</v>
      </c>
      <c r="T272" s="52" t="s">
        <v>1680</v>
      </c>
      <c r="U272" s="52" t="s">
        <v>1680</v>
      </c>
      <c r="V272" s="52" t="s">
        <v>1680</v>
      </c>
      <c r="W272" s="52" t="s">
        <v>1680</v>
      </c>
      <c r="X272" s="52" t="s">
        <v>1680</v>
      </c>
      <c r="Y272" s="52" t="s">
        <v>1680</v>
      </c>
      <c r="Z272" s="52"/>
      <c r="AA272" s="52"/>
      <c r="AB272" s="52"/>
      <c r="AC272" s="52"/>
      <c r="AD272" s="52"/>
      <c r="AE272" s="123" t="s">
        <v>3175</v>
      </c>
      <c r="AF272" s="52" t="s">
        <v>4788</v>
      </c>
      <c r="AG272" s="52" t="s">
        <v>4788</v>
      </c>
      <c r="AH272" s="52" t="s">
        <v>4788</v>
      </c>
      <c r="AI272" s="52"/>
      <c r="AJ272" s="52"/>
      <c r="AK272" s="52" t="s">
        <v>1776</v>
      </c>
      <c r="AL272" s="52" t="s">
        <v>1776</v>
      </c>
      <c r="AM272" s="52"/>
      <c r="AN272" s="52" t="s">
        <v>1844</v>
      </c>
      <c r="AO272" s="52"/>
      <c r="AP272" s="52"/>
      <c r="AQ272" s="52" t="s">
        <v>1903</v>
      </c>
      <c r="AR272" s="52" t="s">
        <v>1903</v>
      </c>
      <c r="AS272" s="52" t="s">
        <v>1903</v>
      </c>
      <c r="AT272" s="52" t="s">
        <v>1903</v>
      </c>
      <c r="AU272" s="52"/>
      <c r="AV272" s="52"/>
      <c r="AW272" s="52" t="s">
        <v>3049</v>
      </c>
      <c r="AX272" s="52" t="s">
        <v>3049</v>
      </c>
      <c r="AY272" s="52" t="s">
        <v>3049</v>
      </c>
      <c r="AZ272" s="52"/>
      <c r="BA272" s="52" t="s">
        <v>2049</v>
      </c>
      <c r="BB272" s="52"/>
      <c r="BC272" s="52"/>
      <c r="BD272" s="52" t="s">
        <v>2049</v>
      </c>
      <c r="BE272" s="52"/>
      <c r="BF272" s="52" t="s">
        <v>2049</v>
      </c>
      <c r="BG272" s="52" t="s">
        <v>4102</v>
      </c>
      <c r="BH272" s="52"/>
      <c r="BI272" s="52"/>
      <c r="BJ272" s="52"/>
      <c r="BK272" s="52" t="s">
        <v>1359</v>
      </c>
      <c r="BL272" s="52" t="s">
        <v>1359</v>
      </c>
      <c r="BM272" s="52"/>
      <c r="BN272" s="52"/>
      <c r="BO272" s="52"/>
      <c r="BP272" s="52"/>
      <c r="BQ272" s="52"/>
      <c r="BR272" s="52"/>
      <c r="BS272" s="52"/>
      <c r="BT272" s="52" t="s">
        <v>3658</v>
      </c>
      <c r="BU272" s="52" t="s">
        <v>3649</v>
      </c>
      <c r="BV272" s="52" t="s">
        <v>3552</v>
      </c>
      <c r="BW272" s="52" t="s">
        <v>2501</v>
      </c>
      <c r="BX272" s="52" t="s">
        <v>2501</v>
      </c>
      <c r="BY272" s="52" t="s">
        <v>2501</v>
      </c>
      <c r="BZ272" s="52" t="s">
        <v>4611</v>
      </c>
      <c r="CA272" s="52"/>
      <c r="CB272" s="52"/>
      <c r="CC272" s="52"/>
      <c r="CD272" s="52" t="s">
        <v>2601</v>
      </c>
      <c r="CE272" s="52" t="s">
        <v>2601</v>
      </c>
      <c r="CF272" s="52"/>
      <c r="CG272" s="52" t="s">
        <v>2314</v>
      </c>
      <c r="CH272" s="52" t="s">
        <v>2314</v>
      </c>
      <c r="CI272" s="52" t="s">
        <v>4005</v>
      </c>
      <c r="CJ272" s="52" t="s">
        <v>4005</v>
      </c>
      <c r="CK272" s="52" t="s">
        <v>2720</v>
      </c>
      <c r="CL272" s="52"/>
      <c r="CM272" s="52"/>
      <c r="CN272" s="52"/>
      <c r="CO272" s="52" t="s">
        <v>2066</v>
      </c>
      <c r="CP272" s="52" t="s">
        <v>2890</v>
      </c>
      <c r="CQ272" s="52"/>
      <c r="CR272" s="52"/>
      <c r="CS272" s="52"/>
      <c r="CT272" s="52"/>
      <c r="CU272" s="52"/>
      <c r="CV272" s="52"/>
      <c r="CW272" s="52" t="s">
        <v>1239</v>
      </c>
      <c r="CX272" s="52"/>
    </row>
    <row r="273" spans="1:102" s="41" customFormat="1" ht="22.5" customHeight="1">
      <c r="A273" s="12" t="s">
        <v>216</v>
      </c>
      <c r="B273" s="38" t="s">
        <v>0</v>
      </c>
      <c r="C273" s="38" t="s">
        <v>0</v>
      </c>
      <c r="D273" s="38" t="s">
        <v>0</v>
      </c>
      <c r="E273" s="36" t="s">
        <v>217</v>
      </c>
      <c r="F273" s="38" t="s">
        <v>0</v>
      </c>
      <c r="G273" s="36" t="s">
        <v>217</v>
      </c>
      <c r="H273" s="38" t="s">
        <v>57</v>
      </c>
      <c r="I273" s="36" t="s">
        <v>57</v>
      </c>
      <c r="J273" s="36" t="s">
        <v>57</v>
      </c>
      <c r="K273" s="36" t="s">
        <v>57</v>
      </c>
      <c r="L273" s="36" t="s">
        <v>57</v>
      </c>
      <c r="M273" s="36" t="s">
        <v>1526</v>
      </c>
      <c r="N273" s="36" t="s">
        <v>57</v>
      </c>
      <c r="O273" s="36" t="s">
        <v>1567</v>
      </c>
      <c r="P273" s="36" t="s">
        <v>1526</v>
      </c>
      <c r="Q273" s="36" t="s">
        <v>57</v>
      </c>
      <c r="R273" s="36" t="s">
        <v>1567</v>
      </c>
      <c r="S273" s="36" t="s">
        <v>1526</v>
      </c>
      <c r="T273" s="36" t="s">
        <v>57</v>
      </c>
      <c r="U273" s="36" t="s">
        <v>1567</v>
      </c>
      <c r="V273" s="36" t="s">
        <v>510</v>
      </c>
      <c r="W273" s="36" t="s">
        <v>269</v>
      </c>
      <c r="X273" s="36" t="s">
        <v>57</v>
      </c>
      <c r="Y273" s="36" t="s">
        <v>57</v>
      </c>
      <c r="Z273" s="36" t="s">
        <v>57</v>
      </c>
      <c r="AA273" s="36" t="s">
        <v>57</v>
      </c>
      <c r="AB273" s="36" t="s">
        <v>57</v>
      </c>
      <c r="AC273" s="36" t="s">
        <v>57</v>
      </c>
      <c r="AD273" s="36" t="s">
        <v>376</v>
      </c>
      <c r="AE273" s="124" t="s">
        <v>196</v>
      </c>
      <c r="AF273" s="36" t="s">
        <v>57</v>
      </c>
      <c r="AG273" s="36" t="s">
        <v>57</v>
      </c>
      <c r="AH273" s="36" t="s">
        <v>197</v>
      </c>
      <c r="AI273" s="7" t="s">
        <v>442</v>
      </c>
      <c r="AJ273" s="32" t="s">
        <v>443</v>
      </c>
      <c r="AK273" s="7" t="s">
        <v>113</v>
      </c>
      <c r="AL273" s="37" t="s">
        <v>1686</v>
      </c>
      <c r="AM273" s="32" t="s">
        <v>195</v>
      </c>
      <c r="AN273" s="37" t="s">
        <v>195</v>
      </c>
      <c r="AO273" s="7" t="s">
        <v>0</v>
      </c>
      <c r="AP273" s="33" t="s">
        <v>57</v>
      </c>
      <c r="AQ273" s="7" t="s">
        <v>0</v>
      </c>
      <c r="AR273" s="34" t="s">
        <v>57</v>
      </c>
      <c r="AS273" s="7" t="s">
        <v>0</v>
      </c>
      <c r="AT273" s="34" t="s">
        <v>57</v>
      </c>
      <c r="AU273" s="38" t="s">
        <v>195</v>
      </c>
      <c r="AV273" s="38" t="s">
        <v>57</v>
      </c>
      <c r="AW273" s="34" t="s">
        <v>0</v>
      </c>
      <c r="AX273" s="37" t="s">
        <v>2958</v>
      </c>
      <c r="AY273" s="37" t="s">
        <v>2958</v>
      </c>
      <c r="AZ273" s="36" t="s">
        <v>896</v>
      </c>
      <c r="BA273" s="36" t="s">
        <v>57</v>
      </c>
      <c r="BB273" s="38" t="s">
        <v>57</v>
      </c>
      <c r="BC273" s="38" t="s">
        <v>57</v>
      </c>
      <c r="BD273" s="38" t="s">
        <v>57</v>
      </c>
      <c r="BE273" s="38" t="s">
        <v>269</v>
      </c>
      <c r="BF273" s="38" t="s">
        <v>269</v>
      </c>
      <c r="BG273" s="36" t="s">
        <v>0</v>
      </c>
      <c r="BH273" s="38" t="s">
        <v>57</v>
      </c>
      <c r="BI273" s="38" t="s">
        <v>57</v>
      </c>
      <c r="BJ273" s="38" t="s">
        <v>57</v>
      </c>
      <c r="BK273" s="36" t="s">
        <v>113</v>
      </c>
      <c r="BL273" s="38" t="s">
        <v>57</v>
      </c>
      <c r="BM273" s="38" t="s">
        <v>0</v>
      </c>
      <c r="BN273" s="38" t="s">
        <v>57</v>
      </c>
      <c r="BO273" s="38" t="s">
        <v>57</v>
      </c>
      <c r="BP273" s="38" t="s">
        <v>57</v>
      </c>
      <c r="BQ273" s="38" t="s">
        <v>57</v>
      </c>
      <c r="BR273" s="38" t="s">
        <v>57</v>
      </c>
      <c r="BS273" s="36" t="s">
        <v>3066</v>
      </c>
      <c r="BT273" s="36" t="s">
        <v>0</v>
      </c>
      <c r="BU273" s="36" t="s">
        <v>197</v>
      </c>
      <c r="BV273" s="36" t="s">
        <v>3557</v>
      </c>
      <c r="BW273" s="38" t="s">
        <v>0</v>
      </c>
      <c r="BX273" s="38" t="s">
        <v>0</v>
      </c>
      <c r="BY273" s="38" t="s">
        <v>0</v>
      </c>
      <c r="BZ273" s="38" t="s">
        <v>57</v>
      </c>
      <c r="CA273" s="38" t="s">
        <v>269</v>
      </c>
      <c r="CB273" s="38" t="s">
        <v>57</v>
      </c>
      <c r="CC273" s="36" t="s">
        <v>742</v>
      </c>
      <c r="CD273" s="38" t="s">
        <v>197</v>
      </c>
      <c r="CE273" s="38" t="s">
        <v>57</v>
      </c>
      <c r="CF273" s="38" t="s">
        <v>197</v>
      </c>
      <c r="CG273" s="38" t="s">
        <v>57</v>
      </c>
      <c r="CH273" s="38" t="s">
        <v>197</v>
      </c>
      <c r="CI273" s="38" t="s">
        <v>0</v>
      </c>
      <c r="CJ273" s="38" t="s">
        <v>0</v>
      </c>
      <c r="CK273" s="38" t="s">
        <v>2626</v>
      </c>
      <c r="CL273" s="38" t="s">
        <v>57</v>
      </c>
      <c r="CM273" s="38" t="s">
        <v>0</v>
      </c>
      <c r="CN273" s="36" t="s">
        <v>639</v>
      </c>
      <c r="CO273" s="36" t="s">
        <v>57</v>
      </c>
      <c r="CP273" s="36" t="s">
        <v>57</v>
      </c>
      <c r="CQ273" s="38" t="s">
        <v>113</v>
      </c>
      <c r="CR273" s="38" t="s">
        <v>57</v>
      </c>
      <c r="CS273" s="38" t="s">
        <v>197</v>
      </c>
      <c r="CT273" s="38" t="s">
        <v>57</v>
      </c>
      <c r="CU273" s="38" t="s">
        <v>197</v>
      </c>
      <c r="CV273" s="38" t="s">
        <v>57</v>
      </c>
      <c r="CW273" s="38" t="s">
        <v>57</v>
      </c>
      <c r="CX273" s="38" t="s">
        <v>111</v>
      </c>
    </row>
    <row r="274" spans="1:102" ht="12" customHeight="1">
      <c r="A274" s="51" t="s">
        <v>935</v>
      </c>
      <c r="B274" s="52" t="s">
        <v>0</v>
      </c>
      <c r="C274" s="52"/>
      <c r="D274" s="52"/>
      <c r="E274" s="52"/>
      <c r="F274" s="52" t="s">
        <v>0</v>
      </c>
      <c r="G274" s="52" t="s">
        <v>1417</v>
      </c>
      <c r="H274" s="52" t="s">
        <v>1417</v>
      </c>
      <c r="I274" s="52" t="s">
        <v>1417</v>
      </c>
      <c r="J274" s="52"/>
      <c r="K274" s="52"/>
      <c r="L274" s="52"/>
      <c r="M274" s="52" t="s">
        <v>1525</v>
      </c>
      <c r="N274" s="52" t="s">
        <v>1627</v>
      </c>
      <c r="O274" s="52" t="s">
        <v>1566</v>
      </c>
      <c r="P274" s="52" t="s">
        <v>1527</v>
      </c>
      <c r="Q274" s="52" t="s">
        <v>3386</v>
      </c>
      <c r="R274" s="52" t="s">
        <v>3425</v>
      </c>
      <c r="S274" s="52" t="s">
        <v>1527</v>
      </c>
      <c r="T274" s="52" t="s">
        <v>3386</v>
      </c>
      <c r="U274" s="52" t="s">
        <v>3425</v>
      </c>
      <c r="V274" s="52" t="s">
        <v>5313</v>
      </c>
      <c r="W274" s="52" t="s">
        <v>1527</v>
      </c>
      <c r="X274" s="52" t="s">
        <v>1632</v>
      </c>
      <c r="Y274" s="52" t="s">
        <v>5280</v>
      </c>
      <c r="Z274" s="52"/>
      <c r="AA274" s="52"/>
      <c r="AB274" s="52"/>
      <c r="AC274" s="52"/>
      <c r="AD274" s="52"/>
      <c r="AE274" s="123" t="s">
        <v>5705</v>
      </c>
      <c r="AF274" s="52" t="s">
        <v>4789</v>
      </c>
      <c r="AG274" s="52" t="s">
        <v>4789</v>
      </c>
      <c r="AH274" s="52" t="s">
        <v>4677</v>
      </c>
      <c r="AI274" s="52"/>
      <c r="AJ274" s="52"/>
      <c r="AK274" s="52" t="s">
        <v>1785</v>
      </c>
      <c r="AL274" s="52" t="s">
        <v>1682</v>
      </c>
      <c r="AM274" s="52"/>
      <c r="AN274" s="52" t="s">
        <v>1843</v>
      </c>
      <c r="AO274" s="52"/>
      <c r="AP274" s="52"/>
      <c r="AQ274" s="52" t="s">
        <v>0</v>
      </c>
      <c r="AR274" s="52" t="s">
        <v>1879</v>
      </c>
      <c r="AS274" s="52" t="s">
        <v>0</v>
      </c>
      <c r="AT274" s="52" t="s">
        <v>1879</v>
      </c>
      <c r="AU274" s="52"/>
      <c r="AV274" s="52"/>
      <c r="AW274" s="52" t="s">
        <v>0</v>
      </c>
      <c r="AX274" s="52" t="s">
        <v>2945</v>
      </c>
      <c r="AY274" s="52" t="s">
        <v>2957</v>
      </c>
      <c r="AZ274" s="52"/>
      <c r="BA274" s="52" t="s">
        <v>4117</v>
      </c>
      <c r="BB274" s="52"/>
      <c r="BC274" s="52"/>
      <c r="BD274" s="52" t="s">
        <v>1959</v>
      </c>
      <c r="BE274" s="52"/>
      <c r="BF274" s="52" t="s">
        <v>2009</v>
      </c>
      <c r="BG274" s="52" t="s">
        <v>0</v>
      </c>
      <c r="BH274" s="52"/>
      <c r="BI274" s="52"/>
      <c r="BJ274" s="52"/>
      <c r="BK274" s="52" t="s">
        <v>1336</v>
      </c>
      <c r="BL274" s="52" t="s">
        <v>1267</v>
      </c>
      <c r="BM274" s="52"/>
      <c r="BN274" s="52"/>
      <c r="BO274" s="52"/>
      <c r="BP274" s="52"/>
      <c r="BQ274" s="52"/>
      <c r="BR274" s="52"/>
      <c r="BS274" s="52"/>
      <c r="BT274" s="52" t="s">
        <v>3734</v>
      </c>
      <c r="BU274" s="52" t="s">
        <v>3735</v>
      </c>
      <c r="BV274" s="52" t="s">
        <v>3556</v>
      </c>
      <c r="BW274" s="52" t="s">
        <v>0</v>
      </c>
      <c r="BX274" s="52" t="s">
        <v>0</v>
      </c>
      <c r="BY274" s="52" t="s">
        <v>0</v>
      </c>
      <c r="BZ274" s="52" t="s">
        <v>4614</v>
      </c>
      <c r="CA274" s="52"/>
      <c r="CB274" s="52"/>
      <c r="CC274" s="52"/>
      <c r="CD274" s="52" t="s">
        <v>2556</v>
      </c>
      <c r="CE274" s="52" t="s">
        <v>2547</v>
      </c>
      <c r="CF274" s="52"/>
      <c r="CG274" s="52" t="s">
        <v>2234</v>
      </c>
      <c r="CH274" s="52" t="s">
        <v>2258</v>
      </c>
      <c r="CI274" s="52" t="s">
        <v>0</v>
      </c>
      <c r="CJ274" s="52" t="s">
        <v>0</v>
      </c>
      <c r="CK274" s="52" t="s">
        <v>2661</v>
      </c>
      <c r="CL274" s="52"/>
      <c r="CM274" s="52"/>
      <c r="CN274" s="52"/>
      <c r="CO274" s="52" t="s">
        <v>2108</v>
      </c>
      <c r="CP274" s="52" t="s">
        <v>2896</v>
      </c>
      <c r="CQ274" s="52"/>
      <c r="CR274" s="52"/>
      <c r="CS274" s="52"/>
      <c r="CT274" s="52"/>
      <c r="CU274" s="52"/>
      <c r="CV274" s="52"/>
      <c r="CW274" s="52" t="s">
        <v>1150</v>
      </c>
      <c r="CX274" s="52"/>
    </row>
    <row r="275" spans="1:102" s="41" customFormat="1" ht="22.5" customHeight="1">
      <c r="A275" s="31"/>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125"/>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c r="BC275" s="53"/>
      <c r="BD275" s="53"/>
      <c r="BE275" s="53"/>
      <c r="BF275" s="53"/>
      <c r="BG275" s="53"/>
      <c r="BH275" s="53"/>
      <c r="BI275" s="53"/>
      <c r="BJ275" s="53"/>
      <c r="BK275" s="53"/>
      <c r="BL275" s="53"/>
      <c r="BM275" s="53"/>
      <c r="BN275" s="53"/>
      <c r="BO275" s="53"/>
      <c r="BP275" s="53"/>
      <c r="BQ275" s="53"/>
      <c r="BR275" s="53"/>
      <c r="BS275" s="53"/>
      <c r="BT275" s="53"/>
      <c r="BU275" s="53"/>
      <c r="BV275" s="53"/>
      <c r="BW275" s="53"/>
      <c r="BX275" s="53"/>
      <c r="BY275" s="53"/>
      <c r="BZ275" s="53"/>
      <c r="CA275" s="53"/>
      <c r="CB275" s="53"/>
      <c r="CC275" s="53"/>
      <c r="CD275" s="53"/>
      <c r="CE275" s="53"/>
      <c r="CF275" s="53"/>
      <c r="CG275" s="53"/>
      <c r="CH275" s="53"/>
      <c r="CI275" s="53"/>
      <c r="CJ275" s="53"/>
      <c r="CK275" s="53"/>
      <c r="CL275" s="53"/>
      <c r="CM275" s="53"/>
      <c r="CN275" s="53"/>
      <c r="CO275" s="53"/>
      <c r="CP275" s="53"/>
      <c r="CQ275" s="53"/>
      <c r="CR275" s="53"/>
      <c r="CS275" s="53"/>
      <c r="CT275" s="53"/>
      <c r="CU275" s="53"/>
      <c r="CV275" s="53"/>
      <c r="CW275" s="53"/>
      <c r="CX275" s="53"/>
    </row>
    <row r="276" spans="1:102" s="41" customFormat="1" ht="22.5" customHeight="1">
      <c r="A276" s="10" t="s">
        <v>186</v>
      </c>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135"/>
      <c r="AF276" s="48"/>
      <c r="AG276" s="49"/>
      <c r="AH276" s="48"/>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8"/>
      <c r="BH276" s="49"/>
      <c r="BI276" s="48"/>
      <c r="BJ276" s="48"/>
      <c r="BK276" s="48"/>
      <c r="BL276" s="48"/>
      <c r="BM276" s="49"/>
      <c r="BN276" s="49"/>
      <c r="BO276" s="49"/>
      <c r="BP276" s="49"/>
      <c r="BQ276" s="49"/>
      <c r="BR276" s="49"/>
      <c r="BS276" s="49"/>
      <c r="BT276" s="49"/>
      <c r="BU276" s="49"/>
      <c r="BV276" s="49"/>
      <c r="BW276" s="49"/>
      <c r="BX276" s="49"/>
      <c r="BY276" s="49"/>
      <c r="BZ276" s="49"/>
      <c r="CA276" s="49"/>
      <c r="CB276" s="49"/>
      <c r="CC276" s="48"/>
      <c r="CD276" s="49"/>
      <c r="CE276" s="49"/>
      <c r="CF276" s="49"/>
      <c r="CG276" s="48"/>
      <c r="CH276" s="48"/>
      <c r="CI276" s="49"/>
      <c r="CJ276" s="49"/>
      <c r="CK276" s="49"/>
      <c r="CL276" s="49"/>
      <c r="CM276" s="49"/>
      <c r="CN276" s="49"/>
      <c r="CO276" s="49"/>
      <c r="CP276" s="49"/>
      <c r="CQ276" s="49"/>
      <c r="CR276" s="49"/>
      <c r="CS276" s="49"/>
      <c r="CT276" s="49"/>
      <c r="CU276" s="49"/>
      <c r="CV276" s="49"/>
      <c r="CW276" s="48"/>
      <c r="CX276" s="48"/>
    </row>
    <row r="277" spans="1:102" s="41" customFormat="1" ht="22.5" customHeight="1">
      <c r="A277" s="66" t="s">
        <v>187</v>
      </c>
      <c r="B277" s="38" t="s">
        <v>4000</v>
      </c>
      <c r="C277" s="38" t="s">
        <v>465</v>
      </c>
      <c r="D277" s="38" t="s">
        <v>300</v>
      </c>
      <c r="E277" s="38" t="s">
        <v>300</v>
      </c>
      <c r="F277" s="38" t="s">
        <v>300</v>
      </c>
      <c r="G277" s="38" t="s">
        <v>300</v>
      </c>
      <c r="H277" s="38" t="s">
        <v>300</v>
      </c>
      <c r="I277" s="38" t="s">
        <v>300</v>
      </c>
      <c r="J277" s="36" t="s">
        <v>484</v>
      </c>
      <c r="K277" s="36" t="s">
        <v>484</v>
      </c>
      <c r="L277" s="36" t="s">
        <v>484</v>
      </c>
      <c r="M277" s="36" t="s">
        <v>484</v>
      </c>
      <c r="N277" s="36" t="s">
        <v>484</v>
      </c>
      <c r="O277" s="36" t="s">
        <v>484</v>
      </c>
      <c r="P277" s="36" t="s">
        <v>484</v>
      </c>
      <c r="Q277" s="36" t="s">
        <v>484</v>
      </c>
      <c r="R277" s="36" t="s">
        <v>484</v>
      </c>
      <c r="S277" s="36" t="s">
        <v>484</v>
      </c>
      <c r="T277" s="36" t="s">
        <v>484</v>
      </c>
      <c r="U277" s="36" t="s">
        <v>484</v>
      </c>
      <c r="V277" s="36" t="s">
        <v>484</v>
      </c>
      <c r="W277" s="36" t="s">
        <v>484</v>
      </c>
      <c r="X277" s="36" t="s">
        <v>484</v>
      </c>
      <c r="Y277" s="36" t="s">
        <v>484</v>
      </c>
      <c r="Z277" s="36" t="s">
        <v>762</v>
      </c>
      <c r="AA277" s="36" t="s">
        <v>153</v>
      </c>
      <c r="AB277" s="36" t="s">
        <v>153</v>
      </c>
      <c r="AC277" s="36" t="s">
        <v>153</v>
      </c>
      <c r="AD277" s="36" t="s">
        <v>260</v>
      </c>
      <c r="AE277" s="122" t="s">
        <v>5706</v>
      </c>
      <c r="AF277" s="36" t="s">
        <v>4795</v>
      </c>
      <c r="AG277" s="36" t="s">
        <v>4795</v>
      </c>
      <c r="AH277" s="36" t="s">
        <v>4795</v>
      </c>
      <c r="AI277" s="7" t="s">
        <v>317</v>
      </c>
      <c r="AJ277" s="7" t="s">
        <v>317</v>
      </c>
      <c r="AK277" s="7" t="s">
        <v>317</v>
      </c>
      <c r="AL277" s="7" t="s">
        <v>317</v>
      </c>
      <c r="AM277" s="7" t="s">
        <v>456</v>
      </c>
      <c r="AN277" s="7" t="s">
        <v>456</v>
      </c>
      <c r="AO277" s="7" t="s">
        <v>416</v>
      </c>
      <c r="AP277" s="7" t="s">
        <v>416</v>
      </c>
      <c r="AQ277" s="7" t="s">
        <v>416</v>
      </c>
      <c r="AR277" s="7" t="s">
        <v>416</v>
      </c>
      <c r="AS277" s="7" t="s">
        <v>416</v>
      </c>
      <c r="AT277" s="7" t="s">
        <v>416</v>
      </c>
      <c r="AU277" s="36" t="s">
        <v>260</v>
      </c>
      <c r="AV277" s="36" t="s">
        <v>260</v>
      </c>
      <c r="AW277" s="7" t="s">
        <v>3048</v>
      </c>
      <c r="AX277" s="7" t="s">
        <v>3048</v>
      </c>
      <c r="AY277" s="7" t="s">
        <v>3048</v>
      </c>
      <c r="AZ277" s="36" t="s">
        <v>0</v>
      </c>
      <c r="BA277" s="36" t="s">
        <v>4137</v>
      </c>
      <c r="BB277" s="36" t="s">
        <v>300</v>
      </c>
      <c r="BC277" s="36" t="s">
        <v>300</v>
      </c>
      <c r="BD277" s="36" t="s">
        <v>300</v>
      </c>
      <c r="BE277" s="36" t="s">
        <v>300</v>
      </c>
      <c r="BF277" s="36" t="s">
        <v>300</v>
      </c>
      <c r="BG277" s="36" t="s">
        <v>4000</v>
      </c>
      <c r="BH277" s="36" t="s">
        <v>3198</v>
      </c>
      <c r="BI277" s="36" t="s">
        <v>881</v>
      </c>
      <c r="BJ277" s="36" t="s">
        <v>881</v>
      </c>
      <c r="BK277" s="70" t="s">
        <v>1385</v>
      </c>
      <c r="BL277" s="70" t="s">
        <v>1385</v>
      </c>
      <c r="BM277" s="38" t="s">
        <v>392</v>
      </c>
      <c r="BN277" s="38" t="s">
        <v>188</v>
      </c>
      <c r="BO277" s="38" t="s">
        <v>188</v>
      </c>
      <c r="BP277" s="38" t="s">
        <v>189</v>
      </c>
      <c r="BQ277" s="36" t="s">
        <v>850</v>
      </c>
      <c r="BR277" s="38" t="s">
        <v>246</v>
      </c>
      <c r="BS277" s="38" t="s">
        <v>246</v>
      </c>
      <c r="BT277" s="38" t="s">
        <v>246</v>
      </c>
      <c r="BU277" s="38" t="s">
        <v>246</v>
      </c>
      <c r="BV277" s="38" t="s">
        <v>246</v>
      </c>
      <c r="BW277" s="36" t="s">
        <v>2466</v>
      </c>
      <c r="BX277" s="36" t="s">
        <v>2466</v>
      </c>
      <c r="BY277" s="36" t="s">
        <v>2466</v>
      </c>
      <c r="BZ277" s="36" t="s">
        <v>799</v>
      </c>
      <c r="CA277" s="38" t="s">
        <v>344</v>
      </c>
      <c r="CB277" s="38" t="s">
        <v>344</v>
      </c>
      <c r="CC277" s="36" t="s">
        <v>720</v>
      </c>
      <c r="CD277" s="36" t="s">
        <v>2593</v>
      </c>
      <c r="CE277" s="36" t="s">
        <v>2593</v>
      </c>
      <c r="CF277" s="36" t="s">
        <v>524</v>
      </c>
      <c r="CG277" s="36" t="s">
        <v>2318</v>
      </c>
      <c r="CH277" s="36" t="s">
        <v>2318</v>
      </c>
      <c r="CI277" s="38" t="s">
        <v>189</v>
      </c>
      <c r="CJ277" s="38" t="s">
        <v>189</v>
      </c>
      <c r="CK277" s="36" t="s">
        <v>2730</v>
      </c>
      <c r="CL277" s="36" t="s">
        <v>260</v>
      </c>
      <c r="CM277" s="36" t="s">
        <v>260</v>
      </c>
      <c r="CN277" s="36" t="s">
        <v>640</v>
      </c>
      <c r="CO277" s="36" t="s">
        <v>640</v>
      </c>
      <c r="CP277" s="36" t="s">
        <v>640</v>
      </c>
      <c r="CQ277" s="36" t="s">
        <v>684</v>
      </c>
      <c r="CR277" s="36" t="s">
        <v>684</v>
      </c>
      <c r="CS277" s="36" t="s">
        <v>231</v>
      </c>
      <c r="CT277" s="36" t="s">
        <v>231</v>
      </c>
      <c r="CU277" s="36" t="s">
        <v>231</v>
      </c>
      <c r="CV277" s="36" t="s">
        <v>231</v>
      </c>
      <c r="CW277" s="36" t="s">
        <v>317</v>
      </c>
      <c r="CX277" s="36" t="s">
        <v>843</v>
      </c>
    </row>
    <row r="278" spans="1:102" ht="12" customHeight="1">
      <c r="A278" s="51" t="s">
        <v>935</v>
      </c>
      <c r="B278" s="52" t="s">
        <v>0</v>
      </c>
      <c r="C278" s="52"/>
      <c r="D278" s="52"/>
      <c r="E278" s="52"/>
      <c r="F278" s="52"/>
      <c r="G278" s="52"/>
      <c r="H278" s="52"/>
      <c r="I278" s="52"/>
      <c r="J278" s="52"/>
      <c r="K278" s="52"/>
      <c r="L278" s="52"/>
      <c r="M278" s="52"/>
      <c r="N278" s="52"/>
      <c r="O278" s="52"/>
      <c r="P278" s="52"/>
      <c r="Q278" s="52"/>
      <c r="R278" s="52"/>
      <c r="S278" s="52"/>
      <c r="T278" s="52"/>
      <c r="U278" s="52"/>
      <c r="V278" s="52" t="s">
        <v>5247</v>
      </c>
      <c r="W278" s="52" t="s">
        <v>5247</v>
      </c>
      <c r="X278" s="52" t="s">
        <v>5247</v>
      </c>
      <c r="Y278" s="52" t="s">
        <v>5247</v>
      </c>
      <c r="Z278" s="52"/>
      <c r="AA278" s="52"/>
      <c r="AB278" s="52"/>
      <c r="AC278" s="52"/>
      <c r="AD278" s="52"/>
      <c r="AE278" s="123" t="s">
        <v>0</v>
      </c>
      <c r="AF278" s="52" t="s">
        <v>4798</v>
      </c>
      <c r="AG278" s="52" t="s">
        <v>4798</v>
      </c>
      <c r="AH278" s="52" t="s">
        <v>4798</v>
      </c>
      <c r="AI278" s="52"/>
      <c r="AJ278" s="52"/>
      <c r="AK278" s="52" t="s">
        <v>1687</v>
      </c>
      <c r="AL278" s="52" t="s">
        <v>1687</v>
      </c>
      <c r="AM278" s="52"/>
      <c r="AN278" s="52" t="s">
        <v>1811</v>
      </c>
      <c r="AO278" s="52"/>
      <c r="AP278" s="52"/>
      <c r="AQ278" s="52" t="s">
        <v>1443</v>
      </c>
      <c r="AR278" s="52" t="s">
        <v>1443</v>
      </c>
      <c r="AS278" s="52" t="s">
        <v>1443</v>
      </c>
      <c r="AT278" s="52" t="s">
        <v>1443</v>
      </c>
      <c r="AU278" s="52"/>
      <c r="AV278" s="52"/>
      <c r="AW278" s="52" t="s">
        <v>3047</v>
      </c>
      <c r="AX278" s="52" t="s">
        <v>2965</v>
      </c>
      <c r="AY278" s="52" t="s">
        <v>2965</v>
      </c>
      <c r="AZ278" s="52"/>
      <c r="BA278" s="52" t="s">
        <v>1443</v>
      </c>
      <c r="BB278" s="52"/>
      <c r="BC278" s="52"/>
      <c r="BD278" s="52" t="s">
        <v>0</v>
      </c>
      <c r="BE278" s="52"/>
      <c r="BF278" s="52" t="s">
        <v>0</v>
      </c>
      <c r="BG278" s="52" t="s">
        <v>0</v>
      </c>
      <c r="BH278" s="52"/>
      <c r="BI278" s="52"/>
      <c r="BJ278" s="52"/>
      <c r="BK278" s="52" t="s">
        <v>1031</v>
      </c>
      <c r="BL278" s="52" t="s">
        <v>1031</v>
      </c>
      <c r="BM278" s="52"/>
      <c r="BN278" s="52"/>
      <c r="BO278" s="52"/>
      <c r="BP278" s="52"/>
      <c r="BQ278" s="52"/>
      <c r="BR278" s="52"/>
      <c r="BS278" s="52"/>
      <c r="BT278" s="52" t="s">
        <v>3565</v>
      </c>
      <c r="BU278" s="52" t="s">
        <v>3565</v>
      </c>
      <c r="BV278" s="52" t="s">
        <v>3565</v>
      </c>
      <c r="BW278" s="52" t="s">
        <v>2465</v>
      </c>
      <c r="BX278" s="52" t="s">
        <v>2465</v>
      </c>
      <c r="BY278" s="52" t="s">
        <v>2465</v>
      </c>
      <c r="BZ278" s="52" t="s">
        <v>4616</v>
      </c>
      <c r="CA278" s="52"/>
      <c r="CB278" s="52"/>
      <c r="CC278" s="52"/>
      <c r="CD278" s="52" t="s">
        <v>1443</v>
      </c>
      <c r="CE278" s="52" t="s">
        <v>1443</v>
      </c>
      <c r="CF278" s="52"/>
      <c r="CG278" s="52" t="s">
        <v>1031</v>
      </c>
      <c r="CH278" s="52" t="s">
        <v>1031</v>
      </c>
      <c r="CI278" s="52" t="s">
        <v>0</v>
      </c>
      <c r="CJ278" s="52" t="s">
        <v>0</v>
      </c>
      <c r="CK278" s="52" t="s">
        <v>2729</v>
      </c>
      <c r="CL278" s="52"/>
      <c r="CM278" s="52"/>
      <c r="CN278" s="52"/>
      <c r="CO278" s="52" t="s">
        <v>2129</v>
      </c>
      <c r="CP278" s="52" t="s">
        <v>1442</v>
      </c>
      <c r="CQ278" s="52"/>
      <c r="CR278" s="52"/>
      <c r="CS278" s="52"/>
      <c r="CT278" s="52"/>
      <c r="CU278" s="52"/>
      <c r="CV278" s="52"/>
      <c r="CW278" s="52" t="s">
        <v>1031</v>
      </c>
      <c r="CX278" s="52"/>
    </row>
    <row r="279" spans="1:102" s="41" customFormat="1" ht="22.5" customHeight="1">
      <c r="A279" s="2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65"/>
      <c r="AA279" s="53"/>
      <c r="AB279" s="53"/>
      <c r="AC279" s="53"/>
      <c r="AD279" s="65"/>
      <c r="AE279" s="136"/>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53"/>
      <c r="BI279" s="65"/>
      <c r="BJ279" s="65"/>
      <c r="BK279" s="65"/>
      <c r="BL279" s="65"/>
      <c r="BM279" s="53"/>
      <c r="BN279" s="53"/>
      <c r="BO279" s="53"/>
      <c r="BP279" s="53"/>
      <c r="BQ279" s="53"/>
      <c r="BR279" s="53"/>
      <c r="BS279" s="53"/>
      <c r="BT279" s="53"/>
      <c r="BU279" s="53"/>
      <c r="BV279" s="53"/>
      <c r="BW279" s="53"/>
      <c r="BX279" s="53"/>
      <c r="BY279" s="53"/>
      <c r="BZ279" s="53"/>
      <c r="CA279" s="53"/>
      <c r="CB279" s="53"/>
      <c r="CC279" s="53"/>
      <c r="CD279" s="53"/>
      <c r="CE279" s="53"/>
      <c r="CF279" s="53"/>
      <c r="CG279" s="65"/>
      <c r="CH279" s="65"/>
      <c r="CI279" s="53"/>
      <c r="CJ279" s="53"/>
      <c r="CK279" s="53"/>
      <c r="CL279" s="53"/>
      <c r="CM279" s="53"/>
      <c r="CN279" s="53"/>
      <c r="CO279" s="53"/>
      <c r="CP279" s="53"/>
      <c r="CQ279" s="53"/>
      <c r="CR279" s="53"/>
      <c r="CS279" s="65"/>
      <c r="CT279" s="65"/>
      <c r="CU279" s="65"/>
      <c r="CV279" s="65"/>
      <c r="CW279" s="65"/>
      <c r="CX279" s="65"/>
    </row>
    <row r="280" spans="1:102" s="41" customFormat="1" ht="22.5" customHeight="1">
      <c r="A280" s="10" t="s">
        <v>267</v>
      </c>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135"/>
      <c r="AF280" s="48"/>
      <c r="AG280" s="49"/>
      <c r="AH280" s="48"/>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8"/>
      <c r="BH280" s="49"/>
      <c r="BI280" s="48"/>
      <c r="BJ280" s="48"/>
      <c r="BK280" s="48"/>
      <c r="BL280" s="48"/>
      <c r="BM280" s="49"/>
      <c r="BN280" s="49"/>
      <c r="BO280" s="49"/>
      <c r="BP280" s="49"/>
      <c r="BQ280" s="49"/>
      <c r="BR280" s="49"/>
      <c r="BS280" s="49"/>
      <c r="BT280" s="49"/>
      <c r="BU280" s="49"/>
      <c r="BV280" s="49"/>
      <c r="BW280" s="49"/>
      <c r="BX280" s="49"/>
      <c r="BY280" s="49"/>
      <c r="BZ280" s="49"/>
      <c r="CA280" s="49"/>
      <c r="CB280" s="49"/>
      <c r="CC280" s="48"/>
      <c r="CD280" s="49"/>
      <c r="CE280" s="49"/>
      <c r="CF280" s="49"/>
      <c r="CG280" s="48"/>
      <c r="CH280" s="48"/>
      <c r="CI280" s="49"/>
      <c r="CJ280" s="49"/>
      <c r="CK280" s="49"/>
      <c r="CL280" s="49"/>
      <c r="CM280" s="49"/>
      <c r="CN280" s="49"/>
      <c r="CO280" s="49"/>
      <c r="CP280" s="49"/>
      <c r="CQ280" s="49"/>
      <c r="CR280" s="49"/>
      <c r="CS280" s="49"/>
      <c r="CT280" s="49"/>
      <c r="CU280" s="49"/>
      <c r="CV280" s="49"/>
      <c r="CW280" s="48"/>
      <c r="CX280" s="48"/>
    </row>
    <row r="281" spans="1:102" s="41" customFormat="1" ht="342">
      <c r="A281" s="66"/>
      <c r="B281" s="36" t="s">
        <v>0</v>
      </c>
      <c r="C281" s="36" t="s">
        <v>0</v>
      </c>
      <c r="D281" s="36" t="s">
        <v>0</v>
      </c>
      <c r="E281" s="36" t="s">
        <v>388</v>
      </c>
      <c r="F281" s="70" t="s">
        <v>1431</v>
      </c>
      <c r="G281" s="70" t="s">
        <v>1431</v>
      </c>
      <c r="H281" s="70" t="s">
        <v>1431</v>
      </c>
      <c r="I281" s="70" t="s">
        <v>1431</v>
      </c>
      <c r="J281" s="36" t="s">
        <v>0</v>
      </c>
      <c r="K281" s="36" t="s">
        <v>485</v>
      </c>
      <c r="L281" s="36" t="s">
        <v>490</v>
      </c>
      <c r="M281" s="36" t="s">
        <v>0</v>
      </c>
      <c r="N281" s="44" t="s">
        <v>3355</v>
      </c>
      <c r="O281" s="70" t="s">
        <v>1681</v>
      </c>
      <c r="P281" s="36" t="s">
        <v>0</v>
      </c>
      <c r="Q281" s="44" t="s">
        <v>3390</v>
      </c>
      <c r="R281" s="44" t="s">
        <v>3428</v>
      </c>
      <c r="S281" s="36" t="s">
        <v>0</v>
      </c>
      <c r="T281" s="44" t="s">
        <v>3390</v>
      </c>
      <c r="U281" s="44" t="s">
        <v>3428</v>
      </c>
      <c r="V281" s="36" t="s">
        <v>0</v>
      </c>
      <c r="W281" s="36" t="s">
        <v>0</v>
      </c>
      <c r="X281" s="44" t="s">
        <v>5902</v>
      </c>
      <c r="Y281" s="44" t="s">
        <v>5903</v>
      </c>
      <c r="Z281" s="36" t="s">
        <v>751</v>
      </c>
      <c r="AA281" s="36" t="s">
        <v>5486</v>
      </c>
      <c r="AB281" s="36" t="s">
        <v>5487</v>
      </c>
      <c r="AC281" s="36" t="s">
        <v>5487</v>
      </c>
      <c r="AD281" s="36" t="s">
        <v>0</v>
      </c>
      <c r="AE281" s="137" t="s">
        <v>0</v>
      </c>
      <c r="AF281" s="107" t="s">
        <v>4818</v>
      </c>
      <c r="AG281" s="107" t="s">
        <v>4821</v>
      </c>
      <c r="AH281" s="74" t="s">
        <v>4790</v>
      </c>
      <c r="AI281" s="7" t="s">
        <v>444</v>
      </c>
      <c r="AJ281" s="7" t="s">
        <v>445</v>
      </c>
      <c r="AK281" s="92" t="s">
        <v>1783</v>
      </c>
      <c r="AL281" s="92" t="s">
        <v>1784</v>
      </c>
      <c r="AM281" s="7" t="s">
        <v>458</v>
      </c>
      <c r="AN281" s="92" t="s">
        <v>1851</v>
      </c>
      <c r="AO281" s="7" t="s">
        <v>0</v>
      </c>
      <c r="AP281" s="37" t="s">
        <v>417</v>
      </c>
      <c r="AQ281" s="7" t="s">
        <v>0</v>
      </c>
      <c r="AR281" s="93" t="s">
        <v>3063</v>
      </c>
      <c r="AS281" s="7" t="s">
        <v>0</v>
      </c>
      <c r="AT281" s="93" t="s">
        <v>3063</v>
      </c>
      <c r="AU281" s="36" t="s">
        <v>0</v>
      </c>
      <c r="AV281" s="36" t="s">
        <v>0</v>
      </c>
      <c r="AW281" s="37" t="s">
        <v>0</v>
      </c>
      <c r="AX281" s="93" t="s">
        <v>2992</v>
      </c>
      <c r="AY281" s="93" t="s">
        <v>2966</v>
      </c>
      <c r="AZ281" s="36" t="s">
        <v>907</v>
      </c>
      <c r="BA281" s="44" t="s">
        <v>4136</v>
      </c>
      <c r="BB281" s="36" t="s">
        <v>268</v>
      </c>
      <c r="BC281" s="36" t="s">
        <v>268</v>
      </c>
      <c r="BD281" s="36" t="s">
        <v>2046</v>
      </c>
      <c r="BE281" s="36" t="s">
        <v>268</v>
      </c>
      <c r="BF281" s="36" t="s">
        <v>1986</v>
      </c>
      <c r="BG281" s="70" t="s">
        <v>4100</v>
      </c>
      <c r="BH281" s="36" t="s">
        <v>3199</v>
      </c>
      <c r="BI281" s="36" t="s">
        <v>872</v>
      </c>
      <c r="BJ281" s="36" t="s">
        <v>873</v>
      </c>
      <c r="BK281" s="36" t="s">
        <v>1308</v>
      </c>
      <c r="BL281" s="74" t="s">
        <v>1309</v>
      </c>
      <c r="BM281" s="36" t="s">
        <v>0</v>
      </c>
      <c r="BN281" s="36" t="s">
        <v>0</v>
      </c>
      <c r="BO281" s="36" t="s">
        <v>4570</v>
      </c>
      <c r="BP281" s="36" t="s">
        <v>0</v>
      </c>
      <c r="BQ281" s="36" t="s">
        <v>4570</v>
      </c>
      <c r="BR281" s="36" t="s">
        <v>0</v>
      </c>
      <c r="BS281" s="44" t="s">
        <v>3067</v>
      </c>
      <c r="BT281" s="44" t="s">
        <v>3736</v>
      </c>
      <c r="BU281" s="44" t="s">
        <v>3654</v>
      </c>
      <c r="BV281" s="44" t="s">
        <v>3561</v>
      </c>
      <c r="BW281" s="36" t="s">
        <v>0</v>
      </c>
      <c r="BX281" s="36" t="s">
        <v>0</v>
      </c>
      <c r="BY281" s="36" t="s">
        <v>0</v>
      </c>
      <c r="BZ281" s="70" t="s">
        <v>4613</v>
      </c>
      <c r="CA281" s="36" t="s">
        <v>0</v>
      </c>
      <c r="CB281" s="36" t="s">
        <v>345</v>
      </c>
      <c r="CC281" s="36" t="s">
        <v>745</v>
      </c>
      <c r="CD281" s="70" t="s">
        <v>2552</v>
      </c>
      <c r="CE281" s="70" t="s">
        <v>2551</v>
      </c>
      <c r="CF281" s="36" t="s">
        <v>520</v>
      </c>
      <c r="CG281" s="44" t="s">
        <v>2275</v>
      </c>
      <c r="CH281" s="70" t="s">
        <v>2276</v>
      </c>
      <c r="CI281" s="36" t="s">
        <v>0</v>
      </c>
      <c r="CJ281" s="36" t="s">
        <v>0</v>
      </c>
      <c r="CK281" s="70" t="s">
        <v>2703</v>
      </c>
      <c r="CL281" s="36" t="s">
        <v>615</v>
      </c>
      <c r="CM281" s="36" t="s">
        <v>0</v>
      </c>
      <c r="CN281" s="36" t="s">
        <v>0</v>
      </c>
      <c r="CO281" s="36" t="s">
        <v>0</v>
      </c>
      <c r="CP281" s="70" t="s">
        <v>2864</v>
      </c>
      <c r="CQ281" s="36" t="s">
        <v>705</v>
      </c>
      <c r="CR281" s="36" t="s">
        <v>712</v>
      </c>
      <c r="CS281" s="36" t="s">
        <v>0</v>
      </c>
      <c r="CT281" s="36" t="s">
        <v>0</v>
      </c>
      <c r="CU281" s="36" t="s">
        <v>772</v>
      </c>
      <c r="CV281" s="36" t="s">
        <v>3069</v>
      </c>
      <c r="CW281" s="44" t="s">
        <v>1256</v>
      </c>
      <c r="CX281" s="36" t="s">
        <v>848</v>
      </c>
    </row>
    <row r="282" spans="1:102" ht="63">
      <c r="A282" s="51" t="s">
        <v>935</v>
      </c>
      <c r="B282" s="52" t="s">
        <v>0</v>
      </c>
      <c r="C282" s="52"/>
      <c r="D282" s="52"/>
      <c r="E282" s="52"/>
      <c r="F282" s="52" t="s">
        <v>1428</v>
      </c>
      <c r="G282" s="52" t="s">
        <v>1428</v>
      </c>
      <c r="H282" s="52" t="s">
        <v>1428</v>
      </c>
      <c r="I282" s="52" t="s">
        <v>1428</v>
      </c>
      <c r="J282" s="52"/>
      <c r="K282" s="52"/>
      <c r="L282" s="52"/>
      <c r="M282" s="52" t="s">
        <v>0</v>
      </c>
      <c r="N282" s="52" t="s">
        <v>1628</v>
      </c>
      <c r="O282" s="52" t="s">
        <v>1568</v>
      </c>
      <c r="P282" s="52" t="s">
        <v>0</v>
      </c>
      <c r="Q282" s="84" t="s">
        <v>3389</v>
      </c>
      <c r="R282" s="84" t="s">
        <v>3429</v>
      </c>
      <c r="S282" s="52" t="s">
        <v>0</v>
      </c>
      <c r="T282" s="84" t="s">
        <v>3389</v>
      </c>
      <c r="U282" s="84" t="s">
        <v>3429</v>
      </c>
      <c r="V282" s="52" t="s">
        <v>0</v>
      </c>
      <c r="W282" s="52" t="s">
        <v>0</v>
      </c>
      <c r="X282" s="84" t="s">
        <v>5904</v>
      </c>
      <c r="Y282" s="84" t="s">
        <v>5905</v>
      </c>
      <c r="Z282" s="52"/>
      <c r="AA282" s="52"/>
      <c r="AB282" s="52"/>
      <c r="AC282" s="52"/>
      <c r="AD282" s="52"/>
      <c r="AE282" s="138" t="s">
        <v>0</v>
      </c>
      <c r="AF282" s="84" t="s">
        <v>4819</v>
      </c>
      <c r="AG282" s="84" t="s">
        <v>4820</v>
      </c>
      <c r="AH282" s="52" t="s">
        <v>4791</v>
      </c>
      <c r="AI282" s="52"/>
      <c r="AJ282" s="52"/>
      <c r="AK282" s="52" t="s">
        <v>1747</v>
      </c>
      <c r="AL282" s="52" t="s">
        <v>1748</v>
      </c>
      <c r="AM282" s="52"/>
      <c r="AN282" s="52" t="s">
        <v>1852</v>
      </c>
      <c r="AO282" s="52"/>
      <c r="AP282" s="52"/>
      <c r="AQ282" s="52" t="s">
        <v>0</v>
      </c>
      <c r="AR282" s="84" t="s">
        <v>2048</v>
      </c>
      <c r="AS282" s="52" t="s">
        <v>0</v>
      </c>
      <c r="AT282" s="84" t="s">
        <v>2048</v>
      </c>
      <c r="AU282" s="52"/>
      <c r="AV282" s="52"/>
      <c r="AW282" s="52" t="s">
        <v>0</v>
      </c>
      <c r="AX282" s="84" t="s">
        <v>2991</v>
      </c>
      <c r="AY282" s="84" t="s">
        <v>2961</v>
      </c>
      <c r="AZ282" s="52"/>
      <c r="BA282" s="84" t="s">
        <v>4121</v>
      </c>
      <c r="BB282" s="52"/>
      <c r="BC282" s="52"/>
      <c r="BD282" s="52" t="s">
        <v>1985</v>
      </c>
      <c r="BE282" s="52"/>
      <c r="BF282" s="52" t="s">
        <v>1985</v>
      </c>
      <c r="BG282" s="52" t="s">
        <v>4101</v>
      </c>
      <c r="BH282" s="52"/>
      <c r="BI282" s="52"/>
      <c r="BJ282" s="52"/>
      <c r="BK282" s="52" t="s">
        <v>1311</v>
      </c>
      <c r="BL282" s="52" t="s">
        <v>1310</v>
      </c>
      <c r="BM282" s="52"/>
      <c r="BN282" s="52"/>
      <c r="BO282" s="52" t="s">
        <v>4571</v>
      </c>
      <c r="BP282" s="52"/>
      <c r="BQ282" s="52" t="s">
        <v>4571</v>
      </c>
      <c r="BR282" s="52"/>
      <c r="BS282" s="52"/>
      <c r="BT282" s="84" t="s">
        <v>3737</v>
      </c>
      <c r="BU282" s="84" t="s">
        <v>3653</v>
      </c>
      <c r="BV282" s="84" t="s">
        <v>3560</v>
      </c>
      <c r="BW282" s="52" t="s">
        <v>0</v>
      </c>
      <c r="BX282" s="52" t="s">
        <v>0</v>
      </c>
      <c r="BY282" s="52" t="s">
        <v>0</v>
      </c>
      <c r="BZ282" s="52" t="s">
        <v>4612</v>
      </c>
      <c r="CA282" s="52"/>
      <c r="CB282" s="52"/>
      <c r="CC282" s="52"/>
      <c r="CD282" s="52" t="s">
        <v>2556</v>
      </c>
      <c r="CE282" s="52" t="s">
        <v>2547</v>
      </c>
      <c r="CF282" s="52"/>
      <c r="CG282" s="52" t="s">
        <v>3187</v>
      </c>
      <c r="CH282" s="52" t="s">
        <v>3188</v>
      </c>
      <c r="CI282" s="52" t="s">
        <v>0</v>
      </c>
      <c r="CJ282" s="52" t="s">
        <v>0</v>
      </c>
      <c r="CK282" s="84" t="s">
        <v>2683</v>
      </c>
      <c r="CL282" s="52"/>
      <c r="CM282" s="52"/>
      <c r="CN282" s="52"/>
      <c r="CO282" s="52" t="s">
        <v>0</v>
      </c>
      <c r="CP282" s="52" t="s">
        <v>2885</v>
      </c>
      <c r="CQ282" s="52"/>
      <c r="CR282" s="52"/>
      <c r="CS282" s="52"/>
      <c r="CT282" s="52"/>
      <c r="CU282" s="52"/>
      <c r="CV282" s="52"/>
      <c r="CW282" s="52" t="s">
        <v>1150</v>
      </c>
      <c r="CX282" s="52"/>
    </row>
    <row r="283" spans="1:102" ht="22.5" customHeight="1">
      <c r="A283" s="3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139"/>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3"/>
      <c r="BI283" s="71"/>
      <c r="BJ283" s="71"/>
      <c r="BK283" s="71"/>
      <c r="BL283" s="71"/>
      <c r="BM283" s="71"/>
      <c r="BN283" s="73"/>
      <c r="BO283" s="73"/>
      <c r="BP283" s="73"/>
      <c r="BQ283" s="73"/>
      <c r="BR283" s="71"/>
      <c r="BS283" s="71"/>
      <c r="BT283" s="71"/>
      <c r="BU283" s="71"/>
      <c r="BV283" s="71"/>
      <c r="BW283" s="73"/>
      <c r="BX283" s="73"/>
      <c r="BY283" s="73"/>
      <c r="BZ283" s="73"/>
      <c r="CA283" s="73"/>
      <c r="CB283" s="73"/>
      <c r="CC283" s="73"/>
      <c r="CD283" s="73"/>
      <c r="CE283" s="73"/>
      <c r="CF283" s="73"/>
      <c r="CG283" s="71"/>
      <c r="CH283" s="71"/>
      <c r="CI283" s="73"/>
      <c r="CJ283" s="71"/>
      <c r="CK283" s="73"/>
      <c r="CL283" s="73"/>
      <c r="CM283" s="73"/>
      <c r="CN283" s="73"/>
      <c r="CO283" s="73"/>
      <c r="CP283" s="73"/>
      <c r="CQ283" s="73"/>
      <c r="CR283" s="73"/>
      <c r="CS283" s="73"/>
      <c r="CT283" s="73"/>
      <c r="CU283" s="73"/>
      <c r="CV283" s="73"/>
      <c r="CW283" s="71"/>
      <c r="CX283" s="73"/>
    </row>
    <row r="284" spans="1:102" ht="22.5" customHeight="1">
      <c r="A284" s="22" t="s">
        <v>70</v>
      </c>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140"/>
      <c r="AF284" s="50"/>
      <c r="AG284" s="72"/>
      <c r="AH284" s="50"/>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50"/>
      <c r="BH284" s="72"/>
      <c r="BI284" s="50"/>
      <c r="BJ284" s="50"/>
      <c r="BK284" s="50"/>
      <c r="BL284" s="50"/>
      <c r="BM284" s="72"/>
      <c r="BN284" s="72"/>
      <c r="BO284" s="72"/>
      <c r="BP284" s="72"/>
      <c r="BQ284" s="72"/>
      <c r="BR284" s="72"/>
      <c r="BS284" s="72"/>
      <c r="BT284" s="72"/>
      <c r="BU284" s="72"/>
      <c r="BV284" s="72"/>
      <c r="BW284" s="72"/>
      <c r="BX284" s="72"/>
      <c r="BY284" s="72"/>
      <c r="BZ284" s="72"/>
      <c r="CA284" s="72"/>
      <c r="CB284" s="72"/>
      <c r="CC284" s="50"/>
      <c r="CD284" s="72"/>
      <c r="CE284" s="72"/>
      <c r="CF284" s="72"/>
      <c r="CG284" s="50"/>
      <c r="CH284" s="50"/>
      <c r="CI284" s="72"/>
      <c r="CJ284" s="72"/>
      <c r="CK284" s="72"/>
      <c r="CL284" s="72"/>
      <c r="CM284" s="72"/>
      <c r="CN284" s="72"/>
      <c r="CO284" s="72"/>
      <c r="CP284" s="72"/>
      <c r="CQ284" s="72"/>
      <c r="CR284" s="72"/>
      <c r="CS284" s="72"/>
      <c r="CT284" s="72"/>
      <c r="CU284" s="72"/>
      <c r="CV284" s="72"/>
      <c r="CW284" s="50"/>
      <c r="CX284" s="50"/>
    </row>
    <row r="285" spans="1:102" ht="22.5" customHeight="1">
      <c r="A285" s="12"/>
      <c r="B285" s="36" t="s">
        <v>3946</v>
      </c>
      <c r="C285" s="36" t="s">
        <v>460</v>
      </c>
      <c r="D285" s="36" t="s">
        <v>234</v>
      </c>
      <c r="E285" s="36" t="s">
        <v>234</v>
      </c>
      <c r="F285" s="36" t="s">
        <v>3179</v>
      </c>
      <c r="G285" s="36" t="s">
        <v>3179</v>
      </c>
      <c r="H285" s="36" t="s">
        <v>5535</v>
      </c>
      <c r="I285" s="36" t="s">
        <v>5535</v>
      </c>
      <c r="J285" s="36" t="s">
        <v>512</v>
      </c>
      <c r="K285" s="36" t="s">
        <v>478</v>
      </c>
      <c r="L285" s="36" t="s">
        <v>491</v>
      </c>
      <c r="M285" s="36" t="s">
        <v>1484</v>
      </c>
      <c r="N285" s="36" t="s">
        <v>1485</v>
      </c>
      <c r="O285" s="36" t="s">
        <v>1486</v>
      </c>
      <c r="P285" s="36" t="s">
        <v>3337</v>
      </c>
      <c r="Q285" s="36" t="s">
        <v>3338</v>
      </c>
      <c r="R285" s="36" t="s">
        <v>3339</v>
      </c>
      <c r="S285" s="36" t="s">
        <v>4387</v>
      </c>
      <c r="T285" s="36" t="s">
        <v>4388</v>
      </c>
      <c r="U285" s="36" t="s">
        <v>4389</v>
      </c>
      <c r="V285" s="36" t="s">
        <v>5248</v>
      </c>
      <c r="W285" s="36" t="s">
        <v>5249</v>
      </c>
      <c r="X285" s="36" t="s">
        <v>5250</v>
      </c>
      <c r="Y285" s="36" t="s">
        <v>5251</v>
      </c>
      <c r="Z285" s="36" t="s">
        <v>761</v>
      </c>
      <c r="AA285" s="36" t="s">
        <v>3180</v>
      </c>
      <c r="AB285" s="36" t="s">
        <v>3180</v>
      </c>
      <c r="AC285" s="36" t="s">
        <v>3180</v>
      </c>
      <c r="AD285" s="36" t="s">
        <v>3178</v>
      </c>
      <c r="AE285" s="122" t="s">
        <v>5707</v>
      </c>
      <c r="AF285" s="36" t="s">
        <v>4793</v>
      </c>
      <c r="AG285" s="69" t="s">
        <v>4794</v>
      </c>
      <c r="AH285" s="36" t="s">
        <v>4792</v>
      </c>
      <c r="AI285" s="7" t="s">
        <v>446</v>
      </c>
      <c r="AJ285" s="7" t="s">
        <v>446</v>
      </c>
      <c r="AK285" s="7" t="s">
        <v>2425</v>
      </c>
      <c r="AL285" s="7" t="s">
        <v>2425</v>
      </c>
      <c r="AM285" s="7" t="s">
        <v>358</v>
      </c>
      <c r="AN285" s="7" t="s">
        <v>2426</v>
      </c>
      <c r="AO285" s="34" t="s">
        <v>418</v>
      </c>
      <c r="AP285" s="34" t="s">
        <v>418</v>
      </c>
      <c r="AQ285" s="37" t="s">
        <v>2427</v>
      </c>
      <c r="AR285" s="37" t="s">
        <v>2427</v>
      </c>
      <c r="AS285" s="36" t="s">
        <v>3302</v>
      </c>
      <c r="AT285" s="36" t="s">
        <v>3302</v>
      </c>
      <c r="AU285" s="36" t="s">
        <v>2428</v>
      </c>
      <c r="AV285" s="36" t="s">
        <v>2428</v>
      </c>
      <c r="AW285" s="34" t="s">
        <v>2927</v>
      </c>
      <c r="AX285" s="34" t="s">
        <v>2926</v>
      </c>
      <c r="AY285" s="34" t="s">
        <v>2925</v>
      </c>
      <c r="AZ285" s="36" t="s">
        <v>2429</v>
      </c>
      <c r="BA285" s="36" t="s">
        <v>4165</v>
      </c>
      <c r="BB285" s="38" t="s">
        <v>298</v>
      </c>
      <c r="BC285" s="38" t="s">
        <v>800</v>
      </c>
      <c r="BD285" s="36" t="s">
        <v>2075</v>
      </c>
      <c r="BE285" s="38" t="s">
        <v>298</v>
      </c>
      <c r="BF285" s="36" t="s">
        <v>2430</v>
      </c>
      <c r="BG285" s="36" t="s">
        <v>4052</v>
      </c>
      <c r="BH285" s="38" t="s">
        <v>583</v>
      </c>
      <c r="BI285" s="36" t="s">
        <v>855</v>
      </c>
      <c r="BJ285" s="36" t="s">
        <v>855</v>
      </c>
      <c r="BK285" s="36" t="s">
        <v>1266</v>
      </c>
      <c r="BL285" s="36" t="s">
        <v>1266</v>
      </c>
      <c r="BM285" s="36" t="s">
        <v>2431</v>
      </c>
      <c r="BN285" s="38" t="s">
        <v>230</v>
      </c>
      <c r="BO285" s="36" t="s">
        <v>2432</v>
      </c>
      <c r="BP285" s="38" t="s">
        <v>230</v>
      </c>
      <c r="BQ285" s="36" t="s">
        <v>2432</v>
      </c>
      <c r="BR285" s="38" t="s">
        <v>250</v>
      </c>
      <c r="BS285" s="36" t="s">
        <v>2731</v>
      </c>
      <c r="BT285" s="36" t="s">
        <v>3470</v>
      </c>
      <c r="BU285" s="36" t="s">
        <v>3471</v>
      </c>
      <c r="BV285" s="36" t="s">
        <v>3469</v>
      </c>
      <c r="BW285" s="36" t="s">
        <v>3305</v>
      </c>
      <c r="BX285" s="36" t="s">
        <v>3305</v>
      </c>
      <c r="BY285" s="36" t="s">
        <v>3305</v>
      </c>
      <c r="BZ285" s="36" t="s">
        <v>4617</v>
      </c>
      <c r="CA285" s="38" t="s">
        <v>230</v>
      </c>
      <c r="CB285" s="38" t="s">
        <v>230</v>
      </c>
      <c r="CC285" s="36" t="s">
        <v>739</v>
      </c>
      <c r="CD285" s="36" t="s">
        <v>2549</v>
      </c>
      <c r="CE285" s="36" t="s">
        <v>2548</v>
      </c>
      <c r="CF285" s="36" t="s">
        <v>2433</v>
      </c>
      <c r="CG285" s="36" t="s">
        <v>2218</v>
      </c>
      <c r="CH285" s="36" t="s">
        <v>2218</v>
      </c>
      <c r="CI285" s="36" t="s">
        <v>2434</v>
      </c>
      <c r="CJ285" s="36" t="s">
        <v>2434</v>
      </c>
      <c r="CK285" s="36" t="s">
        <v>2631</v>
      </c>
      <c r="CL285" s="36" t="s">
        <v>542</v>
      </c>
      <c r="CM285" s="36" t="s">
        <v>542</v>
      </c>
      <c r="CN285" s="38" t="s">
        <v>632</v>
      </c>
      <c r="CO285" s="36" t="s">
        <v>2119</v>
      </c>
      <c r="CP285" s="36" t="s">
        <v>2813</v>
      </c>
      <c r="CQ285" s="36" t="s">
        <v>2076</v>
      </c>
      <c r="CR285" s="36" t="s">
        <v>2077</v>
      </c>
      <c r="CS285" s="38" t="s">
        <v>229</v>
      </c>
      <c r="CT285" s="38" t="s">
        <v>229</v>
      </c>
      <c r="CU285" s="36" t="s">
        <v>2078</v>
      </c>
      <c r="CV285" s="36" t="s">
        <v>2078</v>
      </c>
      <c r="CW285" s="36" t="s">
        <v>2080</v>
      </c>
      <c r="CX285" s="38" t="s">
        <v>818</v>
      </c>
    </row>
    <row r="286" spans="1:102" ht="9">
      <c r="A286" s="31"/>
      <c r="B286" s="73"/>
      <c r="C286" s="73"/>
      <c r="D286" s="73" t="s">
        <v>65</v>
      </c>
      <c r="E286" s="73" t="s">
        <v>65</v>
      </c>
      <c r="F286" s="73" t="s">
        <v>65</v>
      </c>
      <c r="G286" s="73" t="s">
        <v>65</v>
      </c>
      <c r="H286" s="73" t="s">
        <v>65</v>
      </c>
      <c r="I286" s="73" t="s">
        <v>65</v>
      </c>
      <c r="J286" s="73"/>
      <c r="K286" s="73"/>
      <c r="L286" s="73"/>
      <c r="M286" s="73"/>
      <c r="N286" s="73"/>
      <c r="O286" s="73"/>
      <c r="P286" s="73"/>
      <c r="Q286" s="73"/>
      <c r="R286" s="73"/>
      <c r="S286" s="73"/>
      <c r="T286" s="73"/>
      <c r="U286" s="73"/>
      <c r="V286" s="73"/>
      <c r="W286" s="73"/>
      <c r="X286" s="73"/>
      <c r="Y286" s="73"/>
      <c r="Z286" s="73"/>
      <c r="AA286" s="73"/>
      <c r="AB286" s="73"/>
      <c r="AC286" s="73"/>
      <c r="AD286" s="73" t="s">
        <v>65</v>
      </c>
      <c r="AE286" s="139"/>
      <c r="AF286" s="73"/>
      <c r="AG286" s="73"/>
      <c r="AH286" s="73"/>
      <c r="AI286" s="73"/>
      <c r="AJ286" s="73"/>
      <c r="AK286" s="73"/>
      <c r="AL286" s="73"/>
      <c r="AM286" s="73"/>
      <c r="AN286" s="73"/>
      <c r="AO286" s="73"/>
      <c r="AP286" s="73"/>
      <c r="AQ286" s="73"/>
      <c r="AR286" s="73"/>
      <c r="AS286" s="73" t="s">
        <v>3301</v>
      </c>
      <c r="AT286" s="73" t="s">
        <v>3301</v>
      </c>
      <c r="AU286" s="73"/>
      <c r="AV286" s="73"/>
      <c r="AW286" s="73"/>
      <c r="AX286" s="73"/>
      <c r="AY286" s="73"/>
      <c r="AZ286" s="73"/>
      <c r="BA286" s="73"/>
      <c r="BB286" s="73" t="s">
        <v>65</v>
      </c>
      <c r="BC286" s="73" t="s">
        <v>65</v>
      </c>
      <c r="BD286" s="73"/>
      <c r="BE286" s="73" t="s">
        <v>65</v>
      </c>
      <c r="BF286" s="73"/>
      <c r="BG286" s="73"/>
      <c r="BH286" s="73"/>
      <c r="BI286" s="73"/>
      <c r="BJ286" s="73"/>
      <c r="BK286" s="73"/>
      <c r="BL286" s="73"/>
      <c r="BM286" s="73"/>
      <c r="BN286" s="73" t="s">
        <v>65</v>
      </c>
      <c r="BO286" s="73" t="s">
        <v>65</v>
      </c>
      <c r="BP286" s="73" t="s">
        <v>65</v>
      </c>
      <c r="BQ286" s="73" t="s">
        <v>65</v>
      </c>
      <c r="BR286" s="73" t="s">
        <v>65</v>
      </c>
      <c r="BS286" s="73" t="s">
        <v>65</v>
      </c>
      <c r="BT286" s="73" t="s">
        <v>65</v>
      </c>
      <c r="BU286" s="73" t="s">
        <v>65</v>
      </c>
      <c r="BV286" s="73" t="s">
        <v>65</v>
      </c>
      <c r="BW286" s="73" t="s">
        <v>3304</v>
      </c>
      <c r="BX286" s="73" t="s">
        <v>3304</v>
      </c>
      <c r="BY286" s="73" t="s">
        <v>3304</v>
      </c>
      <c r="BZ286" s="73" t="s">
        <v>65</v>
      </c>
      <c r="CA286" s="73" t="s">
        <v>65</v>
      </c>
      <c r="CB286" s="73" t="s">
        <v>65</v>
      </c>
      <c r="CC286" s="73"/>
      <c r="CD286" s="73"/>
      <c r="CE286" s="73"/>
      <c r="CF286" s="73"/>
      <c r="CG286" s="73"/>
      <c r="CH286" s="73"/>
      <c r="CI286" s="73"/>
      <c r="CJ286" s="71"/>
      <c r="CK286" s="73"/>
      <c r="CL286" s="73"/>
      <c r="CM286" s="73"/>
      <c r="CN286" s="73" t="s">
        <v>65</v>
      </c>
      <c r="CO286" s="73" t="s">
        <v>65</v>
      </c>
      <c r="CP286" s="73" t="s">
        <v>65</v>
      </c>
      <c r="CQ286" s="73"/>
      <c r="CR286" s="73"/>
      <c r="CS286" s="73" t="s">
        <v>65</v>
      </c>
      <c r="CT286" s="73" t="s">
        <v>65</v>
      </c>
      <c r="CU286" s="73" t="s">
        <v>65</v>
      </c>
      <c r="CV286" s="73" t="s">
        <v>65</v>
      </c>
      <c r="CW286" s="73"/>
      <c r="CX286" s="73"/>
    </row>
    <row r="287" spans="1:102" ht="18">
      <c r="B287" s="97" t="s">
        <v>2540</v>
      </c>
      <c r="C287" s="97" t="s">
        <v>2540</v>
      </c>
      <c r="F287" s="97" t="s">
        <v>2540</v>
      </c>
      <c r="G287" s="97" t="s">
        <v>2540</v>
      </c>
      <c r="H287" s="99" t="s">
        <v>5536</v>
      </c>
      <c r="I287" s="99" t="s">
        <v>5536</v>
      </c>
      <c r="M287" s="97" t="s">
        <v>2540</v>
      </c>
      <c r="N287" s="97" t="s">
        <v>2540</v>
      </c>
      <c r="O287" s="97" t="s">
        <v>2540</v>
      </c>
      <c r="P287" s="83" t="s">
        <v>2540</v>
      </c>
      <c r="Q287" s="83" t="s">
        <v>2540</v>
      </c>
      <c r="R287" s="83" t="s">
        <v>2540</v>
      </c>
      <c r="S287" s="83" t="s">
        <v>2540</v>
      </c>
      <c r="T287" s="83" t="s">
        <v>2540</v>
      </c>
      <c r="U287" s="83" t="s">
        <v>2540</v>
      </c>
      <c r="V287" s="99" t="s">
        <v>5537</v>
      </c>
      <c r="W287" s="99" t="s">
        <v>5537</v>
      </c>
      <c r="X287" s="99" t="s">
        <v>5537</v>
      </c>
      <c r="Y287" s="99" t="s">
        <v>5537</v>
      </c>
      <c r="AA287" s="99" t="s">
        <v>5030</v>
      </c>
      <c r="AB287" s="99" t="s">
        <v>5030</v>
      </c>
      <c r="AC287" s="99" t="s">
        <v>5030</v>
      </c>
      <c r="AD287" s="99" t="s">
        <v>5030</v>
      </c>
      <c r="AE287" s="141" t="s">
        <v>5708</v>
      </c>
      <c r="AF287" s="99" t="s">
        <v>5030</v>
      </c>
      <c r="AG287" s="99" t="s">
        <v>5030</v>
      </c>
      <c r="AH287" s="99" t="s">
        <v>5030</v>
      </c>
      <c r="AK287" s="99" t="s">
        <v>5030</v>
      </c>
      <c r="AL287" s="99" t="s">
        <v>5030</v>
      </c>
      <c r="AN287" s="83" t="s">
        <v>2540</v>
      </c>
      <c r="AQ287" s="83" t="s">
        <v>2540</v>
      </c>
      <c r="AR287" s="83" t="s">
        <v>2540</v>
      </c>
      <c r="AS287" s="83" t="s">
        <v>2540</v>
      </c>
      <c r="AT287" s="83" t="s">
        <v>2540</v>
      </c>
      <c r="AU287" s="83" t="s">
        <v>2540</v>
      </c>
      <c r="AV287" s="83" t="s">
        <v>2540</v>
      </c>
      <c r="AZ287" s="83" t="s">
        <v>2540</v>
      </c>
      <c r="BA287" s="99" t="s">
        <v>6297</v>
      </c>
      <c r="BD287" s="83" t="s">
        <v>2540</v>
      </c>
      <c r="BF287" s="83" t="s">
        <v>2540</v>
      </c>
      <c r="BG287" s="83" t="s">
        <v>2540</v>
      </c>
      <c r="BH287" s="78"/>
      <c r="BI287" s="83" t="s">
        <v>2540</v>
      </c>
      <c r="BJ287" s="83" t="s">
        <v>2540</v>
      </c>
      <c r="BK287" s="83" t="s">
        <v>2540</v>
      </c>
      <c r="BL287" s="83" t="s">
        <v>2540</v>
      </c>
      <c r="BM287" s="83" t="s">
        <v>0</v>
      </c>
      <c r="BN287" s="78"/>
      <c r="BO287" s="83" t="s">
        <v>2540</v>
      </c>
      <c r="BP287" s="78"/>
      <c r="BQ287" s="83" t="s">
        <v>2540</v>
      </c>
      <c r="BS287" s="83" t="s">
        <v>2540</v>
      </c>
      <c r="BT287" s="83" t="s">
        <v>2540</v>
      </c>
      <c r="BU287" s="83" t="s">
        <v>2540</v>
      </c>
      <c r="BV287" s="83" t="s">
        <v>2540</v>
      </c>
      <c r="BW287" s="99" t="s">
        <v>5030</v>
      </c>
      <c r="BX287" s="99" t="s">
        <v>5030</v>
      </c>
      <c r="BY287" s="99" t="s">
        <v>5030</v>
      </c>
      <c r="BZ287" s="99" t="s">
        <v>2540</v>
      </c>
      <c r="CA287" s="78"/>
      <c r="CB287" s="78"/>
      <c r="CC287" s="78"/>
      <c r="CD287" s="99" t="s">
        <v>5030</v>
      </c>
      <c r="CE287" s="99" t="s">
        <v>5030</v>
      </c>
      <c r="CF287" s="83" t="s">
        <v>2540</v>
      </c>
      <c r="CG287" s="83" t="s">
        <v>2540</v>
      </c>
      <c r="CH287" s="83" t="s">
        <v>2540</v>
      </c>
      <c r="CI287" s="83" t="s">
        <v>2540</v>
      </c>
      <c r="CJ287" s="83" t="s">
        <v>2540</v>
      </c>
      <c r="CK287" s="83" t="s">
        <v>2540</v>
      </c>
      <c r="CL287" s="78"/>
      <c r="CM287" s="78"/>
      <c r="CN287" s="78"/>
      <c r="CO287" s="83" t="s">
        <v>2540</v>
      </c>
      <c r="CP287" s="83" t="s">
        <v>2540</v>
      </c>
      <c r="CQ287" s="99" t="s">
        <v>5030</v>
      </c>
      <c r="CR287" s="99" t="s">
        <v>5030</v>
      </c>
      <c r="CS287" s="9"/>
      <c r="CT287" s="9"/>
      <c r="CU287" s="83" t="s">
        <v>2540</v>
      </c>
      <c r="CV287" s="83" t="s">
        <v>2540</v>
      </c>
      <c r="CW287" s="83" t="s">
        <v>2540</v>
      </c>
      <c r="CX287" s="9"/>
    </row>
    <row r="288" spans="1:102">
      <c r="BO288" s="78"/>
      <c r="BQ288" s="78"/>
      <c r="BW288" s="78"/>
      <c r="BX288" s="78"/>
      <c r="BY288" s="78"/>
      <c r="BZ288" s="78"/>
      <c r="CD288" s="78"/>
      <c r="CE288" s="78"/>
      <c r="CF288" s="78"/>
      <c r="CI288" s="78"/>
      <c r="CJ288" s="106"/>
      <c r="CK288" s="78"/>
      <c r="CO288" s="78"/>
      <c r="CP288" s="78"/>
      <c r="CQ288" s="78"/>
      <c r="CR288" s="78"/>
      <c r="CS288" s="79"/>
      <c r="CT288" s="79"/>
      <c r="CU288" s="9"/>
      <c r="CV288" s="9"/>
      <c r="CX288" s="79"/>
    </row>
    <row r="289" spans="29:100">
      <c r="AC289" s="162"/>
      <c r="AD289" s="162"/>
      <c r="CU289" s="79"/>
      <c r="CV289" s="79"/>
    </row>
    <row r="290" spans="29:100">
      <c r="AC290" s="162"/>
      <c r="AD290" s="162"/>
    </row>
  </sheetData>
  <customSheetViews>
    <customSheetView guid="{7F75E596-18F6-4BB0-8B05-898440E130DF}" state="hidden">
      <pageMargins left="0.7" right="0.7" top="0.78740157499999996" bottom="0.78740157499999996" header="0.3" footer="0.3"/>
      <pageSetup paperSize="9" orientation="portrait" verticalDpi="0" r:id="rId1"/>
    </customSheetView>
  </customSheetViews>
  <conditionalFormatting sqref="CW86 CW84 BO84 BO86 AE279:AH279 AE225:AH225 AE169:AH169 AE275:AH275 AE177:AH177 AE173:AH173 AE267:AH267 AE18:AH18 AE58:AH58 AE80:AH80 AE89:AH89 AE148:AH148 AE163:AH163 AE115:AH115 AE233:AH233 AE283:AH283 AI86:AZ86 B117:I117 H14:I14 V14:Y14 B62:Y62 AF14:AH14 AK62:AL62 BW14:BY14 CQ14:CR14 CC84 CC86 AF231:AZ231 AF167:AZ167 AF162:AZ162 AF145:AZ145 AF113:AZ113 AR62:AZ62 AF60:AZ60 AF56:AZ56 AF78:AZ78 AF285:AZ285 AF277:AZ277 AF223:AZ223 AF273:AZ273 AF281:AZ281 AF265:AZ265 AF171:AZ171 AF175:AZ175 CF175:CX175 CF171:CX171 CF265:CX265 CF247:CX247 CF229:CX229 CF281:CX281 CF261:CX261 CF253:CX253 CF243:CX243 CF239:CX239 CF237:CX237 CF235:CX235 CF269:CX269 CF273:CX273 CF241:CX241 CF259:CX259 CF227:CX227 CF251:CX251 CF249:CX249 CF257:CX257 CF245:CX245 CF263:CX263 CF223:CX223 CF255:CX255 CF277:CX277 CF285:CX285 CF271:CX271 CF221:CX221 CF219:CX219 CF109:CX109 CF207:CX207 CF42:CX42 CF10:CX10 CF141:CX141 CF156:CX156 CF154:CX154 CF150:CX150 CF70:CX70 CF64:CX64 CF46:CX46 CF36:CX36 CF22:CX22 CF20:CX20 CF6:CX6 CF34:CX34 CF215:CX215 CF199:CX199 CF197:CX197 CF111:CX111 CF107:CX107 CF97:CX97 CF26:CX26 CF191:CX191 CF152:CX152 CF93:CX93 CF76:CX76 CF189:CX189 CF193:CX193 CF12:CX12 CF16:CX16 CF101:CX101 CF28:CX28 CF103:CX103 CF99:CX99 CF201:CX201 CF205:CX205 CF203:CX203 CF183:CX183 CF129:CX129 CF135:CX135 CF30:CX30 CF8:CX8 CF187:CX187 CF78:CX78 CF38:CX38 CF24:CX24 CF44:CX44 CF48:CX48 CF50:CX50 CF52:CX52 CF54:CX54 CF56:CX56 CF32:CX32 CF40:CX40 CF60:CX60 CF62:CX62 CF72:CX72 CF4:CX4 CF82:CX82 CF91:CX91 CF113:CX113 CF179:CX179 CF181:CX181 CF185:CX185 CF195:CX195 CF209:CX209 CF211:CX211 CF213:CX213 CF217:CX217 CF119:CX119 CF121:CX121 CF123:CX123 CF125:CX125 CF133:CX133 CF127:CX127 CF131:CX131 CF137:CX137 CF139:CX139 CF145:CX145 CF143:CX143 CF158:CX158 CF160:CX160 CF162:CX162 CF165:CX165 CF167:CX167 CF66:CX66 CF74:CX74 CF68:CX68 CF95:CX95 CF105:CX105 CF231:CX231 CF117:CX117 CF2:CX2 CF86:CR86 CF84:CR84 B68:AB68 B247:AB247 B229:AB229 B261:AB261 B253:AB253 B243:AB243 B239:AB239 B237:AB237 B235:AB235 B269:AB269 B241:AB241 B259:AB259 B227:AB227 B251:AB251 B249:AB249 B257:AB257 B245:AB245 B263:AB263 B255:AB255 B271:AB271 B221:AB221 B219:AB219 B109:AB109 B207:AB207 B42:AB42 B10:AB10 B141:AB141 B156:AB156 B154:AB154 B150:AB150 B70:AB70 B64:AB64 B46:AB46 B36:AB36 B22:AB22 B20:AB20 B6:AB6 B34:AB34 B215:AB215 B199:AB199 B197:AB197 B111:AB111 B107:AB107 B97:AB97 B26:AB26 B191:AB191 B152:AB152 B93:AB93 B76:AB76 B189:AB189 B193:AB193 B12:AB12 B16:AB16 B101:AB101 B28:AB28 B103:AB103 B99:AB99 B201:AB201 B205:AB205 B203:AB203 B183:AB183 B129:AB129 B135:AB135 B30:AB30 B8:AB8 B187:AB187 B38:AB38 B24:AB24 B44:AB44 B48:AB48 B50:AB50 B52:AB52 B54:AB54 B32:AB32 B40:AB40 B72:AB72 B4:AB4 B82:AB82 B91:AB91 B179:AB179 B181:AB181 B185:AB185 B195:AB195 B209:AB209 B211:AB211 B213:AB213 B217:AB217 B119:AB119 B121:AB121 B123:AB123 B125:AB125 B133:AB133 B127:AB127 B131:AB131 B137:AB137 B139:AB139 B143:AB143 B158:AB158 B160:AB160 B165:AB165 B66:AB66 B74:AB74 B95:AB95 B105:AB105 S117:AB117 B2:AB2 AA62:AB62 B78:AB78 B175:AB175 B171:AB171 B145:AB145 B162:AB162 B167:AB167 B56:AB56 B60:AB60 B113:AB113 B84:AB84 B86:AB86 B231:AB231 B281:AB281 B285:AB285 B223:AB223 B265:AB265 B273:AB273 B277:AB277 AA14:AB14 AE84:AZ84 AE62:AH62 AE2:AZ2 AE117:AZ117 AE105:AZ105 AE95:AZ95 AE74:AZ74 AE66:AZ66 AE165:AZ165 AE160:AZ160 AE158:AZ158 AE143:AZ143 AE139:AZ139 AE137:AZ137 AE131:AZ131 AE127:AZ127 AE133:AZ133 AE125:AZ125 AE123:AZ123 AE121:AZ121 AE119:AZ119 AE217:AZ217 AE213:AZ213 AE211:AZ211 AE209:AZ209 AE195:AZ195 AE185:AZ185 AE181:AZ181 AE179:AZ179 AE91:AZ91 AE82:AZ82 AE4:AZ4 AE72:AZ72 AE40:AZ40 AE32:AZ32 AE54:AZ54 AE52:AZ52 AE50:AZ50 AE48:AZ48 AE44:AZ44 AE24:AZ24 AE38:AZ38 AE187:AZ187 AE8:AZ8 AE30:AZ30 AE135:AZ135 AE129:AZ129 AE183:AZ183 AE203:AZ203 AE205:AZ205 AE201:AZ201 AE99:AZ99 AE103:AZ103 AE28:AZ28 AE101:AZ101 AE16:AZ16 AE12:AZ12 AE193:AZ193 AE189:AZ189 AE76:AZ76 AE93:AZ93 AE152:AZ152 AE191:AZ191 AE26:AZ26 AE97:AZ97 AE107:AZ107 AE111:AZ111 AE197:AZ197 AE199:AZ199 AE215:AZ215 AE34:AZ34 AE6:AZ6 AE20:AZ20 AE22:AZ22 AE36:AZ36 AE46:AZ46 AE64:AZ64 AE70:AZ70 AE150:AZ150 AE154:AZ154 AE156:AZ156 AE141:AZ141 AE10:AZ10 AE42:AZ42 AE207:AZ207 AE109:AZ109 AE219:AZ219 AE221:AZ221 AE271:AZ271 AE255:AZ255 AE263:AZ263 AE245:AZ245 AE257:AZ257 AE249:AZ249 AE251:AZ251 AE227:AZ227 AE259:AZ259 AE241:AZ241 AE269:AZ269 AE235:AZ235 AE237:AZ237 AE239:AZ239 AE243:AZ243 AE253:AZ253 AE261:AZ261 AE229:AZ229 AE247:AZ247 AE68:AZ68 BQ86:BZ86 BQ84:BZ84 BN68:CC68 BN247:CC247 BN229:CC229 BN261:CC261 BN253:CC253 BN243:CC243 BN239:CC239 BN237:CC237 BN235:CC235 BN269:CC269 BN241:CC241 BN259:CC259 BN227:CC227 BN251:CC251 BN249:CC249 BN257:CC257 BN245:CC245 BN263:CC263 BN255:CC255 BN271:CC271 BN221:CC221 BN219:CC219 BN109:CC109 BN207:CC207 BN42:CC42 BN10:CC10 BN141:CC141 BN156:CC156 BN154:CC154 BN150:CC150 BN70:CC70 BN64:CC64 BN46:CC46 BN36:CC36 BN22:CC22 BN20:CC20 BN6:CC6 BN34:CC34 BN215:CC215 BN199:CC199 BN197:CC197 BN111:CC111 BN107:CC107 BN97:CC97 BN26:CC26 BN191:CC191 BN152:CC152 BN93:CC93 BN76:CC76 BN189:CC189 BN193:CC193 BN12:CC12 BN16:CC16 BN101:CC101 BN28:CC28 BN103:CC103 BN99:CC99 BN201:CC201 BN205:CC205 BN203:CC203 BN183:CC183 BN129:CC129 BN135:CC135 BN30:CC30 BN8:CC8 BN187:CC187 BN38:CC38 BN24:CC24 BN44:CC44 BN48:CC48 BN50:CC50 BN52:CC52 BN54:CC54 BN32:CC32 BN40:CC40 BN72:CC72 BN4:CC4 BN82:CC82 BN91:CC91 BN179:CC179 BN181:CC181 BN185:CC185 BN195:CC195 BN209:CC209 BN211:CC211 BN213:CC213 BN217:CC217 BN119:CC119 BN121:CC121 BN123:CC123 BN125:CC125 BN133:CC133 BN127:CC127 BN131:CC131 BN137:CC137 BN139:CC139 BN143:CC143 BN158:CC158 BN160:CC160 BN165:CC165 BN66:CC66 BN74:CC74 BN95:CC95 BN105:CC105 BN117:CC117 BN2:CC2 BN175:CC175 BN171:CC171 BN265:CC265 BN281:CC281 BN273:CC273 BN223:CC223 BN277:CC277 BN285:CC285 BN78:CC78 BN56:CC56 BN60:CC60 BN62:CC62 BN113:CC113 BN145:CC145 BN162:CC162 BN167:CC167 BN231:CC231 BB68:BL68 BB247:BL247 BB229:BL229 BB261:BL261 BB253:BL253 BB243:BL243 BB239:BL239 BB237:BL237 BB235:BL235 BB269:BL269 BB241:BL241 BB259:BL259 BB227:BL227 BB251:BL251 BB249:BL249 BB257:BL257 BB245:BL245 BB263:BL263 BB255:BL255 BB271:BL271 BB221:BL221 BB219:BL219 BB109:BL109 BB207:BL207 BB42:BL42 BB10:BL10 BB141:BL141 BB156:BL156 BB154:BL154 BB150:BL150 BB70:BL70 BB64:BL64 BB46:BL46 BB36:BL36 BB22:BL22 BB20:BL20 BB6:BL6 BB34:BL34 BB215:BL215 BB199:BL199 BB197:BL197 BB111:BL111 BB107:BL107 BB97:BL97 BB26:BL26 BB191:BL191 BB152:BL152 BB93:BL93 BB76:BL76 BB189:BL189 BB193:BL193 BB12:BL12 BB16:BL16 BB101:BL101 BB28:BL28 BB103:BL103 BB99:BL99 BB201:BL201 BB205:BL205 BB203:BL203 BB183:BL183 BB129:BL129 BB135:BL135 BB30:BL30 BB8:BL8 BB187:BL187 BB38:BL38 BB24:BL24 BB44:BL44 BB48:BL48 BB50:BL50 BB52:BL52 BB54:BL54 BB32:BL32 BB40:BL40 BB72:BL72 BB4:BL4 BB82:BL82 BB91:BL91 BB179:BL179 BB181:BL181 BB185:BL185 BB195:BL195 BB209:BL209 BB211:BL211 BB213:BL213 BB217:BL217 BB119:BL119 BB121:BL121 BB123:BL123 BB125:BL125 BB133:BL133 BB127:BL127 BB131:BL131 BB137:BL137 BB139:BL139 BB143:BL143 BB158:BL158 BB160:BL160 BB165:BL165 BB66:BL66 BB74:BL74 BB95:BL95 BB105:BL105 BB117:BL117 BB2:BL2 BB84:BL84 BB175:BL175 BB171:BL171 BB265:BL265 BB281:BL281 BB273:BL273 BB223:BL223 BB277:BL277 BB285:BL285 BB78:BL78 BB56:BL56 BB60:BL60 BB62:BL62 BB113:BL113 BB145:BL145 BB162:BL162 BB167:BL167 BB231:BL231 BB86:BL86">
    <cfRule type="containsBlanks" dxfId="13" priority="186" stopIfTrue="1">
      <formula>LEN(TRIM(B2))=0</formula>
    </cfRule>
  </conditionalFormatting>
  <conditionalFormatting sqref="F287:I287 M287:O287 B287:C287">
    <cfRule type="cellIs" dxfId="12" priority="139" stopIfTrue="1" operator="equal">
      <formula>#REF!</formula>
    </cfRule>
  </conditionalFormatting>
  <conditionalFormatting sqref="CD84:CE84 CD86:CE86 CD219:CE219 CD28:CE28 CD24:CE24 CD10:CE10 CD6:CE6 CD2:CE2 CD117:CE117 CD231:CE231 CD14:CE14 CD105:CE105 CD95:CE95 CD68:CE68 CD74:CE74 CD66:CE66 CD167:CE167 CD165:CE165 CD162:CE162 CD160:CE160 CD158:CE158 CD143:CE143 CD145:CE145 CD139:CE139 CD137:CE137 CD131:CE131 CD127:CE127 CD133:CE133 CD125:CE125 CD123:CE123 CD121:CE121 CD119:CE119 CD217:CE217 CD213:CE213 CD211:CE211 CD209:CE209 CD195:CE195 CD185:CE185 CD181:CE181 CD179:CE179 CD113:CE113 CD91:CE91 CD82:CE82 CD4:CE4 CD72:CE72 CD62:CE62 CD60:CE60 CD40:CE40 CD32:CE32 CD56:CE56 CD54:CE54 CD52:CE52 CD50:CE50 CD48:CE48 CD44:CE44 CD38:CE38 CD78:CE78 CD187:CE187 CD8:CE8 CD30:CE30 CD135:CE135 CD129:CE129 CD183:CE183 CD203:CE203 CD205:CE205 CD201:CE201 CD99:CE99 CD103:CE103 CD101:CE101 CD16:CE16 CD12:CE12 CD193:CE193 CD189:CE189 CD76:CE76 CD93:CE93 CD152:CE152 CD26:CE26 CD97:CE97 CD107:CE107 CD111:CE111 CD197:CE197 CD199:CE199 CD215:CE215 CD34:CE34 CD20:CE20 CD22:CE22 CD36:CE36 CD46:CE46 CD64:CE64 CD70:CE70 CD150:CE150 CD154:CE154 CD156:CE156 CD141:CE141 CD42:CE42 CD109:CE109 CD271:CE271 CD277:CE277 CD255:CE255 CD223:CE223 CD263:CE263 CD245:CE245 CD257:CE257 CD251:CE251 CD227:CE227 CD259:CE259 CD241:CE241 CD273:CE273 CD269:CE269 CD235:CE235 CD239:CE239 CD243:CE243 CD253:CE253 CD261:CE261 CD281:CE281 CD229:CE229 CD247:CE247 CD265:CE265 CD171:CE171 CD175:CE175 CD221:CE221 CD237:CE237 CD191:CE191 CD207:CE207 CD249:CE249 CD285:CE285">
    <cfRule type="containsBlanks" dxfId="11" priority="5" stopIfTrue="1">
      <formula>LEN(TRIM(CD2))=0</formula>
    </cfRule>
  </conditionalFormatting>
  <pageMargins left="0.7" right="0.7" top="0.78740157499999996" bottom="0.78740157499999996"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containsBlanks" priority="2185" stopIfTrue="1" id="{BACFAB6C-C7DC-4869-B498-8DDA3F609AF3}">
            <xm:f>LEN(TRIM('HSR-Daten'!#REF!))=0</xm:f>
            <x14:dxf>
              <fill>
                <patternFill>
                  <bgColor theme="0" tint="-4.9989318521683403E-2"/>
                </patternFill>
              </fill>
            </x14:dxf>
          </x14:cfRule>
          <xm:sqref>BM281 BM285</xm:sqref>
        </x14:conditionalFormatting>
        <x14:conditionalFormatting xmlns:xm="http://schemas.microsoft.com/office/excel/2006/main">
          <x14:cfRule type="containsBlanks" priority="2187" stopIfTrue="1" id="{BACFAB6C-C7DC-4869-B498-8DDA3F609AF3}">
            <xm:f>LEN(TRIM('HSR-Daten'!#REF!))=0</xm:f>
            <x14:dxf>
              <fill>
                <patternFill>
                  <bgColor theme="0" tint="-4.9989318521683403E-2"/>
                </patternFill>
              </fill>
            </x14:dxf>
          </x14:cfRule>
          <xm:sqref>AC281:AD281 AC285:AD285</xm:sqref>
        </x14:conditionalFormatting>
        <x14:conditionalFormatting xmlns:xm="http://schemas.microsoft.com/office/excel/2006/main">
          <x14:cfRule type="containsBlanks" priority="2189" stopIfTrue="1" id="{B134BDC6-C6CD-4BE6-9352-066D239C33B2}">
            <xm:f>LEN(TRIM('HSR-Daten'!#REF!))=0</xm:f>
            <x14:dxf>
              <fill>
                <patternFill>
                  <bgColor theme="0" tint="-4.9989318521683403E-2"/>
                </patternFill>
              </fill>
            </x14:dxf>
          </x14:cfRule>
          <xm:sqref>BA281 BA285</xm:sqref>
        </x14:conditionalFormatting>
        <x14:conditionalFormatting xmlns:xm="http://schemas.microsoft.com/office/excel/2006/main">
          <x14:cfRule type="containsBlanks" priority="2191" stopIfTrue="1" id="{BACFAB6C-C7DC-4869-B498-8DDA3F609AF3}">
            <xm:f>LEN(TRIM('HSR-Daten'!#REF!))=0</xm:f>
            <x14:dxf>
              <fill>
                <patternFill>
                  <bgColor theme="0" tint="-4.9989318521683403E-2"/>
                </patternFill>
              </fill>
            </x14:dxf>
          </x14:cfRule>
          <xm:sqref>BM273 BM277</xm:sqref>
        </x14:conditionalFormatting>
        <x14:conditionalFormatting xmlns:xm="http://schemas.microsoft.com/office/excel/2006/main">
          <x14:cfRule type="containsBlanks" priority="2193" stopIfTrue="1" id="{BACFAB6C-C7DC-4869-B498-8DDA3F609AF3}">
            <xm:f>LEN(TRIM('HSR-Daten'!#REF!))=0</xm:f>
            <x14:dxf>
              <fill>
                <patternFill>
                  <bgColor theme="0" tint="-4.9989318521683403E-2"/>
                </patternFill>
              </fill>
            </x14:dxf>
          </x14:cfRule>
          <xm:sqref>AC277:AD277 AC273:AD273</xm:sqref>
        </x14:conditionalFormatting>
        <x14:conditionalFormatting xmlns:xm="http://schemas.microsoft.com/office/excel/2006/main">
          <x14:cfRule type="containsBlanks" priority="2195" stopIfTrue="1" id="{B134BDC6-C6CD-4BE6-9352-066D239C33B2}">
            <xm:f>LEN(TRIM('HSR-Daten'!#REF!))=0</xm:f>
            <x14:dxf>
              <fill>
                <patternFill>
                  <bgColor theme="0" tint="-4.9989318521683403E-2"/>
                </patternFill>
              </fill>
            </x14:dxf>
          </x14:cfRule>
          <xm:sqref>BA277 BA273</xm:sqref>
        </x14:conditionalFormatting>
        <x14:conditionalFormatting xmlns:xm="http://schemas.microsoft.com/office/excel/2006/main">
          <x14:cfRule type="containsBlanks" priority="2197" stopIfTrue="1" id="{BACFAB6C-C7DC-4869-B498-8DDA3F609AF3}">
            <xm:f>LEN(TRIM('HSR-Daten'!#REF!))=0</xm:f>
            <x14:dxf>
              <fill>
                <patternFill>
                  <bgColor theme="0" tint="-4.9989318521683403E-2"/>
                </patternFill>
              </fill>
            </x14:dxf>
          </x14:cfRule>
          <xm:sqref>BM263 BM259 BM241 BM239 BM261 BM243 BM235 BM223 BM227 BM251 BM255 BM245 BM253 BM113 BM60 BM56 BM54 BM52 BM50 BM48 BM46 BM44 BM42 BM40 BM36 BM32 BM10 BM185 BM181 BM179 BM160 BM158 BM162 BM156 BM154 BM150 BM143 BM139 BM135 BM131 BM129 BM127 BM137 BM133 BM125 BM123 BM121 BM119 BM111 BM107 BM93 BM91 BM82 BM74 BM70 BM64 BM38 BM24 BM22 BM20 BM16 BM109 BM66 BM12 BM105 BM76 BM99 BM97 BM95 BM72 BM14 BM195 BM78 BM229 BM247 BM269 BM28 BM4 BM6 BM30 BM191 BM68 BM221 BM101 BM201 BM219 BM265 BM165 BM34 BM257 BM26 BM8 BM103 BM237 BM167 BM271 BM183 BM152 BM175 BM171 BM2 BM62 BM117 BM141 BM145 BM187 BM189 BM193 BM197 BM199 BM203 BM205 BM209 BM211 BM207 BM213 BM217 BM215 BM231 BM249</xm:sqref>
        </x14:conditionalFormatting>
        <x14:conditionalFormatting xmlns:xm="http://schemas.microsoft.com/office/excel/2006/main">
          <x14:cfRule type="containsBlanks" priority="2317" stopIfTrue="1" id="{BACFAB6C-C7DC-4869-B498-8DDA3F609AF3}">
            <xm:f>LEN(TRIM('HSR-Daten'!#REF!))=0</xm:f>
            <x14:dxf>
              <fill>
                <patternFill>
                  <bgColor theme="0" tint="-4.9989318521683403E-2"/>
                </patternFill>
              </fill>
            </x14:dxf>
          </x14:cfRule>
          <xm:sqref>AC86:AD86 AC84:AD84 AC263:AD263 AC259:AD259 AC241:AD241 AC239:AD239 AC261:AD261 AC243:AD243 AC235:AD235 AC223:AD223 AC227:AD227 AC251:AD251 AC255:AD255 AC245:AD245 AC253:AD253 AC113:AD113 AC60:AD60 AC56:AD56 AC54:AD54 AC52:AD52 AC50:AD50 AC48:AD48 AC46:AD46 AC44:AD44 AC42:AD42 AC40:AD40 AC36:AD36 AC32:AD32 AC10:AD10 AC185:AD185 AC181:AD181 AC179:AD179 AC160:AD160 AC158:AD158 AC162:AD162 AC156:AD156 AC154:AD154 AC150:AD150 AC143:AD143 AC139:AD139 AC135:AD135 AC131:AD131 AC129:AD129 AC127:AD127 AC137:AD137 AC133:AD133 AC125:AD125 AC123:AD123 AC121:AD121 AC119:AD119 AC111:AD111 AC107:AD107 AC93:AD93 AC91:AD91 AC82:AD82 AC74:AD74 AC70:AD70 AC64:AD64 AC38:AD38 AC24:AD24 AC22:AD22 AC20:AD20 AC16:AD16 AC109:AD109 AC66:AD66 AC12:AD12 AC105:AD105 AC76:AD76 AC99:AD99 AC97:AD97 AC95:AD95 AC72:AD72 AC14:AD14 AC195:AD195 AC78:AD78 AC229:AD229 AC247:AD247 AC269:AD269 AC28:AD28 AC4:AD4 AC6:AD6 AC30:AD30 AC191:AD191 AC68:AD68 AC221:AD221 AC101:AD101 AC201:AD201 AC219:AD219 AC265:AD265 AC165:AD165 AC34:AD34 AC257:AD257 AC26:AD26 AC8:AD8 AC103:AD103 AC237:AD237 AC167:AD167 AC271:AD271 AC183:AD183 AC152:AD152 AC175:AD175 AC171:AD171 AC2:AD2 AC62:AD62 AC117:AD117 AC141:AD141 AC145:AD145 AC187:AD187 AC189:AD189 AC193:AD193 AC197:AD197 AC199:AD199 AC203:AD203 AC205:AD205 AC209:AD209 AC211:AD211 AC207:AD207 AC213:AD213 AC217:AD217 AC215:AD215 AC231:AD231 AC249:AD249</xm:sqref>
        </x14:conditionalFormatting>
        <x14:conditionalFormatting xmlns:xm="http://schemas.microsoft.com/office/excel/2006/main">
          <x14:cfRule type="containsBlanks" priority="2439" stopIfTrue="1" id="{B134BDC6-C6CD-4BE6-9352-066D239C33B2}">
            <xm:f>LEN(TRIM('HSR-Daten'!#REF!))=0</xm:f>
            <x14:dxf>
              <fill>
                <patternFill>
                  <bgColor theme="0" tint="-4.9989318521683403E-2"/>
                </patternFill>
              </fill>
            </x14:dxf>
          </x14:cfRule>
          <xm:sqref>BA84 BA86 BA219 BA28 BA24 BA10 BA117 BA231 BA14 BA105 BA95 BA68 BA167 BA165 BA162 BA160 BA158 BA143 BA145 BA139 BA137 BA131 BA127 BA133 BA125 BA123 BA121 BA119 BA217 BA213 BA209 BA181 BA179 BA113 BA91 BA82 BA72 BA62 BA40 BA32 BA56 BA54 BA52 BA50 BA48 BA44 BA38 BA78 BA8 BA135 BA129 BA183 BA203 BA201 BA99 BA103 BA101 BA16 BA12 BA189 BA76 BA93 BA152 BA97 BA111 BA199 BA215 BA20 BA22 BA36 BA46 BA64 BA70 BA150 BA154 BA156 BA141 BA42 BA271 BA255 BA223 BA263 BA251 BA227 BA259 BA241 BA269 BA235 BA239 BA243 BA261 BA229 BA247 BA265 BA171 BA175 BA207 BA249 BA2 BA6 BA26 BA34 BA66 BA74 BA107 BA109 BA185 BA187 BA191 BA193 BA195 BA197 BA205 BA211 BA221 BA237 BA257 BA245 BA253 BA30 BA4 BA60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A10" workbookViewId="0">
      <pane xSplit="1" topLeftCell="E1" activePane="topRight" state="frozen"/>
      <selection pane="topRight" activeCell="G12" sqref="G12"/>
    </sheetView>
  </sheetViews>
  <sheetFormatPr baseColWidth="10" defaultRowHeight="12.75"/>
  <cols>
    <col min="1" max="1" width="22.140625" style="197" customWidth="1"/>
    <col min="3" max="4" width="70.42578125" style="197" customWidth="1"/>
    <col min="5" max="7" width="72.140625" style="197" customWidth="1"/>
    <col min="8" max="8" width="69.85546875" customWidth="1"/>
    <col min="9" max="9" width="88.7109375" customWidth="1"/>
  </cols>
  <sheetData>
    <row r="1" spans="1:9" ht="18" customHeight="1">
      <c r="A1" s="49" t="s">
        <v>6723</v>
      </c>
      <c r="B1" s="49"/>
      <c r="C1" s="49" t="s">
        <v>3738</v>
      </c>
      <c r="D1" s="49" t="s">
        <v>9121</v>
      </c>
      <c r="E1" s="49" t="s">
        <v>7097</v>
      </c>
      <c r="F1" s="49" t="s">
        <v>8077</v>
      </c>
      <c r="G1" s="49" t="s">
        <v>9288</v>
      </c>
      <c r="H1" s="49" t="s">
        <v>7216</v>
      </c>
      <c r="I1" s="49" t="s">
        <v>7559</v>
      </c>
    </row>
    <row r="2" spans="1:9" ht="255">
      <c r="A2" s="197" t="s">
        <v>6724</v>
      </c>
      <c r="G2" s="241" t="s">
        <v>9280</v>
      </c>
      <c r="H2" s="241" t="s">
        <v>9122</v>
      </c>
      <c r="I2" s="241" t="s">
        <v>9287</v>
      </c>
    </row>
    <row r="3" spans="1:9">
      <c r="A3" s="259"/>
      <c r="B3" s="260"/>
      <c r="C3" s="261"/>
      <c r="D3" s="261"/>
      <c r="E3" s="261"/>
      <c r="F3" s="261"/>
      <c r="G3" s="266" t="s">
        <v>9281</v>
      </c>
      <c r="H3" s="261" t="s">
        <v>7292</v>
      </c>
      <c r="I3" s="261"/>
    </row>
    <row r="4" spans="1:9" ht="191.25">
      <c r="A4" s="205" t="s">
        <v>6734</v>
      </c>
      <c r="C4" s="232" t="s">
        <v>6735</v>
      </c>
      <c r="D4" s="232"/>
      <c r="E4" s="232" t="s">
        <v>7656</v>
      </c>
      <c r="F4" s="241" t="s">
        <v>8078</v>
      </c>
      <c r="G4" s="241" t="s">
        <v>9282</v>
      </c>
      <c r="H4" s="232" t="s">
        <v>7217</v>
      </c>
      <c r="I4" s="232" t="s">
        <v>7655</v>
      </c>
    </row>
    <row r="5" spans="1:9">
      <c r="A5" s="259"/>
      <c r="B5" s="260"/>
      <c r="C5" s="261"/>
      <c r="D5" s="261"/>
      <c r="E5" s="261"/>
      <c r="F5" s="261"/>
      <c r="G5" s="266" t="s">
        <v>9283</v>
      </c>
      <c r="H5" s="260"/>
      <c r="I5" s="260"/>
    </row>
    <row r="6" spans="1:9" ht="165.75">
      <c r="A6" s="205" t="s">
        <v>6836</v>
      </c>
      <c r="C6" s="241" t="s">
        <v>6837</v>
      </c>
      <c r="D6" s="241"/>
      <c r="E6" s="241" t="s">
        <v>8079</v>
      </c>
      <c r="F6" s="241" t="s">
        <v>8080</v>
      </c>
      <c r="G6" s="241" t="s">
        <v>9284</v>
      </c>
      <c r="H6" s="241" t="s">
        <v>9285</v>
      </c>
      <c r="I6" s="241" t="s">
        <v>9286</v>
      </c>
    </row>
    <row r="7" spans="1:9">
      <c r="A7" s="205"/>
    </row>
    <row r="8" spans="1:9" ht="306" customHeight="1">
      <c r="A8" s="206" t="s">
        <v>6810</v>
      </c>
      <c r="C8" s="241" t="s">
        <v>7098</v>
      </c>
      <c r="D8" s="241"/>
      <c r="E8" s="232" t="s">
        <v>7100</v>
      </c>
      <c r="F8" s="241" t="s">
        <v>8081</v>
      </c>
      <c r="G8" s="241" t="s">
        <v>9290</v>
      </c>
      <c r="H8" s="232" t="s">
        <v>7284</v>
      </c>
      <c r="I8" s="232"/>
    </row>
    <row r="9" spans="1:9">
      <c r="A9" s="259"/>
      <c r="B9" s="260"/>
      <c r="C9" s="261"/>
      <c r="D9" s="261"/>
      <c r="E9" s="261" t="s">
        <v>7099</v>
      </c>
      <c r="F9" s="266" t="s">
        <v>8085</v>
      </c>
      <c r="G9" s="266" t="s">
        <v>9289</v>
      </c>
      <c r="H9" s="261" t="s">
        <v>7285</v>
      </c>
      <c r="I9" s="261"/>
    </row>
    <row r="10" spans="1:9" ht="220.5" customHeight="1">
      <c r="A10" s="240" t="s">
        <v>6811</v>
      </c>
      <c r="C10" s="241" t="s">
        <v>6812</v>
      </c>
      <c r="D10" s="241"/>
      <c r="E10" s="241" t="s">
        <v>8083</v>
      </c>
      <c r="F10" s="241" t="s">
        <v>8082</v>
      </c>
      <c r="G10" s="241" t="s">
        <v>9291</v>
      </c>
      <c r="H10" s="232" t="s">
        <v>7282</v>
      </c>
      <c r="I10" s="232"/>
    </row>
    <row r="11" spans="1:9" ht="12" customHeight="1">
      <c r="A11" s="262"/>
      <c r="B11" s="260"/>
      <c r="C11" s="263"/>
      <c r="D11" s="263"/>
      <c r="E11" s="264"/>
      <c r="F11" s="263" t="s">
        <v>8084</v>
      </c>
      <c r="G11" s="263" t="s">
        <v>9292</v>
      </c>
      <c r="H11" s="261" t="s">
        <v>7283</v>
      </c>
      <c r="I11" s="261"/>
    </row>
    <row r="12" spans="1:9" ht="409.5" customHeight="1">
      <c r="A12" s="205" t="s">
        <v>6956</v>
      </c>
      <c r="C12" s="232" t="s">
        <v>6957</v>
      </c>
      <c r="D12" s="241" t="s">
        <v>9123</v>
      </c>
      <c r="I12" s="241" t="s">
        <v>7781</v>
      </c>
    </row>
    <row r="13" spans="1:9" ht="409.5" customHeight="1">
      <c r="A13" s="205" t="s">
        <v>7133</v>
      </c>
      <c r="D13" s="241" t="s">
        <v>9120</v>
      </c>
      <c r="E13" s="232" t="s">
        <v>7562</v>
      </c>
      <c r="F13" s="232"/>
      <c r="G13" s="232"/>
      <c r="I13" s="232" t="s">
        <v>7564</v>
      </c>
    </row>
    <row r="14" spans="1:9">
      <c r="A14" s="261"/>
      <c r="B14" s="261"/>
      <c r="C14" s="261"/>
      <c r="D14" s="261"/>
      <c r="E14" s="261" t="s">
        <v>7135</v>
      </c>
      <c r="F14" s="261"/>
      <c r="G14" s="261"/>
      <c r="H14" s="261"/>
      <c r="I14" s="261"/>
    </row>
    <row r="15" spans="1:9" ht="81" customHeight="1">
      <c r="A15" s="207" t="s">
        <v>7560</v>
      </c>
      <c r="E15" s="232" t="s">
        <v>7561</v>
      </c>
      <c r="F15" s="232"/>
      <c r="G15" s="232"/>
      <c r="I15" s="232" t="s">
        <v>7563</v>
      </c>
    </row>
    <row r="16" spans="1:9">
      <c r="A16" s="205"/>
    </row>
    <row r="17" spans="1:1">
      <c r="A17" s="207"/>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85"/>
  <sheetViews>
    <sheetView topLeftCell="A22" workbookViewId="0">
      <selection activeCell="F34" sqref="F34"/>
    </sheetView>
  </sheetViews>
  <sheetFormatPr baseColWidth="10" defaultRowHeight="12.75"/>
  <cols>
    <col min="1" max="1" width="37" customWidth="1"/>
    <col min="2" max="2" width="27.5703125" customWidth="1"/>
  </cols>
  <sheetData>
    <row r="1" spans="1:2" ht="18.75" customHeight="1">
      <c r="A1" s="208" t="s">
        <v>6725</v>
      </c>
      <c r="B1" s="197"/>
    </row>
    <row r="2" spans="1:2" ht="16.5" customHeight="1">
      <c r="A2" s="209">
        <v>43465</v>
      </c>
      <c r="B2" s="210">
        <v>43556</v>
      </c>
    </row>
    <row r="3" spans="1:2">
      <c r="A3" s="201"/>
    </row>
    <row r="4" spans="1:2">
      <c r="A4" s="27" t="s">
        <v>5146</v>
      </c>
    </row>
    <row r="5" spans="1:2">
      <c r="A5" s="27" t="s">
        <v>5147</v>
      </c>
    </row>
    <row r="6" spans="1:2">
      <c r="B6" s="269" t="s">
        <v>3738</v>
      </c>
    </row>
    <row r="7" spans="1:2">
      <c r="B7" s="269" t="s">
        <v>3739</v>
      </c>
    </row>
    <row r="8" spans="1:2">
      <c r="A8" s="105" t="s">
        <v>5490</v>
      </c>
    </row>
    <row r="9" spans="1:2">
      <c r="A9" s="105" t="s">
        <v>5491</v>
      </c>
    </row>
    <row r="10" spans="1:2">
      <c r="A10" s="105" t="s">
        <v>5031</v>
      </c>
      <c r="B10" s="270" t="s">
        <v>5031</v>
      </c>
    </row>
    <row r="11" spans="1:2">
      <c r="A11" s="105" t="s">
        <v>500</v>
      </c>
      <c r="B11" s="270" t="s">
        <v>500</v>
      </c>
    </row>
    <row r="12" spans="1:2">
      <c r="A12" s="105" t="s">
        <v>468</v>
      </c>
      <c r="B12" s="270" t="s">
        <v>468</v>
      </c>
    </row>
    <row r="13" spans="1:2">
      <c r="A13" s="105" t="s">
        <v>486</v>
      </c>
      <c r="B13" s="270" t="s">
        <v>486</v>
      </c>
    </row>
    <row r="14" spans="1:2">
      <c r="A14" s="105" t="s">
        <v>3292</v>
      </c>
    </row>
    <row r="15" spans="1:2">
      <c r="A15" s="105" t="s">
        <v>3293</v>
      </c>
    </row>
    <row r="16" spans="1:2">
      <c r="A16" s="27" t="s">
        <v>5743</v>
      </c>
      <c r="B16" s="27" t="s">
        <v>5743</v>
      </c>
    </row>
    <row r="17" spans="1:2">
      <c r="A17" s="105" t="s">
        <v>4390</v>
      </c>
    </row>
    <row r="18" spans="1:2">
      <c r="A18" s="105" t="s">
        <v>6505</v>
      </c>
    </row>
    <row r="19" spans="1:2">
      <c r="A19" s="105" t="s">
        <v>2320</v>
      </c>
    </row>
    <row r="20" spans="1:2">
      <c r="A20" s="105" t="s">
        <v>2321</v>
      </c>
    </row>
    <row r="21" spans="1:2">
      <c r="A21" s="105" t="s">
        <v>2322</v>
      </c>
    </row>
    <row r="22" spans="1:2">
      <c r="A22" s="211" t="s">
        <v>5322</v>
      </c>
    </row>
    <row r="23" spans="1:2">
      <c r="A23" s="211" t="s">
        <v>5323</v>
      </c>
    </row>
    <row r="24" spans="1:2">
      <c r="A24" s="211" t="s">
        <v>5324</v>
      </c>
    </row>
    <row r="25" spans="1:2">
      <c r="A25" s="105" t="s">
        <v>5966</v>
      </c>
      <c r="B25" s="270" t="s">
        <v>5966</v>
      </c>
    </row>
    <row r="26" spans="1:2">
      <c r="A26" s="105" t="s">
        <v>5965</v>
      </c>
      <c r="B26" s="270" t="s">
        <v>5965</v>
      </c>
    </row>
    <row r="27" spans="1:2">
      <c r="A27" s="105" t="s">
        <v>3437</v>
      </c>
    </row>
    <row r="28" spans="1:2">
      <c r="A28" s="105" t="s">
        <v>404</v>
      </c>
    </row>
    <row r="29" spans="1:2">
      <c r="A29" s="105" t="s">
        <v>405</v>
      </c>
    </row>
    <row r="30" spans="1:2">
      <c r="A30" s="105" t="s">
        <v>346</v>
      </c>
      <c r="B30" s="270" t="s">
        <v>7918</v>
      </c>
    </row>
    <row r="31" spans="1:2">
      <c r="A31" s="105" t="s">
        <v>347</v>
      </c>
      <c r="B31" s="270" t="s">
        <v>7919</v>
      </c>
    </row>
    <row r="32" spans="1:2">
      <c r="A32" s="105" t="s">
        <v>891</v>
      </c>
    </row>
    <row r="33" spans="1:2">
      <c r="A33" s="211" t="s">
        <v>6325</v>
      </c>
    </row>
    <row r="34" spans="1:2">
      <c r="A34" s="211" t="s">
        <v>4113</v>
      </c>
    </row>
    <row r="35" spans="1:2">
      <c r="A35" s="105" t="s">
        <v>909</v>
      </c>
    </row>
    <row r="36" spans="1:2">
      <c r="A36" s="105" t="s">
        <v>6299</v>
      </c>
    </row>
    <row r="37" spans="1:2">
      <c r="A37" s="105" t="s">
        <v>6300</v>
      </c>
      <c r="B37" s="270" t="s">
        <v>6300</v>
      </c>
    </row>
    <row r="38" spans="1:2">
      <c r="A38" s="105" t="s">
        <v>6301</v>
      </c>
      <c r="B38" s="270" t="s">
        <v>6301</v>
      </c>
    </row>
    <row r="39" spans="1:2">
      <c r="A39" s="211" t="s">
        <v>856</v>
      </c>
    </row>
    <row r="40" spans="1:2">
      <c r="A40" s="211" t="s">
        <v>857</v>
      </c>
    </row>
    <row r="41" spans="1:2">
      <c r="A41" s="211" t="s">
        <v>1263</v>
      </c>
    </row>
    <row r="42" spans="1:2">
      <c r="A42" s="211" t="s">
        <v>1291</v>
      </c>
    </row>
    <row r="43" spans="1:2">
      <c r="A43" s="105" t="s">
        <v>3466</v>
      </c>
      <c r="B43" s="270" t="s">
        <v>3466</v>
      </c>
    </row>
    <row r="44" spans="1:2">
      <c r="A44" s="105" t="s">
        <v>3467</v>
      </c>
      <c r="B44" s="270" t="s">
        <v>3467</v>
      </c>
    </row>
    <row r="45" spans="1:2">
      <c r="A45" s="105" t="s">
        <v>3468</v>
      </c>
      <c r="B45" s="270" t="s">
        <v>3468</v>
      </c>
    </row>
    <row r="46" spans="1:2">
      <c r="A46" s="211" t="s">
        <v>4828</v>
      </c>
      <c r="B46" s="271" t="s">
        <v>4828</v>
      </c>
    </row>
    <row r="47" spans="1:2">
      <c r="A47" s="211" t="s">
        <v>5029</v>
      </c>
      <c r="B47" s="271" t="s">
        <v>5029</v>
      </c>
    </row>
    <row r="48" spans="1:2">
      <c r="A48" s="211" t="s">
        <v>4829</v>
      </c>
      <c r="B48" s="271" t="s">
        <v>4829</v>
      </c>
    </row>
    <row r="49" spans="1:2">
      <c r="A49" s="211" t="s">
        <v>4830</v>
      </c>
      <c r="B49" s="271" t="s">
        <v>4830</v>
      </c>
    </row>
    <row r="50" spans="1:2">
      <c r="A50" s="211" t="s">
        <v>265</v>
      </c>
    </row>
    <row r="51" spans="1:2">
      <c r="A51" s="211" t="s">
        <v>266</v>
      </c>
    </row>
    <row r="52" spans="1:2">
      <c r="A52" s="211" t="s">
        <v>55</v>
      </c>
    </row>
    <row r="53" spans="1:2">
      <c r="A53" s="105" t="s">
        <v>3838</v>
      </c>
    </row>
    <row r="54" spans="1:2">
      <c r="A54" s="105" t="s">
        <v>6269</v>
      </c>
    </row>
    <row r="55" spans="1:2">
      <c r="A55" s="105" t="s">
        <v>2217</v>
      </c>
    </row>
    <row r="56" spans="1:2">
      <c r="A56" s="105" t="s">
        <v>2216</v>
      </c>
    </row>
    <row r="57" spans="1:2">
      <c r="A57" s="211" t="s">
        <v>2615</v>
      </c>
    </row>
    <row r="58" spans="1:2">
      <c r="A58" s="211" t="s">
        <v>2617</v>
      </c>
    </row>
    <row r="59" spans="1:2">
      <c r="A59" s="211" t="s">
        <v>2616</v>
      </c>
    </row>
    <row r="60" spans="1:2">
      <c r="A60" s="211" t="s">
        <v>2814</v>
      </c>
    </row>
    <row r="61" spans="1:2">
      <c r="A61" s="211" t="s">
        <v>661</v>
      </c>
    </row>
    <row r="62" spans="1:2">
      <c r="A62" s="211" t="s">
        <v>662</v>
      </c>
    </row>
    <row r="63" spans="1:2">
      <c r="A63" s="211" t="s">
        <v>3752</v>
      </c>
    </row>
    <row r="64" spans="1:2">
      <c r="A64" s="211" t="s">
        <v>3753</v>
      </c>
    </row>
    <row r="65" spans="1:2">
      <c r="A65" s="211" t="s">
        <v>6267</v>
      </c>
    </row>
    <row r="66" spans="1:2">
      <c r="A66" s="211" t="s">
        <v>66</v>
      </c>
      <c r="B66" s="271" t="s">
        <v>66</v>
      </c>
    </row>
    <row r="67" spans="1:2">
      <c r="A67" s="211" t="s">
        <v>105</v>
      </c>
      <c r="B67" s="271" t="s">
        <v>105</v>
      </c>
    </row>
    <row r="68" spans="1:2">
      <c r="A68" s="211" t="s">
        <v>301</v>
      </c>
    </row>
    <row r="69" spans="1:2">
      <c r="A69" s="211" t="s">
        <v>302</v>
      </c>
    </row>
    <row r="70" spans="1:2">
      <c r="A70" s="105" t="s">
        <v>3204</v>
      </c>
    </row>
    <row r="71" spans="1:2">
      <c r="A71" s="211" t="s">
        <v>849</v>
      </c>
    </row>
    <row r="72" spans="1:2">
      <c r="A72" s="167"/>
    </row>
    <row r="73" spans="1:2">
      <c r="A73" s="5"/>
    </row>
    <row r="74" spans="1:2">
      <c r="A74" s="42"/>
    </row>
    <row r="75" spans="1:2">
      <c r="A75" s="5"/>
    </row>
    <row r="76" spans="1:2">
      <c r="A76" s="5"/>
    </row>
    <row r="77" spans="1:2">
      <c r="A77" s="5"/>
    </row>
    <row r="78" spans="1:2">
      <c r="A78" s="5"/>
    </row>
    <row r="79" spans="1:2">
      <c r="A79" s="5"/>
    </row>
    <row r="80" spans="1:2">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row r="477" spans="1:1">
      <c r="A477" s="5"/>
    </row>
    <row r="478" spans="1:1">
      <c r="A478" s="5"/>
    </row>
    <row r="479" spans="1:1">
      <c r="A479" s="5"/>
    </row>
    <row r="480" spans="1:1">
      <c r="A480" s="5"/>
    </row>
    <row r="481" spans="1:1">
      <c r="A481" s="5"/>
    </row>
    <row r="482" spans="1:1">
      <c r="A482" s="5"/>
    </row>
    <row r="483" spans="1:1">
      <c r="A483" s="5"/>
    </row>
    <row r="484" spans="1:1">
      <c r="A484" s="5"/>
    </row>
    <row r="485" spans="1:1">
      <c r="A485" s="5"/>
    </row>
    <row r="486" spans="1:1">
      <c r="A486" s="5"/>
    </row>
    <row r="487" spans="1:1">
      <c r="A487" s="5"/>
    </row>
    <row r="488" spans="1:1">
      <c r="A488" s="5"/>
    </row>
    <row r="489" spans="1:1">
      <c r="A489" s="5"/>
    </row>
    <row r="490" spans="1:1">
      <c r="A490" s="5"/>
    </row>
    <row r="491" spans="1:1">
      <c r="A491" s="5"/>
    </row>
    <row r="492" spans="1:1">
      <c r="A492" s="5"/>
    </row>
    <row r="493" spans="1:1">
      <c r="A493" s="5"/>
    </row>
    <row r="494" spans="1:1">
      <c r="A494" s="5"/>
    </row>
    <row r="495" spans="1:1">
      <c r="A495" s="5"/>
    </row>
    <row r="496" spans="1:1">
      <c r="A496" s="5"/>
    </row>
    <row r="497" spans="1:1">
      <c r="A497" s="5"/>
    </row>
    <row r="498" spans="1:1">
      <c r="A498" s="5"/>
    </row>
    <row r="499" spans="1:1">
      <c r="A499" s="5"/>
    </row>
    <row r="500" spans="1:1">
      <c r="A500" s="5"/>
    </row>
    <row r="501" spans="1:1">
      <c r="A501" s="5"/>
    </row>
    <row r="502" spans="1:1">
      <c r="A502" s="5"/>
    </row>
    <row r="503" spans="1:1">
      <c r="A503" s="5"/>
    </row>
    <row r="504" spans="1:1">
      <c r="A504" s="5"/>
    </row>
    <row r="505" spans="1:1">
      <c r="A505" s="5"/>
    </row>
    <row r="506" spans="1:1">
      <c r="A506" s="5"/>
    </row>
    <row r="507" spans="1:1">
      <c r="A507" s="5"/>
    </row>
    <row r="508" spans="1:1">
      <c r="A508" s="5"/>
    </row>
    <row r="509" spans="1:1">
      <c r="A509" s="5"/>
    </row>
    <row r="510" spans="1:1">
      <c r="A510" s="5"/>
    </row>
    <row r="511" spans="1:1">
      <c r="A511" s="5"/>
    </row>
    <row r="512" spans="1:1">
      <c r="A512" s="5"/>
    </row>
    <row r="513" spans="1:1">
      <c r="A513" s="5"/>
    </row>
    <row r="514" spans="1:1">
      <c r="A514" s="5"/>
    </row>
    <row r="515" spans="1:1">
      <c r="A515" s="5"/>
    </row>
    <row r="516" spans="1:1">
      <c r="A516" s="5"/>
    </row>
    <row r="517" spans="1:1">
      <c r="A517" s="5"/>
    </row>
    <row r="518" spans="1:1">
      <c r="A518" s="5"/>
    </row>
    <row r="519" spans="1:1">
      <c r="A519" s="5"/>
    </row>
    <row r="520" spans="1:1">
      <c r="A520" s="5"/>
    </row>
    <row r="521" spans="1:1">
      <c r="A521" s="5"/>
    </row>
    <row r="522" spans="1:1">
      <c r="A522" s="5"/>
    </row>
    <row r="523" spans="1:1">
      <c r="A523" s="5"/>
    </row>
    <row r="524" spans="1:1">
      <c r="A524" s="5"/>
    </row>
    <row r="525" spans="1:1">
      <c r="A525" s="5"/>
    </row>
    <row r="526" spans="1:1">
      <c r="A526" s="5"/>
    </row>
    <row r="527" spans="1:1">
      <c r="A527" s="5"/>
    </row>
    <row r="528" spans="1:1">
      <c r="A528" s="5"/>
    </row>
    <row r="529" spans="1:1">
      <c r="A529" s="5"/>
    </row>
    <row r="530" spans="1:1">
      <c r="A530" s="5"/>
    </row>
    <row r="531" spans="1:1">
      <c r="A531" s="5"/>
    </row>
    <row r="532" spans="1:1">
      <c r="A532" s="5"/>
    </row>
    <row r="533" spans="1:1">
      <c r="A533" s="5"/>
    </row>
    <row r="534" spans="1:1">
      <c r="A534" s="5"/>
    </row>
    <row r="535" spans="1:1">
      <c r="A535" s="5"/>
    </row>
    <row r="536" spans="1:1">
      <c r="A536" s="5"/>
    </row>
    <row r="537" spans="1:1">
      <c r="A537" s="5"/>
    </row>
    <row r="538" spans="1:1">
      <c r="A538" s="5"/>
    </row>
    <row r="539" spans="1:1">
      <c r="A539" s="5"/>
    </row>
    <row r="540" spans="1:1">
      <c r="A540" s="5"/>
    </row>
    <row r="541" spans="1:1">
      <c r="A541" s="5"/>
    </row>
    <row r="542" spans="1:1">
      <c r="A542" s="5"/>
    </row>
    <row r="543" spans="1:1">
      <c r="A543" s="5"/>
    </row>
    <row r="544" spans="1:1">
      <c r="A544" s="5"/>
    </row>
    <row r="545" spans="1:1">
      <c r="A545" s="5"/>
    </row>
    <row r="546" spans="1:1">
      <c r="A546" s="5"/>
    </row>
    <row r="547" spans="1:1">
      <c r="A547" s="5"/>
    </row>
    <row r="548" spans="1:1">
      <c r="A548" s="5"/>
    </row>
    <row r="549" spans="1:1">
      <c r="A549" s="5"/>
    </row>
    <row r="550" spans="1:1">
      <c r="A550" s="5"/>
    </row>
    <row r="551" spans="1:1">
      <c r="A551" s="5"/>
    </row>
    <row r="552" spans="1:1">
      <c r="A552" s="5"/>
    </row>
    <row r="553" spans="1:1">
      <c r="A553" s="5"/>
    </row>
    <row r="554" spans="1:1">
      <c r="A554" s="5"/>
    </row>
    <row r="555" spans="1:1">
      <c r="A555" s="5"/>
    </row>
    <row r="556" spans="1:1">
      <c r="A556" s="5"/>
    </row>
    <row r="557" spans="1:1">
      <c r="A557" s="5"/>
    </row>
    <row r="558" spans="1:1">
      <c r="A558" s="5"/>
    </row>
    <row r="559" spans="1:1">
      <c r="A559" s="5"/>
    </row>
    <row r="560" spans="1:1">
      <c r="A560" s="5"/>
    </row>
    <row r="561" spans="1:1">
      <c r="A561" s="5"/>
    </row>
    <row r="562" spans="1:1">
      <c r="A562" s="5"/>
    </row>
    <row r="563" spans="1:1">
      <c r="A563" s="5"/>
    </row>
    <row r="564" spans="1:1">
      <c r="A564" s="5"/>
    </row>
    <row r="565" spans="1:1">
      <c r="A565" s="5"/>
    </row>
    <row r="566" spans="1:1">
      <c r="A566" s="5"/>
    </row>
    <row r="567" spans="1:1">
      <c r="A567" s="5"/>
    </row>
    <row r="568" spans="1:1">
      <c r="A568" s="5"/>
    </row>
    <row r="569" spans="1:1">
      <c r="A569" s="5"/>
    </row>
    <row r="570" spans="1:1">
      <c r="A570" s="5"/>
    </row>
    <row r="571" spans="1:1">
      <c r="A571" s="5"/>
    </row>
    <row r="572" spans="1:1">
      <c r="A572" s="5"/>
    </row>
    <row r="573" spans="1:1">
      <c r="A573" s="5"/>
    </row>
    <row r="574" spans="1:1">
      <c r="A574" s="5"/>
    </row>
    <row r="575" spans="1:1">
      <c r="A575" s="5"/>
    </row>
    <row r="576" spans="1:1">
      <c r="A576" s="5"/>
    </row>
    <row r="577" spans="1:1">
      <c r="A577" s="5"/>
    </row>
    <row r="578" spans="1:1">
      <c r="A578" s="5"/>
    </row>
    <row r="579" spans="1:1">
      <c r="A579" s="5"/>
    </row>
    <row r="580" spans="1:1">
      <c r="A580" s="5"/>
    </row>
    <row r="581" spans="1:1">
      <c r="A581" s="5"/>
    </row>
    <row r="582" spans="1:1">
      <c r="A582" s="5"/>
    </row>
    <row r="583" spans="1:1">
      <c r="A583" s="5"/>
    </row>
    <row r="584" spans="1:1">
      <c r="A584" s="5"/>
    </row>
    <row r="585" spans="1:1">
      <c r="A585" s="5"/>
    </row>
    <row r="586" spans="1:1">
      <c r="A586" s="5"/>
    </row>
    <row r="587" spans="1:1">
      <c r="A587" s="5"/>
    </row>
    <row r="588" spans="1:1">
      <c r="A588" s="5"/>
    </row>
    <row r="589" spans="1:1">
      <c r="A589" s="5"/>
    </row>
    <row r="590" spans="1:1">
      <c r="A590" s="5"/>
    </row>
    <row r="591" spans="1:1">
      <c r="A591" s="5"/>
    </row>
    <row r="592" spans="1:1">
      <c r="A592" s="5"/>
    </row>
    <row r="593" spans="1:1">
      <c r="A593" s="5"/>
    </row>
    <row r="594" spans="1:1">
      <c r="A594" s="5"/>
    </row>
    <row r="595" spans="1:1">
      <c r="A595" s="5"/>
    </row>
    <row r="596" spans="1:1">
      <c r="A596" s="5"/>
    </row>
    <row r="597" spans="1:1">
      <c r="A597" s="5"/>
    </row>
    <row r="598" spans="1:1">
      <c r="A598" s="5"/>
    </row>
    <row r="599" spans="1:1">
      <c r="A599" s="5"/>
    </row>
    <row r="600" spans="1:1">
      <c r="A600" s="5"/>
    </row>
    <row r="601" spans="1:1">
      <c r="A601" s="5"/>
    </row>
    <row r="602" spans="1:1">
      <c r="A602" s="5"/>
    </row>
    <row r="603" spans="1:1">
      <c r="A603" s="5"/>
    </row>
    <row r="604" spans="1:1">
      <c r="A604" s="5"/>
    </row>
    <row r="605" spans="1:1">
      <c r="A605" s="5"/>
    </row>
    <row r="606" spans="1:1">
      <c r="A606" s="5"/>
    </row>
    <row r="607" spans="1:1">
      <c r="A607" s="5"/>
    </row>
    <row r="608" spans="1:1">
      <c r="A608" s="5"/>
    </row>
    <row r="609" spans="1:1">
      <c r="A609" s="5"/>
    </row>
    <row r="610" spans="1:1">
      <c r="A610" s="5"/>
    </row>
    <row r="611" spans="1:1">
      <c r="A611" s="5"/>
    </row>
    <row r="612" spans="1:1">
      <c r="A612" s="5"/>
    </row>
    <row r="613" spans="1:1">
      <c r="A613" s="5"/>
    </row>
    <row r="614" spans="1:1">
      <c r="A614" s="5"/>
    </row>
    <row r="615" spans="1:1">
      <c r="A615" s="5"/>
    </row>
    <row r="616" spans="1:1">
      <c r="A616" s="5"/>
    </row>
    <row r="617" spans="1:1">
      <c r="A617" s="5"/>
    </row>
    <row r="618" spans="1:1">
      <c r="A618" s="5"/>
    </row>
    <row r="619" spans="1:1">
      <c r="A619" s="5"/>
    </row>
    <row r="620" spans="1:1">
      <c r="A620" s="5"/>
    </row>
    <row r="621" spans="1:1">
      <c r="A621" s="5"/>
    </row>
    <row r="622" spans="1:1">
      <c r="A622" s="5"/>
    </row>
    <row r="623" spans="1:1">
      <c r="A623" s="5"/>
    </row>
    <row r="624" spans="1:1">
      <c r="A624" s="5"/>
    </row>
    <row r="625" spans="1:1">
      <c r="A625" s="5"/>
    </row>
    <row r="626" spans="1:1">
      <c r="A626" s="5"/>
    </row>
    <row r="627" spans="1:1">
      <c r="A627" s="5"/>
    </row>
    <row r="628" spans="1:1">
      <c r="A628" s="5"/>
    </row>
    <row r="629" spans="1:1">
      <c r="A629" s="5"/>
    </row>
    <row r="630" spans="1:1">
      <c r="A630" s="5"/>
    </row>
    <row r="631" spans="1:1">
      <c r="A631" s="5"/>
    </row>
    <row r="632" spans="1:1">
      <c r="A632" s="5"/>
    </row>
    <row r="633" spans="1:1">
      <c r="A633" s="5"/>
    </row>
    <row r="634" spans="1:1">
      <c r="A634" s="5"/>
    </row>
    <row r="635" spans="1:1">
      <c r="A635" s="5"/>
    </row>
    <row r="636" spans="1:1">
      <c r="A636" s="5"/>
    </row>
    <row r="637" spans="1:1">
      <c r="A637" s="5"/>
    </row>
    <row r="638" spans="1:1">
      <c r="A638" s="5"/>
    </row>
    <row r="639" spans="1:1">
      <c r="A639" s="5"/>
    </row>
    <row r="640" spans="1:1">
      <c r="A640" s="5"/>
    </row>
    <row r="641" spans="1:1">
      <c r="A641" s="5"/>
    </row>
    <row r="642" spans="1:1">
      <c r="A642" s="5"/>
    </row>
    <row r="643" spans="1:1">
      <c r="A643" s="5"/>
    </row>
    <row r="644" spans="1:1">
      <c r="A644" s="5"/>
    </row>
    <row r="645" spans="1:1">
      <c r="A645" s="5"/>
    </row>
    <row r="646" spans="1:1">
      <c r="A646" s="5"/>
    </row>
    <row r="647" spans="1:1">
      <c r="A647" s="5"/>
    </row>
    <row r="648" spans="1:1">
      <c r="A648" s="5"/>
    </row>
    <row r="649" spans="1:1">
      <c r="A649" s="5"/>
    </row>
    <row r="650" spans="1:1">
      <c r="A650" s="5"/>
    </row>
    <row r="651" spans="1:1">
      <c r="A651" s="5"/>
    </row>
    <row r="652" spans="1:1">
      <c r="A652" s="5"/>
    </row>
    <row r="653" spans="1:1">
      <c r="A653" s="5"/>
    </row>
    <row r="654" spans="1:1">
      <c r="A654" s="5"/>
    </row>
    <row r="655" spans="1:1">
      <c r="A655" s="5"/>
    </row>
    <row r="656" spans="1:1">
      <c r="A656" s="5"/>
    </row>
    <row r="657" spans="1:1">
      <c r="A657" s="5"/>
    </row>
    <row r="658" spans="1:1">
      <c r="A658" s="5"/>
    </row>
    <row r="659" spans="1:1">
      <c r="A659" s="5"/>
    </row>
    <row r="660" spans="1:1">
      <c r="A660" s="5"/>
    </row>
    <row r="661" spans="1:1">
      <c r="A661" s="5"/>
    </row>
    <row r="662" spans="1:1">
      <c r="A662" s="5"/>
    </row>
    <row r="663" spans="1:1">
      <c r="A663" s="5"/>
    </row>
    <row r="664" spans="1:1">
      <c r="A664" s="5"/>
    </row>
    <row r="665" spans="1:1">
      <c r="A665" s="5"/>
    </row>
    <row r="666" spans="1:1">
      <c r="A666" s="5"/>
    </row>
    <row r="667" spans="1:1">
      <c r="A667" s="5"/>
    </row>
    <row r="668" spans="1:1">
      <c r="A668" s="5"/>
    </row>
    <row r="669" spans="1:1">
      <c r="A669" s="5"/>
    </row>
    <row r="670" spans="1:1">
      <c r="A670" s="5"/>
    </row>
    <row r="671" spans="1:1">
      <c r="A671" s="5"/>
    </row>
    <row r="672" spans="1:1">
      <c r="A672" s="5"/>
    </row>
    <row r="673" spans="1:1">
      <c r="A673" s="5"/>
    </row>
    <row r="674" spans="1:1">
      <c r="A674" s="5"/>
    </row>
    <row r="675" spans="1:1">
      <c r="A675" s="5"/>
    </row>
    <row r="676" spans="1:1">
      <c r="A676" s="5"/>
    </row>
    <row r="677" spans="1:1">
      <c r="A677" s="5"/>
    </row>
    <row r="678" spans="1:1">
      <c r="A678" s="5"/>
    </row>
    <row r="679" spans="1:1">
      <c r="A679" s="5"/>
    </row>
    <row r="680" spans="1:1">
      <c r="A680" s="5"/>
    </row>
    <row r="681" spans="1:1">
      <c r="A681" s="5"/>
    </row>
    <row r="682" spans="1:1">
      <c r="A682" s="5"/>
    </row>
    <row r="683" spans="1:1">
      <c r="A683" s="5"/>
    </row>
    <row r="684" spans="1:1">
      <c r="A684" s="5"/>
    </row>
    <row r="685" spans="1:1">
      <c r="A685" s="5"/>
    </row>
    <row r="686" spans="1:1">
      <c r="A686" s="5"/>
    </row>
    <row r="687" spans="1:1">
      <c r="A687" s="5"/>
    </row>
    <row r="688" spans="1:1">
      <c r="A688" s="5"/>
    </row>
    <row r="689" spans="1:1">
      <c r="A689" s="5"/>
    </row>
    <row r="690" spans="1:1">
      <c r="A690" s="5"/>
    </row>
    <row r="691" spans="1:1">
      <c r="A691" s="5"/>
    </row>
    <row r="692" spans="1:1">
      <c r="A692" s="5"/>
    </row>
    <row r="693" spans="1:1">
      <c r="A693" s="5"/>
    </row>
    <row r="694" spans="1:1">
      <c r="A694" s="5"/>
    </row>
    <row r="695" spans="1:1">
      <c r="A695" s="5"/>
    </row>
    <row r="696" spans="1:1">
      <c r="A696" s="5"/>
    </row>
    <row r="697" spans="1:1">
      <c r="A697" s="5"/>
    </row>
    <row r="698" spans="1:1">
      <c r="A698" s="5"/>
    </row>
    <row r="699" spans="1:1">
      <c r="A699" s="5"/>
    </row>
    <row r="700" spans="1:1">
      <c r="A700" s="5"/>
    </row>
    <row r="701" spans="1:1">
      <c r="A701" s="5"/>
    </row>
    <row r="702" spans="1:1">
      <c r="A702" s="5"/>
    </row>
    <row r="703" spans="1:1">
      <c r="A703" s="5"/>
    </row>
    <row r="704" spans="1:1">
      <c r="A704" s="5"/>
    </row>
    <row r="705" spans="1:1">
      <c r="A705" s="5"/>
    </row>
    <row r="706" spans="1:1">
      <c r="A706" s="5"/>
    </row>
    <row r="707" spans="1:1">
      <c r="A707" s="5"/>
    </row>
    <row r="708" spans="1:1">
      <c r="A708" s="5"/>
    </row>
    <row r="709" spans="1:1">
      <c r="A709" s="5"/>
    </row>
    <row r="710" spans="1:1">
      <c r="A710" s="5"/>
    </row>
    <row r="711" spans="1:1">
      <c r="A711" s="5"/>
    </row>
    <row r="712" spans="1:1">
      <c r="A712" s="5"/>
    </row>
    <row r="713" spans="1:1">
      <c r="A713" s="5"/>
    </row>
    <row r="714" spans="1:1">
      <c r="A714" s="5"/>
    </row>
    <row r="715" spans="1:1">
      <c r="A715" s="5"/>
    </row>
    <row r="716" spans="1:1">
      <c r="A716" s="5"/>
    </row>
    <row r="717" spans="1:1">
      <c r="A717" s="5"/>
    </row>
    <row r="718" spans="1:1">
      <c r="A718" s="5"/>
    </row>
    <row r="719" spans="1:1">
      <c r="A719" s="5"/>
    </row>
    <row r="720" spans="1:1">
      <c r="A720" s="5"/>
    </row>
    <row r="721" spans="1:1">
      <c r="A721" s="5"/>
    </row>
    <row r="722" spans="1:1">
      <c r="A722" s="5"/>
    </row>
    <row r="723" spans="1:1">
      <c r="A723" s="5"/>
    </row>
    <row r="724" spans="1:1">
      <c r="A724" s="5"/>
    </row>
    <row r="725" spans="1:1">
      <c r="A725" s="5"/>
    </row>
    <row r="726" spans="1:1">
      <c r="A726" s="5"/>
    </row>
    <row r="727" spans="1:1">
      <c r="A727" s="5"/>
    </row>
    <row r="728" spans="1:1">
      <c r="A728" s="5"/>
    </row>
    <row r="729" spans="1:1">
      <c r="A729" s="5"/>
    </row>
    <row r="730" spans="1:1">
      <c r="A730" s="5"/>
    </row>
    <row r="731" spans="1:1">
      <c r="A731" s="5"/>
    </row>
    <row r="732" spans="1:1">
      <c r="A732" s="5"/>
    </row>
    <row r="733" spans="1:1">
      <c r="A733" s="5"/>
    </row>
    <row r="734" spans="1:1">
      <c r="A734" s="5"/>
    </row>
    <row r="735" spans="1:1">
      <c r="A735" s="5"/>
    </row>
    <row r="736" spans="1:1">
      <c r="A736" s="5"/>
    </row>
    <row r="737" spans="1:1">
      <c r="A737" s="5"/>
    </row>
    <row r="738" spans="1:1">
      <c r="A738" s="5"/>
    </row>
    <row r="739" spans="1:1">
      <c r="A739" s="5"/>
    </row>
    <row r="740" spans="1:1">
      <c r="A740" s="5"/>
    </row>
    <row r="741" spans="1:1">
      <c r="A741" s="5"/>
    </row>
    <row r="742" spans="1:1">
      <c r="A742" s="5"/>
    </row>
    <row r="743" spans="1:1">
      <c r="A743" s="5"/>
    </row>
    <row r="744" spans="1:1">
      <c r="A744" s="5"/>
    </row>
    <row r="745" spans="1:1">
      <c r="A745" s="5"/>
    </row>
    <row r="746" spans="1:1">
      <c r="A746" s="5"/>
    </row>
    <row r="747" spans="1:1">
      <c r="A747" s="5"/>
    </row>
    <row r="748" spans="1:1">
      <c r="A748" s="5"/>
    </row>
    <row r="749" spans="1:1">
      <c r="A749" s="5"/>
    </row>
    <row r="750" spans="1:1">
      <c r="A750" s="5"/>
    </row>
    <row r="751" spans="1:1">
      <c r="A751" s="5"/>
    </row>
    <row r="752" spans="1:1">
      <c r="A752" s="5"/>
    </row>
    <row r="753" spans="1:1">
      <c r="A753" s="5"/>
    </row>
    <row r="754" spans="1:1">
      <c r="A754" s="5"/>
    </row>
    <row r="755" spans="1:1">
      <c r="A755" s="5"/>
    </row>
    <row r="756" spans="1:1">
      <c r="A756" s="5"/>
    </row>
    <row r="757" spans="1:1">
      <c r="A757" s="5"/>
    </row>
    <row r="758" spans="1:1">
      <c r="A758" s="5"/>
    </row>
    <row r="759" spans="1:1">
      <c r="A759" s="5"/>
    </row>
    <row r="760" spans="1:1">
      <c r="A760" s="5"/>
    </row>
    <row r="761" spans="1:1">
      <c r="A761" s="5"/>
    </row>
    <row r="762" spans="1:1">
      <c r="A762" s="5"/>
    </row>
    <row r="763" spans="1:1">
      <c r="A763" s="5"/>
    </row>
    <row r="764" spans="1:1">
      <c r="A764" s="5"/>
    </row>
    <row r="765" spans="1:1">
      <c r="A765" s="5"/>
    </row>
    <row r="766" spans="1:1">
      <c r="A766" s="5"/>
    </row>
    <row r="767" spans="1:1">
      <c r="A767" s="5"/>
    </row>
    <row r="768" spans="1:1">
      <c r="A768" s="5"/>
    </row>
    <row r="769" spans="1:1">
      <c r="A769" s="5"/>
    </row>
    <row r="770" spans="1:1">
      <c r="A770" s="5"/>
    </row>
    <row r="771" spans="1:1">
      <c r="A771" s="5"/>
    </row>
    <row r="772" spans="1:1">
      <c r="A772" s="5"/>
    </row>
    <row r="773" spans="1:1">
      <c r="A773" s="5"/>
    </row>
    <row r="774" spans="1:1">
      <c r="A774" s="5"/>
    </row>
    <row r="775" spans="1:1">
      <c r="A775" s="5"/>
    </row>
    <row r="776" spans="1:1">
      <c r="A776" s="5"/>
    </row>
    <row r="777" spans="1:1">
      <c r="A777" s="5"/>
    </row>
    <row r="778" spans="1:1">
      <c r="A778" s="5"/>
    </row>
    <row r="779" spans="1:1">
      <c r="A779" s="5"/>
    </row>
    <row r="780" spans="1:1">
      <c r="A780" s="5"/>
    </row>
    <row r="781" spans="1:1">
      <c r="A781" s="5"/>
    </row>
    <row r="782" spans="1:1">
      <c r="A782" s="5"/>
    </row>
    <row r="783" spans="1:1">
      <c r="A783" s="5"/>
    </row>
    <row r="784" spans="1:1">
      <c r="A784" s="5"/>
    </row>
    <row r="785" spans="1:1">
      <c r="A785" s="5"/>
    </row>
    <row r="786" spans="1:1">
      <c r="A786" s="5"/>
    </row>
    <row r="787" spans="1:1">
      <c r="A787" s="5"/>
    </row>
    <row r="788" spans="1:1">
      <c r="A788" s="5"/>
    </row>
    <row r="789" spans="1:1">
      <c r="A789" s="5"/>
    </row>
    <row r="790" spans="1:1">
      <c r="A790" s="5"/>
    </row>
    <row r="791" spans="1:1">
      <c r="A791" s="5"/>
    </row>
    <row r="792" spans="1:1">
      <c r="A792" s="5"/>
    </row>
    <row r="793" spans="1:1">
      <c r="A793" s="5"/>
    </row>
    <row r="794" spans="1:1">
      <c r="A794" s="5"/>
    </row>
    <row r="795" spans="1:1">
      <c r="A795" s="5"/>
    </row>
    <row r="796" spans="1:1">
      <c r="A796" s="5"/>
    </row>
    <row r="797" spans="1:1">
      <c r="A797" s="5"/>
    </row>
    <row r="798" spans="1:1">
      <c r="A798" s="5"/>
    </row>
    <row r="799" spans="1:1">
      <c r="A799" s="5"/>
    </row>
    <row r="800" spans="1:1">
      <c r="A800" s="5"/>
    </row>
    <row r="801" spans="1:1">
      <c r="A801" s="5"/>
    </row>
    <row r="802" spans="1:1">
      <c r="A802" s="5"/>
    </row>
    <row r="803" spans="1:1">
      <c r="A803" s="5"/>
    </row>
    <row r="804" spans="1:1">
      <c r="A804" s="5"/>
    </row>
    <row r="805" spans="1:1">
      <c r="A805" s="5"/>
    </row>
    <row r="806" spans="1:1">
      <c r="A806" s="5"/>
    </row>
    <row r="807" spans="1:1">
      <c r="A807" s="5"/>
    </row>
    <row r="808" spans="1:1">
      <c r="A808" s="5"/>
    </row>
    <row r="809" spans="1:1">
      <c r="A809" s="5"/>
    </row>
    <row r="810" spans="1:1">
      <c r="A810" s="5"/>
    </row>
    <row r="811" spans="1:1">
      <c r="A811" s="5"/>
    </row>
    <row r="812" spans="1:1">
      <c r="A812" s="5"/>
    </row>
    <row r="813" spans="1:1">
      <c r="A813" s="5"/>
    </row>
    <row r="814" spans="1:1">
      <c r="A814" s="5"/>
    </row>
    <row r="815" spans="1:1">
      <c r="A815" s="5"/>
    </row>
    <row r="816" spans="1:1">
      <c r="A816" s="5"/>
    </row>
    <row r="817" spans="1:1">
      <c r="A817" s="5"/>
    </row>
    <row r="818" spans="1:1">
      <c r="A818" s="5"/>
    </row>
    <row r="819" spans="1:1">
      <c r="A819" s="5"/>
    </row>
    <row r="820" spans="1:1">
      <c r="A820" s="5"/>
    </row>
    <row r="821" spans="1:1">
      <c r="A821" s="5"/>
    </row>
    <row r="822" spans="1:1">
      <c r="A822" s="5"/>
    </row>
    <row r="823" spans="1:1">
      <c r="A823" s="5"/>
    </row>
    <row r="824" spans="1:1">
      <c r="A824" s="5"/>
    </row>
    <row r="825" spans="1:1">
      <c r="A825" s="5"/>
    </row>
    <row r="826" spans="1:1">
      <c r="A826" s="5"/>
    </row>
    <row r="827" spans="1:1">
      <c r="A827" s="5"/>
    </row>
    <row r="828" spans="1:1">
      <c r="A828" s="5"/>
    </row>
    <row r="829" spans="1:1">
      <c r="A829" s="5"/>
    </row>
    <row r="830" spans="1:1">
      <c r="A830" s="5"/>
    </row>
    <row r="831" spans="1:1">
      <c r="A831" s="5"/>
    </row>
    <row r="832" spans="1:1">
      <c r="A832" s="5"/>
    </row>
    <row r="833" spans="1:1">
      <c r="A833" s="5"/>
    </row>
    <row r="834" spans="1:1">
      <c r="A834" s="5"/>
    </row>
    <row r="835" spans="1:1">
      <c r="A835" s="5"/>
    </row>
    <row r="836" spans="1:1">
      <c r="A836" s="5"/>
    </row>
    <row r="837" spans="1:1">
      <c r="A837" s="5"/>
    </row>
    <row r="838" spans="1:1">
      <c r="A838" s="5"/>
    </row>
    <row r="839" spans="1:1">
      <c r="A839" s="5"/>
    </row>
    <row r="840" spans="1:1">
      <c r="A840" s="5"/>
    </row>
    <row r="841" spans="1:1">
      <c r="A841" s="5"/>
    </row>
    <row r="842" spans="1:1">
      <c r="A842" s="5"/>
    </row>
    <row r="843" spans="1:1">
      <c r="A843" s="5"/>
    </row>
    <row r="844" spans="1:1">
      <c r="A844" s="5"/>
    </row>
    <row r="845" spans="1:1">
      <c r="A845" s="5"/>
    </row>
    <row r="846" spans="1:1">
      <c r="A846" s="5"/>
    </row>
    <row r="847" spans="1:1">
      <c r="A847" s="5"/>
    </row>
    <row r="848" spans="1:1">
      <c r="A848" s="5"/>
    </row>
    <row r="849" spans="1:1">
      <c r="A849" s="5"/>
    </row>
    <row r="850" spans="1:1">
      <c r="A850" s="5"/>
    </row>
    <row r="851" spans="1:1">
      <c r="A851" s="5"/>
    </row>
    <row r="852" spans="1:1">
      <c r="A852" s="5"/>
    </row>
    <row r="853" spans="1:1">
      <c r="A853" s="5"/>
    </row>
    <row r="854" spans="1:1">
      <c r="A854" s="5"/>
    </row>
    <row r="855" spans="1:1">
      <c r="A855" s="5"/>
    </row>
    <row r="856" spans="1:1">
      <c r="A856" s="5"/>
    </row>
    <row r="857" spans="1:1">
      <c r="A857" s="5"/>
    </row>
    <row r="858" spans="1:1">
      <c r="A858" s="5"/>
    </row>
    <row r="859" spans="1:1">
      <c r="A859" s="5"/>
    </row>
    <row r="860" spans="1:1">
      <c r="A860" s="5"/>
    </row>
    <row r="861" spans="1:1">
      <c r="A861" s="5"/>
    </row>
    <row r="862" spans="1:1">
      <c r="A862" s="5"/>
    </row>
    <row r="863" spans="1:1">
      <c r="A863" s="5"/>
    </row>
    <row r="864" spans="1:1">
      <c r="A864" s="5"/>
    </row>
    <row r="865" spans="1:1">
      <c r="A865" s="5"/>
    </row>
    <row r="866" spans="1:1">
      <c r="A866" s="5"/>
    </row>
    <row r="867" spans="1:1">
      <c r="A867" s="5"/>
    </row>
    <row r="868" spans="1:1">
      <c r="A868" s="5"/>
    </row>
    <row r="869" spans="1:1">
      <c r="A869" s="5"/>
    </row>
    <row r="870" spans="1:1">
      <c r="A870" s="5"/>
    </row>
    <row r="871" spans="1:1">
      <c r="A871" s="5"/>
    </row>
    <row r="872" spans="1:1">
      <c r="A872" s="5"/>
    </row>
    <row r="873" spans="1:1">
      <c r="A873" s="5"/>
    </row>
    <row r="874" spans="1:1">
      <c r="A874" s="5"/>
    </row>
    <row r="875" spans="1:1">
      <c r="A875" s="5"/>
    </row>
    <row r="876" spans="1:1">
      <c r="A876" s="5"/>
    </row>
    <row r="877" spans="1:1">
      <c r="A877" s="5"/>
    </row>
    <row r="878" spans="1:1">
      <c r="A878" s="5"/>
    </row>
    <row r="879" spans="1:1">
      <c r="A879" s="5"/>
    </row>
    <row r="880" spans="1:1">
      <c r="A880" s="5"/>
    </row>
    <row r="881" spans="1:1">
      <c r="A881" s="5"/>
    </row>
    <row r="882" spans="1:1">
      <c r="A882" s="5"/>
    </row>
    <row r="883" spans="1:1">
      <c r="A883" s="5"/>
    </row>
    <row r="884" spans="1:1">
      <c r="A884" s="5"/>
    </row>
    <row r="885" spans="1:1">
      <c r="A885" s="5"/>
    </row>
    <row r="886" spans="1:1">
      <c r="A886" s="5"/>
    </row>
    <row r="887" spans="1:1">
      <c r="A887" s="5"/>
    </row>
    <row r="888" spans="1:1">
      <c r="A888" s="5"/>
    </row>
    <row r="889" spans="1:1">
      <c r="A889" s="5"/>
    </row>
    <row r="890" spans="1:1">
      <c r="A890" s="5"/>
    </row>
    <row r="891" spans="1:1">
      <c r="A891" s="5"/>
    </row>
    <row r="892" spans="1:1">
      <c r="A892" s="5"/>
    </row>
    <row r="893" spans="1:1">
      <c r="A893" s="5"/>
    </row>
    <row r="894" spans="1:1">
      <c r="A894" s="5"/>
    </row>
    <row r="895" spans="1:1">
      <c r="A895" s="5"/>
    </row>
    <row r="896" spans="1:1">
      <c r="A896" s="5"/>
    </row>
    <row r="897" spans="1:1">
      <c r="A897" s="5"/>
    </row>
    <row r="898" spans="1:1">
      <c r="A898" s="5"/>
    </row>
    <row r="899" spans="1:1">
      <c r="A899" s="5"/>
    </row>
    <row r="900" spans="1:1">
      <c r="A900" s="5"/>
    </row>
    <row r="901" spans="1:1">
      <c r="A901" s="5"/>
    </row>
    <row r="902" spans="1:1">
      <c r="A902" s="5"/>
    </row>
    <row r="903" spans="1:1">
      <c r="A903" s="5"/>
    </row>
    <row r="904" spans="1:1">
      <c r="A904" s="5"/>
    </row>
    <row r="905" spans="1:1">
      <c r="A905" s="5"/>
    </row>
    <row r="906" spans="1:1">
      <c r="A906" s="5"/>
    </row>
    <row r="907" spans="1:1">
      <c r="A907" s="5"/>
    </row>
    <row r="908" spans="1:1">
      <c r="A908" s="5"/>
    </row>
    <row r="909" spans="1:1">
      <c r="A909" s="5"/>
    </row>
    <row r="910" spans="1:1">
      <c r="A910" s="5"/>
    </row>
    <row r="911" spans="1:1">
      <c r="A911" s="5"/>
    </row>
    <row r="912" spans="1:1">
      <c r="A912" s="5"/>
    </row>
    <row r="913" spans="1:1">
      <c r="A913" s="5"/>
    </row>
    <row r="914" spans="1:1">
      <c r="A914" s="5"/>
    </row>
    <row r="915" spans="1:1">
      <c r="A915" s="5"/>
    </row>
    <row r="916" spans="1:1">
      <c r="A916" s="5"/>
    </row>
    <row r="917" spans="1:1">
      <c r="A917" s="5"/>
    </row>
    <row r="918" spans="1:1">
      <c r="A918" s="5"/>
    </row>
    <row r="919" spans="1:1">
      <c r="A919" s="5"/>
    </row>
    <row r="920" spans="1:1">
      <c r="A920" s="5"/>
    </row>
    <row r="921" spans="1:1">
      <c r="A921" s="5"/>
    </row>
    <row r="922" spans="1:1">
      <c r="A922" s="5"/>
    </row>
    <row r="923" spans="1:1">
      <c r="A923" s="5"/>
    </row>
    <row r="924" spans="1:1">
      <c r="A924" s="5"/>
    </row>
    <row r="925" spans="1:1">
      <c r="A925" s="5"/>
    </row>
    <row r="926" spans="1:1">
      <c r="A926" s="5"/>
    </row>
    <row r="927" spans="1:1">
      <c r="A927" s="5"/>
    </row>
    <row r="928" spans="1:1">
      <c r="A928" s="5"/>
    </row>
    <row r="929" spans="1:1">
      <c r="A929" s="5"/>
    </row>
    <row r="930" spans="1:1">
      <c r="A930" s="5"/>
    </row>
    <row r="931" spans="1:1">
      <c r="A931" s="5"/>
    </row>
    <row r="932" spans="1:1">
      <c r="A932" s="5"/>
    </row>
    <row r="933" spans="1:1">
      <c r="A933" s="5"/>
    </row>
    <row r="934" spans="1:1">
      <c r="A934" s="5"/>
    </row>
    <row r="935" spans="1:1">
      <c r="A935" s="5"/>
    </row>
    <row r="936" spans="1:1">
      <c r="A936" s="5"/>
    </row>
    <row r="937" spans="1:1">
      <c r="A937" s="5"/>
    </row>
    <row r="938" spans="1:1">
      <c r="A938" s="5"/>
    </row>
    <row r="939" spans="1:1">
      <c r="A939" s="5"/>
    </row>
    <row r="940" spans="1:1">
      <c r="A940" s="5"/>
    </row>
    <row r="941" spans="1:1">
      <c r="A941" s="5"/>
    </row>
    <row r="942" spans="1:1">
      <c r="A942" s="5"/>
    </row>
    <row r="943" spans="1:1">
      <c r="A943" s="5"/>
    </row>
    <row r="944" spans="1:1">
      <c r="A944" s="5"/>
    </row>
    <row r="945" spans="1:1">
      <c r="A945" s="5"/>
    </row>
    <row r="946" spans="1:1">
      <c r="A946" s="5"/>
    </row>
    <row r="947" spans="1:1">
      <c r="A947" s="5"/>
    </row>
    <row r="948" spans="1:1">
      <c r="A948" s="5"/>
    </row>
    <row r="949" spans="1:1">
      <c r="A949" s="5"/>
    </row>
    <row r="950" spans="1:1">
      <c r="A950" s="5"/>
    </row>
    <row r="951" spans="1:1">
      <c r="A951" s="5"/>
    </row>
    <row r="952" spans="1:1">
      <c r="A952" s="5"/>
    </row>
    <row r="953" spans="1:1">
      <c r="A953" s="5"/>
    </row>
    <row r="954" spans="1:1">
      <c r="A954" s="5"/>
    </row>
    <row r="955" spans="1:1">
      <c r="A955" s="5"/>
    </row>
    <row r="956" spans="1:1">
      <c r="A956" s="5"/>
    </row>
    <row r="957" spans="1:1">
      <c r="A957" s="5"/>
    </row>
    <row r="958" spans="1:1">
      <c r="A958" s="5"/>
    </row>
    <row r="959" spans="1:1">
      <c r="A959" s="5"/>
    </row>
    <row r="960" spans="1:1">
      <c r="A960" s="5"/>
    </row>
    <row r="961" spans="1:1">
      <c r="A961" s="5"/>
    </row>
    <row r="962" spans="1:1">
      <c r="A962" s="5"/>
    </row>
    <row r="963" spans="1:1">
      <c r="A963" s="5"/>
    </row>
    <row r="964" spans="1:1">
      <c r="A964" s="5"/>
    </row>
    <row r="965" spans="1:1">
      <c r="A965" s="5"/>
    </row>
    <row r="966" spans="1:1">
      <c r="A966" s="5"/>
    </row>
    <row r="967" spans="1:1">
      <c r="A967" s="5"/>
    </row>
    <row r="968" spans="1:1">
      <c r="A968" s="5"/>
    </row>
    <row r="969" spans="1:1">
      <c r="A969" s="5"/>
    </row>
    <row r="970" spans="1:1">
      <c r="A970" s="5"/>
    </row>
    <row r="971" spans="1:1">
      <c r="A971" s="5"/>
    </row>
    <row r="972" spans="1:1">
      <c r="A972" s="5"/>
    </row>
    <row r="973" spans="1:1">
      <c r="A973" s="5"/>
    </row>
    <row r="974" spans="1:1">
      <c r="A974" s="5"/>
    </row>
    <row r="975" spans="1:1">
      <c r="A975" s="5"/>
    </row>
    <row r="976" spans="1:1">
      <c r="A976" s="5"/>
    </row>
    <row r="977" spans="1:1">
      <c r="A977" s="5"/>
    </row>
    <row r="978" spans="1:1">
      <c r="A978" s="5"/>
    </row>
    <row r="979" spans="1:1">
      <c r="A979" s="5"/>
    </row>
    <row r="980" spans="1:1">
      <c r="A980" s="5"/>
    </row>
    <row r="981" spans="1:1">
      <c r="A981" s="5"/>
    </row>
    <row r="982" spans="1:1">
      <c r="A982" s="5"/>
    </row>
    <row r="983" spans="1:1">
      <c r="A983" s="5"/>
    </row>
    <row r="984" spans="1:1">
      <c r="A984" s="5"/>
    </row>
    <row r="985" spans="1:1">
      <c r="A985" s="5"/>
    </row>
    <row r="986" spans="1:1">
      <c r="A986" s="5"/>
    </row>
    <row r="987" spans="1:1">
      <c r="A987" s="5"/>
    </row>
    <row r="988" spans="1:1">
      <c r="A988" s="5"/>
    </row>
    <row r="989" spans="1:1">
      <c r="A989" s="5"/>
    </row>
    <row r="990" spans="1:1">
      <c r="A990" s="5"/>
    </row>
    <row r="991" spans="1:1">
      <c r="A991" s="5"/>
    </row>
    <row r="992" spans="1:1">
      <c r="A992" s="5"/>
    </row>
    <row r="993" spans="1:1">
      <c r="A993" s="5"/>
    </row>
    <row r="994" spans="1:1">
      <c r="A994" s="5"/>
    </row>
    <row r="995" spans="1:1">
      <c r="A995" s="5"/>
    </row>
    <row r="996" spans="1:1">
      <c r="A996" s="5"/>
    </row>
    <row r="997" spans="1:1">
      <c r="A997" s="5"/>
    </row>
    <row r="998" spans="1:1">
      <c r="A998" s="5"/>
    </row>
    <row r="999" spans="1:1">
      <c r="A999" s="5"/>
    </row>
    <row r="1000" spans="1:1">
      <c r="A1000" s="5"/>
    </row>
    <row r="1001" spans="1:1">
      <c r="A1001" s="5"/>
    </row>
    <row r="1002" spans="1:1">
      <c r="A1002" s="5"/>
    </row>
    <row r="1003" spans="1:1">
      <c r="A1003" s="5"/>
    </row>
    <row r="1004" spans="1:1">
      <c r="A1004" s="5"/>
    </row>
    <row r="1005" spans="1:1">
      <c r="A1005" s="5"/>
    </row>
    <row r="1006" spans="1:1">
      <c r="A1006" s="5"/>
    </row>
    <row r="1007" spans="1:1">
      <c r="A1007" s="5"/>
    </row>
    <row r="1008" spans="1:1">
      <c r="A1008" s="5"/>
    </row>
    <row r="1009" spans="1:1">
      <c r="A1009" s="5"/>
    </row>
    <row r="1010" spans="1:1">
      <c r="A1010" s="5"/>
    </row>
    <row r="1011" spans="1:1">
      <c r="A1011" s="5"/>
    </row>
    <row r="1012" spans="1:1">
      <c r="A1012" s="5"/>
    </row>
    <row r="1013" spans="1:1">
      <c r="A1013" s="5"/>
    </row>
    <row r="1014" spans="1:1">
      <c r="A1014" s="5"/>
    </row>
    <row r="1015" spans="1:1">
      <c r="A1015" s="5"/>
    </row>
    <row r="1016" spans="1:1">
      <c r="A1016" s="5"/>
    </row>
    <row r="1017" spans="1:1">
      <c r="A1017" s="5"/>
    </row>
    <row r="1018" spans="1:1">
      <c r="A1018" s="5"/>
    </row>
    <row r="1019" spans="1:1">
      <c r="A1019" s="5"/>
    </row>
    <row r="1020" spans="1:1">
      <c r="A1020" s="5"/>
    </row>
    <row r="1021" spans="1:1">
      <c r="A1021" s="5"/>
    </row>
    <row r="1022" spans="1:1">
      <c r="A1022" s="5"/>
    </row>
    <row r="1023" spans="1:1">
      <c r="A1023" s="5"/>
    </row>
    <row r="1024" spans="1:1">
      <c r="A1024" s="5"/>
    </row>
    <row r="1025" spans="1:1">
      <c r="A1025" s="5"/>
    </row>
    <row r="1026" spans="1:1">
      <c r="A1026" s="5"/>
    </row>
    <row r="1027" spans="1:1">
      <c r="A1027" s="5"/>
    </row>
    <row r="1028" spans="1:1">
      <c r="A1028" s="5"/>
    </row>
    <row r="1029" spans="1:1">
      <c r="A1029" s="5"/>
    </row>
    <row r="1030" spans="1:1">
      <c r="A1030" s="5"/>
    </row>
    <row r="1031" spans="1:1">
      <c r="A1031" s="5"/>
    </row>
    <row r="1032" spans="1:1">
      <c r="A1032" s="5"/>
    </row>
    <row r="1033" spans="1:1">
      <c r="A1033" s="5"/>
    </row>
    <row r="1034" spans="1:1">
      <c r="A1034" s="5"/>
    </row>
    <row r="1035" spans="1:1">
      <c r="A1035" s="5"/>
    </row>
    <row r="1036" spans="1:1">
      <c r="A1036" s="5"/>
    </row>
    <row r="1037" spans="1:1">
      <c r="A1037" s="5"/>
    </row>
    <row r="1038" spans="1:1">
      <c r="A1038" s="5"/>
    </row>
    <row r="1039" spans="1:1">
      <c r="A1039" s="5"/>
    </row>
    <row r="1040" spans="1:1">
      <c r="A1040" s="5"/>
    </row>
    <row r="1041" spans="1:1">
      <c r="A1041" s="5"/>
    </row>
    <row r="1042" spans="1:1">
      <c r="A1042" s="5"/>
    </row>
    <row r="1043" spans="1:1">
      <c r="A1043" s="5"/>
    </row>
    <row r="1044" spans="1:1">
      <c r="A1044" s="5"/>
    </row>
    <row r="1045" spans="1:1">
      <c r="A1045" s="5"/>
    </row>
    <row r="1046" spans="1:1">
      <c r="A1046" s="5"/>
    </row>
    <row r="1047" spans="1:1">
      <c r="A1047" s="5"/>
    </row>
    <row r="1048" spans="1:1">
      <c r="A1048" s="5"/>
    </row>
    <row r="1049" spans="1:1">
      <c r="A1049" s="5"/>
    </row>
    <row r="1050" spans="1:1">
      <c r="A1050" s="5"/>
    </row>
    <row r="1051" spans="1:1">
      <c r="A1051" s="5"/>
    </row>
    <row r="1052" spans="1:1">
      <c r="A1052" s="5"/>
    </row>
    <row r="1053" spans="1:1">
      <c r="A1053" s="5"/>
    </row>
    <row r="1054" spans="1:1">
      <c r="A1054" s="5"/>
    </row>
    <row r="1055" spans="1:1">
      <c r="A1055" s="5"/>
    </row>
    <row r="1056" spans="1:1">
      <c r="A1056" s="5"/>
    </row>
    <row r="1057" spans="1:1">
      <c r="A1057" s="5"/>
    </row>
    <row r="1058" spans="1:1">
      <c r="A1058" s="5"/>
    </row>
    <row r="1059" spans="1:1">
      <c r="A1059" s="5"/>
    </row>
    <row r="1060" spans="1:1">
      <c r="A1060" s="5"/>
    </row>
    <row r="1061" spans="1:1">
      <c r="A1061" s="5"/>
    </row>
    <row r="1062" spans="1:1">
      <c r="A1062" s="5"/>
    </row>
    <row r="1063" spans="1:1">
      <c r="A1063" s="5"/>
    </row>
    <row r="1064" spans="1:1">
      <c r="A1064" s="5"/>
    </row>
    <row r="1065" spans="1:1">
      <c r="A1065" s="5"/>
    </row>
    <row r="1066" spans="1:1">
      <c r="A1066" s="5"/>
    </row>
    <row r="1067" spans="1:1">
      <c r="A1067" s="5"/>
    </row>
    <row r="1068" spans="1:1">
      <c r="A1068" s="5"/>
    </row>
    <row r="1069" spans="1:1">
      <c r="A1069" s="5"/>
    </row>
    <row r="1070" spans="1:1">
      <c r="A1070" s="5"/>
    </row>
    <row r="1071" spans="1:1">
      <c r="A1071" s="5"/>
    </row>
    <row r="1072" spans="1:1">
      <c r="A1072" s="5"/>
    </row>
    <row r="1073" spans="1:1">
      <c r="A1073" s="5"/>
    </row>
    <row r="1074" spans="1:1">
      <c r="A1074" s="5"/>
    </row>
    <row r="1075" spans="1:1">
      <c r="A1075" s="5"/>
    </row>
    <row r="1076" spans="1:1">
      <c r="A1076" s="5"/>
    </row>
    <row r="1077" spans="1:1">
      <c r="A1077" s="5"/>
    </row>
    <row r="1078" spans="1:1">
      <c r="A1078" s="5"/>
    </row>
    <row r="1079" spans="1:1">
      <c r="A1079" s="5"/>
    </row>
    <row r="1080" spans="1:1">
      <c r="A1080" s="5"/>
    </row>
    <row r="1081" spans="1:1">
      <c r="A1081" s="5"/>
    </row>
    <row r="1082" spans="1:1">
      <c r="A1082" s="5"/>
    </row>
    <row r="1083" spans="1:1">
      <c r="A1083" s="5"/>
    </row>
    <row r="1084" spans="1:1">
      <c r="A1084" s="5"/>
    </row>
    <row r="1085" spans="1:1">
      <c r="A1085" s="5"/>
    </row>
    <row r="1086" spans="1:1">
      <c r="A1086" s="5"/>
    </row>
    <row r="1087" spans="1:1">
      <c r="A1087" s="5"/>
    </row>
    <row r="1088" spans="1:1">
      <c r="A1088" s="5"/>
    </row>
    <row r="1089" spans="1:1">
      <c r="A1089" s="5"/>
    </row>
    <row r="1090" spans="1:1">
      <c r="A1090" s="5"/>
    </row>
    <row r="1091" spans="1:1">
      <c r="A1091" s="5"/>
    </row>
    <row r="1092" spans="1:1">
      <c r="A1092" s="5"/>
    </row>
    <row r="1093" spans="1:1">
      <c r="A1093" s="5"/>
    </row>
    <row r="1094" spans="1:1">
      <c r="A1094" s="5"/>
    </row>
    <row r="1095" spans="1:1">
      <c r="A1095" s="5"/>
    </row>
    <row r="1096" spans="1:1">
      <c r="A1096" s="5"/>
    </row>
    <row r="1097" spans="1:1">
      <c r="A1097" s="5"/>
    </row>
    <row r="1098" spans="1:1">
      <c r="A1098" s="5"/>
    </row>
    <row r="1099" spans="1:1">
      <c r="A1099" s="5"/>
    </row>
    <row r="1100" spans="1:1">
      <c r="A1100" s="5"/>
    </row>
    <row r="1101" spans="1:1">
      <c r="A1101" s="5"/>
    </row>
    <row r="1102" spans="1:1">
      <c r="A1102" s="5"/>
    </row>
    <row r="1103" spans="1:1">
      <c r="A1103" s="5"/>
    </row>
    <row r="1104" spans="1:1">
      <c r="A1104" s="5"/>
    </row>
    <row r="1105" spans="1:1">
      <c r="A1105" s="5"/>
    </row>
    <row r="1106" spans="1:1">
      <c r="A1106" s="5"/>
    </row>
    <row r="1107" spans="1:1">
      <c r="A1107" s="5"/>
    </row>
    <row r="1108" spans="1:1">
      <c r="A1108" s="5"/>
    </row>
    <row r="1109" spans="1:1">
      <c r="A1109" s="5"/>
    </row>
    <row r="1110" spans="1:1">
      <c r="A1110" s="5"/>
    </row>
    <row r="1111" spans="1:1">
      <c r="A1111" s="5"/>
    </row>
    <row r="1112" spans="1:1">
      <c r="A1112" s="5"/>
    </row>
    <row r="1113" spans="1:1">
      <c r="A1113" s="5"/>
    </row>
    <row r="1114" spans="1:1">
      <c r="A1114" s="5"/>
    </row>
    <row r="1115" spans="1:1">
      <c r="A1115" s="5"/>
    </row>
    <row r="1116" spans="1:1">
      <c r="A1116" s="5"/>
    </row>
    <row r="1117" spans="1:1">
      <c r="A1117" s="5"/>
    </row>
    <row r="1118" spans="1:1">
      <c r="A1118" s="5"/>
    </row>
    <row r="1119" spans="1:1">
      <c r="A1119" s="5"/>
    </row>
    <row r="1120" spans="1:1">
      <c r="A1120" s="5"/>
    </row>
    <row r="1121" spans="1:1">
      <c r="A1121" s="5"/>
    </row>
    <row r="1122" spans="1:1">
      <c r="A1122" s="5"/>
    </row>
    <row r="1123" spans="1:1">
      <c r="A1123" s="5"/>
    </row>
    <row r="1124" spans="1:1">
      <c r="A1124" s="5"/>
    </row>
    <row r="1125" spans="1:1">
      <c r="A1125" s="5"/>
    </row>
    <row r="1126" spans="1:1">
      <c r="A1126" s="5"/>
    </row>
    <row r="1127" spans="1:1">
      <c r="A1127" s="5"/>
    </row>
    <row r="1128" spans="1:1">
      <c r="A1128" s="5"/>
    </row>
    <row r="1129" spans="1:1">
      <c r="A1129" s="5"/>
    </row>
    <row r="1130" spans="1:1">
      <c r="A1130" s="5"/>
    </row>
    <row r="1131" spans="1:1">
      <c r="A1131" s="5"/>
    </row>
    <row r="1132" spans="1:1">
      <c r="A1132" s="5"/>
    </row>
    <row r="1133" spans="1:1">
      <c r="A1133" s="5"/>
    </row>
    <row r="1134" spans="1:1">
      <c r="A1134" s="5"/>
    </row>
    <row r="1135" spans="1:1">
      <c r="A1135" s="5"/>
    </row>
    <row r="1136" spans="1:1">
      <c r="A1136" s="5"/>
    </row>
    <row r="1137" spans="1:1">
      <c r="A1137" s="5"/>
    </row>
    <row r="1138" spans="1:1">
      <c r="A1138" s="5"/>
    </row>
    <row r="1139" spans="1:1">
      <c r="A1139" s="5"/>
    </row>
    <row r="1140" spans="1:1">
      <c r="A1140" s="5"/>
    </row>
    <row r="1141" spans="1:1">
      <c r="A1141" s="5"/>
    </row>
    <row r="1142" spans="1:1">
      <c r="A1142" s="5"/>
    </row>
    <row r="1143" spans="1:1">
      <c r="A1143" s="5"/>
    </row>
    <row r="1144" spans="1:1">
      <c r="A1144" s="5"/>
    </row>
    <row r="1145" spans="1:1">
      <c r="A1145" s="5"/>
    </row>
    <row r="1146" spans="1:1">
      <c r="A1146" s="5"/>
    </row>
    <row r="1147" spans="1:1">
      <c r="A1147" s="5"/>
    </row>
    <row r="1148" spans="1:1">
      <c r="A1148" s="5"/>
    </row>
    <row r="1149" spans="1:1">
      <c r="A1149" s="5"/>
    </row>
    <row r="1150" spans="1:1">
      <c r="A1150" s="5"/>
    </row>
    <row r="1151" spans="1:1">
      <c r="A1151" s="5"/>
    </row>
    <row r="1152" spans="1:1">
      <c r="A1152" s="5"/>
    </row>
    <row r="1153" spans="1:1">
      <c r="A1153" s="5"/>
    </row>
    <row r="1154" spans="1:1">
      <c r="A1154" s="5"/>
    </row>
    <row r="1155" spans="1:1">
      <c r="A1155" s="5"/>
    </row>
    <row r="1156" spans="1:1">
      <c r="A1156" s="5"/>
    </row>
    <row r="1157" spans="1:1">
      <c r="A1157" s="5"/>
    </row>
    <row r="1158" spans="1:1">
      <c r="A1158" s="5"/>
    </row>
    <row r="1159" spans="1:1">
      <c r="A1159" s="5"/>
    </row>
    <row r="1160" spans="1:1">
      <c r="A1160" s="5"/>
    </row>
    <row r="1161" spans="1:1">
      <c r="A1161" s="5"/>
    </row>
    <row r="1162" spans="1:1">
      <c r="A1162" s="5"/>
    </row>
    <row r="1163" spans="1:1">
      <c r="A1163" s="5"/>
    </row>
    <row r="1164" spans="1:1">
      <c r="A1164" s="5"/>
    </row>
    <row r="1165" spans="1:1">
      <c r="A1165" s="5"/>
    </row>
    <row r="1166" spans="1:1">
      <c r="A1166" s="5"/>
    </row>
    <row r="1167" spans="1:1">
      <c r="A1167" s="5"/>
    </row>
    <row r="1168" spans="1:1">
      <c r="A1168" s="5"/>
    </row>
    <row r="1169" spans="1:1">
      <c r="A1169" s="5"/>
    </row>
    <row r="1170" spans="1:1">
      <c r="A1170" s="5"/>
    </row>
    <row r="1171" spans="1:1">
      <c r="A1171" s="5"/>
    </row>
    <row r="1172" spans="1:1">
      <c r="A1172" s="5"/>
    </row>
    <row r="1173" spans="1:1">
      <c r="A1173" s="5"/>
    </row>
    <row r="1174" spans="1:1">
      <c r="A1174" s="5"/>
    </row>
    <row r="1175" spans="1:1">
      <c r="A1175" s="5"/>
    </row>
    <row r="1176" spans="1:1">
      <c r="A1176" s="5"/>
    </row>
    <row r="1177" spans="1:1">
      <c r="A1177" s="5"/>
    </row>
    <row r="1178" spans="1:1">
      <c r="A1178" s="5"/>
    </row>
    <row r="1179" spans="1:1">
      <c r="A1179" s="5"/>
    </row>
    <row r="1180" spans="1:1">
      <c r="A1180" s="5"/>
    </row>
    <row r="1181" spans="1:1">
      <c r="A1181" s="5"/>
    </row>
    <row r="1182" spans="1:1">
      <c r="A1182" s="5"/>
    </row>
    <row r="1183" spans="1:1">
      <c r="A1183" s="5"/>
    </row>
    <row r="1184" spans="1:1">
      <c r="A1184" s="5"/>
    </row>
    <row r="1185" spans="1:1">
      <c r="A1185" s="5"/>
    </row>
    <row r="1186" spans="1:1">
      <c r="A1186" s="5"/>
    </row>
    <row r="1187" spans="1:1">
      <c r="A1187" s="5"/>
    </row>
    <row r="1188" spans="1:1">
      <c r="A1188" s="5"/>
    </row>
    <row r="1189" spans="1:1">
      <c r="A1189" s="5"/>
    </row>
    <row r="1190" spans="1:1">
      <c r="A1190" s="5"/>
    </row>
    <row r="1191" spans="1:1">
      <c r="A1191" s="5"/>
    </row>
    <row r="1192" spans="1:1">
      <c r="A1192" s="5"/>
    </row>
    <row r="1193" spans="1:1">
      <c r="A1193" s="5"/>
    </row>
    <row r="1194" spans="1:1">
      <c r="A1194" s="5"/>
    </row>
    <row r="1195" spans="1:1">
      <c r="A1195" s="5"/>
    </row>
    <row r="1196" spans="1:1">
      <c r="A1196" s="5"/>
    </row>
    <row r="1197" spans="1:1">
      <c r="A1197" s="5"/>
    </row>
    <row r="1198" spans="1:1">
      <c r="A1198" s="5"/>
    </row>
    <row r="1199" spans="1:1">
      <c r="A1199" s="5"/>
    </row>
    <row r="1200" spans="1:1">
      <c r="A1200" s="5"/>
    </row>
    <row r="1201" spans="1:1">
      <c r="A1201" s="5"/>
    </row>
    <row r="1202" spans="1:1">
      <c r="A1202" s="5"/>
    </row>
    <row r="1203" spans="1:1">
      <c r="A1203" s="5"/>
    </row>
    <row r="1204" spans="1:1">
      <c r="A1204" s="5"/>
    </row>
    <row r="1205" spans="1:1">
      <c r="A1205" s="5"/>
    </row>
    <row r="1206" spans="1:1">
      <c r="A1206" s="5"/>
    </row>
    <row r="1207" spans="1:1">
      <c r="A1207" s="5"/>
    </row>
    <row r="1208" spans="1:1">
      <c r="A1208" s="5"/>
    </row>
    <row r="1209" spans="1:1">
      <c r="A1209" s="5"/>
    </row>
    <row r="1210" spans="1:1">
      <c r="A1210" s="5"/>
    </row>
    <row r="1211" spans="1:1">
      <c r="A1211" s="5"/>
    </row>
    <row r="1212" spans="1:1">
      <c r="A1212" s="5"/>
    </row>
    <row r="1213" spans="1:1">
      <c r="A1213" s="5"/>
    </row>
    <row r="1214" spans="1:1">
      <c r="A1214" s="5"/>
    </row>
    <row r="1215" spans="1:1">
      <c r="A1215" s="5"/>
    </row>
    <row r="1216" spans="1:1">
      <c r="A1216" s="5"/>
    </row>
    <row r="1217" spans="1:1">
      <c r="A1217" s="5"/>
    </row>
    <row r="1218" spans="1:1">
      <c r="A1218" s="5"/>
    </row>
    <row r="1219" spans="1:1">
      <c r="A1219" s="5"/>
    </row>
    <row r="1220" spans="1:1">
      <c r="A1220" s="5"/>
    </row>
    <row r="1221" spans="1:1">
      <c r="A1221" s="5"/>
    </row>
    <row r="1222" spans="1:1">
      <c r="A1222" s="5"/>
    </row>
    <row r="1223" spans="1:1">
      <c r="A1223" s="5"/>
    </row>
    <row r="1224" spans="1:1">
      <c r="A1224" s="5"/>
    </row>
    <row r="1225" spans="1:1">
      <c r="A1225" s="5"/>
    </row>
    <row r="1226" spans="1:1">
      <c r="A1226" s="5"/>
    </row>
    <row r="1227" spans="1:1">
      <c r="A1227" s="5"/>
    </row>
    <row r="1228" spans="1:1">
      <c r="A1228" s="5"/>
    </row>
    <row r="1229" spans="1:1">
      <c r="A1229" s="5"/>
    </row>
    <row r="1230" spans="1:1">
      <c r="A1230" s="5"/>
    </row>
    <row r="1231" spans="1:1">
      <c r="A1231" s="5"/>
    </row>
    <row r="1232" spans="1:1">
      <c r="A1232" s="5"/>
    </row>
    <row r="1233" spans="1:1">
      <c r="A1233" s="5"/>
    </row>
    <row r="1234" spans="1:1">
      <c r="A1234" s="5"/>
    </row>
    <row r="1235" spans="1:1">
      <c r="A1235" s="5"/>
    </row>
    <row r="1236" spans="1:1">
      <c r="A1236" s="5"/>
    </row>
    <row r="1237" spans="1:1">
      <c r="A1237" s="5"/>
    </row>
    <row r="1238" spans="1:1">
      <c r="A1238" s="5"/>
    </row>
    <row r="1239" spans="1:1">
      <c r="A1239" s="5"/>
    </row>
    <row r="1240" spans="1:1">
      <c r="A1240" s="5"/>
    </row>
    <row r="1241" spans="1:1">
      <c r="A1241" s="5"/>
    </row>
    <row r="1242" spans="1:1">
      <c r="A1242" s="5"/>
    </row>
    <row r="1243" spans="1:1">
      <c r="A1243" s="5"/>
    </row>
    <row r="1244" spans="1:1">
      <c r="A1244" s="5"/>
    </row>
    <row r="1245" spans="1:1">
      <c r="A1245" s="5"/>
    </row>
    <row r="1246" spans="1:1">
      <c r="A1246" s="5"/>
    </row>
    <row r="1247" spans="1:1">
      <c r="A1247" s="5"/>
    </row>
    <row r="1248" spans="1:1">
      <c r="A1248" s="5"/>
    </row>
    <row r="1249" spans="1:1">
      <c r="A1249" s="5"/>
    </row>
    <row r="1250" spans="1:1">
      <c r="A1250" s="5"/>
    </row>
    <row r="1251" spans="1:1">
      <c r="A1251" s="5"/>
    </row>
    <row r="1252" spans="1:1">
      <c r="A1252" s="5"/>
    </row>
    <row r="1253" spans="1:1">
      <c r="A1253" s="5"/>
    </row>
    <row r="1254" spans="1:1">
      <c r="A1254" s="5"/>
    </row>
    <row r="1255" spans="1:1">
      <c r="A1255" s="5"/>
    </row>
    <row r="1256" spans="1:1">
      <c r="A1256" s="5"/>
    </row>
    <row r="1257" spans="1:1">
      <c r="A1257" s="5"/>
    </row>
    <row r="1258" spans="1:1">
      <c r="A1258" s="5"/>
    </row>
    <row r="1259" spans="1:1">
      <c r="A1259" s="5"/>
    </row>
    <row r="1260" spans="1:1">
      <c r="A1260" s="5"/>
    </row>
    <row r="1261" spans="1:1">
      <c r="A1261" s="5"/>
    </row>
    <row r="1262" spans="1:1">
      <c r="A1262" s="5"/>
    </row>
    <row r="1263" spans="1:1">
      <c r="A1263" s="5"/>
    </row>
    <row r="1264" spans="1:1">
      <c r="A1264" s="5"/>
    </row>
    <row r="1265" spans="1:1">
      <c r="A1265" s="5"/>
    </row>
    <row r="1266" spans="1:1">
      <c r="A1266" s="5"/>
    </row>
    <row r="1267" spans="1:1">
      <c r="A1267" s="5"/>
    </row>
    <row r="1268" spans="1:1">
      <c r="A1268" s="5"/>
    </row>
    <row r="1269" spans="1:1">
      <c r="A1269" s="5"/>
    </row>
    <row r="1270" spans="1:1">
      <c r="A1270" s="5"/>
    </row>
    <row r="1271" spans="1:1">
      <c r="A1271" s="5"/>
    </row>
    <row r="1272" spans="1:1">
      <c r="A1272" s="5"/>
    </row>
    <row r="1273" spans="1:1">
      <c r="A1273" s="5"/>
    </row>
    <row r="1274" spans="1:1">
      <c r="A1274" s="5"/>
    </row>
    <row r="1275" spans="1:1">
      <c r="A1275" s="5"/>
    </row>
    <row r="1276" spans="1:1">
      <c r="A1276" s="5"/>
    </row>
    <row r="1277" spans="1:1">
      <c r="A1277" s="5"/>
    </row>
    <row r="1278" spans="1:1">
      <c r="A1278" s="5"/>
    </row>
    <row r="1279" spans="1:1">
      <c r="A1279" s="5"/>
    </row>
    <row r="1280" spans="1:1">
      <c r="A1280" s="5"/>
    </row>
    <row r="1281" spans="1:1">
      <c r="A1281" s="5"/>
    </row>
    <row r="1282" spans="1:1">
      <c r="A1282" s="5"/>
    </row>
    <row r="1283" spans="1:1">
      <c r="A1283" s="5"/>
    </row>
    <row r="1284" spans="1:1">
      <c r="A1284" s="5"/>
    </row>
    <row r="1285" spans="1:1">
      <c r="A1285" s="5"/>
    </row>
    <row r="1286" spans="1:1">
      <c r="A1286" s="5"/>
    </row>
    <row r="1287" spans="1:1">
      <c r="A1287" s="5"/>
    </row>
    <row r="1288" spans="1:1">
      <c r="A1288" s="5"/>
    </row>
    <row r="1289" spans="1:1">
      <c r="A1289" s="5"/>
    </row>
    <row r="1290" spans="1:1">
      <c r="A1290" s="5"/>
    </row>
    <row r="1291" spans="1:1">
      <c r="A1291" s="5"/>
    </row>
    <row r="1292" spans="1:1">
      <c r="A1292" s="5"/>
    </row>
    <row r="1293" spans="1:1">
      <c r="A1293" s="5"/>
    </row>
    <row r="1294" spans="1:1">
      <c r="A1294" s="5"/>
    </row>
    <row r="1295" spans="1:1">
      <c r="A1295" s="5"/>
    </row>
    <row r="1296" spans="1:1">
      <c r="A1296" s="5"/>
    </row>
    <row r="1297" spans="1:1">
      <c r="A1297" s="5"/>
    </row>
    <row r="1298" spans="1:1">
      <c r="A1298" s="5"/>
    </row>
    <row r="1299" spans="1:1">
      <c r="A1299" s="5"/>
    </row>
    <row r="1300" spans="1:1">
      <c r="A1300" s="5"/>
    </row>
    <row r="1301" spans="1:1">
      <c r="A1301" s="5"/>
    </row>
    <row r="1302" spans="1:1">
      <c r="A1302" s="5"/>
    </row>
    <row r="1303" spans="1:1">
      <c r="A1303" s="5"/>
    </row>
    <row r="1304" spans="1:1">
      <c r="A1304" s="5"/>
    </row>
    <row r="1305" spans="1:1">
      <c r="A1305" s="5"/>
    </row>
    <row r="1306" spans="1:1">
      <c r="A1306" s="5"/>
    </row>
    <row r="1307" spans="1:1">
      <c r="A1307" s="5"/>
    </row>
    <row r="1308" spans="1:1">
      <c r="A1308" s="5"/>
    </row>
    <row r="1309" spans="1:1">
      <c r="A1309" s="5"/>
    </row>
    <row r="1310" spans="1:1">
      <c r="A1310" s="5"/>
    </row>
    <row r="1311" spans="1:1">
      <c r="A1311" s="5"/>
    </row>
    <row r="1312" spans="1:1">
      <c r="A1312" s="5"/>
    </row>
    <row r="1313" spans="1:1">
      <c r="A1313" s="5"/>
    </row>
    <row r="1314" spans="1:1">
      <c r="A1314" s="5"/>
    </row>
    <row r="1315" spans="1:1">
      <c r="A1315" s="5"/>
    </row>
    <row r="1316" spans="1:1">
      <c r="A1316" s="5"/>
    </row>
    <row r="1317" spans="1:1">
      <c r="A1317" s="5"/>
    </row>
    <row r="1318" spans="1:1">
      <c r="A1318" s="5"/>
    </row>
    <row r="1319" spans="1:1">
      <c r="A1319" s="5"/>
    </row>
    <row r="1320" spans="1:1">
      <c r="A1320" s="5"/>
    </row>
    <row r="1321" spans="1:1">
      <c r="A1321" s="5"/>
    </row>
    <row r="1322" spans="1:1">
      <c r="A1322" s="5"/>
    </row>
    <row r="1323" spans="1:1">
      <c r="A1323" s="5"/>
    </row>
    <row r="1324" spans="1:1">
      <c r="A1324" s="5"/>
    </row>
    <row r="1325" spans="1:1">
      <c r="A1325" s="5"/>
    </row>
    <row r="1326" spans="1:1">
      <c r="A1326" s="5"/>
    </row>
    <row r="1327" spans="1:1">
      <c r="A1327" s="5"/>
    </row>
    <row r="1328" spans="1:1">
      <c r="A1328" s="5"/>
    </row>
    <row r="1329" spans="1:1">
      <c r="A1329" s="5"/>
    </row>
    <row r="1330" spans="1:1">
      <c r="A1330" s="5"/>
    </row>
    <row r="1331" spans="1:1">
      <c r="A1331" s="5"/>
    </row>
    <row r="1332" spans="1:1">
      <c r="A1332" s="5"/>
    </row>
    <row r="1333" spans="1:1">
      <c r="A1333" s="5"/>
    </row>
    <row r="1334" spans="1:1">
      <c r="A1334" s="5"/>
    </row>
    <row r="1335" spans="1:1">
      <c r="A1335" s="5"/>
    </row>
    <row r="1336" spans="1:1">
      <c r="A1336" s="5"/>
    </row>
    <row r="1337" spans="1:1">
      <c r="A1337" s="5"/>
    </row>
    <row r="1338" spans="1:1">
      <c r="A1338" s="5"/>
    </row>
    <row r="1339" spans="1:1">
      <c r="A1339" s="5"/>
    </row>
    <row r="1340" spans="1:1">
      <c r="A1340" s="5"/>
    </row>
    <row r="1341" spans="1:1">
      <c r="A1341" s="5"/>
    </row>
    <row r="1342" spans="1:1">
      <c r="A1342" s="5"/>
    </row>
    <row r="1343" spans="1:1">
      <c r="A1343" s="5"/>
    </row>
    <row r="1344" spans="1:1">
      <c r="A1344" s="5"/>
    </row>
    <row r="1345" spans="1:1">
      <c r="A1345" s="5"/>
    </row>
    <row r="1346" spans="1:1">
      <c r="A1346" s="5"/>
    </row>
    <row r="1347" spans="1:1">
      <c r="A1347" s="5"/>
    </row>
    <row r="1348" spans="1:1">
      <c r="A1348" s="5"/>
    </row>
    <row r="1349" spans="1:1">
      <c r="A1349" s="5"/>
    </row>
    <row r="1350" spans="1:1">
      <c r="A1350" s="5"/>
    </row>
    <row r="1351" spans="1:1">
      <c r="A1351" s="5"/>
    </row>
    <row r="1352" spans="1:1">
      <c r="A1352" s="5"/>
    </row>
    <row r="1353" spans="1:1">
      <c r="A1353" s="5"/>
    </row>
    <row r="1354" spans="1:1">
      <c r="A1354" s="5"/>
    </row>
    <row r="1355" spans="1:1">
      <c r="A1355" s="5"/>
    </row>
    <row r="1356" spans="1:1">
      <c r="A1356" s="5"/>
    </row>
    <row r="1357" spans="1:1">
      <c r="A1357" s="5"/>
    </row>
    <row r="1358" spans="1:1">
      <c r="A1358" s="5"/>
    </row>
    <row r="1359" spans="1:1">
      <c r="A1359" s="5"/>
    </row>
    <row r="1360" spans="1:1">
      <c r="A1360" s="5"/>
    </row>
    <row r="1361" spans="1:1">
      <c r="A1361" s="5"/>
    </row>
    <row r="1362" spans="1:1">
      <c r="A1362" s="5"/>
    </row>
    <row r="1363" spans="1:1">
      <c r="A1363" s="5"/>
    </row>
    <row r="1364" spans="1:1">
      <c r="A1364" s="5"/>
    </row>
    <row r="1365" spans="1:1">
      <c r="A1365" s="5"/>
    </row>
    <row r="1366" spans="1:1">
      <c r="A1366" s="5"/>
    </row>
    <row r="1367" spans="1:1">
      <c r="A1367" s="5"/>
    </row>
    <row r="1368" spans="1:1">
      <c r="A1368" s="5"/>
    </row>
    <row r="1369" spans="1:1">
      <c r="A1369" s="5"/>
    </row>
    <row r="1370" spans="1:1">
      <c r="A1370" s="5"/>
    </row>
    <row r="1371" spans="1:1">
      <c r="A1371" s="5"/>
    </row>
    <row r="1372" spans="1:1">
      <c r="A1372" s="5"/>
    </row>
    <row r="1373" spans="1:1">
      <c r="A1373" s="5"/>
    </row>
    <row r="1374" spans="1:1">
      <c r="A1374" s="5"/>
    </row>
    <row r="1375" spans="1:1">
      <c r="A1375" s="5"/>
    </row>
    <row r="1376" spans="1:1">
      <c r="A1376" s="5"/>
    </row>
    <row r="1377" spans="1:1">
      <c r="A1377" s="5"/>
    </row>
    <row r="1378" spans="1:1">
      <c r="A1378" s="5"/>
    </row>
    <row r="1379" spans="1:1">
      <c r="A1379" s="5"/>
    </row>
    <row r="1380" spans="1:1">
      <c r="A1380" s="5"/>
    </row>
    <row r="1381" spans="1:1">
      <c r="A1381" s="5"/>
    </row>
    <row r="1382" spans="1:1">
      <c r="A1382" s="5"/>
    </row>
    <row r="1383" spans="1:1">
      <c r="A1383" s="5"/>
    </row>
    <row r="1384" spans="1:1">
      <c r="A1384" s="5"/>
    </row>
    <row r="1385" spans="1:1">
      <c r="A1385" s="5"/>
    </row>
    <row r="1386" spans="1:1">
      <c r="A1386" s="5"/>
    </row>
    <row r="1387" spans="1:1">
      <c r="A1387" s="5"/>
    </row>
    <row r="1388" spans="1:1">
      <c r="A1388" s="5"/>
    </row>
    <row r="1389" spans="1:1">
      <c r="A1389" s="5"/>
    </row>
    <row r="1390" spans="1:1">
      <c r="A1390" s="5"/>
    </row>
    <row r="1391" spans="1:1">
      <c r="A1391" s="5"/>
    </row>
    <row r="1392" spans="1:1">
      <c r="A1392" s="5"/>
    </row>
    <row r="1393" spans="1:1">
      <c r="A1393" s="5"/>
    </row>
    <row r="1394" spans="1:1">
      <c r="A1394" s="5"/>
    </row>
    <row r="1395" spans="1:1">
      <c r="A1395" s="5"/>
    </row>
    <row r="1396" spans="1:1">
      <c r="A1396" s="5"/>
    </row>
    <row r="1397" spans="1:1">
      <c r="A1397" s="5"/>
    </row>
    <row r="1398" spans="1:1">
      <c r="A1398" s="5"/>
    </row>
    <row r="1399" spans="1:1">
      <c r="A1399" s="5"/>
    </row>
    <row r="1400" spans="1:1">
      <c r="A1400" s="5"/>
    </row>
    <row r="1401" spans="1:1">
      <c r="A1401" s="5"/>
    </row>
    <row r="1402" spans="1:1">
      <c r="A1402" s="5"/>
    </row>
    <row r="1403" spans="1:1">
      <c r="A1403" s="5"/>
    </row>
    <row r="1404" spans="1:1">
      <c r="A1404" s="5"/>
    </row>
    <row r="1405" spans="1:1">
      <c r="A1405" s="5"/>
    </row>
    <row r="1406" spans="1:1">
      <c r="A1406" s="5"/>
    </row>
    <row r="1407" spans="1:1">
      <c r="A1407" s="5"/>
    </row>
    <row r="1408" spans="1:1">
      <c r="A1408" s="5"/>
    </row>
    <row r="1409" spans="1:1">
      <c r="A1409" s="5"/>
    </row>
    <row r="1410" spans="1:1">
      <c r="A1410" s="5"/>
    </row>
    <row r="1411" spans="1:1">
      <c r="A1411" s="5"/>
    </row>
    <row r="1412" spans="1:1">
      <c r="A1412" s="5"/>
    </row>
    <row r="1413" spans="1:1">
      <c r="A1413" s="5"/>
    </row>
    <row r="1414" spans="1:1">
      <c r="A1414" s="5"/>
    </row>
    <row r="1415" spans="1:1">
      <c r="A1415" s="5"/>
    </row>
    <row r="1416" spans="1:1">
      <c r="A1416" s="5"/>
    </row>
    <row r="1417" spans="1:1">
      <c r="A1417" s="5"/>
    </row>
    <row r="1418" spans="1:1">
      <c r="A1418" s="5"/>
    </row>
    <row r="1419" spans="1:1">
      <c r="A1419" s="5"/>
    </row>
    <row r="1420" spans="1:1">
      <c r="A1420" s="5"/>
    </row>
    <row r="1421" spans="1:1">
      <c r="A1421" s="5"/>
    </row>
    <row r="1422" spans="1:1">
      <c r="A1422" s="5"/>
    </row>
    <row r="1423" spans="1:1">
      <c r="A1423" s="5"/>
    </row>
    <row r="1424" spans="1:1">
      <c r="A1424" s="5"/>
    </row>
    <row r="1425" spans="1:1">
      <c r="A1425" s="5"/>
    </row>
    <row r="1426" spans="1:1">
      <c r="A1426" s="5"/>
    </row>
    <row r="1427" spans="1:1">
      <c r="A1427" s="5"/>
    </row>
    <row r="1428" spans="1:1">
      <c r="A1428" s="5"/>
    </row>
    <row r="1429" spans="1:1">
      <c r="A1429" s="5"/>
    </row>
    <row r="1430" spans="1:1">
      <c r="A1430" s="5"/>
    </row>
    <row r="1431" spans="1:1">
      <c r="A1431" s="5"/>
    </row>
    <row r="1432" spans="1:1">
      <c r="A1432" s="5"/>
    </row>
    <row r="1433" spans="1:1">
      <c r="A1433" s="5"/>
    </row>
    <row r="1434" spans="1:1">
      <c r="A1434" s="5"/>
    </row>
    <row r="1435" spans="1:1">
      <c r="A1435" s="5"/>
    </row>
    <row r="1436" spans="1:1">
      <c r="A1436" s="5"/>
    </row>
    <row r="1437" spans="1:1">
      <c r="A1437" s="5"/>
    </row>
    <row r="1438" spans="1:1">
      <c r="A1438" s="5"/>
    </row>
    <row r="1439" spans="1:1">
      <c r="A1439" s="5"/>
    </row>
    <row r="1440" spans="1:1">
      <c r="A1440" s="5"/>
    </row>
    <row r="1441" spans="1:1">
      <c r="A1441" s="5"/>
    </row>
    <row r="1442" spans="1:1">
      <c r="A1442" s="5"/>
    </row>
    <row r="1443" spans="1:1">
      <c r="A1443" s="5"/>
    </row>
    <row r="1444" spans="1:1">
      <c r="A1444" s="5"/>
    </row>
    <row r="1445" spans="1:1">
      <c r="A1445" s="5"/>
    </row>
    <row r="1446" spans="1:1">
      <c r="A1446" s="5"/>
    </row>
    <row r="1447" spans="1:1">
      <c r="A1447" s="5"/>
    </row>
    <row r="1448" spans="1:1">
      <c r="A1448" s="5"/>
    </row>
    <row r="1449" spans="1:1">
      <c r="A1449" s="5"/>
    </row>
    <row r="1450" spans="1:1">
      <c r="A1450" s="5"/>
    </row>
    <row r="1451" spans="1:1">
      <c r="A1451" s="5"/>
    </row>
    <row r="1452" spans="1:1">
      <c r="A1452" s="5"/>
    </row>
    <row r="1453" spans="1:1">
      <c r="A1453" s="5"/>
    </row>
    <row r="1454" spans="1:1">
      <c r="A1454" s="5"/>
    </row>
    <row r="1455" spans="1:1">
      <c r="A1455" s="5"/>
    </row>
    <row r="1456" spans="1:1">
      <c r="A1456" s="5"/>
    </row>
    <row r="1457" spans="1:1">
      <c r="A1457" s="5"/>
    </row>
    <row r="1458" spans="1:1">
      <c r="A1458" s="5"/>
    </row>
    <row r="1459" spans="1:1">
      <c r="A1459" s="5"/>
    </row>
    <row r="1460" spans="1:1">
      <c r="A1460" s="5"/>
    </row>
    <row r="1461" spans="1:1">
      <c r="A1461" s="5"/>
    </row>
    <row r="1462" spans="1:1">
      <c r="A1462" s="5"/>
    </row>
    <row r="1463" spans="1:1">
      <c r="A1463" s="5"/>
    </row>
    <row r="1464" spans="1:1">
      <c r="A1464" s="5"/>
    </row>
    <row r="1465" spans="1:1">
      <c r="A1465" s="5"/>
    </row>
    <row r="1466" spans="1:1">
      <c r="A1466" s="5"/>
    </row>
    <row r="1467" spans="1:1">
      <c r="A1467" s="5"/>
    </row>
    <row r="1468" spans="1:1">
      <c r="A1468" s="5"/>
    </row>
    <row r="1469" spans="1:1">
      <c r="A1469" s="5"/>
    </row>
    <row r="1470" spans="1:1">
      <c r="A1470" s="5"/>
    </row>
    <row r="1471" spans="1:1">
      <c r="A1471" s="5"/>
    </row>
    <row r="1472" spans="1:1">
      <c r="A1472" s="5"/>
    </row>
    <row r="1473" spans="1:1">
      <c r="A1473" s="5"/>
    </row>
    <row r="1474" spans="1:1">
      <c r="A1474" s="5"/>
    </row>
    <row r="1475" spans="1:1">
      <c r="A1475" s="5"/>
    </row>
    <row r="1476" spans="1:1">
      <c r="A1476" s="5"/>
    </row>
    <row r="1477" spans="1:1">
      <c r="A1477" s="5"/>
    </row>
    <row r="1478" spans="1:1">
      <c r="A1478" s="5"/>
    </row>
    <row r="1479" spans="1:1">
      <c r="A1479" s="5"/>
    </row>
    <row r="1480" spans="1:1">
      <c r="A1480" s="5"/>
    </row>
    <row r="1481" spans="1:1">
      <c r="A1481" s="5"/>
    </row>
    <row r="1482" spans="1:1">
      <c r="A1482" s="5"/>
    </row>
    <row r="1483" spans="1:1">
      <c r="A1483" s="5"/>
    </row>
    <row r="1484" spans="1:1">
      <c r="A1484" s="5"/>
    </row>
    <row r="1485" spans="1:1">
      <c r="A1485" s="5"/>
    </row>
    <row r="1486" spans="1:1">
      <c r="A1486" s="5"/>
    </row>
    <row r="1487" spans="1:1">
      <c r="A1487" s="5"/>
    </row>
    <row r="1488" spans="1:1">
      <c r="A1488" s="5"/>
    </row>
    <row r="1489" spans="1:1">
      <c r="A1489" s="5"/>
    </row>
    <row r="1490" spans="1:1">
      <c r="A1490" s="5"/>
    </row>
    <row r="1491" spans="1:1">
      <c r="A1491" s="5"/>
    </row>
    <row r="1492" spans="1:1">
      <c r="A1492" s="5"/>
    </row>
    <row r="1493" spans="1:1">
      <c r="A1493" s="5"/>
    </row>
    <row r="1494" spans="1:1">
      <c r="A1494" s="5"/>
    </row>
    <row r="1495" spans="1:1">
      <c r="A1495" s="5"/>
    </row>
    <row r="1496" spans="1:1">
      <c r="A1496" s="5"/>
    </row>
    <row r="1497" spans="1:1">
      <c r="A1497" s="5"/>
    </row>
    <row r="1498" spans="1:1">
      <c r="A1498" s="5"/>
    </row>
    <row r="1499" spans="1:1">
      <c r="A1499" s="5"/>
    </row>
    <row r="1500" spans="1:1">
      <c r="A1500" s="5"/>
    </row>
    <row r="1501" spans="1:1">
      <c r="A1501" s="5"/>
    </row>
    <row r="1502" spans="1:1">
      <c r="A1502" s="5"/>
    </row>
    <row r="1503" spans="1:1">
      <c r="A1503" s="5"/>
    </row>
    <row r="1504" spans="1:1">
      <c r="A1504" s="5"/>
    </row>
    <row r="1505" spans="1:1">
      <c r="A1505" s="5"/>
    </row>
    <row r="1506" spans="1:1">
      <c r="A1506" s="5"/>
    </row>
    <row r="1507" spans="1:1">
      <c r="A1507" s="5"/>
    </row>
    <row r="1508" spans="1:1">
      <c r="A1508" s="5"/>
    </row>
    <row r="1509" spans="1:1">
      <c r="A1509" s="5"/>
    </row>
    <row r="1510" spans="1:1">
      <c r="A1510" s="5"/>
    </row>
    <row r="1511" spans="1:1">
      <c r="A1511" s="5"/>
    </row>
    <row r="1512" spans="1:1">
      <c r="A1512" s="5"/>
    </row>
    <row r="1513" spans="1:1">
      <c r="A1513" s="5"/>
    </row>
    <row r="1514" spans="1:1">
      <c r="A1514" s="5"/>
    </row>
    <row r="1515" spans="1:1">
      <c r="A1515" s="5"/>
    </row>
    <row r="1516" spans="1:1">
      <c r="A1516" s="5"/>
    </row>
    <row r="1517" spans="1:1">
      <c r="A1517" s="5"/>
    </row>
    <row r="1518" spans="1:1">
      <c r="A1518" s="5"/>
    </row>
    <row r="1519" spans="1:1">
      <c r="A1519" s="5"/>
    </row>
    <row r="1520" spans="1:1">
      <c r="A1520" s="5"/>
    </row>
    <row r="1521" spans="1:1">
      <c r="A1521" s="5"/>
    </row>
    <row r="1522" spans="1:1">
      <c r="A1522" s="5"/>
    </row>
    <row r="1523" spans="1:1">
      <c r="A1523" s="5"/>
    </row>
    <row r="1524" spans="1:1">
      <c r="A1524" s="5"/>
    </row>
    <row r="1525" spans="1:1">
      <c r="A1525" s="5"/>
    </row>
    <row r="1526" spans="1:1">
      <c r="A1526" s="5"/>
    </row>
    <row r="1527" spans="1:1">
      <c r="A1527" s="5"/>
    </row>
    <row r="1528" spans="1:1">
      <c r="A1528" s="5"/>
    </row>
    <row r="1529" spans="1:1">
      <c r="A1529" s="5"/>
    </row>
    <row r="1530" spans="1:1">
      <c r="A1530" s="5"/>
    </row>
    <row r="1531" spans="1:1">
      <c r="A1531" s="5"/>
    </row>
    <row r="1532" spans="1:1">
      <c r="A1532" s="5"/>
    </row>
    <row r="1533" spans="1:1">
      <c r="A1533" s="5"/>
    </row>
    <row r="1534" spans="1:1">
      <c r="A1534" s="5"/>
    </row>
    <row r="1535" spans="1:1">
      <c r="A1535" s="5"/>
    </row>
    <row r="1536" spans="1:1">
      <c r="A1536" s="5"/>
    </row>
    <row r="1537" spans="1:1">
      <c r="A1537" s="5"/>
    </row>
    <row r="1538" spans="1:1">
      <c r="A1538" s="5"/>
    </row>
    <row r="1539" spans="1:1">
      <c r="A1539" s="5"/>
    </row>
    <row r="1540" spans="1:1">
      <c r="A1540" s="5"/>
    </row>
    <row r="1541" spans="1:1">
      <c r="A1541" s="5"/>
    </row>
    <row r="1542" spans="1:1">
      <c r="A1542" s="5"/>
    </row>
    <row r="1543" spans="1:1">
      <c r="A1543" s="5"/>
    </row>
    <row r="1544" spans="1:1">
      <c r="A1544" s="5"/>
    </row>
    <row r="1545" spans="1:1">
      <c r="A1545" s="5"/>
    </row>
    <row r="1546" spans="1:1">
      <c r="A1546" s="5"/>
    </row>
    <row r="1547" spans="1:1">
      <c r="A1547" s="5"/>
    </row>
    <row r="1548" spans="1:1">
      <c r="A1548" s="5"/>
    </row>
    <row r="1549" spans="1:1">
      <c r="A1549" s="5"/>
    </row>
    <row r="1550" spans="1:1">
      <c r="A1550" s="5"/>
    </row>
    <row r="1551" spans="1:1">
      <c r="A1551" s="5"/>
    </row>
    <row r="1552" spans="1:1">
      <c r="A1552" s="5"/>
    </row>
    <row r="1553" spans="1:1">
      <c r="A1553" s="5"/>
    </row>
    <row r="1554" spans="1:1">
      <c r="A1554" s="5"/>
    </row>
    <row r="1555" spans="1:1">
      <c r="A1555" s="5"/>
    </row>
    <row r="1556" spans="1:1">
      <c r="A1556" s="5"/>
    </row>
    <row r="1557" spans="1:1">
      <c r="A1557" s="5"/>
    </row>
    <row r="1558" spans="1:1">
      <c r="A1558" s="5"/>
    </row>
    <row r="1559" spans="1:1">
      <c r="A1559" s="5"/>
    </row>
    <row r="1560" spans="1:1">
      <c r="A1560" s="5"/>
    </row>
    <row r="1561" spans="1:1">
      <c r="A1561" s="5"/>
    </row>
    <row r="1562" spans="1:1">
      <c r="A1562" s="5"/>
    </row>
    <row r="1563" spans="1:1">
      <c r="A1563" s="5"/>
    </row>
    <row r="1564" spans="1:1">
      <c r="A1564" s="5"/>
    </row>
    <row r="1565" spans="1:1">
      <c r="A1565" s="5"/>
    </row>
    <row r="1566" spans="1:1">
      <c r="A1566" s="5"/>
    </row>
    <row r="1567" spans="1:1">
      <c r="A1567" s="5"/>
    </row>
    <row r="1568" spans="1:1">
      <c r="A1568" s="5"/>
    </row>
    <row r="1569" spans="1:1">
      <c r="A1569" s="5"/>
    </row>
    <row r="1570" spans="1:1">
      <c r="A1570" s="5"/>
    </row>
    <row r="1571" spans="1:1">
      <c r="A1571" s="5"/>
    </row>
    <row r="1572" spans="1:1">
      <c r="A1572" s="5"/>
    </row>
    <row r="1573" spans="1:1">
      <c r="A1573" s="5"/>
    </row>
    <row r="1574" spans="1:1">
      <c r="A1574" s="5"/>
    </row>
    <row r="1575" spans="1:1">
      <c r="A1575" s="5"/>
    </row>
    <row r="1576" spans="1:1">
      <c r="A1576" s="5"/>
    </row>
    <row r="1577" spans="1:1">
      <c r="A1577" s="5"/>
    </row>
    <row r="1578" spans="1:1">
      <c r="A1578" s="5"/>
    </row>
    <row r="1579" spans="1:1">
      <c r="A1579" s="5"/>
    </row>
    <row r="1580" spans="1:1">
      <c r="A1580" s="5"/>
    </row>
    <row r="1581" spans="1:1">
      <c r="A1581" s="5"/>
    </row>
    <row r="1582" spans="1:1">
      <c r="A1582" s="5"/>
    </row>
    <row r="1583" spans="1:1">
      <c r="A1583" s="5"/>
    </row>
    <row r="1584" spans="1:1">
      <c r="A1584" s="5"/>
    </row>
    <row r="1585" spans="1:1">
      <c r="A1585" s="5"/>
    </row>
    <row r="1586" spans="1:1">
      <c r="A1586" s="5"/>
    </row>
    <row r="1587" spans="1:1">
      <c r="A1587" s="5"/>
    </row>
    <row r="1588" spans="1:1">
      <c r="A1588" s="5"/>
    </row>
    <row r="1589" spans="1:1">
      <c r="A1589" s="5"/>
    </row>
    <row r="1590" spans="1:1">
      <c r="A1590" s="5"/>
    </row>
    <row r="1591" spans="1:1">
      <c r="A1591" s="5"/>
    </row>
    <row r="1592" spans="1:1">
      <c r="A1592" s="5"/>
    </row>
    <row r="1593" spans="1:1">
      <c r="A1593" s="5"/>
    </row>
    <row r="1594" spans="1:1">
      <c r="A1594" s="5"/>
    </row>
    <row r="1595" spans="1:1">
      <c r="A1595" s="5"/>
    </row>
    <row r="1596" spans="1:1">
      <c r="A1596" s="5"/>
    </row>
    <row r="1597" spans="1:1">
      <c r="A1597" s="5"/>
    </row>
    <row r="1598" spans="1:1">
      <c r="A1598" s="5"/>
    </row>
    <row r="1599" spans="1:1">
      <c r="A1599" s="5"/>
    </row>
    <row r="1600" spans="1:1">
      <c r="A1600" s="5"/>
    </row>
    <row r="1601" spans="1:1">
      <c r="A1601" s="5"/>
    </row>
    <row r="1602" spans="1:1">
      <c r="A1602" s="5"/>
    </row>
    <row r="1603" spans="1:1">
      <c r="A1603" s="5"/>
    </row>
    <row r="1604" spans="1:1">
      <c r="A1604" s="5"/>
    </row>
    <row r="1605" spans="1:1">
      <c r="A1605" s="5"/>
    </row>
    <row r="1606" spans="1:1">
      <c r="A1606" s="5"/>
    </row>
    <row r="1607" spans="1:1">
      <c r="A1607" s="5"/>
    </row>
    <row r="1608" spans="1:1">
      <c r="A1608" s="5"/>
    </row>
    <row r="1609" spans="1:1">
      <c r="A1609" s="5"/>
    </row>
    <row r="1610" spans="1:1">
      <c r="A1610" s="5"/>
    </row>
    <row r="1611" spans="1:1">
      <c r="A1611" s="5"/>
    </row>
    <row r="1612" spans="1:1">
      <c r="A1612" s="5"/>
    </row>
    <row r="1613" spans="1:1">
      <c r="A1613" s="5"/>
    </row>
    <row r="1614" spans="1:1">
      <c r="A1614" s="5"/>
    </row>
    <row r="1615" spans="1:1">
      <c r="A1615" s="5"/>
    </row>
    <row r="1616" spans="1:1">
      <c r="A1616" s="5"/>
    </row>
    <row r="1617" spans="1:1">
      <c r="A1617" s="5"/>
    </row>
    <row r="1618" spans="1:1">
      <c r="A1618" s="5"/>
    </row>
    <row r="1619" spans="1:1">
      <c r="A1619" s="5"/>
    </row>
    <row r="1620" spans="1:1">
      <c r="A1620" s="5"/>
    </row>
    <row r="1621" spans="1:1">
      <c r="A1621" s="5"/>
    </row>
    <row r="1622" spans="1:1">
      <c r="A1622" s="5"/>
    </row>
    <row r="1623" spans="1:1">
      <c r="A1623" s="5"/>
    </row>
    <row r="1624" spans="1:1">
      <c r="A1624" s="5"/>
    </row>
    <row r="1625" spans="1:1">
      <c r="A1625" s="5"/>
    </row>
    <row r="1626" spans="1:1">
      <c r="A1626" s="5"/>
    </row>
    <row r="1627" spans="1:1">
      <c r="A1627" s="5"/>
    </row>
    <row r="1628" spans="1:1">
      <c r="A1628" s="5"/>
    </row>
    <row r="1629" spans="1:1">
      <c r="A1629" s="5"/>
    </row>
    <row r="1630" spans="1:1">
      <c r="A1630" s="5"/>
    </row>
    <row r="1631" spans="1:1">
      <c r="A1631" s="5"/>
    </row>
    <row r="1632" spans="1:1">
      <c r="A1632" s="5"/>
    </row>
    <row r="1633" spans="1:1">
      <c r="A1633" s="5"/>
    </row>
    <row r="1634" spans="1:1">
      <c r="A1634" s="5"/>
    </row>
    <row r="1635" spans="1:1">
      <c r="A1635" s="5"/>
    </row>
    <row r="1636" spans="1:1">
      <c r="A1636" s="5"/>
    </row>
    <row r="1637" spans="1:1">
      <c r="A1637" s="5"/>
    </row>
    <row r="1638" spans="1:1">
      <c r="A1638" s="5"/>
    </row>
    <row r="1639" spans="1:1">
      <c r="A1639" s="5"/>
    </row>
    <row r="1640" spans="1:1">
      <c r="A1640" s="5"/>
    </row>
    <row r="1641" spans="1:1">
      <c r="A1641" s="5"/>
    </row>
    <row r="1642" spans="1:1">
      <c r="A1642" s="5"/>
    </row>
    <row r="1643" spans="1:1">
      <c r="A1643" s="5"/>
    </row>
    <row r="1644" spans="1:1">
      <c r="A1644" s="5"/>
    </row>
    <row r="1645" spans="1:1">
      <c r="A1645" s="5"/>
    </row>
    <row r="1646" spans="1:1">
      <c r="A1646" s="5"/>
    </row>
    <row r="1647" spans="1:1">
      <c r="A1647" s="5"/>
    </row>
    <row r="1648" spans="1:1">
      <c r="A1648" s="5"/>
    </row>
    <row r="1649" spans="1:1">
      <c r="A1649" s="5"/>
    </row>
    <row r="1650" spans="1:1">
      <c r="A1650" s="5"/>
    </row>
    <row r="1651" spans="1:1">
      <c r="A1651" s="5"/>
    </row>
    <row r="1652" spans="1:1">
      <c r="A1652" s="5"/>
    </row>
    <row r="1653" spans="1:1">
      <c r="A1653" s="5"/>
    </row>
    <row r="1654" spans="1:1">
      <c r="A1654" s="5"/>
    </row>
    <row r="1655" spans="1:1">
      <c r="A1655" s="5"/>
    </row>
    <row r="1656" spans="1:1">
      <c r="A1656" s="5"/>
    </row>
    <row r="1657" spans="1:1">
      <c r="A1657" s="5"/>
    </row>
    <row r="1658" spans="1:1">
      <c r="A1658" s="5"/>
    </row>
    <row r="1659" spans="1:1">
      <c r="A1659" s="5"/>
    </row>
    <row r="1660" spans="1:1">
      <c r="A1660" s="5"/>
    </row>
    <row r="1661" spans="1:1">
      <c r="A1661" s="5"/>
    </row>
    <row r="1662" spans="1:1">
      <c r="A1662" s="5"/>
    </row>
    <row r="1663" spans="1:1">
      <c r="A1663" s="5"/>
    </row>
    <row r="1664" spans="1:1">
      <c r="A1664" s="5"/>
    </row>
    <row r="1665" spans="1:1">
      <c r="A1665" s="5"/>
    </row>
    <row r="1666" spans="1:1">
      <c r="A1666" s="5"/>
    </row>
    <row r="1667" spans="1:1">
      <c r="A1667" s="5"/>
    </row>
    <row r="1668" spans="1:1">
      <c r="A1668" s="5"/>
    </row>
    <row r="1669" spans="1:1">
      <c r="A1669" s="5"/>
    </row>
    <row r="1670" spans="1:1">
      <c r="A1670" s="5"/>
    </row>
    <row r="1671" spans="1:1">
      <c r="A1671" s="5"/>
    </row>
    <row r="1672" spans="1:1">
      <c r="A1672" s="5"/>
    </row>
    <row r="1673" spans="1:1">
      <c r="A1673" s="5"/>
    </row>
    <row r="1674" spans="1:1">
      <c r="A1674" s="5"/>
    </row>
    <row r="1675" spans="1:1">
      <c r="A1675" s="5"/>
    </row>
    <row r="1676" spans="1:1">
      <c r="A1676" s="5"/>
    </row>
    <row r="1677" spans="1:1">
      <c r="A1677" s="5"/>
    </row>
    <row r="1678" spans="1:1">
      <c r="A1678" s="5"/>
    </row>
    <row r="1679" spans="1:1">
      <c r="A1679" s="5"/>
    </row>
    <row r="1680" spans="1:1">
      <c r="A1680" s="5"/>
    </row>
    <row r="1681" spans="1:1">
      <c r="A1681" s="5"/>
    </row>
    <row r="1682" spans="1:1">
      <c r="A1682" s="5"/>
    </row>
    <row r="1683" spans="1:1">
      <c r="A1683" s="5"/>
    </row>
    <row r="1684" spans="1:1">
      <c r="A1684" s="5"/>
    </row>
    <row r="1685" spans="1:1">
      <c r="A1685" s="5"/>
    </row>
    <row r="1686" spans="1:1">
      <c r="A1686" s="5"/>
    </row>
    <row r="1687" spans="1:1">
      <c r="A1687" s="5"/>
    </row>
    <row r="1688" spans="1:1">
      <c r="A1688" s="5"/>
    </row>
    <row r="1689" spans="1:1">
      <c r="A1689" s="5"/>
    </row>
    <row r="1690" spans="1:1">
      <c r="A1690" s="5"/>
    </row>
    <row r="1691" spans="1:1">
      <c r="A1691" s="5"/>
    </row>
    <row r="1692" spans="1:1">
      <c r="A1692" s="5"/>
    </row>
    <row r="1693" spans="1:1">
      <c r="A1693" s="5"/>
    </row>
    <row r="1694" spans="1:1">
      <c r="A1694" s="5"/>
    </row>
    <row r="1695" spans="1:1">
      <c r="A1695" s="5"/>
    </row>
    <row r="1696" spans="1:1">
      <c r="A1696" s="5"/>
    </row>
    <row r="1697" spans="1:1">
      <c r="A1697" s="5"/>
    </row>
    <row r="1698" spans="1:1">
      <c r="A1698" s="5"/>
    </row>
    <row r="1699" spans="1:1">
      <c r="A1699" s="5"/>
    </row>
    <row r="1700" spans="1:1">
      <c r="A1700" s="5"/>
    </row>
    <row r="1701" spans="1:1">
      <c r="A1701" s="5"/>
    </row>
    <row r="1702" spans="1:1">
      <c r="A1702" s="5"/>
    </row>
    <row r="1703" spans="1:1">
      <c r="A1703" s="5"/>
    </row>
    <row r="1704" spans="1:1">
      <c r="A1704" s="5"/>
    </row>
    <row r="1705" spans="1:1">
      <c r="A1705" s="5"/>
    </row>
    <row r="1706" spans="1:1">
      <c r="A1706" s="5"/>
    </row>
    <row r="1707" spans="1:1">
      <c r="A1707" s="5"/>
    </row>
    <row r="1708" spans="1:1">
      <c r="A1708" s="5"/>
    </row>
    <row r="1709" spans="1:1">
      <c r="A1709" s="5"/>
    </row>
    <row r="1710" spans="1:1">
      <c r="A1710" s="5"/>
    </row>
    <row r="1711" spans="1:1">
      <c r="A1711" s="5"/>
    </row>
    <row r="1712" spans="1:1">
      <c r="A1712" s="5"/>
    </row>
    <row r="1713" spans="1:1">
      <c r="A1713" s="5"/>
    </row>
    <row r="1714" spans="1:1">
      <c r="A1714" s="5"/>
    </row>
    <row r="1715" spans="1:1">
      <c r="A1715" s="5"/>
    </row>
    <row r="1716" spans="1:1">
      <c r="A1716" s="5"/>
    </row>
    <row r="1717" spans="1:1">
      <c r="A1717" s="5"/>
    </row>
    <row r="1718" spans="1:1">
      <c r="A1718" s="5"/>
    </row>
    <row r="1719" spans="1:1">
      <c r="A1719" s="5"/>
    </row>
    <row r="1720" spans="1:1">
      <c r="A1720" s="5"/>
    </row>
    <row r="1721" spans="1:1">
      <c r="A1721" s="5"/>
    </row>
    <row r="1722" spans="1:1">
      <c r="A1722" s="5"/>
    </row>
    <row r="1723" spans="1:1">
      <c r="A1723" s="5"/>
    </row>
    <row r="1724" spans="1:1">
      <c r="A1724" s="5"/>
    </row>
    <row r="1725" spans="1:1">
      <c r="A1725" s="5"/>
    </row>
    <row r="1726" spans="1:1">
      <c r="A1726" s="5"/>
    </row>
    <row r="1727" spans="1:1">
      <c r="A1727" s="5"/>
    </row>
    <row r="1728" spans="1:1">
      <c r="A1728" s="5"/>
    </row>
    <row r="1729" spans="1:1">
      <c r="A1729" s="5"/>
    </row>
    <row r="1730" spans="1:1">
      <c r="A1730" s="5"/>
    </row>
    <row r="1731" spans="1:1">
      <c r="A1731" s="5"/>
    </row>
    <row r="1732" spans="1:1">
      <c r="A1732" s="5"/>
    </row>
    <row r="1733" spans="1:1">
      <c r="A1733" s="5"/>
    </row>
    <row r="1734" spans="1:1">
      <c r="A1734" s="5"/>
    </row>
    <row r="1735" spans="1:1">
      <c r="A1735" s="5"/>
    </row>
    <row r="1736" spans="1:1">
      <c r="A1736" s="5"/>
    </row>
    <row r="1737" spans="1:1">
      <c r="A1737" s="5"/>
    </row>
    <row r="1738" spans="1:1">
      <c r="A1738" s="5"/>
    </row>
    <row r="1739" spans="1:1">
      <c r="A1739" s="5"/>
    </row>
    <row r="1740" spans="1:1">
      <c r="A1740" s="5"/>
    </row>
    <row r="1741" spans="1:1">
      <c r="A1741" s="5"/>
    </row>
    <row r="1742" spans="1:1">
      <c r="A1742" s="5"/>
    </row>
    <row r="1743" spans="1:1">
      <c r="A1743" s="5"/>
    </row>
    <row r="1744" spans="1:1">
      <c r="A1744" s="5"/>
    </row>
    <row r="1745" spans="1:1">
      <c r="A1745" s="5"/>
    </row>
    <row r="1746" spans="1:1">
      <c r="A1746" s="5"/>
    </row>
    <row r="1747" spans="1:1">
      <c r="A1747" s="5"/>
    </row>
    <row r="1748" spans="1:1">
      <c r="A1748" s="5"/>
    </row>
    <row r="1749" spans="1:1">
      <c r="A1749" s="5"/>
    </row>
    <row r="1750" spans="1:1">
      <c r="A1750" s="5"/>
    </row>
    <row r="1751" spans="1:1">
      <c r="A1751" s="5"/>
    </row>
    <row r="1752" spans="1:1">
      <c r="A1752" s="5"/>
    </row>
    <row r="1753" spans="1:1">
      <c r="A1753" s="5"/>
    </row>
    <row r="1754" spans="1:1">
      <c r="A1754" s="5"/>
    </row>
    <row r="1755" spans="1:1">
      <c r="A1755" s="5"/>
    </row>
    <row r="1756" spans="1:1">
      <c r="A1756" s="5"/>
    </row>
    <row r="1757" spans="1:1">
      <c r="A1757" s="5"/>
    </row>
    <row r="1758" spans="1:1">
      <c r="A1758" s="5"/>
    </row>
    <row r="1759" spans="1:1">
      <c r="A1759" s="5"/>
    </row>
    <row r="1760" spans="1:1">
      <c r="A1760" s="5"/>
    </row>
    <row r="1761" spans="1:1">
      <c r="A1761" s="5"/>
    </row>
    <row r="1762" spans="1:1">
      <c r="A1762" s="5"/>
    </row>
    <row r="1763" spans="1:1">
      <c r="A1763" s="5"/>
    </row>
    <row r="1764" spans="1:1">
      <c r="A1764" s="5"/>
    </row>
    <row r="1765" spans="1:1">
      <c r="A1765" s="5"/>
    </row>
    <row r="1766" spans="1:1">
      <c r="A1766" s="5"/>
    </row>
    <row r="1767" spans="1:1">
      <c r="A1767" s="5"/>
    </row>
    <row r="1768" spans="1:1">
      <c r="A1768" s="5"/>
    </row>
    <row r="1769" spans="1:1">
      <c r="A1769" s="5"/>
    </row>
    <row r="1770" spans="1:1">
      <c r="A1770" s="5"/>
    </row>
    <row r="1771" spans="1:1">
      <c r="A1771" s="5"/>
    </row>
    <row r="1772" spans="1:1">
      <c r="A1772" s="5"/>
    </row>
    <row r="1773" spans="1:1">
      <c r="A1773" s="5"/>
    </row>
    <row r="1774" spans="1:1">
      <c r="A1774" s="5"/>
    </row>
    <row r="1775" spans="1:1">
      <c r="A1775" s="5"/>
    </row>
    <row r="1776" spans="1:1">
      <c r="A1776" s="5"/>
    </row>
    <row r="1777" spans="1:1">
      <c r="A1777" s="5"/>
    </row>
    <row r="1778" spans="1:1">
      <c r="A1778" s="5"/>
    </row>
    <row r="1779" spans="1:1">
      <c r="A1779" s="5"/>
    </row>
    <row r="1780" spans="1:1">
      <c r="A1780" s="5"/>
    </row>
    <row r="1781" spans="1:1">
      <c r="A1781" s="5"/>
    </row>
    <row r="1782" spans="1:1">
      <c r="A1782" s="5"/>
    </row>
    <row r="1783" spans="1:1">
      <c r="A1783" s="5"/>
    </row>
    <row r="1784" spans="1:1">
      <c r="A1784" s="5"/>
    </row>
    <row r="1785" spans="1:1">
      <c r="A1785" s="5"/>
    </row>
    <row r="1786" spans="1:1">
      <c r="A1786" s="5"/>
    </row>
    <row r="1787" spans="1:1">
      <c r="A1787" s="5"/>
    </row>
    <row r="1788" spans="1:1">
      <c r="A1788" s="5"/>
    </row>
    <row r="1789" spans="1:1">
      <c r="A1789" s="5"/>
    </row>
    <row r="1790" spans="1:1">
      <c r="A1790" s="5"/>
    </row>
    <row r="1791" spans="1:1">
      <c r="A1791" s="5"/>
    </row>
    <row r="1792" spans="1:1">
      <c r="A1792" s="5"/>
    </row>
    <row r="1793" spans="1:1">
      <c r="A1793" s="5"/>
    </row>
    <row r="1794" spans="1:1">
      <c r="A1794" s="5"/>
    </row>
    <row r="1795" spans="1:1">
      <c r="A1795" s="5"/>
    </row>
    <row r="1796" spans="1:1">
      <c r="A1796" s="5"/>
    </row>
    <row r="1797" spans="1:1">
      <c r="A1797" s="5"/>
    </row>
    <row r="1798" spans="1:1">
      <c r="A1798" s="5"/>
    </row>
    <row r="1799" spans="1:1">
      <c r="A1799" s="5"/>
    </row>
    <row r="1800" spans="1:1">
      <c r="A1800" s="5"/>
    </row>
    <row r="1801" spans="1:1">
      <c r="A1801" s="5"/>
    </row>
    <row r="1802" spans="1:1">
      <c r="A1802" s="5"/>
    </row>
    <row r="1803" spans="1:1">
      <c r="A1803" s="5"/>
    </row>
    <row r="1804" spans="1:1">
      <c r="A1804" s="5"/>
    </row>
    <row r="1805" spans="1:1">
      <c r="A1805" s="5"/>
    </row>
    <row r="1806" spans="1:1">
      <c r="A1806" s="5"/>
    </row>
    <row r="1807" spans="1:1">
      <c r="A1807" s="5"/>
    </row>
    <row r="1808" spans="1:1">
      <c r="A1808" s="5"/>
    </row>
    <row r="1809" spans="1:1">
      <c r="A1809" s="5"/>
    </row>
    <row r="1810" spans="1:1">
      <c r="A1810" s="5"/>
    </row>
    <row r="1811" spans="1:1">
      <c r="A1811" s="5"/>
    </row>
    <row r="1812" spans="1:1">
      <c r="A1812" s="5"/>
    </row>
    <row r="1813" spans="1:1">
      <c r="A1813" s="5"/>
    </row>
    <row r="1814" spans="1:1">
      <c r="A1814" s="5"/>
    </row>
    <row r="1815" spans="1:1">
      <c r="A1815" s="5"/>
    </row>
    <row r="1816" spans="1:1">
      <c r="A1816" s="5"/>
    </row>
    <row r="1817" spans="1:1">
      <c r="A1817" s="5"/>
    </row>
    <row r="1818" spans="1:1">
      <c r="A1818" s="5"/>
    </row>
    <row r="1819" spans="1:1">
      <c r="A1819" s="5"/>
    </row>
    <row r="1820" spans="1:1">
      <c r="A1820" s="5"/>
    </row>
    <row r="1821" spans="1:1">
      <c r="A1821" s="5"/>
    </row>
    <row r="1822" spans="1:1">
      <c r="A1822" s="5"/>
    </row>
    <row r="1823" spans="1:1">
      <c r="A1823" s="5"/>
    </row>
    <row r="1824" spans="1:1">
      <c r="A1824" s="5"/>
    </row>
    <row r="1825" spans="1:1">
      <c r="A1825" s="5"/>
    </row>
    <row r="1826" spans="1:1">
      <c r="A1826" s="5"/>
    </row>
    <row r="1827" spans="1:1">
      <c r="A1827" s="5"/>
    </row>
    <row r="1828" spans="1:1">
      <c r="A1828" s="5"/>
    </row>
    <row r="1829" spans="1:1">
      <c r="A1829" s="5"/>
    </row>
    <row r="1830" spans="1:1">
      <c r="A1830" s="5"/>
    </row>
    <row r="1831" spans="1:1">
      <c r="A1831" s="5"/>
    </row>
    <row r="1832" spans="1:1">
      <c r="A1832" s="5"/>
    </row>
    <row r="1833" spans="1:1">
      <c r="A1833" s="5"/>
    </row>
    <row r="1834" spans="1:1">
      <c r="A1834" s="5"/>
    </row>
    <row r="1835" spans="1:1">
      <c r="A1835" s="5"/>
    </row>
    <row r="1836" spans="1:1">
      <c r="A1836" s="5"/>
    </row>
    <row r="1837" spans="1:1">
      <c r="A1837" s="5"/>
    </row>
    <row r="1838" spans="1:1">
      <c r="A1838" s="5"/>
    </row>
    <row r="1839" spans="1:1">
      <c r="A1839" s="5"/>
    </row>
    <row r="1840" spans="1:1">
      <c r="A1840" s="5"/>
    </row>
    <row r="1841" spans="1:1">
      <c r="A1841" s="5"/>
    </row>
    <row r="1842" spans="1:1">
      <c r="A1842" s="5"/>
    </row>
    <row r="1843" spans="1:1">
      <c r="A1843" s="5"/>
    </row>
    <row r="1844" spans="1:1">
      <c r="A1844" s="5"/>
    </row>
    <row r="1845" spans="1:1">
      <c r="A1845" s="5"/>
    </row>
    <row r="1846" spans="1:1">
      <c r="A1846" s="5"/>
    </row>
    <row r="1847" spans="1:1">
      <c r="A1847" s="5"/>
    </row>
    <row r="1848" spans="1:1">
      <c r="A1848" s="5"/>
    </row>
    <row r="1849" spans="1:1">
      <c r="A1849" s="5"/>
    </row>
    <row r="1850" spans="1:1">
      <c r="A1850" s="5"/>
    </row>
    <row r="1851" spans="1:1">
      <c r="A1851" s="5"/>
    </row>
    <row r="1852" spans="1:1">
      <c r="A1852" s="5"/>
    </row>
    <row r="1853" spans="1:1">
      <c r="A1853" s="5"/>
    </row>
    <row r="1854" spans="1:1">
      <c r="A1854" s="5"/>
    </row>
    <row r="1855" spans="1:1">
      <c r="A1855" s="5"/>
    </row>
    <row r="1856" spans="1:1">
      <c r="A1856" s="5"/>
    </row>
    <row r="1857" spans="1:1">
      <c r="A1857" s="5"/>
    </row>
    <row r="1858" spans="1:1">
      <c r="A1858" s="5"/>
    </row>
    <row r="1859" spans="1:1">
      <c r="A1859" s="5"/>
    </row>
    <row r="1860" spans="1:1">
      <c r="A1860" s="5"/>
    </row>
    <row r="1861" spans="1:1">
      <c r="A1861" s="5"/>
    </row>
    <row r="1862" spans="1:1">
      <c r="A1862" s="5"/>
    </row>
    <row r="1863" spans="1:1">
      <c r="A1863" s="5"/>
    </row>
    <row r="1864" spans="1:1">
      <c r="A1864" s="5"/>
    </row>
    <row r="1865" spans="1:1">
      <c r="A1865" s="5"/>
    </row>
    <row r="1866" spans="1:1">
      <c r="A1866" s="5"/>
    </row>
    <row r="1867" spans="1:1">
      <c r="A1867" s="5"/>
    </row>
    <row r="1868" spans="1:1">
      <c r="A1868" s="5"/>
    </row>
    <row r="1869" spans="1:1">
      <c r="A1869" s="5"/>
    </row>
    <row r="1870" spans="1:1">
      <c r="A1870" s="5"/>
    </row>
    <row r="1871" spans="1:1">
      <c r="A1871" s="5"/>
    </row>
    <row r="1872" spans="1:1">
      <c r="A1872" s="5"/>
    </row>
    <row r="1873" spans="1:1">
      <c r="A1873" s="5"/>
    </row>
    <row r="1874" spans="1:1">
      <c r="A1874" s="5"/>
    </row>
    <row r="1875" spans="1:1">
      <c r="A1875" s="5"/>
    </row>
    <row r="1876" spans="1:1">
      <c r="A1876" s="5"/>
    </row>
    <row r="1877" spans="1:1">
      <c r="A1877" s="5"/>
    </row>
    <row r="1878" spans="1:1">
      <c r="A1878" s="5"/>
    </row>
    <row r="1879" spans="1:1">
      <c r="A1879" s="5"/>
    </row>
    <row r="1880" spans="1:1">
      <c r="A1880" s="5"/>
    </row>
    <row r="1881" spans="1:1">
      <c r="A1881" s="5"/>
    </row>
    <row r="1882" spans="1:1">
      <c r="A1882" s="5"/>
    </row>
    <row r="1883" spans="1:1">
      <c r="A1883" s="5"/>
    </row>
    <row r="1884" spans="1:1">
      <c r="A1884" s="5"/>
    </row>
    <row r="1885" spans="1:1">
      <c r="A1885" s="5"/>
    </row>
    <row r="1886" spans="1:1">
      <c r="A1886" s="5"/>
    </row>
    <row r="1887" spans="1:1">
      <c r="A1887" s="5"/>
    </row>
    <row r="1888" spans="1:1">
      <c r="A1888" s="5"/>
    </row>
    <row r="1889" spans="1:1">
      <c r="A1889" s="5"/>
    </row>
    <row r="1890" spans="1:1">
      <c r="A1890" s="5"/>
    </row>
    <row r="1891" spans="1:1">
      <c r="A1891" s="5"/>
    </row>
    <row r="1892" spans="1:1">
      <c r="A1892" s="5"/>
    </row>
    <row r="1893" spans="1:1">
      <c r="A1893" s="5"/>
    </row>
    <row r="1894" spans="1:1">
      <c r="A1894" s="5"/>
    </row>
    <row r="1895" spans="1:1">
      <c r="A1895" s="5"/>
    </row>
    <row r="1896" spans="1:1">
      <c r="A1896" s="5"/>
    </row>
    <row r="1897" spans="1:1">
      <c r="A1897" s="5"/>
    </row>
    <row r="1898" spans="1:1">
      <c r="A1898" s="5"/>
    </row>
    <row r="1899" spans="1:1">
      <c r="A1899" s="5"/>
    </row>
    <row r="1900" spans="1:1">
      <c r="A1900" s="5"/>
    </row>
    <row r="1901" spans="1:1">
      <c r="A1901" s="5"/>
    </row>
    <row r="1902" spans="1:1">
      <c r="A1902" s="5"/>
    </row>
    <row r="1903" spans="1:1">
      <c r="A1903" s="5"/>
    </row>
    <row r="1904" spans="1:1">
      <c r="A1904" s="5"/>
    </row>
    <row r="1905" spans="1:1">
      <c r="A1905" s="5"/>
    </row>
    <row r="1906" spans="1:1">
      <c r="A1906" s="5"/>
    </row>
    <row r="1907" spans="1:1">
      <c r="A1907" s="5"/>
    </row>
    <row r="1908" spans="1:1">
      <c r="A1908" s="5"/>
    </row>
    <row r="1909" spans="1:1">
      <c r="A1909" s="5"/>
    </row>
    <row r="1910" spans="1:1">
      <c r="A1910" s="5"/>
    </row>
    <row r="1911" spans="1:1">
      <c r="A1911" s="5"/>
    </row>
    <row r="1912" spans="1:1">
      <c r="A1912" s="5"/>
    </row>
    <row r="1913" spans="1:1">
      <c r="A1913" s="5"/>
    </row>
    <row r="1914" spans="1:1">
      <c r="A1914" s="5"/>
    </row>
    <row r="1915" spans="1:1">
      <c r="A1915" s="5"/>
    </row>
    <row r="1916" spans="1:1">
      <c r="A1916" s="5"/>
    </row>
    <row r="1917" spans="1:1">
      <c r="A1917" s="5"/>
    </row>
    <row r="1918" spans="1:1">
      <c r="A1918" s="5"/>
    </row>
    <row r="1919" spans="1:1">
      <c r="A1919" s="5"/>
    </row>
    <row r="1920" spans="1:1">
      <c r="A1920" s="5"/>
    </row>
    <row r="1921" spans="1:1">
      <c r="A1921" s="5"/>
    </row>
    <row r="1922" spans="1:1">
      <c r="A1922" s="5"/>
    </row>
    <row r="1923" spans="1:1">
      <c r="A1923" s="5"/>
    </row>
    <row r="1924" spans="1:1">
      <c r="A1924" s="5"/>
    </row>
    <row r="1925" spans="1:1">
      <c r="A1925" s="5"/>
    </row>
    <row r="1926" spans="1:1">
      <c r="A1926" s="5"/>
    </row>
    <row r="1927" spans="1:1">
      <c r="A1927" s="5"/>
    </row>
    <row r="1928" spans="1:1">
      <c r="A1928" s="5"/>
    </row>
    <row r="1929" spans="1:1">
      <c r="A1929" s="5"/>
    </row>
    <row r="1930" spans="1:1">
      <c r="A1930" s="5"/>
    </row>
    <row r="1931" spans="1:1">
      <c r="A1931" s="5"/>
    </row>
    <row r="1932" spans="1:1">
      <c r="A1932" s="5"/>
    </row>
    <row r="1933" spans="1:1">
      <c r="A1933" s="5"/>
    </row>
    <row r="1934" spans="1:1">
      <c r="A1934" s="5"/>
    </row>
    <row r="1935" spans="1:1">
      <c r="A1935" s="5"/>
    </row>
    <row r="1936" spans="1:1">
      <c r="A1936" s="5"/>
    </row>
    <row r="1937" spans="1:1">
      <c r="A1937" s="5"/>
    </row>
    <row r="1938" spans="1:1">
      <c r="A1938" s="5"/>
    </row>
    <row r="1939" spans="1:1">
      <c r="A1939" s="5"/>
    </row>
    <row r="1940" spans="1:1">
      <c r="A1940" s="5"/>
    </row>
    <row r="1941" spans="1:1">
      <c r="A1941" s="5"/>
    </row>
    <row r="1942" spans="1:1">
      <c r="A1942" s="5"/>
    </row>
    <row r="1943" spans="1:1">
      <c r="A1943" s="5"/>
    </row>
    <row r="1944" spans="1:1">
      <c r="A1944" s="5"/>
    </row>
    <row r="1945" spans="1:1">
      <c r="A1945" s="5"/>
    </row>
    <row r="1946" spans="1:1">
      <c r="A1946" s="5"/>
    </row>
    <row r="1947" spans="1:1">
      <c r="A1947" s="5"/>
    </row>
    <row r="1948" spans="1:1">
      <c r="A1948" s="5"/>
    </row>
    <row r="1949" spans="1:1">
      <c r="A1949" s="5"/>
    </row>
    <row r="1950" spans="1:1">
      <c r="A1950" s="5"/>
    </row>
    <row r="1951" spans="1:1">
      <c r="A1951" s="5"/>
    </row>
    <row r="1952" spans="1:1">
      <c r="A1952" s="5"/>
    </row>
    <row r="1953" spans="1:1">
      <c r="A1953" s="5"/>
    </row>
    <row r="1954" spans="1:1">
      <c r="A1954" s="5"/>
    </row>
    <row r="1955" spans="1:1">
      <c r="A1955" s="5"/>
    </row>
    <row r="1956" spans="1:1">
      <c r="A1956" s="5"/>
    </row>
    <row r="1957" spans="1:1">
      <c r="A1957" s="5"/>
    </row>
    <row r="1958" spans="1:1">
      <c r="A1958" s="5"/>
    </row>
    <row r="1959" spans="1:1">
      <c r="A1959" s="5"/>
    </row>
    <row r="1960" spans="1:1">
      <c r="A1960" s="5"/>
    </row>
    <row r="1961" spans="1:1">
      <c r="A1961" s="5"/>
    </row>
    <row r="1962" spans="1:1">
      <c r="A1962" s="5"/>
    </row>
    <row r="1963" spans="1:1">
      <c r="A1963" s="5"/>
    </row>
    <row r="1964" spans="1:1">
      <c r="A1964" s="5"/>
    </row>
    <row r="1965" spans="1:1">
      <c r="A1965" s="5"/>
    </row>
    <row r="1966" spans="1:1">
      <c r="A1966" s="5"/>
    </row>
    <row r="1967" spans="1:1">
      <c r="A1967" s="5"/>
    </row>
    <row r="1968" spans="1:1">
      <c r="A1968" s="5"/>
    </row>
    <row r="1969" spans="1:1">
      <c r="A1969" s="5"/>
    </row>
    <row r="1970" spans="1:1">
      <c r="A1970" s="5"/>
    </row>
    <row r="1971" spans="1:1">
      <c r="A1971" s="5"/>
    </row>
    <row r="1972" spans="1:1">
      <c r="A1972" s="5"/>
    </row>
    <row r="1973" spans="1:1">
      <c r="A1973" s="5"/>
    </row>
    <row r="1974" spans="1:1">
      <c r="A1974" s="5"/>
    </row>
    <row r="1975" spans="1:1">
      <c r="A1975" s="5"/>
    </row>
    <row r="1976" spans="1:1">
      <c r="A1976" s="5"/>
    </row>
    <row r="1977" spans="1:1">
      <c r="A1977" s="5"/>
    </row>
    <row r="1978" spans="1:1">
      <c r="A1978" s="5"/>
    </row>
    <row r="1979" spans="1:1">
      <c r="A1979" s="5"/>
    </row>
    <row r="1980" spans="1:1">
      <c r="A1980" s="5"/>
    </row>
    <row r="1981" spans="1:1">
      <c r="A1981" s="5"/>
    </row>
    <row r="1982" spans="1:1">
      <c r="A1982" s="5"/>
    </row>
    <row r="1983" spans="1:1">
      <c r="A1983" s="5"/>
    </row>
    <row r="1984" spans="1:1">
      <c r="A1984" s="5"/>
    </row>
    <row r="1985" spans="1:1">
      <c r="A1985" s="5"/>
    </row>
    <row r="1986" spans="1:1">
      <c r="A1986" s="5"/>
    </row>
    <row r="1987" spans="1:1">
      <c r="A1987" s="5"/>
    </row>
    <row r="1988" spans="1:1">
      <c r="A1988" s="5"/>
    </row>
    <row r="1989" spans="1:1">
      <c r="A1989" s="5"/>
    </row>
    <row r="1990" spans="1:1">
      <c r="A1990" s="5"/>
    </row>
    <row r="1991" spans="1:1">
      <c r="A1991" s="5"/>
    </row>
    <row r="1992" spans="1:1">
      <c r="A1992" s="5"/>
    </row>
    <row r="1993" spans="1:1">
      <c r="A1993" s="5"/>
    </row>
    <row r="1994" spans="1:1">
      <c r="A1994" s="5"/>
    </row>
    <row r="1995" spans="1:1">
      <c r="A1995" s="5"/>
    </row>
    <row r="1996" spans="1:1">
      <c r="A1996" s="5"/>
    </row>
    <row r="1997" spans="1:1">
      <c r="A1997" s="5"/>
    </row>
    <row r="1998" spans="1:1">
      <c r="A1998" s="5"/>
    </row>
    <row r="1999" spans="1:1">
      <c r="A1999" s="5"/>
    </row>
    <row r="2000" spans="1:1">
      <c r="A2000" s="5"/>
    </row>
    <row r="2001" spans="1:1">
      <c r="A2001" s="5"/>
    </row>
    <row r="2002" spans="1:1">
      <c r="A2002" s="5"/>
    </row>
    <row r="2003" spans="1:1">
      <c r="A2003" s="5"/>
    </row>
    <row r="2004" spans="1:1">
      <c r="A2004" s="5"/>
    </row>
    <row r="2005" spans="1:1">
      <c r="A2005" s="5"/>
    </row>
    <row r="2006" spans="1:1">
      <c r="A2006" s="5"/>
    </row>
    <row r="2007" spans="1:1">
      <c r="A2007" s="5"/>
    </row>
    <row r="2008" spans="1:1">
      <c r="A2008" s="5"/>
    </row>
    <row r="2009" spans="1:1">
      <c r="A2009" s="5"/>
    </row>
    <row r="2010" spans="1:1">
      <c r="A2010" s="5"/>
    </row>
    <row r="2011" spans="1:1">
      <c r="A2011" s="5"/>
    </row>
    <row r="2012" spans="1:1">
      <c r="A2012" s="5"/>
    </row>
    <row r="2013" spans="1:1">
      <c r="A2013" s="5"/>
    </row>
    <row r="2014" spans="1:1">
      <c r="A2014" s="5"/>
    </row>
    <row r="2015" spans="1:1">
      <c r="A2015" s="5"/>
    </row>
    <row r="2016" spans="1:1">
      <c r="A2016" s="5"/>
    </row>
    <row r="2017" spans="1:1">
      <c r="A2017" s="5"/>
    </row>
    <row r="2018" spans="1:1">
      <c r="A2018" s="5"/>
    </row>
    <row r="2019" spans="1:1">
      <c r="A2019" s="5"/>
    </row>
    <row r="2020" spans="1:1">
      <c r="A2020" s="5"/>
    </row>
    <row r="2021" spans="1:1">
      <c r="A2021" s="5"/>
    </row>
    <row r="2022" spans="1:1">
      <c r="A2022" s="5"/>
    </row>
    <row r="2023" spans="1:1">
      <c r="A2023" s="5"/>
    </row>
    <row r="2024" spans="1:1">
      <c r="A2024" s="5"/>
    </row>
    <row r="2025" spans="1:1">
      <c r="A2025" s="5"/>
    </row>
    <row r="2026" spans="1:1">
      <c r="A2026" s="5"/>
    </row>
    <row r="2027" spans="1:1">
      <c r="A2027" s="5"/>
    </row>
    <row r="2028" spans="1:1">
      <c r="A2028" s="5"/>
    </row>
    <row r="2029" spans="1:1">
      <c r="A2029" s="5"/>
    </row>
    <row r="2030" spans="1:1">
      <c r="A2030" s="5"/>
    </row>
    <row r="2031" spans="1:1">
      <c r="A2031" s="5"/>
    </row>
    <row r="2032" spans="1:1">
      <c r="A2032" s="5"/>
    </row>
    <row r="2033" spans="1:1">
      <c r="A2033" s="5"/>
    </row>
    <row r="2034" spans="1:1">
      <c r="A2034" s="5"/>
    </row>
    <row r="2035" spans="1:1">
      <c r="A2035" s="5"/>
    </row>
    <row r="2036" spans="1:1">
      <c r="A2036" s="5"/>
    </row>
    <row r="2037" spans="1:1">
      <c r="A2037" s="5"/>
    </row>
    <row r="2038" spans="1:1">
      <c r="A2038" s="5"/>
    </row>
    <row r="2039" spans="1:1">
      <c r="A2039" s="5"/>
    </row>
    <row r="2040" spans="1:1">
      <c r="A2040" s="5"/>
    </row>
    <row r="2041" spans="1:1">
      <c r="A2041" s="5"/>
    </row>
    <row r="2042" spans="1:1">
      <c r="A2042" s="5"/>
    </row>
    <row r="2043" spans="1:1">
      <c r="A2043" s="5"/>
    </row>
    <row r="2044" spans="1:1">
      <c r="A2044" s="5"/>
    </row>
    <row r="2045" spans="1:1">
      <c r="A2045" s="5"/>
    </row>
    <row r="2046" spans="1:1">
      <c r="A2046" s="5"/>
    </row>
    <row r="2047" spans="1:1">
      <c r="A2047" s="5"/>
    </row>
    <row r="2048" spans="1:1">
      <c r="A2048" s="5"/>
    </row>
    <row r="2049" spans="1:1">
      <c r="A2049" s="5"/>
    </row>
    <row r="2050" spans="1:1">
      <c r="A2050" s="5"/>
    </row>
    <row r="2051" spans="1:1">
      <c r="A2051" s="5"/>
    </row>
    <row r="2052" spans="1:1">
      <c r="A2052" s="5"/>
    </row>
    <row r="2053" spans="1:1">
      <c r="A2053" s="5"/>
    </row>
    <row r="2054" spans="1:1">
      <c r="A2054" s="5"/>
    </row>
    <row r="2055" spans="1:1">
      <c r="A2055" s="5"/>
    </row>
    <row r="2056" spans="1:1">
      <c r="A2056" s="5"/>
    </row>
    <row r="2057" spans="1:1">
      <c r="A2057" s="5"/>
    </row>
    <row r="2058" spans="1:1">
      <c r="A2058" s="5"/>
    </row>
    <row r="2059" spans="1:1">
      <c r="A2059" s="5"/>
    </row>
    <row r="2060" spans="1:1">
      <c r="A2060" s="5"/>
    </row>
    <row r="2061" spans="1:1">
      <c r="A2061" s="5"/>
    </row>
    <row r="2062" spans="1:1">
      <c r="A2062" s="5"/>
    </row>
    <row r="2063" spans="1:1">
      <c r="A2063" s="5"/>
    </row>
    <row r="2064" spans="1:1">
      <c r="A2064" s="5"/>
    </row>
    <row r="2065" spans="1:1">
      <c r="A2065" s="5"/>
    </row>
    <row r="2066" spans="1:1">
      <c r="A2066" s="5"/>
    </row>
    <row r="2067" spans="1:1">
      <c r="A2067" s="5"/>
    </row>
    <row r="2068" spans="1:1">
      <c r="A2068" s="5"/>
    </row>
    <row r="2069" spans="1:1">
      <c r="A2069" s="5"/>
    </row>
    <row r="2070" spans="1:1">
      <c r="A2070" s="5"/>
    </row>
    <row r="2071" spans="1:1">
      <c r="A2071" s="5"/>
    </row>
    <row r="2072" spans="1:1">
      <c r="A2072" s="5"/>
    </row>
    <row r="2073" spans="1:1">
      <c r="A2073" s="5"/>
    </row>
    <row r="2074" spans="1:1">
      <c r="A2074" s="5"/>
    </row>
    <row r="2075" spans="1:1">
      <c r="A2075" s="5"/>
    </row>
    <row r="2076" spans="1:1">
      <c r="A2076" s="5"/>
    </row>
    <row r="2077" spans="1:1">
      <c r="A2077" s="5"/>
    </row>
    <row r="2078" spans="1:1">
      <c r="A2078" s="5"/>
    </row>
    <row r="2079" spans="1:1">
      <c r="A2079" s="5"/>
    </row>
    <row r="2080" spans="1:1">
      <c r="A2080" s="5"/>
    </row>
    <row r="2081" spans="1:1">
      <c r="A2081" s="5"/>
    </row>
    <row r="2082" spans="1:1">
      <c r="A2082" s="5"/>
    </row>
    <row r="2083" spans="1:1">
      <c r="A2083" s="5"/>
    </row>
    <row r="2084" spans="1:1">
      <c r="A2084" s="5"/>
    </row>
    <row r="2085" spans="1:1">
      <c r="A2085" s="5"/>
    </row>
    <row r="2086" spans="1:1">
      <c r="A2086" s="5"/>
    </row>
    <row r="2087" spans="1:1">
      <c r="A2087" s="5"/>
    </row>
    <row r="2088" spans="1:1">
      <c r="A2088" s="5"/>
    </row>
    <row r="2089" spans="1:1">
      <c r="A2089" s="5"/>
    </row>
    <row r="2090" spans="1:1">
      <c r="A2090" s="5"/>
    </row>
    <row r="2091" spans="1:1">
      <c r="A2091" s="5"/>
    </row>
    <row r="2092" spans="1:1">
      <c r="A2092" s="5"/>
    </row>
    <row r="2093" spans="1:1">
      <c r="A2093" s="5"/>
    </row>
    <row r="2094" spans="1:1">
      <c r="A2094" s="5"/>
    </row>
    <row r="2095" spans="1:1">
      <c r="A2095" s="5"/>
    </row>
    <row r="2096" spans="1:1">
      <c r="A2096" s="5"/>
    </row>
    <row r="2097" spans="1:1">
      <c r="A2097" s="5"/>
    </row>
    <row r="2098" spans="1:1">
      <c r="A2098" s="5"/>
    </row>
    <row r="2099" spans="1:1">
      <c r="A2099" s="5"/>
    </row>
    <row r="2100" spans="1:1">
      <c r="A2100" s="5"/>
    </row>
    <row r="2101" spans="1:1">
      <c r="A2101" s="5"/>
    </row>
    <row r="2102" spans="1:1">
      <c r="A2102" s="5"/>
    </row>
    <row r="2103" spans="1:1">
      <c r="A2103" s="5"/>
    </row>
    <row r="2104" spans="1:1">
      <c r="A2104" s="5"/>
    </row>
    <row r="2105" spans="1:1">
      <c r="A2105" s="5"/>
    </row>
    <row r="2106" spans="1:1">
      <c r="A2106" s="5"/>
    </row>
    <row r="2107" spans="1:1">
      <c r="A2107" s="5"/>
    </row>
    <row r="2108" spans="1:1">
      <c r="A2108" s="5"/>
    </row>
    <row r="2109" spans="1:1">
      <c r="A2109" s="5"/>
    </row>
    <row r="2110" spans="1:1">
      <c r="A2110" s="5"/>
    </row>
    <row r="2111" spans="1:1">
      <c r="A2111" s="5"/>
    </row>
    <row r="2112" spans="1:1">
      <c r="A2112" s="5"/>
    </row>
    <row r="2113" spans="1:1">
      <c r="A2113" s="5"/>
    </row>
    <row r="2114" spans="1:1">
      <c r="A2114" s="5"/>
    </row>
    <row r="2115" spans="1:1">
      <c r="A2115" s="5"/>
    </row>
    <row r="2116" spans="1:1">
      <c r="A2116" s="5"/>
    </row>
    <row r="2117" spans="1:1">
      <c r="A2117" s="5"/>
    </row>
    <row r="2118" spans="1:1">
      <c r="A2118" s="5"/>
    </row>
    <row r="2119" spans="1:1">
      <c r="A2119" s="5"/>
    </row>
    <row r="2120" spans="1:1">
      <c r="A2120" s="5"/>
    </row>
    <row r="2121" spans="1:1">
      <c r="A2121" s="5"/>
    </row>
    <row r="2122" spans="1:1">
      <c r="A2122" s="5"/>
    </row>
    <row r="2123" spans="1:1">
      <c r="A2123" s="5"/>
    </row>
    <row r="2124" spans="1:1">
      <c r="A2124" s="5"/>
    </row>
    <row r="2125" spans="1:1">
      <c r="A2125" s="5"/>
    </row>
    <row r="2126" spans="1:1">
      <c r="A2126" s="5"/>
    </row>
    <row r="2127" spans="1:1">
      <c r="A2127" s="5"/>
    </row>
    <row r="2128" spans="1:1">
      <c r="A2128" s="5"/>
    </row>
    <row r="2129" spans="1:1">
      <c r="A2129" s="5"/>
    </row>
    <row r="2130" spans="1:1">
      <c r="A2130" s="5"/>
    </row>
    <row r="2131" spans="1:1">
      <c r="A2131" s="5"/>
    </row>
    <row r="2132" spans="1:1">
      <c r="A2132" s="5"/>
    </row>
    <row r="2133" spans="1:1">
      <c r="A2133" s="5"/>
    </row>
    <row r="2134" spans="1:1">
      <c r="A2134" s="5"/>
    </row>
    <row r="2135" spans="1:1">
      <c r="A2135" s="5"/>
    </row>
    <row r="2136" spans="1:1">
      <c r="A2136" s="5"/>
    </row>
    <row r="2137" spans="1:1">
      <c r="A2137" s="5"/>
    </row>
    <row r="2138" spans="1:1">
      <c r="A2138" s="5"/>
    </row>
    <row r="2139" spans="1:1">
      <c r="A2139" s="5"/>
    </row>
    <row r="2140" spans="1:1">
      <c r="A2140" s="5"/>
    </row>
    <row r="2141" spans="1:1">
      <c r="A2141" s="5"/>
    </row>
    <row r="2142" spans="1:1">
      <c r="A2142" s="5"/>
    </row>
    <row r="2143" spans="1:1">
      <c r="A2143" s="5"/>
    </row>
    <row r="2144" spans="1:1">
      <c r="A2144" s="5"/>
    </row>
    <row r="2145" spans="1:1">
      <c r="A2145" s="5"/>
    </row>
    <row r="2146" spans="1:1">
      <c r="A2146" s="5"/>
    </row>
    <row r="2147" spans="1:1">
      <c r="A2147" s="5"/>
    </row>
    <row r="2148" spans="1:1">
      <c r="A2148" s="5"/>
    </row>
    <row r="2149" spans="1:1">
      <c r="A2149" s="5"/>
    </row>
    <row r="2150" spans="1:1">
      <c r="A2150" s="5"/>
    </row>
    <row r="2151" spans="1:1">
      <c r="A2151" s="5"/>
    </row>
    <row r="2152" spans="1:1">
      <c r="A2152" s="5"/>
    </row>
    <row r="2153" spans="1:1">
      <c r="A2153" s="5"/>
    </row>
    <row r="2154" spans="1:1">
      <c r="A2154" s="5"/>
    </row>
    <row r="2155" spans="1:1">
      <c r="A2155" s="5"/>
    </row>
    <row r="2156" spans="1:1">
      <c r="A2156" s="5"/>
    </row>
    <row r="2157" spans="1:1">
      <c r="A2157" s="5"/>
    </row>
    <row r="2158" spans="1:1">
      <c r="A2158" s="5"/>
    </row>
    <row r="2159" spans="1:1">
      <c r="A2159" s="5"/>
    </row>
    <row r="2160" spans="1:1">
      <c r="A2160" s="5"/>
    </row>
    <row r="2161" spans="1:1">
      <c r="A2161" s="5"/>
    </row>
    <row r="2162" spans="1:1">
      <c r="A2162" s="5"/>
    </row>
    <row r="2163" spans="1:1">
      <c r="A2163" s="5"/>
    </row>
    <row r="2164" spans="1:1">
      <c r="A2164" s="5"/>
    </row>
    <row r="2165" spans="1:1">
      <c r="A2165" s="5"/>
    </row>
    <row r="2166" spans="1:1">
      <c r="A2166" s="5"/>
    </row>
    <row r="2167" spans="1:1">
      <c r="A2167" s="5"/>
    </row>
    <row r="2168" spans="1:1">
      <c r="A2168" s="5"/>
    </row>
    <row r="2169" spans="1:1">
      <c r="A2169" s="5"/>
    </row>
    <row r="2170" spans="1:1">
      <c r="A2170" s="5"/>
    </row>
    <row r="2171" spans="1:1">
      <c r="A2171" s="5"/>
    </row>
    <row r="2172" spans="1:1">
      <c r="A2172" s="5"/>
    </row>
    <row r="2173" spans="1:1">
      <c r="A2173" s="5"/>
    </row>
    <row r="2174" spans="1:1">
      <c r="A2174" s="5"/>
    </row>
    <row r="2175" spans="1:1">
      <c r="A2175" s="5"/>
    </row>
    <row r="2176" spans="1:1">
      <c r="A2176" s="5"/>
    </row>
    <row r="2177" spans="1:1">
      <c r="A2177" s="5"/>
    </row>
    <row r="2178" spans="1:1">
      <c r="A2178" s="5"/>
    </row>
    <row r="2179" spans="1:1">
      <c r="A2179" s="5"/>
    </row>
    <row r="2180" spans="1:1">
      <c r="A2180" s="5"/>
    </row>
    <row r="2181" spans="1:1">
      <c r="A2181" s="5"/>
    </row>
    <row r="2182" spans="1:1">
      <c r="A2182" s="5"/>
    </row>
    <row r="2183" spans="1:1">
      <c r="A2183" s="5"/>
    </row>
    <row r="2184" spans="1:1">
      <c r="A2184" s="5"/>
    </row>
    <row r="2185" spans="1:1">
      <c r="A2185" s="5"/>
    </row>
    <row r="2186" spans="1:1">
      <c r="A2186" s="5"/>
    </row>
    <row r="2187" spans="1:1">
      <c r="A2187" s="5"/>
    </row>
    <row r="2188" spans="1:1">
      <c r="A2188" s="5"/>
    </row>
    <row r="2189" spans="1:1">
      <c r="A2189" s="5"/>
    </row>
    <row r="2190" spans="1:1">
      <c r="A2190" s="5"/>
    </row>
    <row r="2191" spans="1:1">
      <c r="A2191" s="5"/>
    </row>
    <row r="2192" spans="1:1">
      <c r="A2192" s="5"/>
    </row>
    <row r="2193" spans="1:1">
      <c r="A2193" s="5"/>
    </row>
    <row r="2194" spans="1:1">
      <c r="A2194" s="5"/>
    </row>
    <row r="2195" spans="1:1">
      <c r="A2195" s="5"/>
    </row>
    <row r="2196" spans="1:1">
      <c r="A2196" s="5"/>
    </row>
    <row r="2197" spans="1:1">
      <c r="A2197" s="5"/>
    </row>
    <row r="2198" spans="1:1">
      <c r="A2198" s="5"/>
    </row>
    <row r="2199" spans="1:1">
      <c r="A2199" s="5"/>
    </row>
    <row r="2200" spans="1:1">
      <c r="A2200" s="5"/>
    </row>
    <row r="2201" spans="1:1">
      <c r="A2201" s="5"/>
    </row>
    <row r="2202" spans="1:1">
      <c r="A2202" s="5"/>
    </row>
    <row r="2203" spans="1:1">
      <c r="A2203" s="5"/>
    </row>
    <row r="2204" spans="1:1">
      <c r="A2204" s="5"/>
    </row>
    <row r="2205" spans="1:1">
      <c r="A2205" s="5"/>
    </row>
    <row r="2206" spans="1:1">
      <c r="A2206" s="5"/>
    </row>
    <row r="2207" spans="1:1">
      <c r="A2207" s="5"/>
    </row>
    <row r="2208" spans="1:1">
      <c r="A2208" s="5"/>
    </row>
    <row r="2209" spans="1:1">
      <c r="A2209" s="5"/>
    </row>
    <row r="2210" spans="1:1">
      <c r="A2210" s="5"/>
    </row>
    <row r="2211" spans="1:1">
      <c r="A2211" s="5"/>
    </row>
    <row r="2212" spans="1:1">
      <c r="A2212" s="5"/>
    </row>
    <row r="2213" spans="1:1">
      <c r="A2213" s="5"/>
    </row>
    <row r="2214" spans="1:1">
      <c r="A2214" s="5"/>
    </row>
    <row r="2215" spans="1:1">
      <c r="A2215" s="5"/>
    </row>
    <row r="2216" spans="1:1">
      <c r="A2216" s="5"/>
    </row>
    <row r="2217" spans="1:1">
      <c r="A2217" s="5"/>
    </row>
    <row r="2218" spans="1:1">
      <c r="A2218" s="5"/>
    </row>
    <row r="2219" spans="1:1">
      <c r="A2219" s="5"/>
    </row>
    <row r="2220" spans="1:1">
      <c r="A2220" s="5"/>
    </row>
    <row r="2221" spans="1:1">
      <c r="A2221" s="5"/>
    </row>
    <row r="2222" spans="1:1">
      <c r="A2222" s="5"/>
    </row>
    <row r="2223" spans="1:1">
      <c r="A2223" s="5"/>
    </row>
    <row r="2224" spans="1:1">
      <c r="A2224" s="5"/>
    </row>
    <row r="2225" spans="1:1">
      <c r="A2225" s="5"/>
    </row>
    <row r="2226" spans="1:1">
      <c r="A2226" s="5"/>
    </row>
    <row r="2227" spans="1:1">
      <c r="A2227" s="5"/>
    </row>
    <row r="2228" spans="1:1">
      <c r="A2228" s="5"/>
    </row>
    <row r="2229" spans="1:1">
      <c r="A2229" s="5"/>
    </row>
    <row r="2230" spans="1:1">
      <c r="A2230" s="5"/>
    </row>
    <row r="2231" spans="1:1">
      <c r="A2231" s="5"/>
    </row>
    <row r="2232" spans="1:1">
      <c r="A2232" s="5"/>
    </row>
    <row r="2233" spans="1:1">
      <c r="A2233" s="5"/>
    </row>
    <row r="2234" spans="1:1">
      <c r="A2234" s="5"/>
    </row>
    <row r="2235" spans="1:1">
      <c r="A2235" s="5"/>
    </row>
    <row r="2236" spans="1:1">
      <c r="A2236" s="5"/>
    </row>
    <row r="2237" spans="1:1">
      <c r="A2237" s="5"/>
    </row>
    <row r="2238" spans="1:1">
      <c r="A2238" s="5"/>
    </row>
    <row r="2239" spans="1:1">
      <c r="A2239" s="5"/>
    </row>
    <row r="2240" spans="1:1">
      <c r="A2240" s="5"/>
    </row>
    <row r="2241" spans="1:1">
      <c r="A2241" s="5"/>
    </row>
    <row r="2242" spans="1:1">
      <c r="A2242" s="5"/>
    </row>
    <row r="2243" spans="1:1">
      <c r="A2243" s="5"/>
    </row>
    <row r="2244" spans="1:1">
      <c r="A2244" s="5"/>
    </row>
    <row r="2245" spans="1:1">
      <c r="A2245" s="5"/>
    </row>
    <row r="2246" spans="1:1">
      <c r="A2246" s="5"/>
    </row>
    <row r="2247" spans="1:1">
      <c r="A2247" s="5"/>
    </row>
    <row r="2248" spans="1:1">
      <c r="A2248" s="5"/>
    </row>
    <row r="2249" spans="1:1">
      <c r="A2249" s="5"/>
    </row>
    <row r="2250" spans="1:1">
      <c r="A2250" s="5"/>
    </row>
    <row r="2251" spans="1:1">
      <c r="A2251" s="5"/>
    </row>
    <row r="2252" spans="1:1">
      <c r="A2252" s="5"/>
    </row>
    <row r="2253" spans="1:1">
      <c r="A2253" s="5"/>
    </row>
    <row r="2254" spans="1:1">
      <c r="A2254" s="5"/>
    </row>
    <row r="2255" spans="1:1">
      <c r="A2255" s="5"/>
    </row>
    <row r="2256" spans="1:1">
      <c r="A2256" s="5"/>
    </row>
    <row r="2257" spans="1:1">
      <c r="A2257" s="5"/>
    </row>
    <row r="2258" spans="1:1">
      <c r="A2258" s="5"/>
    </row>
    <row r="2259" spans="1:1">
      <c r="A2259" s="5"/>
    </row>
    <row r="2260" spans="1:1">
      <c r="A2260" s="5"/>
    </row>
    <row r="2261" spans="1:1">
      <c r="A2261" s="5"/>
    </row>
    <row r="2262" spans="1:1">
      <c r="A2262" s="5"/>
    </row>
    <row r="2263" spans="1:1">
      <c r="A2263" s="5"/>
    </row>
    <row r="2264" spans="1:1">
      <c r="A2264" s="5"/>
    </row>
    <row r="2265" spans="1:1">
      <c r="A2265" s="5"/>
    </row>
    <row r="2266" spans="1:1">
      <c r="A2266" s="5"/>
    </row>
    <row r="2267" spans="1:1">
      <c r="A2267" s="5"/>
    </row>
    <row r="2268" spans="1:1">
      <c r="A2268" s="5"/>
    </row>
    <row r="2269" spans="1:1">
      <c r="A2269" s="5"/>
    </row>
    <row r="2270" spans="1:1">
      <c r="A2270" s="5"/>
    </row>
    <row r="2271" spans="1:1">
      <c r="A2271" s="5"/>
    </row>
    <row r="2272" spans="1:1">
      <c r="A2272" s="5"/>
    </row>
    <row r="2273" spans="1:1">
      <c r="A2273" s="5"/>
    </row>
    <row r="2274" spans="1:1">
      <c r="A2274" s="5"/>
    </row>
    <row r="2275" spans="1:1">
      <c r="A2275" s="5"/>
    </row>
    <row r="2276" spans="1:1">
      <c r="A2276" s="5"/>
    </row>
    <row r="2277" spans="1:1">
      <c r="A2277" s="5"/>
    </row>
    <row r="2278" spans="1:1">
      <c r="A2278" s="5"/>
    </row>
    <row r="2279" spans="1:1">
      <c r="A2279" s="5"/>
    </row>
    <row r="2280" spans="1:1">
      <c r="A2280" s="5"/>
    </row>
    <row r="2281" spans="1:1">
      <c r="A2281" s="5"/>
    </row>
    <row r="2282" spans="1:1">
      <c r="A2282" s="5"/>
    </row>
    <row r="2283" spans="1:1">
      <c r="A2283" s="5"/>
    </row>
    <row r="2284" spans="1:1">
      <c r="A2284" s="5"/>
    </row>
    <row r="2285" spans="1:1">
      <c r="A2285" s="5"/>
    </row>
    <row r="2286" spans="1:1">
      <c r="A2286" s="5"/>
    </row>
    <row r="2287" spans="1:1">
      <c r="A2287" s="5"/>
    </row>
    <row r="2288" spans="1:1">
      <c r="A2288" s="5"/>
    </row>
    <row r="2289" spans="1:1">
      <c r="A2289" s="5"/>
    </row>
    <row r="2290" spans="1:1">
      <c r="A2290" s="5"/>
    </row>
    <row r="2291" spans="1:1">
      <c r="A2291" s="5"/>
    </row>
    <row r="2292" spans="1:1">
      <c r="A2292" s="5"/>
    </row>
    <row r="2293" spans="1:1">
      <c r="A2293" s="5"/>
    </row>
    <row r="2294" spans="1:1">
      <c r="A2294" s="5"/>
    </row>
    <row r="2295" spans="1:1">
      <c r="A2295" s="5"/>
    </row>
    <row r="2296" spans="1:1">
      <c r="A2296" s="5"/>
    </row>
    <row r="2297" spans="1:1">
      <c r="A2297" s="5"/>
    </row>
    <row r="2298" spans="1:1">
      <c r="A2298" s="5"/>
    </row>
    <row r="2299" spans="1:1">
      <c r="A2299" s="5"/>
    </row>
    <row r="2300" spans="1:1">
      <c r="A2300" s="5"/>
    </row>
    <row r="2301" spans="1:1">
      <c r="A2301" s="5"/>
    </row>
    <row r="2302" spans="1:1">
      <c r="A2302" s="5"/>
    </row>
    <row r="2303" spans="1:1">
      <c r="A2303" s="5"/>
    </row>
    <row r="2304" spans="1:1">
      <c r="A2304" s="5"/>
    </row>
    <row r="2305" spans="1:1">
      <c r="A2305" s="5"/>
    </row>
    <row r="2306" spans="1:1">
      <c r="A2306" s="5"/>
    </row>
    <row r="2307" spans="1:1">
      <c r="A2307" s="5"/>
    </row>
    <row r="2308" spans="1:1">
      <c r="A2308" s="5"/>
    </row>
    <row r="2309" spans="1:1">
      <c r="A2309" s="5"/>
    </row>
    <row r="2310" spans="1:1">
      <c r="A2310" s="5"/>
    </row>
    <row r="2311" spans="1:1">
      <c r="A2311" s="5"/>
    </row>
    <row r="2312" spans="1:1">
      <c r="A2312" s="5"/>
    </row>
    <row r="2313" spans="1:1">
      <c r="A2313" s="5"/>
    </row>
    <row r="2314" spans="1:1">
      <c r="A2314" s="5"/>
    </row>
    <row r="2315" spans="1:1">
      <c r="A2315" s="5"/>
    </row>
    <row r="2316" spans="1:1">
      <c r="A2316" s="5"/>
    </row>
    <row r="2317" spans="1:1">
      <c r="A2317" s="5"/>
    </row>
    <row r="2318" spans="1:1">
      <c r="A2318" s="5"/>
    </row>
    <row r="2319" spans="1:1">
      <c r="A2319" s="5"/>
    </row>
    <row r="2320" spans="1:1">
      <c r="A2320" s="5"/>
    </row>
    <row r="2321" spans="1:1">
      <c r="A2321" s="5"/>
    </row>
    <row r="2322" spans="1:1">
      <c r="A2322" s="5"/>
    </row>
    <row r="2323" spans="1:1">
      <c r="A2323" s="5"/>
    </row>
    <row r="2324" spans="1:1">
      <c r="A2324" s="5"/>
    </row>
    <row r="2325" spans="1:1">
      <c r="A2325" s="5"/>
    </row>
    <row r="2326" spans="1:1">
      <c r="A2326" s="5"/>
    </row>
    <row r="2327" spans="1:1">
      <c r="A2327" s="5"/>
    </row>
    <row r="2328" spans="1:1">
      <c r="A2328" s="5"/>
    </row>
    <row r="2329" spans="1:1">
      <c r="A2329" s="5"/>
    </row>
    <row r="2330" spans="1:1">
      <c r="A2330" s="5"/>
    </row>
    <row r="2331" spans="1:1">
      <c r="A2331" s="5"/>
    </row>
    <row r="2332" spans="1:1">
      <c r="A2332" s="5"/>
    </row>
    <row r="2333" spans="1:1">
      <c r="A2333" s="5"/>
    </row>
    <row r="2334" spans="1:1">
      <c r="A2334" s="5"/>
    </row>
    <row r="2335" spans="1:1">
      <c r="A2335" s="5"/>
    </row>
    <row r="2336" spans="1:1">
      <c r="A2336" s="5"/>
    </row>
    <row r="2337" spans="1:1">
      <c r="A2337" s="5"/>
    </row>
    <row r="2338" spans="1:1">
      <c r="A2338" s="5"/>
    </row>
    <row r="2339" spans="1:1">
      <c r="A2339" s="5"/>
    </row>
    <row r="2340" spans="1:1">
      <c r="A2340" s="5"/>
    </row>
    <row r="2341" spans="1:1">
      <c r="A2341" s="5"/>
    </row>
    <row r="2342" spans="1:1">
      <c r="A2342" s="5"/>
    </row>
    <row r="2343" spans="1:1">
      <c r="A2343" s="5"/>
    </row>
    <row r="2344" spans="1:1">
      <c r="A2344" s="5"/>
    </row>
    <row r="2345" spans="1:1">
      <c r="A2345" s="5"/>
    </row>
    <row r="2346" spans="1:1">
      <c r="A2346" s="5"/>
    </row>
    <row r="2347" spans="1:1">
      <c r="A2347" s="5"/>
    </row>
    <row r="2348" spans="1:1">
      <c r="A2348" s="5"/>
    </row>
    <row r="2349" spans="1:1">
      <c r="A2349" s="5"/>
    </row>
    <row r="2350" spans="1:1">
      <c r="A2350" s="5"/>
    </row>
    <row r="2351" spans="1:1">
      <c r="A2351" s="5"/>
    </row>
    <row r="2352" spans="1:1">
      <c r="A2352" s="5"/>
    </row>
    <row r="2353" spans="1:1">
      <c r="A2353" s="5"/>
    </row>
    <row r="2354" spans="1:1">
      <c r="A2354" s="5"/>
    </row>
    <row r="2355" spans="1:1">
      <c r="A2355" s="5"/>
    </row>
    <row r="2356" spans="1:1">
      <c r="A2356" s="5"/>
    </row>
    <row r="2357" spans="1:1">
      <c r="A2357" s="5"/>
    </row>
    <row r="2358" spans="1:1">
      <c r="A2358" s="5"/>
    </row>
    <row r="2359" spans="1:1">
      <c r="A2359" s="5"/>
    </row>
    <row r="2360" spans="1:1">
      <c r="A2360" s="5"/>
    </row>
    <row r="2361" spans="1:1">
      <c r="A2361" s="5"/>
    </row>
    <row r="2362" spans="1:1">
      <c r="A2362" s="5"/>
    </row>
    <row r="2363" spans="1:1">
      <c r="A2363" s="5"/>
    </row>
    <row r="2364" spans="1:1">
      <c r="A2364" s="5"/>
    </row>
    <row r="2365" spans="1:1">
      <c r="A2365" s="5"/>
    </row>
    <row r="2366" spans="1:1">
      <c r="A2366" s="5"/>
    </row>
    <row r="2367" spans="1:1">
      <c r="A2367" s="5"/>
    </row>
    <row r="2368" spans="1:1">
      <c r="A2368" s="5"/>
    </row>
    <row r="2369" spans="1:1">
      <c r="A2369" s="5"/>
    </row>
    <row r="2370" spans="1:1">
      <c r="A2370" s="5"/>
    </row>
    <row r="2371" spans="1:1">
      <c r="A2371" s="5"/>
    </row>
    <row r="2372" spans="1:1">
      <c r="A2372" s="5"/>
    </row>
    <row r="2373" spans="1:1">
      <c r="A2373" s="5"/>
    </row>
    <row r="2374" spans="1:1">
      <c r="A2374" s="5"/>
    </row>
    <row r="2375" spans="1:1">
      <c r="A2375" s="5"/>
    </row>
    <row r="2376" spans="1:1">
      <c r="A2376" s="5"/>
    </row>
    <row r="2377" spans="1:1">
      <c r="A2377" s="5"/>
    </row>
    <row r="2378" spans="1:1">
      <c r="A2378" s="5"/>
    </row>
    <row r="2379" spans="1:1">
      <c r="A2379" s="5"/>
    </row>
    <row r="2380" spans="1:1">
      <c r="A2380" s="5"/>
    </row>
    <row r="2381" spans="1:1">
      <c r="A2381" s="5"/>
    </row>
    <row r="2382" spans="1:1">
      <c r="A2382" s="5"/>
    </row>
    <row r="2383" spans="1:1">
      <c r="A2383" s="5"/>
    </row>
    <row r="2384" spans="1:1">
      <c r="A2384" s="5"/>
    </row>
    <row r="2385" spans="1:1">
      <c r="A2385" s="5"/>
    </row>
    <row r="2386" spans="1:1">
      <c r="A2386" s="5"/>
    </row>
    <row r="2387" spans="1:1">
      <c r="A2387" s="5"/>
    </row>
    <row r="2388" spans="1:1">
      <c r="A2388" s="5"/>
    </row>
    <row r="2389" spans="1:1">
      <c r="A2389" s="5"/>
    </row>
    <row r="2390" spans="1:1">
      <c r="A2390" s="5"/>
    </row>
    <row r="2391" spans="1:1">
      <c r="A2391" s="5"/>
    </row>
    <row r="2392" spans="1:1">
      <c r="A2392" s="5"/>
    </row>
    <row r="2393" spans="1:1">
      <c r="A2393" s="5"/>
    </row>
    <row r="2394" spans="1:1">
      <c r="A2394" s="5"/>
    </row>
    <row r="2395" spans="1:1">
      <c r="A2395" s="5"/>
    </row>
    <row r="2396" spans="1:1">
      <c r="A2396" s="5"/>
    </row>
    <row r="2397" spans="1:1">
      <c r="A2397" s="5"/>
    </row>
    <row r="2398" spans="1:1">
      <c r="A2398" s="5"/>
    </row>
    <row r="2399" spans="1:1">
      <c r="A2399" s="5"/>
    </row>
    <row r="2400" spans="1:1">
      <c r="A2400" s="5"/>
    </row>
    <row r="2401" spans="1:1">
      <c r="A2401" s="5"/>
    </row>
    <row r="2402" spans="1:1">
      <c r="A2402" s="5"/>
    </row>
    <row r="2403" spans="1:1">
      <c r="A2403" s="5"/>
    </row>
    <row r="2404" spans="1:1">
      <c r="A2404" s="5"/>
    </row>
    <row r="2405" spans="1:1">
      <c r="A2405" s="5"/>
    </row>
    <row r="2406" spans="1:1">
      <c r="A2406" s="5"/>
    </row>
    <row r="2407" spans="1:1">
      <c r="A2407" s="5"/>
    </row>
    <row r="2408" spans="1:1">
      <c r="A2408" s="5"/>
    </row>
    <row r="2409" spans="1:1">
      <c r="A2409" s="5"/>
    </row>
    <row r="2410" spans="1:1">
      <c r="A2410" s="5"/>
    </row>
    <row r="2411" spans="1:1">
      <c r="A2411" s="5"/>
    </row>
    <row r="2412" spans="1:1">
      <c r="A2412" s="5"/>
    </row>
    <row r="2413" spans="1:1">
      <c r="A2413" s="5"/>
    </row>
    <row r="2414" spans="1:1">
      <c r="A2414" s="5"/>
    </row>
    <row r="2415" spans="1:1">
      <c r="A2415" s="5"/>
    </row>
    <row r="2416" spans="1:1">
      <c r="A2416" s="5"/>
    </row>
    <row r="2417" spans="1:1">
      <c r="A2417" s="5"/>
    </row>
    <row r="2418" spans="1:1">
      <c r="A2418" s="5"/>
    </row>
    <row r="2419" spans="1:1">
      <c r="A2419" s="5"/>
    </row>
    <row r="2420" spans="1:1">
      <c r="A2420" s="5"/>
    </row>
    <row r="2421" spans="1:1">
      <c r="A2421" s="5"/>
    </row>
    <row r="2422" spans="1:1">
      <c r="A2422" s="5"/>
    </row>
    <row r="2423" spans="1:1">
      <c r="A2423" s="5"/>
    </row>
    <row r="2424" spans="1:1">
      <c r="A2424" s="5"/>
    </row>
    <row r="2425" spans="1:1">
      <c r="A2425" s="5"/>
    </row>
    <row r="2426" spans="1:1">
      <c r="A2426" s="5"/>
    </row>
    <row r="2427" spans="1:1">
      <c r="A2427" s="5"/>
    </row>
    <row r="2428" spans="1:1">
      <c r="A2428" s="5"/>
    </row>
    <row r="2429" spans="1:1">
      <c r="A2429" s="5"/>
    </row>
    <row r="2430" spans="1:1">
      <c r="A2430" s="5"/>
    </row>
    <row r="2431" spans="1:1">
      <c r="A2431" s="5"/>
    </row>
    <row r="2432" spans="1:1">
      <c r="A2432" s="5"/>
    </row>
    <row r="2433" spans="1:1">
      <c r="A2433" s="5"/>
    </row>
    <row r="2434" spans="1:1">
      <c r="A2434" s="5"/>
    </row>
    <row r="2435" spans="1:1">
      <c r="A2435" s="5"/>
    </row>
    <row r="2436" spans="1:1">
      <c r="A2436" s="5"/>
    </row>
    <row r="2437" spans="1:1">
      <c r="A2437" s="5"/>
    </row>
    <row r="2438" spans="1:1">
      <c r="A2438" s="5"/>
    </row>
    <row r="2439" spans="1:1">
      <c r="A2439" s="5"/>
    </row>
    <row r="2440" spans="1:1">
      <c r="A2440" s="5"/>
    </row>
    <row r="2441" spans="1:1">
      <c r="A2441" s="5"/>
    </row>
    <row r="2442" spans="1:1">
      <c r="A2442" s="5"/>
    </row>
    <row r="2443" spans="1:1">
      <c r="A2443" s="5"/>
    </row>
    <row r="2444" spans="1:1">
      <c r="A2444" s="5"/>
    </row>
    <row r="2445" spans="1:1">
      <c r="A2445" s="5"/>
    </row>
    <row r="2446" spans="1:1">
      <c r="A2446" s="5"/>
    </row>
    <row r="2447" spans="1:1">
      <c r="A2447" s="5"/>
    </row>
    <row r="2448" spans="1:1">
      <c r="A2448" s="5"/>
    </row>
    <row r="2449" spans="1:1">
      <c r="A2449" s="5"/>
    </row>
    <row r="2450" spans="1:1">
      <c r="A2450" s="5"/>
    </row>
    <row r="2451" spans="1:1">
      <c r="A2451" s="5"/>
    </row>
    <row r="2452" spans="1:1">
      <c r="A2452" s="5"/>
    </row>
    <row r="2453" spans="1:1">
      <c r="A2453" s="5"/>
    </row>
    <row r="2454" spans="1:1">
      <c r="A2454" s="5"/>
    </row>
    <row r="2455" spans="1:1">
      <c r="A2455" s="5"/>
    </row>
    <row r="2456" spans="1:1">
      <c r="A2456" s="5"/>
    </row>
    <row r="2457" spans="1:1">
      <c r="A2457" s="5"/>
    </row>
    <row r="2458" spans="1:1">
      <c r="A2458" s="5"/>
    </row>
    <row r="2459" spans="1:1">
      <c r="A2459" s="5"/>
    </row>
    <row r="2460" spans="1:1">
      <c r="A2460" s="5"/>
    </row>
    <row r="2461" spans="1:1">
      <c r="A2461" s="5"/>
    </row>
    <row r="2462" spans="1:1">
      <c r="A2462" s="5"/>
    </row>
    <row r="2463" spans="1:1">
      <c r="A2463" s="5"/>
    </row>
    <row r="2464" spans="1:1">
      <c r="A2464" s="5"/>
    </row>
    <row r="2465" spans="1:1">
      <c r="A2465" s="5"/>
    </row>
    <row r="2466" spans="1:1">
      <c r="A2466" s="5"/>
    </row>
    <row r="2467" spans="1:1">
      <c r="A2467" s="5"/>
    </row>
    <row r="2468" spans="1:1">
      <c r="A2468" s="5"/>
    </row>
    <row r="2469" spans="1:1">
      <c r="A2469" s="5"/>
    </row>
    <row r="2470" spans="1:1">
      <c r="A2470" s="5"/>
    </row>
    <row r="2471" spans="1:1">
      <c r="A2471" s="5"/>
    </row>
    <row r="2472" spans="1:1">
      <c r="A2472" s="5"/>
    </row>
    <row r="2473" spans="1:1">
      <c r="A2473" s="5"/>
    </row>
    <row r="2474" spans="1:1">
      <c r="A2474" s="5"/>
    </row>
    <row r="2475" spans="1:1">
      <c r="A2475" s="5"/>
    </row>
    <row r="2476" spans="1:1">
      <c r="A2476" s="5"/>
    </row>
    <row r="2477" spans="1:1">
      <c r="A2477" s="5"/>
    </row>
    <row r="2478" spans="1:1">
      <c r="A2478" s="5"/>
    </row>
    <row r="2479" spans="1:1">
      <c r="A2479" s="5"/>
    </row>
    <row r="2480" spans="1:1">
      <c r="A2480" s="5"/>
    </row>
    <row r="2481" spans="1:1">
      <c r="A2481" s="5"/>
    </row>
    <row r="2482" spans="1:1">
      <c r="A2482" s="5"/>
    </row>
    <row r="2483" spans="1:1">
      <c r="A2483" s="5"/>
    </row>
    <row r="2484" spans="1:1">
      <c r="A2484" s="5"/>
    </row>
    <row r="2485" spans="1:1">
      <c r="A2485" s="5"/>
    </row>
    <row r="2486" spans="1:1">
      <c r="A2486" s="5"/>
    </row>
    <row r="2487" spans="1:1">
      <c r="A2487" s="5"/>
    </row>
    <row r="2488" spans="1:1">
      <c r="A2488" s="5"/>
    </row>
    <row r="2489" spans="1:1">
      <c r="A2489" s="5"/>
    </row>
    <row r="2490" spans="1:1">
      <c r="A2490" s="5"/>
    </row>
    <row r="2491" spans="1:1">
      <c r="A2491" s="5"/>
    </row>
    <row r="2492" spans="1:1">
      <c r="A2492" s="5"/>
    </row>
    <row r="2493" spans="1:1">
      <c r="A2493" s="5"/>
    </row>
    <row r="2494" spans="1:1">
      <c r="A2494" s="5"/>
    </row>
    <row r="2495" spans="1:1">
      <c r="A2495" s="5"/>
    </row>
    <row r="2496" spans="1:1">
      <c r="A2496" s="5"/>
    </row>
    <row r="2497" spans="1:1">
      <c r="A2497" s="5"/>
    </row>
    <row r="2498" spans="1:1">
      <c r="A2498" s="5"/>
    </row>
    <row r="2499" spans="1:1">
      <c r="A2499" s="5"/>
    </row>
    <row r="2500" spans="1:1">
      <c r="A2500" s="5"/>
    </row>
    <row r="2501" spans="1:1">
      <c r="A2501" s="5"/>
    </row>
    <row r="2502" spans="1:1">
      <c r="A2502" s="5"/>
    </row>
    <row r="2503" spans="1:1">
      <c r="A2503" s="5"/>
    </row>
    <row r="2504" spans="1:1">
      <c r="A2504" s="5"/>
    </row>
    <row r="2505" spans="1:1">
      <c r="A2505" s="5"/>
    </row>
    <row r="2506" spans="1:1">
      <c r="A2506" s="5"/>
    </row>
    <row r="2507" spans="1:1">
      <c r="A2507" s="5"/>
    </row>
    <row r="2508" spans="1:1">
      <c r="A2508" s="5"/>
    </row>
    <row r="2509" spans="1:1">
      <c r="A2509" s="5"/>
    </row>
    <row r="2510" spans="1:1">
      <c r="A2510" s="5"/>
    </row>
    <row r="2511" spans="1:1">
      <c r="A2511" s="5"/>
    </row>
    <row r="2512" spans="1:1">
      <c r="A2512" s="5"/>
    </row>
    <row r="2513" spans="1:1">
      <c r="A2513" s="5"/>
    </row>
    <row r="2514" spans="1:1">
      <c r="A2514" s="5"/>
    </row>
    <row r="2515" spans="1:1">
      <c r="A2515" s="5"/>
    </row>
    <row r="2516" spans="1:1">
      <c r="A2516" s="5"/>
    </row>
    <row r="2517" spans="1:1">
      <c r="A2517" s="5"/>
    </row>
    <row r="2518" spans="1:1">
      <c r="A2518" s="5"/>
    </row>
    <row r="2519" spans="1:1">
      <c r="A2519" s="5"/>
    </row>
    <row r="2520" spans="1:1">
      <c r="A2520" s="5"/>
    </row>
    <row r="2521" spans="1:1">
      <c r="A2521" s="5"/>
    </row>
    <row r="2522" spans="1:1">
      <c r="A2522" s="5"/>
    </row>
    <row r="2523" spans="1:1">
      <c r="A2523" s="5"/>
    </row>
    <row r="2524" spans="1:1">
      <c r="A2524" s="5"/>
    </row>
    <row r="2525" spans="1:1">
      <c r="A2525" s="5"/>
    </row>
    <row r="2526" spans="1:1">
      <c r="A2526" s="5"/>
    </row>
    <row r="2527" spans="1:1">
      <c r="A2527" s="5"/>
    </row>
    <row r="2528" spans="1:1">
      <c r="A2528" s="5"/>
    </row>
    <row r="2529" spans="1:1">
      <c r="A2529" s="5"/>
    </row>
    <row r="2530" spans="1:1">
      <c r="A2530" s="5"/>
    </row>
    <row r="2531" spans="1:1">
      <c r="A2531" s="5"/>
    </row>
    <row r="2532" spans="1:1">
      <c r="A2532" s="5"/>
    </row>
    <row r="2533" spans="1:1">
      <c r="A2533" s="5"/>
    </row>
    <row r="2534" spans="1:1">
      <c r="A2534" s="5"/>
    </row>
    <row r="2535" spans="1:1">
      <c r="A2535" s="5"/>
    </row>
    <row r="2536" spans="1:1">
      <c r="A2536" s="5"/>
    </row>
    <row r="2537" spans="1:1">
      <c r="A2537" s="5"/>
    </row>
    <row r="2538" spans="1:1">
      <c r="A2538" s="5"/>
    </row>
    <row r="2539" spans="1:1">
      <c r="A2539" s="5"/>
    </row>
    <row r="2540" spans="1:1">
      <c r="A2540" s="5"/>
    </row>
    <row r="2541" spans="1:1">
      <c r="A2541" s="5"/>
    </row>
    <row r="2542" spans="1:1">
      <c r="A2542" s="5"/>
    </row>
    <row r="2543" spans="1:1">
      <c r="A2543" s="5"/>
    </row>
    <row r="2544" spans="1:1">
      <c r="A2544" s="5"/>
    </row>
    <row r="2545" spans="1:1">
      <c r="A2545" s="5"/>
    </row>
    <row r="2546" spans="1:1">
      <c r="A2546" s="5"/>
    </row>
    <row r="2547" spans="1:1">
      <c r="A2547" s="5"/>
    </row>
    <row r="2548" spans="1:1">
      <c r="A2548" s="5"/>
    </row>
    <row r="2549" spans="1:1">
      <c r="A2549" s="5"/>
    </row>
    <row r="2550" spans="1:1">
      <c r="A2550" s="5"/>
    </row>
    <row r="2551" spans="1:1">
      <c r="A2551" s="5"/>
    </row>
    <row r="2552" spans="1:1">
      <c r="A2552" s="5"/>
    </row>
    <row r="2553" spans="1:1">
      <c r="A2553" s="5"/>
    </row>
    <row r="2554" spans="1:1">
      <c r="A2554" s="5"/>
    </row>
    <row r="2555" spans="1:1">
      <c r="A2555" s="5"/>
    </row>
    <row r="2556" spans="1:1">
      <c r="A2556" s="5"/>
    </row>
    <row r="2557" spans="1:1">
      <c r="A2557" s="5"/>
    </row>
    <row r="2558" spans="1:1">
      <c r="A2558" s="5"/>
    </row>
    <row r="2559" spans="1:1">
      <c r="A2559" s="5"/>
    </row>
    <row r="2560" spans="1:1">
      <c r="A2560" s="5"/>
    </row>
    <row r="2561" spans="1:1">
      <c r="A2561" s="5"/>
    </row>
    <row r="2562" spans="1:1">
      <c r="A2562" s="5"/>
    </row>
    <row r="2563" spans="1:1">
      <c r="A2563" s="5"/>
    </row>
    <row r="2564" spans="1:1">
      <c r="A2564" s="5"/>
    </row>
    <row r="2565" spans="1:1">
      <c r="A2565" s="5"/>
    </row>
    <row r="2566" spans="1:1">
      <c r="A2566" s="5"/>
    </row>
    <row r="2567" spans="1:1">
      <c r="A2567" s="5"/>
    </row>
    <row r="2568" spans="1:1">
      <c r="A2568" s="5"/>
    </row>
    <row r="2569" spans="1:1">
      <c r="A2569" s="5"/>
    </row>
    <row r="2570" spans="1:1">
      <c r="A2570" s="5"/>
    </row>
    <row r="2571" spans="1:1">
      <c r="A2571" s="5"/>
    </row>
    <row r="2572" spans="1:1">
      <c r="A2572" s="5"/>
    </row>
    <row r="2573" spans="1:1">
      <c r="A2573" s="5"/>
    </row>
    <row r="2574" spans="1:1">
      <c r="A2574" s="5"/>
    </row>
    <row r="2575" spans="1:1">
      <c r="A2575" s="5"/>
    </row>
    <row r="2576" spans="1:1">
      <c r="A2576" s="5"/>
    </row>
    <row r="2577" spans="1:1">
      <c r="A2577" s="5"/>
    </row>
    <row r="2578" spans="1:1">
      <c r="A2578" s="5"/>
    </row>
    <row r="2579" spans="1:1">
      <c r="A2579" s="5"/>
    </row>
    <row r="2580" spans="1:1">
      <c r="A2580" s="5"/>
    </row>
    <row r="2581" spans="1:1">
      <c r="A2581" s="5"/>
    </row>
    <row r="2582" spans="1:1">
      <c r="A2582" s="5"/>
    </row>
    <row r="2583" spans="1:1">
      <c r="A2583" s="5"/>
    </row>
    <row r="2584" spans="1:1">
      <c r="A2584" s="5"/>
    </row>
    <row r="2585" spans="1:1">
      <c r="A2585" s="5"/>
    </row>
    <row r="2586" spans="1:1">
      <c r="A2586" s="5"/>
    </row>
    <row r="2587" spans="1:1">
      <c r="A2587" s="5"/>
    </row>
    <row r="2588" spans="1:1">
      <c r="A2588" s="5"/>
    </row>
    <row r="2589" spans="1:1">
      <c r="A2589" s="5"/>
    </row>
    <row r="2590" spans="1:1">
      <c r="A2590" s="5"/>
    </row>
    <row r="2591" spans="1:1">
      <c r="A2591" s="5"/>
    </row>
    <row r="2592" spans="1:1">
      <c r="A2592" s="5"/>
    </row>
    <row r="2593" spans="1:1">
      <c r="A2593" s="5"/>
    </row>
    <row r="2594" spans="1:1">
      <c r="A2594" s="5"/>
    </row>
    <row r="2595" spans="1:1">
      <c r="A2595" s="5"/>
    </row>
    <row r="2596" spans="1:1">
      <c r="A2596" s="5"/>
    </row>
    <row r="2597" spans="1:1">
      <c r="A2597" s="5"/>
    </row>
    <row r="2598" spans="1:1">
      <c r="A2598" s="5"/>
    </row>
    <row r="2599" spans="1:1">
      <c r="A2599" s="5"/>
    </row>
    <row r="2600" spans="1:1">
      <c r="A2600" s="5"/>
    </row>
    <row r="2601" spans="1:1">
      <c r="A2601" s="5"/>
    </row>
    <row r="2602" spans="1:1">
      <c r="A2602" s="5"/>
    </row>
    <row r="2603" spans="1:1">
      <c r="A2603" s="5"/>
    </row>
    <row r="2604" spans="1:1">
      <c r="A2604" s="5"/>
    </row>
    <row r="2605" spans="1:1">
      <c r="A2605" s="5"/>
    </row>
    <row r="2606" spans="1:1">
      <c r="A2606" s="5"/>
    </row>
    <row r="2607" spans="1:1">
      <c r="A2607" s="5"/>
    </row>
    <row r="2608" spans="1:1">
      <c r="A2608" s="5"/>
    </row>
    <row r="2609" spans="1:1">
      <c r="A2609" s="5"/>
    </row>
    <row r="2610" spans="1:1">
      <c r="A2610" s="5"/>
    </row>
    <row r="2611" spans="1:1">
      <c r="A2611" s="5"/>
    </row>
    <row r="2612" spans="1:1">
      <c r="A2612" s="5"/>
    </row>
    <row r="2613" spans="1:1">
      <c r="A2613" s="5"/>
    </row>
    <row r="2614" spans="1:1">
      <c r="A2614" s="5"/>
    </row>
    <row r="2615" spans="1:1">
      <c r="A2615" s="5"/>
    </row>
    <row r="2616" spans="1:1">
      <c r="A2616" s="5"/>
    </row>
    <row r="2617" spans="1:1">
      <c r="A2617" s="5"/>
    </row>
    <row r="2618" spans="1:1">
      <c r="A2618" s="5"/>
    </row>
    <row r="2619" spans="1:1">
      <c r="A2619" s="5"/>
    </row>
    <row r="2620" spans="1:1">
      <c r="A2620" s="5"/>
    </row>
    <row r="2621" spans="1:1">
      <c r="A2621" s="5"/>
    </row>
    <row r="2622" spans="1:1">
      <c r="A2622" s="5"/>
    </row>
    <row r="2623" spans="1:1">
      <c r="A2623" s="5"/>
    </row>
    <row r="2624" spans="1:1">
      <c r="A2624" s="5"/>
    </row>
    <row r="2625" spans="1:1">
      <c r="A2625" s="5"/>
    </row>
    <row r="2626" spans="1:1">
      <c r="A2626" s="5"/>
    </row>
    <row r="2627" spans="1:1">
      <c r="A2627" s="5"/>
    </row>
    <row r="2628" spans="1:1">
      <c r="A2628" s="5"/>
    </row>
    <row r="2629" spans="1:1">
      <c r="A2629" s="5"/>
    </row>
    <row r="2630" spans="1:1">
      <c r="A2630" s="5"/>
    </row>
    <row r="2631" spans="1:1">
      <c r="A2631" s="5"/>
    </row>
    <row r="2632" spans="1:1">
      <c r="A2632" s="5"/>
    </row>
    <row r="2633" spans="1:1">
      <c r="A2633" s="5"/>
    </row>
    <row r="2634" spans="1:1">
      <c r="A2634" s="5"/>
    </row>
    <row r="2635" spans="1:1">
      <c r="A2635" s="5"/>
    </row>
    <row r="2636" spans="1:1">
      <c r="A2636" s="5"/>
    </row>
    <row r="2637" spans="1:1">
      <c r="A2637" s="5"/>
    </row>
    <row r="2638" spans="1:1">
      <c r="A2638" s="5"/>
    </row>
    <row r="2639" spans="1:1">
      <c r="A2639" s="5"/>
    </row>
    <row r="2640" spans="1:1">
      <c r="A2640" s="5"/>
    </row>
    <row r="2641" spans="1:1">
      <c r="A2641" s="5"/>
    </row>
    <row r="2642" spans="1:1">
      <c r="A2642" s="5"/>
    </row>
    <row r="2643" spans="1:1">
      <c r="A2643" s="5"/>
    </row>
    <row r="2644" spans="1:1">
      <c r="A2644" s="5"/>
    </row>
    <row r="2645" spans="1:1">
      <c r="A2645" s="5"/>
    </row>
    <row r="2646" spans="1:1">
      <c r="A2646" s="5"/>
    </row>
    <row r="2647" spans="1:1">
      <c r="A2647" s="5"/>
    </row>
    <row r="2648" spans="1:1">
      <c r="A2648" s="5"/>
    </row>
    <row r="2649" spans="1:1">
      <c r="A2649" s="5"/>
    </row>
    <row r="2650" spans="1:1">
      <c r="A2650" s="5"/>
    </row>
    <row r="2651" spans="1:1">
      <c r="A2651" s="5"/>
    </row>
    <row r="2652" spans="1:1">
      <c r="A2652" s="5"/>
    </row>
    <row r="2653" spans="1:1">
      <c r="A2653" s="5"/>
    </row>
    <row r="2654" spans="1:1">
      <c r="A2654" s="5"/>
    </row>
    <row r="2655" spans="1:1">
      <c r="A2655" s="5"/>
    </row>
    <row r="2656" spans="1:1">
      <c r="A2656" s="5"/>
    </row>
    <row r="2657" spans="1:1">
      <c r="A2657" s="5"/>
    </row>
    <row r="2658" spans="1:1">
      <c r="A2658" s="5"/>
    </row>
    <row r="2659" spans="1:1">
      <c r="A2659" s="5"/>
    </row>
    <row r="2660" spans="1:1">
      <c r="A2660" s="5"/>
    </row>
    <row r="2661" spans="1:1">
      <c r="A2661" s="5"/>
    </row>
    <row r="2662" spans="1:1">
      <c r="A2662" s="5"/>
    </row>
    <row r="2663" spans="1:1">
      <c r="A2663" s="5"/>
    </row>
    <row r="2664" spans="1:1">
      <c r="A2664" s="5"/>
    </row>
    <row r="2665" spans="1:1">
      <c r="A2665" s="5"/>
    </row>
    <row r="2666" spans="1:1">
      <c r="A2666" s="5"/>
    </row>
    <row r="2667" spans="1:1">
      <c r="A2667" s="5"/>
    </row>
    <row r="2668" spans="1:1">
      <c r="A2668" s="5"/>
    </row>
    <row r="2669" spans="1:1">
      <c r="A2669" s="5"/>
    </row>
    <row r="2670" spans="1:1">
      <c r="A2670" s="5"/>
    </row>
    <row r="2671" spans="1:1">
      <c r="A2671" s="5"/>
    </row>
    <row r="2672" spans="1:1">
      <c r="A2672" s="5"/>
    </row>
    <row r="2673" spans="1:1">
      <c r="A2673" s="5"/>
    </row>
    <row r="2674" spans="1:1">
      <c r="A2674" s="5"/>
    </row>
    <row r="2675" spans="1:1">
      <c r="A2675" s="5"/>
    </row>
    <row r="2676" spans="1:1">
      <c r="A2676" s="5"/>
    </row>
    <row r="2677" spans="1:1">
      <c r="A2677" s="5"/>
    </row>
    <row r="2678" spans="1:1">
      <c r="A2678" s="5"/>
    </row>
    <row r="2679" spans="1:1">
      <c r="A2679" s="5"/>
    </row>
    <row r="2680" spans="1:1">
      <c r="A2680" s="5"/>
    </row>
    <row r="2681" spans="1:1">
      <c r="A2681" s="5"/>
    </row>
    <row r="2682" spans="1:1">
      <c r="A2682" s="5"/>
    </row>
    <row r="2683" spans="1:1">
      <c r="A2683" s="5"/>
    </row>
    <row r="2684" spans="1:1">
      <c r="A2684" s="5"/>
    </row>
    <row r="2685" spans="1:1">
      <c r="A2685" s="5"/>
    </row>
    <row r="2686" spans="1:1">
      <c r="A2686" s="5"/>
    </row>
    <row r="2687" spans="1:1">
      <c r="A2687" s="5"/>
    </row>
    <row r="2688" spans="1:1">
      <c r="A2688" s="5"/>
    </row>
    <row r="2689" spans="1:1">
      <c r="A2689" s="5"/>
    </row>
    <row r="2690" spans="1:1">
      <c r="A2690" s="5"/>
    </row>
    <row r="2691" spans="1:1">
      <c r="A2691" s="5"/>
    </row>
    <row r="2692" spans="1:1">
      <c r="A2692" s="5"/>
    </row>
    <row r="2693" spans="1:1">
      <c r="A2693" s="5"/>
    </row>
    <row r="2694" spans="1:1">
      <c r="A2694" s="5"/>
    </row>
    <row r="2695" spans="1:1">
      <c r="A2695" s="5"/>
    </row>
    <row r="2696" spans="1:1">
      <c r="A2696" s="5"/>
    </row>
    <row r="2697" spans="1:1">
      <c r="A2697" s="5"/>
    </row>
    <row r="2698" spans="1:1">
      <c r="A2698" s="5"/>
    </row>
    <row r="2699" spans="1:1">
      <c r="A2699" s="5"/>
    </row>
    <row r="2700" spans="1:1">
      <c r="A2700" s="5"/>
    </row>
    <row r="2701" spans="1:1">
      <c r="A2701" s="5"/>
    </row>
    <row r="2702" spans="1:1">
      <c r="A2702" s="5"/>
    </row>
    <row r="2703" spans="1:1">
      <c r="A2703" s="5"/>
    </row>
    <row r="2704" spans="1:1">
      <c r="A2704" s="5"/>
    </row>
    <row r="2705" spans="1:1">
      <c r="A2705" s="5"/>
    </row>
    <row r="2706" spans="1:1">
      <c r="A2706" s="5"/>
    </row>
    <row r="2707" spans="1:1">
      <c r="A2707" s="5"/>
    </row>
    <row r="2708" spans="1:1">
      <c r="A2708" s="5"/>
    </row>
    <row r="2709" spans="1:1">
      <c r="A2709" s="5"/>
    </row>
    <row r="2710" spans="1:1">
      <c r="A2710" s="5"/>
    </row>
    <row r="2711" spans="1:1">
      <c r="A2711" s="5"/>
    </row>
    <row r="2712" spans="1:1">
      <c r="A2712" s="5"/>
    </row>
    <row r="2713" spans="1:1">
      <c r="A2713" s="5"/>
    </row>
    <row r="2714" spans="1:1">
      <c r="A2714" s="5"/>
    </row>
    <row r="2715" spans="1:1">
      <c r="A2715" s="5"/>
    </row>
    <row r="2716" spans="1:1">
      <c r="A2716" s="5"/>
    </row>
    <row r="2717" spans="1:1">
      <c r="A2717" s="5"/>
    </row>
    <row r="2718" spans="1:1">
      <c r="A2718" s="5"/>
    </row>
    <row r="2719" spans="1:1">
      <c r="A2719" s="5"/>
    </row>
    <row r="2720" spans="1:1">
      <c r="A2720" s="5"/>
    </row>
    <row r="2721" spans="1:1">
      <c r="A2721" s="5"/>
    </row>
    <row r="2722" spans="1:1">
      <c r="A2722" s="5"/>
    </row>
    <row r="2723" spans="1:1">
      <c r="A2723" s="5"/>
    </row>
    <row r="2724" spans="1:1">
      <c r="A2724" s="5"/>
    </row>
    <row r="2725" spans="1:1">
      <c r="A2725" s="5"/>
    </row>
    <row r="2726" spans="1:1">
      <c r="A2726" s="5"/>
    </row>
    <row r="2727" spans="1:1">
      <c r="A2727" s="5"/>
    </row>
    <row r="2728" spans="1:1">
      <c r="A2728" s="5"/>
    </row>
    <row r="2729" spans="1:1">
      <c r="A2729" s="5"/>
    </row>
    <row r="2730" spans="1:1">
      <c r="A2730" s="5"/>
    </row>
    <row r="2731" spans="1:1">
      <c r="A2731" s="5"/>
    </row>
    <row r="2732" spans="1:1">
      <c r="A2732" s="5"/>
    </row>
    <row r="2733" spans="1:1">
      <c r="A2733" s="5"/>
    </row>
    <row r="2734" spans="1:1">
      <c r="A2734" s="5"/>
    </row>
    <row r="2735" spans="1:1">
      <c r="A2735" s="5"/>
    </row>
    <row r="2736" spans="1:1">
      <c r="A2736" s="5"/>
    </row>
    <row r="2737" spans="1:1">
      <c r="A2737" s="5"/>
    </row>
    <row r="2738" spans="1:1">
      <c r="A2738" s="5"/>
    </row>
    <row r="2739" spans="1:1">
      <c r="A2739" s="5"/>
    </row>
    <row r="2740" spans="1:1">
      <c r="A2740" s="5"/>
    </row>
    <row r="2741" spans="1:1">
      <c r="A2741" s="5"/>
    </row>
    <row r="2742" spans="1:1">
      <c r="A2742" s="5"/>
    </row>
    <row r="2743" spans="1:1">
      <c r="A2743" s="5"/>
    </row>
    <row r="2744" spans="1:1">
      <c r="A2744" s="5"/>
    </row>
    <row r="2745" spans="1:1">
      <c r="A2745" s="5"/>
    </row>
    <row r="2746" spans="1:1">
      <c r="A2746" s="5"/>
    </row>
    <row r="2747" spans="1:1">
      <c r="A2747" s="5"/>
    </row>
    <row r="2748" spans="1:1">
      <c r="A2748" s="5"/>
    </row>
    <row r="2749" spans="1:1">
      <c r="A2749" s="5"/>
    </row>
    <row r="2750" spans="1:1">
      <c r="A2750" s="5"/>
    </row>
    <row r="2751" spans="1:1">
      <c r="A2751" s="5"/>
    </row>
    <row r="2752" spans="1:1">
      <c r="A2752" s="5"/>
    </row>
    <row r="2753" spans="1:1">
      <c r="A2753" s="5"/>
    </row>
    <row r="2754" spans="1:1">
      <c r="A2754" s="5"/>
    </row>
    <row r="2755" spans="1:1">
      <c r="A2755" s="5"/>
    </row>
    <row r="2756" spans="1:1">
      <c r="A2756" s="5"/>
    </row>
    <row r="2757" spans="1:1">
      <c r="A2757" s="5"/>
    </row>
    <row r="2758" spans="1:1">
      <c r="A2758" s="5"/>
    </row>
    <row r="2759" spans="1:1">
      <c r="A2759" s="5"/>
    </row>
    <row r="2760" spans="1:1">
      <c r="A2760" s="5"/>
    </row>
    <row r="2761" spans="1:1">
      <c r="A2761" s="5"/>
    </row>
    <row r="2762" spans="1:1">
      <c r="A2762" s="5"/>
    </row>
    <row r="2763" spans="1:1">
      <c r="A2763" s="5"/>
    </row>
    <row r="2764" spans="1:1">
      <c r="A2764" s="5"/>
    </row>
    <row r="2765" spans="1:1">
      <c r="A2765" s="5"/>
    </row>
    <row r="2766" spans="1:1">
      <c r="A2766" s="5"/>
    </row>
    <row r="2767" spans="1:1">
      <c r="A2767" s="5"/>
    </row>
    <row r="2768" spans="1:1">
      <c r="A2768" s="5"/>
    </row>
    <row r="2769" spans="1:1">
      <c r="A2769" s="5"/>
    </row>
    <row r="2770" spans="1:1">
      <c r="A2770" s="5"/>
    </row>
    <row r="2771" spans="1:1">
      <c r="A2771" s="5"/>
    </row>
    <row r="2772" spans="1:1">
      <c r="A2772" s="5"/>
    </row>
    <row r="2773" spans="1:1">
      <c r="A2773" s="5"/>
    </row>
    <row r="2774" spans="1:1">
      <c r="A2774" s="5"/>
    </row>
    <row r="2775" spans="1:1">
      <c r="A2775" s="5"/>
    </row>
    <row r="2776" spans="1:1">
      <c r="A2776" s="5"/>
    </row>
    <row r="2777" spans="1:1">
      <c r="A2777" s="5"/>
    </row>
    <row r="2778" spans="1:1">
      <c r="A2778" s="5"/>
    </row>
    <row r="2779" spans="1:1">
      <c r="A2779" s="5"/>
    </row>
    <row r="2780" spans="1:1">
      <c r="A2780" s="5"/>
    </row>
    <row r="2781" spans="1:1">
      <c r="A2781" s="5"/>
    </row>
    <row r="2782" spans="1:1">
      <c r="A2782" s="5"/>
    </row>
    <row r="2783" spans="1:1">
      <c r="A2783" s="5"/>
    </row>
    <row r="2784" spans="1:1">
      <c r="A2784" s="5"/>
    </row>
    <row r="2785" spans="1:1">
      <c r="A2785" s="5"/>
    </row>
    <row r="2786" spans="1:1">
      <c r="A2786" s="5"/>
    </row>
    <row r="2787" spans="1:1">
      <c r="A2787" s="5"/>
    </row>
    <row r="2788" spans="1:1">
      <c r="A2788" s="5"/>
    </row>
    <row r="2789" spans="1:1">
      <c r="A2789" s="5"/>
    </row>
    <row r="2790" spans="1:1">
      <c r="A2790" s="5"/>
    </row>
    <row r="2791" spans="1:1">
      <c r="A2791" s="5"/>
    </row>
    <row r="2792" spans="1:1">
      <c r="A2792" s="5"/>
    </row>
    <row r="2793" spans="1:1">
      <c r="A2793" s="5"/>
    </row>
    <row r="2794" spans="1:1">
      <c r="A2794" s="5"/>
    </row>
    <row r="2795" spans="1:1">
      <c r="A2795" s="5"/>
    </row>
    <row r="2796" spans="1:1">
      <c r="A2796" s="5"/>
    </row>
    <row r="2797" spans="1:1">
      <c r="A2797" s="5"/>
    </row>
    <row r="2798" spans="1:1">
      <c r="A2798" s="5"/>
    </row>
    <row r="2799" spans="1:1">
      <c r="A2799" s="5"/>
    </row>
    <row r="2800" spans="1:1">
      <c r="A2800" s="5"/>
    </row>
    <row r="2801" spans="1:1">
      <c r="A2801" s="5"/>
    </row>
    <row r="2802" spans="1:1">
      <c r="A2802" s="5"/>
    </row>
    <row r="2803" spans="1:1">
      <c r="A2803" s="5"/>
    </row>
    <row r="2804" spans="1:1">
      <c r="A2804" s="5"/>
    </row>
    <row r="2805" spans="1:1">
      <c r="A2805" s="5"/>
    </row>
    <row r="2806" spans="1:1">
      <c r="A2806" s="5"/>
    </row>
    <row r="2807" spans="1:1">
      <c r="A2807" s="5"/>
    </row>
    <row r="2808" spans="1:1">
      <c r="A2808" s="5"/>
    </row>
    <row r="2809" spans="1:1">
      <c r="A2809" s="5"/>
    </row>
    <row r="2810" spans="1:1">
      <c r="A2810" s="5"/>
    </row>
    <row r="2811" spans="1:1">
      <c r="A2811" s="5"/>
    </row>
    <row r="2812" spans="1:1">
      <c r="A2812" s="5"/>
    </row>
    <row r="2813" spans="1:1">
      <c r="A2813" s="5"/>
    </row>
    <row r="2814" spans="1:1">
      <c r="A2814" s="5"/>
    </row>
    <row r="2815" spans="1:1">
      <c r="A2815" s="5"/>
    </row>
    <row r="2816" spans="1:1">
      <c r="A2816" s="5"/>
    </row>
    <row r="2817" spans="1:1">
      <c r="A2817" s="5"/>
    </row>
    <row r="2818" spans="1:1">
      <c r="A2818" s="5"/>
    </row>
    <row r="2819" spans="1:1">
      <c r="A2819" s="5"/>
    </row>
    <row r="2820" spans="1:1">
      <c r="A2820" s="5"/>
    </row>
    <row r="2821" spans="1:1">
      <c r="A2821" s="5"/>
    </row>
    <row r="2822" spans="1:1">
      <c r="A2822" s="5"/>
    </row>
    <row r="2823" spans="1:1">
      <c r="A2823" s="5"/>
    </row>
    <row r="2824" spans="1:1">
      <c r="A2824" s="5"/>
    </row>
    <row r="2825" spans="1:1">
      <c r="A2825" s="5"/>
    </row>
    <row r="2826" spans="1:1">
      <c r="A2826" s="5"/>
    </row>
    <row r="2827" spans="1:1">
      <c r="A2827" s="5"/>
    </row>
    <row r="2828" spans="1:1">
      <c r="A2828" s="5"/>
    </row>
    <row r="2829" spans="1:1">
      <c r="A2829" s="5"/>
    </row>
    <row r="2830" spans="1:1">
      <c r="A2830" s="5"/>
    </row>
    <row r="2831" spans="1:1">
      <c r="A2831" s="5"/>
    </row>
    <row r="2832" spans="1:1">
      <c r="A2832" s="5"/>
    </row>
    <row r="2833" spans="1:1">
      <c r="A2833" s="5"/>
    </row>
    <row r="2834" spans="1:1">
      <c r="A2834" s="5"/>
    </row>
    <row r="2835" spans="1:1">
      <c r="A2835" s="5"/>
    </row>
    <row r="2836" spans="1:1">
      <c r="A2836" s="5"/>
    </row>
    <row r="2837" spans="1:1">
      <c r="A2837" s="5"/>
    </row>
    <row r="2838" spans="1:1">
      <c r="A2838" s="5"/>
    </row>
    <row r="2839" spans="1:1">
      <c r="A2839" s="5"/>
    </row>
    <row r="2840" spans="1:1">
      <c r="A2840" s="5"/>
    </row>
    <row r="2841" spans="1:1">
      <c r="A2841" s="5"/>
    </row>
    <row r="2842" spans="1:1">
      <c r="A2842" s="5"/>
    </row>
    <row r="2843" spans="1:1">
      <c r="A2843" s="5"/>
    </row>
    <row r="2844" spans="1:1">
      <c r="A2844" s="5"/>
    </row>
    <row r="2845" spans="1:1">
      <c r="A2845" s="5"/>
    </row>
    <row r="2846" spans="1:1">
      <c r="A2846" s="5"/>
    </row>
    <row r="2847" spans="1:1">
      <c r="A2847" s="5"/>
    </row>
    <row r="2848" spans="1:1">
      <c r="A2848" s="5"/>
    </row>
    <row r="2849" spans="1:1">
      <c r="A2849" s="5"/>
    </row>
    <row r="2850" spans="1:1">
      <c r="A2850" s="5"/>
    </row>
    <row r="2851" spans="1:1">
      <c r="A2851" s="5"/>
    </row>
    <row r="2852" spans="1:1">
      <c r="A2852" s="5"/>
    </row>
    <row r="2853" spans="1:1">
      <c r="A2853" s="5"/>
    </row>
    <row r="2854" spans="1:1">
      <c r="A2854" s="5"/>
    </row>
    <row r="2855" spans="1:1">
      <c r="A2855" s="5"/>
    </row>
    <row r="2856" spans="1:1">
      <c r="A2856" s="5"/>
    </row>
    <row r="2857" spans="1:1">
      <c r="A2857" s="5"/>
    </row>
    <row r="2858" spans="1:1">
      <c r="A2858" s="5"/>
    </row>
    <row r="2859" spans="1:1">
      <c r="A2859" s="5"/>
    </row>
    <row r="2860" spans="1:1">
      <c r="A2860" s="5"/>
    </row>
    <row r="2861" spans="1:1">
      <c r="A2861" s="5"/>
    </row>
    <row r="2862" spans="1:1">
      <c r="A2862" s="5"/>
    </row>
    <row r="2863" spans="1:1">
      <c r="A2863" s="5"/>
    </row>
    <row r="2864" spans="1:1">
      <c r="A2864" s="5"/>
    </row>
    <row r="2865" spans="1:1">
      <c r="A2865" s="5"/>
    </row>
    <row r="2866" spans="1:1">
      <c r="A2866" s="5"/>
    </row>
    <row r="2867" spans="1:1">
      <c r="A2867" s="5"/>
    </row>
    <row r="2868" spans="1:1">
      <c r="A2868" s="5"/>
    </row>
    <row r="2869" spans="1:1">
      <c r="A2869" s="5"/>
    </row>
    <row r="2870" spans="1:1">
      <c r="A2870" s="5"/>
    </row>
    <row r="2871" spans="1:1">
      <c r="A2871" s="5"/>
    </row>
    <row r="2872" spans="1:1">
      <c r="A2872" s="5"/>
    </row>
    <row r="2873" spans="1:1">
      <c r="A2873" s="5"/>
    </row>
    <row r="2874" spans="1:1">
      <c r="A2874" s="5"/>
    </row>
    <row r="2875" spans="1:1">
      <c r="A2875" s="5"/>
    </row>
    <row r="2876" spans="1:1">
      <c r="A2876" s="5"/>
    </row>
    <row r="2877" spans="1:1">
      <c r="A2877" s="5"/>
    </row>
    <row r="2878" spans="1:1">
      <c r="A2878" s="5"/>
    </row>
    <row r="2879" spans="1:1">
      <c r="A2879" s="5"/>
    </row>
    <row r="2880" spans="1:1">
      <c r="A2880" s="5"/>
    </row>
    <row r="2881" spans="1:1">
      <c r="A2881" s="5"/>
    </row>
    <row r="2882" spans="1:1">
      <c r="A2882" s="5"/>
    </row>
    <row r="2883" spans="1:1">
      <c r="A2883" s="5"/>
    </row>
    <row r="2884" spans="1:1">
      <c r="A2884" s="5"/>
    </row>
    <row r="2885" spans="1:1">
      <c r="A2885" s="5"/>
    </row>
    <row r="2886" spans="1:1">
      <c r="A2886" s="5"/>
    </row>
    <row r="2887" spans="1:1">
      <c r="A2887" s="5"/>
    </row>
    <row r="2888" spans="1:1">
      <c r="A2888" s="5"/>
    </row>
    <row r="2889" spans="1:1">
      <c r="A2889" s="5"/>
    </row>
    <row r="2890" spans="1:1">
      <c r="A2890" s="5"/>
    </row>
    <row r="2891" spans="1:1">
      <c r="A2891" s="5"/>
    </row>
    <row r="2892" spans="1:1">
      <c r="A2892" s="5"/>
    </row>
    <row r="2893" spans="1:1">
      <c r="A2893" s="5"/>
    </row>
    <row r="2894" spans="1:1">
      <c r="A2894" s="5"/>
    </row>
    <row r="2895" spans="1:1">
      <c r="A2895" s="5"/>
    </row>
    <row r="2896" spans="1:1">
      <c r="A2896" s="5"/>
    </row>
    <row r="2897" spans="1:1">
      <c r="A2897" s="5"/>
    </row>
    <row r="2898" spans="1:1">
      <c r="A2898" s="5"/>
    </row>
    <row r="2899" spans="1:1">
      <c r="A2899" s="5"/>
    </row>
    <row r="2900" spans="1:1">
      <c r="A2900" s="5"/>
    </row>
    <row r="2901" spans="1:1">
      <c r="A2901" s="5"/>
    </row>
    <row r="2902" spans="1:1">
      <c r="A2902" s="5"/>
    </row>
    <row r="2903" spans="1:1">
      <c r="A2903" s="5"/>
    </row>
    <row r="2904" spans="1:1">
      <c r="A2904" s="5"/>
    </row>
    <row r="2905" spans="1:1">
      <c r="A2905" s="5"/>
    </row>
    <row r="2906" spans="1:1">
      <c r="A2906" s="5"/>
    </row>
    <row r="2907" spans="1:1">
      <c r="A2907" s="5"/>
    </row>
    <row r="2908" spans="1:1">
      <c r="A2908" s="5"/>
    </row>
    <row r="2909" spans="1:1">
      <c r="A2909" s="5"/>
    </row>
    <row r="2910" spans="1:1">
      <c r="A2910" s="5"/>
    </row>
    <row r="2911" spans="1:1">
      <c r="A2911" s="5"/>
    </row>
    <row r="2912" spans="1:1">
      <c r="A2912" s="5"/>
    </row>
    <row r="2913" spans="1:1">
      <c r="A2913" s="5"/>
    </row>
    <row r="2914" spans="1:1">
      <c r="A2914" s="5"/>
    </row>
    <row r="2915" spans="1:1">
      <c r="A2915" s="5"/>
    </row>
    <row r="2916" spans="1:1">
      <c r="A2916" s="5"/>
    </row>
    <row r="2917" spans="1:1">
      <c r="A2917" s="5"/>
    </row>
    <row r="2918" spans="1:1">
      <c r="A2918" s="5"/>
    </row>
    <row r="2919" spans="1:1">
      <c r="A2919" s="5"/>
    </row>
    <row r="2920" spans="1:1">
      <c r="A2920" s="5"/>
    </row>
    <row r="2921" spans="1:1">
      <c r="A2921" s="5"/>
    </row>
    <row r="2922" spans="1:1">
      <c r="A2922" s="5"/>
    </row>
    <row r="2923" spans="1:1">
      <c r="A2923" s="5"/>
    </row>
    <row r="2924" spans="1:1">
      <c r="A2924" s="5"/>
    </row>
    <row r="2925" spans="1:1">
      <c r="A2925" s="5"/>
    </row>
    <row r="2926" spans="1:1">
      <c r="A2926" s="5"/>
    </row>
    <row r="2927" spans="1:1">
      <c r="A2927" s="5"/>
    </row>
    <row r="2928" spans="1:1">
      <c r="A2928" s="5"/>
    </row>
    <row r="2929" spans="1:1">
      <c r="A2929" s="5"/>
    </row>
    <row r="2930" spans="1:1">
      <c r="A2930" s="5"/>
    </row>
    <row r="2931" spans="1:1">
      <c r="A2931" s="5"/>
    </row>
    <row r="2932" spans="1:1">
      <c r="A2932" s="5"/>
    </row>
    <row r="2933" spans="1:1">
      <c r="A2933" s="5"/>
    </row>
    <row r="2934" spans="1:1">
      <c r="A2934" s="5"/>
    </row>
    <row r="2935" spans="1:1">
      <c r="A2935" s="5"/>
    </row>
    <row r="2936" spans="1:1">
      <c r="A2936" s="5"/>
    </row>
    <row r="2937" spans="1:1">
      <c r="A2937" s="5"/>
    </row>
    <row r="2938" spans="1:1">
      <c r="A2938" s="5"/>
    </row>
    <row r="2939" spans="1:1">
      <c r="A2939" s="5"/>
    </row>
    <row r="2940" spans="1:1">
      <c r="A2940" s="5"/>
    </row>
    <row r="2941" spans="1:1">
      <c r="A2941" s="5"/>
    </row>
    <row r="2942" spans="1:1">
      <c r="A2942" s="5"/>
    </row>
    <row r="2943" spans="1:1">
      <c r="A2943" s="5"/>
    </row>
    <row r="2944" spans="1:1">
      <c r="A2944" s="5"/>
    </row>
    <row r="2945" spans="1:1">
      <c r="A2945" s="5"/>
    </row>
    <row r="2946" spans="1:1">
      <c r="A2946" s="5"/>
    </row>
    <row r="2947" spans="1:1">
      <c r="A2947" s="5"/>
    </row>
    <row r="2948" spans="1:1">
      <c r="A2948" s="5"/>
    </row>
    <row r="2949" spans="1:1">
      <c r="A2949" s="5"/>
    </row>
    <row r="2950" spans="1:1">
      <c r="A2950" s="5"/>
    </row>
    <row r="2951" spans="1:1">
      <c r="A2951" s="5"/>
    </row>
    <row r="2952" spans="1:1">
      <c r="A2952" s="5"/>
    </row>
    <row r="2953" spans="1:1">
      <c r="A2953" s="5"/>
    </row>
    <row r="2954" spans="1:1">
      <c r="A2954" s="5"/>
    </row>
    <row r="2955" spans="1:1">
      <c r="A2955" s="5"/>
    </row>
    <row r="2956" spans="1:1">
      <c r="A2956" s="5"/>
    </row>
    <row r="2957" spans="1:1">
      <c r="A2957" s="5"/>
    </row>
    <row r="2958" spans="1:1">
      <c r="A2958" s="5"/>
    </row>
    <row r="2959" spans="1:1">
      <c r="A2959" s="5"/>
    </row>
    <row r="2960" spans="1:1">
      <c r="A2960" s="5"/>
    </row>
    <row r="2961" spans="1:1">
      <c r="A2961" s="5"/>
    </row>
    <row r="2962" spans="1:1">
      <c r="A2962" s="5"/>
    </row>
    <row r="2963" spans="1:1">
      <c r="A2963" s="5"/>
    </row>
    <row r="2964" spans="1:1">
      <c r="A2964" s="5"/>
    </row>
    <row r="2965" spans="1:1">
      <c r="A2965" s="5"/>
    </row>
    <row r="2966" spans="1:1">
      <c r="A2966" s="5"/>
    </row>
    <row r="2967" spans="1:1">
      <c r="A2967" s="5"/>
    </row>
    <row r="2968" spans="1:1">
      <c r="A2968" s="5"/>
    </row>
    <row r="2969" spans="1:1">
      <c r="A2969" s="5"/>
    </row>
    <row r="2970" spans="1:1">
      <c r="A2970" s="5"/>
    </row>
    <row r="2971" spans="1:1">
      <c r="A2971" s="5"/>
    </row>
    <row r="2972" spans="1:1">
      <c r="A2972" s="5"/>
    </row>
    <row r="2973" spans="1:1">
      <c r="A2973" s="5"/>
    </row>
    <row r="2974" spans="1:1">
      <c r="A2974" s="5"/>
    </row>
    <row r="2975" spans="1:1">
      <c r="A2975" s="5"/>
    </row>
    <row r="2976" spans="1:1">
      <c r="A2976" s="5"/>
    </row>
    <row r="2977" spans="1:1">
      <c r="A2977" s="5"/>
    </row>
    <row r="2978" spans="1:1">
      <c r="A2978" s="5"/>
    </row>
    <row r="2979" spans="1:1">
      <c r="A2979" s="5"/>
    </row>
    <row r="2980" spans="1:1">
      <c r="A2980" s="5"/>
    </row>
    <row r="2981" spans="1:1">
      <c r="A2981" s="5"/>
    </row>
    <row r="2982" spans="1:1">
      <c r="A2982" s="5"/>
    </row>
    <row r="2983" spans="1:1">
      <c r="A2983" s="5"/>
    </row>
    <row r="2984" spans="1:1">
      <c r="A2984" s="5"/>
    </row>
    <row r="2985" spans="1:1">
      <c r="A2985" s="5"/>
    </row>
    <row r="2986" spans="1:1">
      <c r="A2986" s="5"/>
    </row>
    <row r="2987" spans="1:1">
      <c r="A2987" s="5"/>
    </row>
    <row r="2988" spans="1:1">
      <c r="A2988" s="5"/>
    </row>
    <row r="2989" spans="1:1">
      <c r="A2989" s="5"/>
    </row>
    <row r="2990" spans="1:1">
      <c r="A2990" s="5"/>
    </row>
    <row r="2991" spans="1:1">
      <c r="A2991" s="5"/>
    </row>
    <row r="2992" spans="1:1">
      <c r="A2992" s="5"/>
    </row>
    <row r="2993" spans="1:1">
      <c r="A2993" s="5"/>
    </row>
    <row r="2994" spans="1:1">
      <c r="A2994" s="5"/>
    </row>
    <row r="2995" spans="1:1">
      <c r="A2995" s="5"/>
    </row>
    <row r="2996" spans="1:1">
      <c r="A2996" s="5"/>
    </row>
    <row r="2997" spans="1:1">
      <c r="A2997" s="5"/>
    </row>
    <row r="2998" spans="1:1">
      <c r="A2998" s="5"/>
    </row>
    <row r="2999" spans="1:1">
      <c r="A2999" s="5"/>
    </row>
    <row r="3000" spans="1:1">
      <c r="A3000" s="5"/>
    </row>
    <row r="3001" spans="1:1">
      <c r="A3001" s="5"/>
    </row>
    <row r="3002" spans="1:1">
      <c r="A3002" s="5"/>
    </row>
    <row r="3003" spans="1:1">
      <c r="A3003" s="5"/>
    </row>
    <row r="3004" spans="1:1">
      <c r="A3004" s="5"/>
    </row>
    <row r="3005" spans="1:1">
      <c r="A3005" s="5"/>
    </row>
    <row r="3006" spans="1:1">
      <c r="A3006" s="5"/>
    </row>
    <row r="3007" spans="1:1">
      <c r="A3007" s="5"/>
    </row>
    <row r="3008" spans="1:1">
      <c r="A3008" s="5"/>
    </row>
    <row r="3009" spans="1:1">
      <c r="A3009" s="5"/>
    </row>
    <row r="3010" spans="1:1">
      <c r="A3010" s="5"/>
    </row>
    <row r="3011" spans="1:1">
      <c r="A3011" s="5"/>
    </row>
    <row r="3012" spans="1:1">
      <c r="A3012" s="5"/>
    </row>
    <row r="3013" spans="1:1">
      <c r="A3013" s="5"/>
    </row>
    <row r="3014" spans="1:1">
      <c r="A3014" s="5"/>
    </row>
    <row r="3015" spans="1:1">
      <c r="A3015" s="5"/>
    </row>
    <row r="3016" spans="1:1">
      <c r="A3016" s="5"/>
    </row>
    <row r="3017" spans="1:1">
      <c r="A3017" s="5"/>
    </row>
    <row r="3018" spans="1:1">
      <c r="A3018" s="5"/>
    </row>
    <row r="3019" spans="1:1">
      <c r="A3019" s="5"/>
    </row>
    <row r="3020" spans="1:1">
      <c r="A3020" s="5"/>
    </row>
    <row r="3021" spans="1:1">
      <c r="A3021" s="5"/>
    </row>
    <row r="3022" spans="1:1">
      <c r="A3022" s="5"/>
    </row>
    <row r="3023" spans="1:1">
      <c r="A3023" s="5"/>
    </row>
    <row r="3024" spans="1:1">
      <c r="A3024" s="5"/>
    </row>
    <row r="3025" spans="1:1">
      <c r="A3025" s="5"/>
    </row>
    <row r="3026" spans="1:1">
      <c r="A3026" s="5"/>
    </row>
    <row r="3027" spans="1:1">
      <c r="A3027" s="5"/>
    </row>
    <row r="3028" spans="1:1">
      <c r="A3028" s="5"/>
    </row>
    <row r="3029" spans="1:1">
      <c r="A3029" s="5"/>
    </row>
    <row r="3030" spans="1:1">
      <c r="A3030" s="5"/>
    </row>
    <row r="3031" spans="1:1">
      <c r="A3031" s="5"/>
    </row>
    <row r="3032" spans="1:1">
      <c r="A3032" s="5"/>
    </row>
    <row r="3033" spans="1:1">
      <c r="A3033" s="5"/>
    </row>
    <row r="3034" spans="1:1">
      <c r="A3034" s="5"/>
    </row>
    <row r="3035" spans="1:1">
      <c r="A3035" s="5"/>
    </row>
    <row r="3036" spans="1:1">
      <c r="A3036" s="5"/>
    </row>
    <row r="3037" spans="1:1">
      <c r="A3037" s="5"/>
    </row>
    <row r="3038" spans="1:1">
      <c r="A3038" s="5"/>
    </row>
    <row r="3039" spans="1:1">
      <c r="A3039" s="5"/>
    </row>
    <row r="3040" spans="1:1">
      <c r="A3040" s="5"/>
    </row>
    <row r="3041" spans="1:1">
      <c r="A3041" s="5"/>
    </row>
    <row r="3042" spans="1:1">
      <c r="A3042" s="5"/>
    </row>
    <row r="3043" spans="1:1">
      <c r="A3043" s="5"/>
    </row>
    <row r="3044" spans="1:1">
      <c r="A3044" s="5"/>
    </row>
    <row r="3045" spans="1:1">
      <c r="A3045" s="5"/>
    </row>
    <row r="3046" spans="1:1">
      <c r="A3046" s="5"/>
    </row>
    <row r="3047" spans="1:1">
      <c r="A3047" s="5"/>
    </row>
    <row r="3048" spans="1:1">
      <c r="A3048" s="5"/>
    </row>
    <row r="3049" spans="1:1">
      <c r="A3049" s="5"/>
    </row>
    <row r="3050" spans="1:1">
      <c r="A3050" s="5"/>
    </row>
    <row r="3051" spans="1:1">
      <c r="A3051" s="5"/>
    </row>
    <row r="3052" spans="1:1">
      <c r="A3052" s="5"/>
    </row>
    <row r="3053" spans="1:1">
      <c r="A3053" s="5"/>
    </row>
    <row r="3054" spans="1:1">
      <c r="A3054" s="5"/>
    </row>
    <row r="3055" spans="1:1">
      <c r="A3055" s="5"/>
    </row>
    <row r="3056" spans="1:1">
      <c r="A3056" s="5"/>
    </row>
    <row r="3057" spans="1:1">
      <c r="A3057" s="5"/>
    </row>
    <row r="3058" spans="1:1">
      <c r="A3058" s="5"/>
    </row>
    <row r="3059" spans="1:1">
      <c r="A3059" s="5"/>
    </row>
    <row r="3060" spans="1:1">
      <c r="A3060" s="5"/>
    </row>
    <row r="3061" spans="1:1">
      <c r="A3061" s="5"/>
    </row>
    <row r="3062" spans="1:1">
      <c r="A3062" s="5"/>
    </row>
    <row r="3063" spans="1:1">
      <c r="A3063" s="5"/>
    </row>
    <row r="3064" spans="1:1">
      <c r="A3064" s="5"/>
    </row>
    <row r="3065" spans="1:1">
      <c r="A3065" s="5"/>
    </row>
    <row r="3066" spans="1:1">
      <c r="A3066" s="5"/>
    </row>
    <row r="3067" spans="1:1">
      <c r="A3067" s="5"/>
    </row>
    <row r="3068" spans="1:1">
      <c r="A3068" s="5"/>
    </row>
    <row r="3069" spans="1:1">
      <c r="A3069" s="5"/>
    </row>
    <row r="3070" spans="1:1">
      <c r="A3070" s="5"/>
    </row>
    <row r="3071" spans="1:1">
      <c r="A3071" s="5"/>
    </row>
    <row r="3072" spans="1:1">
      <c r="A3072" s="5"/>
    </row>
    <row r="3073" spans="1:1">
      <c r="A3073" s="5"/>
    </row>
    <row r="3074" spans="1:1">
      <c r="A3074" s="5"/>
    </row>
    <row r="3075" spans="1:1">
      <c r="A3075" s="5"/>
    </row>
    <row r="3076" spans="1:1">
      <c r="A3076" s="5"/>
    </row>
    <row r="3077" spans="1:1">
      <c r="A3077" s="5"/>
    </row>
    <row r="3078" spans="1:1">
      <c r="A3078" s="5"/>
    </row>
    <row r="3079" spans="1:1">
      <c r="A3079" s="5"/>
    </row>
    <row r="3080" spans="1:1">
      <c r="A3080" s="5"/>
    </row>
    <row r="3081" spans="1:1">
      <c r="A3081" s="5"/>
    </row>
    <row r="3082" spans="1:1">
      <c r="A3082" s="5"/>
    </row>
    <row r="3083" spans="1:1">
      <c r="A3083" s="5"/>
    </row>
    <row r="3084" spans="1:1">
      <c r="A3084" s="5"/>
    </row>
    <row r="3085" spans="1:1">
      <c r="A3085" s="5"/>
    </row>
    <row r="3086" spans="1:1">
      <c r="A3086" s="5"/>
    </row>
    <row r="3087" spans="1:1">
      <c r="A3087" s="5"/>
    </row>
    <row r="3088" spans="1:1">
      <c r="A3088" s="5"/>
    </row>
    <row r="3089" spans="1:1">
      <c r="A3089" s="5"/>
    </row>
    <row r="3090" spans="1:1">
      <c r="A3090" s="5"/>
    </row>
    <row r="3091" spans="1:1">
      <c r="A3091" s="5"/>
    </row>
    <row r="3092" spans="1:1">
      <c r="A3092" s="5"/>
    </row>
    <row r="3093" spans="1:1">
      <c r="A3093" s="5"/>
    </row>
    <row r="3094" spans="1:1">
      <c r="A3094" s="5"/>
    </row>
    <row r="3095" spans="1:1">
      <c r="A3095" s="5"/>
    </row>
    <row r="3096" spans="1:1">
      <c r="A3096" s="5"/>
    </row>
    <row r="3097" spans="1:1">
      <c r="A3097" s="5"/>
    </row>
    <row r="3098" spans="1:1">
      <c r="A3098" s="5"/>
    </row>
    <row r="3099" spans="1:1">
      <c r="A3099" s="5"/>
    </row>
    <row r="3100" spans="1:1">
      <c r="A3100" s="5"/>
    </row>
    <row r="3101" spans="1:1">
      <c r="A3101" s="5"/>
    </row>
    <row r="3102" spans="1:1">
      <c r="A3102" s="5"/>
    </row>
    <row r="3103" spans="1:1">
      <c r="A3103" s="5"/>
    </row>
    <row r="3104" spans="1:1">
      <c r="A3104" s="5"/>
    </row>
    <row r="3105" spans="1:1">
      <c r="A3105" s="5"/>
    </row>
    <row r="3106" spans="1:1">
      <c r="A3106" s="5"/>
    </row>
    <row r="3107" spans="1:1">
      <c r="A3107" s="5"/>
    </row>
    <row r="3108" spans="1:1">
      <c r="A3108" s="5"/>
    </row>
    <row r="3109" spans="1:1">
      <c r="A3109" s="5"/>
    </row>
    <row r="3110" spans="1:1">
      <c r="A3110" s="5"/>
    </row>
    <row r="3111" spans="1:1">
      <c r="A3111" s="5"/>
    </row>
    <row r="3112" spans="1:1">
      <c r="A3112" s="5"/>
    </row>
    <row r="3113" spans="1:1">
      <c r="A3113" s="5"/>
    </row>
    <row r="3114" spans="1:1">
      <c r="A3114" s="5"/>
    </row>
    <row r="3115" spans="1:1">
      <c r="A3115" s="5"/>
    </row>
    <row r="3116" spans="1:1">
      <c r="A3116" s="5"/>
    </row>
    <row r="3117" spans="1:1">
      <c r="A3117" s="5"/>
    </row>
    <row r="3118" spans="1:1">
      <c r="A3118" s="5"/>
    </row>
    <row r="3119" spans="1:1">
      <c r="A3119" s="5"/>
    </row>
    <row r="3120" spans="1:1">
      <c r="A3120" s="5"/>
    </row>
    <row r="3121" spans="1:1">
      <c r="A3121" s="5"/>
    </row>
    <row r="3122" spans="1:1">
      <c r="A3122" s="5"/>
    </row>
    <row r="3123" spans="1:1">
      <c r="A3123" s="5"/>
    </row>
    <row r="3124" spans="1:1">
      <c r="A3124" s="5"/>
    </row>
    <row r="3125" spans="1:1">
      <c r="A3125" s="5"/>
    </row>
    <row r="3126" spans="1:1">
      <c r="A3126" s="5"/>
    </row>
    <row r="3127" spans="1:1">
      <c r="A3127" s="5"/>
    </row>
    <row r="3128" spans="1:1">
      <c r="A3128" s="5"/>
    </row>
    <row r="3129" spans="1:1">
      <c r="A3129" s="5"/>
    </row>
    <row r="3130" spans="1:1">
      <c r="A3130" s="5"/>
    </row>
    <row r="3131" spans="1:1">
      <c r="A3131" s="5"/>
    </row>
    <row r="3132" spans="1:1">
      <c r="A3132" s="5"/>
    </row>
    <row r="3133" spans="1:1">
      <c r="A3133" s="5"/>
    </row>
    <row r="3134" spans="1:1">
      <c r="A3134" s="5"/>
    </row>
    <row r="3135" spans="1:1">
      <c r="A3135" s="5"/>
    </row>
    <row r="3136" spans="1:1">
      <c r="A3136" s="5"/>
    </row>
    <row r="3137" spans="1:1">
      <c r="A3137" s="5"/>
    </row>
    <row r="3138" spans="1:1">
      <c r="A3138" s="5"/>
    </row>
    <row r="3139" spans="1:1">
      <c r="A3139" s="5"/>
    </row>
    <row r="3140" spans="1:1">
      <c r="A3140" s="5"/>
    </row>
    <row r="3141" spans="1:1">
      <c r="A3141" s="5"/>
    </row>
    <row r="3142" spans="1:1">
      <c r="A3142" s="5"/>
    </row>
    <row r="3143" spans="1:1">
      <c r="A3143" s="5"/>
    </row>
    <row r="3144" spans="1:1">
      <c r="A3144" s="5"/>
    </row>
    <row r="3145" spans="1:1">
      <c r="A3145" s="5"/>
    </row>
    <row r="3146" spans="1:1">
      <c r="A3146" s="5"/>
    </row>
    <row r="3147" spans="1:1">
      <c r="A3147" s="5"/>
    </row>
    <row r="3148" spans="1:1">
      <c r="A3148" s="5"/>
    </row>
    <row r="3149" spans="1:1">
      <c r="A3149" s="5"/>
    </row>
    <row r="3150" spans="1:1">
      <c r="A3150" s="5"/>
    </row>
    <row r="3151" spans="1:1">
      <c r="A3151" s="5"/>
    </row>
    <row r="3152" spans="1:1">
      <c r="A3152" s="5"/>
    </row>
    <row r="3153" spans="1:1">
      <c r="A3153" s="5"/>
    </row>
    <row r="3154" spans="1:1">
      <c r="A3154" s="5"/>
    </row>
    <row r="3155" spans="1:1">
      <c r="A3155" s="5"/>
    </row>
    <row r="3156" spans="1:1">
      <c r="A3156" s="5"/>
    </row>
    <row r="3157" spans="1:1">
      <c r="A3157" s="5"/>
    </row>
    <row r="3158" spans="1:1">
      <c r="A3158" s="5"/>
    </row>
    <row r="3159" spans="1:1">
      <c r="A3159" s="5"/>
    </row>
    <row r="3160" spans="1:1">
      <c r="A3160" s="5"/>
    </row>
    <row r="3161" spans="1:1">
      <c r="A3161" s="5"/>
    </row>
    <row r="3162" spans="1:1">
      <c r="A3162" s="5"/>
    </row>
    <row r="3163" spans="1:1">
      <c r="A3163" s="5"/>
    </row>
    <row r="3164" spans="1:1">
      <c r="A3164" s="5"/>
    </row>
    <row r="3165" spans="1:1">
      <c r="A3165" s="5"/>
    </row>
    <row r="3166" spans="1:1">
      <c r="A3166" s="5"/>
    </row>
    <row r="3167" spans="1:1">
      <c r="A3167" s="5"/>
    </row>
    <row r="3168" spans="1:1">
      <c r="A3168" s="5"/>
    </row>
    <row r="3169" spans="1:1">
      <c r="A3169" s="5"/>
    </row>
    <row r="3170" spans="1:1">
      <c r="A3170" s="5"/>
    </row>
    <row r="3171" spans="1:1">
      <c r="A3171" s="5"/>
    </row>
    <row r="3172" spans="1:1">
      <c r="A3172" s="5"/>
    </row>
    <row r="3173" spans="1:1">
      <c r="A3173" s="5"/>
    </row>
    <row r="3174" spans="1:1">
      <c r="A3174" s="5"/>
    </row>
    <row r="3175" spans="1:1">
      <c r="A3175" s="5"/>
    </row>
    <row r="3176" spans="1:1">
      <c r="A3176" s="5"/>
    </row>
    <row r="3177" spans="1:1">
      <c r="A3177" s="5"/>
    </row>
    <row r="3178" spans="1:1">
      <c r="A3178" s="5"/>
    </row>
    <row r="3179" spans="1:1">
      <c r="A3179" s="5"/>
    </row>
    <row r="3180" spans="1:1">
      <c r="A3180" s="5"/>
    </row>
    <row r="3181" spans="1:1">
      <c r="A3181" s="5"/>
    </row>
    <row r="3182" spans="1:1">
      <c r="A3182" s="5"/>
    </row>
    <row r="3183" spans="1:1">
      <c r="A3183" s="5"/>
    </row>
    <row r="3184" spans="1:1">
      <c r="A3184" s="5"/>
    </row>
    <row r="3185" spans="1:1">
      <c r="A3185" s="5"/>
    </row>
    <row r="3186" spans="1:1">
      <c r="A3186" s="5"/>
    </row>
    <row r="3187" spans="1:1">
      <c r="A3187" s="5"/>
    </row>
    <row r="3188" spans="1:1">
      <c r="A3188" s="5"/>
    </row>
    <row r="3189" spans="1:1">
      <c r="A3189" s="5"/>
    </row>
    <row r="3190" spans="1:1">
      <c r="A3190" s="5"/>
    </row>
    <row r="3191" spans="1:1">
      <c r="A3191" s="5"/>
    </row>
    <row r="3192" spans="1:1">
      <c r="A3192" s="5"/>
    </row>
    <row r="3193" spans="1:1">
      <c r="A3193" s="5"/>
    </row>
    <row r="3194" spans="1:1">
      <c r="A3194" s="5"/>
    </row>
    <row r="3195" spans="1:1">
      <c r="A3195" s="5"/>
    </row>
    <row r="3196" spans="1:1">
      <c r="A3196" s="5"/>
    </row>
    <row r="3197" spans="1:1">
      <c r="A3197" s="5"/>
    </row>
    <row r="3198" spans="1:1">
      <c r="A3198" s="5"/>
    </row>
    <row r="3199" spans="1:1">
      <c r="A3199" s="5"/>
    </row>
    <row r="3200" spans="1:1">
      <c r="A3200" s="5"/>
    </row>
    <row r="3201" spans="1:1">
      <c r="A3201" s="5"/>
    </row>
    <row r="3202" spans="1:1">
      <c r="A3202" s="5"/>
    </row>
    <row r="3203" spans="1:1">
      <c r="A3203" s="5"/>
    </row>
    <row r="3204" spans="1:1">
      <c r="A3204" s="5"/>
    </row>
    <row r="3205" spans="1:1">
      <c r="A3205" s="5"/>
    </row>
    <row r="3206" spans="1:1">
      <c r="A3206" s="5"/>
    </row>
    <row r="3207" spans="1:1">
      <c r="A3207" s="5"/>
    </row>
    <row r="3208" spans="1:1">
      <c r="A3208" s="5"/>
    </row>
    <row r="3209" spans="1:1">
      <c r="A3209" s="5"/>
    </row>
    <row r="3210" spans="1:1">
      <c r="A3210" s="5"/>
    </row>
    <row r="3211" spans="1:1">
      <c r="A3211" s="5"/>
    </row>
    <row r="3212" spans="1:1">
      <c r="A3212" s="5"/>
    </row>
    <row r="3213" spans="1:1">
      <c r="A3213" s="5"/>
    </row>
    <row r="3214" spans="1:1">
      <c r="A3214" s="5"/>
    </row>
    <row r="3215" spans="1:1">
      <c r="A3215" s="5"/>
    </row>
    <row r="3216" spans="1:1">
      <c r="A3216" s="5"/>
    </row>
    <row r="3217" spans="1:1">
      <c r="A3217" s="5"/>
    </row>
    <row r="3218" spans="1:1">
      <c r="A3218" s="5"/>
    </row>
    <row r="3219" spans="1:1">
      <c r="A3219" s="5"/>
    </row>
    <row r="3220" spans="1:1">
      <c r="A3220" s="5"/>
    </row>
    <row r="3221" spans="1:1">
      <c r="A3221" s="5"/>
    </row>
    <row r="3222" spans="1:1">
      <c r="A3222" s="5"/>
    </row>
    <row r="3223" spans="1:1">
      <c r="A3223" s="5"/>
    </row>
    <row r="3224" spans="1:1">
      <c r="A3224" s="5"/>
    </row>
    <row r="3225" spans="1:1">
      <c r="A3225" s="5"/>
    </row>
    <row r="3226" spans="1:1">
      <c r="A3226" s="5"/>
    </row>
    <row r="3227" spans="1:1">
      <c r="A3227" s="5"/>
    </row>
    <row r="3228" spans="1:1">
      <c r="A3228" s="5"/>
    </row>
    <row r="3229" spans="1:1">
      <c r="A3229" s="5"/>
    </row>
    <row r="3230" spans="1:1">
      <c r="A3230" s="5"/>
    </row>
    <row r="3231" spans="1:1">
      <c r="A3231" s="5"/>
    </row>
    <row r="3232" spans="1:1">
      <c r="A3232" s="5"/>
    </row>
    <row r="3233" spans="1:1">
      <c r="A3233" s="5"/>
    </row>
    <row r="3234" spans="1:1">
      <c r="A3234" s="5"/>
    </row>
    <row r="3235" spans="1:1">
      <c r="A3235" s="5"/>
    </row>
    <row r="3236" spans="1:1">
      <c r="A3236" s="5"/>
    </row>
    <row r="3237" spans="1:1">
      <c r="A3237" s="5"/>
    </row>
    <row r="3238" spans="1:1">
      <c r="A3238" s="5"/>
    </row>
    <row r="3239" spans="1:1">
      <c r="A3239" s="5"/>
    </row>
    <row r="3240" spans="1:1">
      <c r="A3240" s="5"/>
    </row>
    <row r="3241" spans="1:1">
      <c r="A3241" s="5"/>
    </row>
    <row r="3242" spans="1:1">
      <c r="A3242" s="5"/>
    </row>
    <row r="3243" spans="1:1">
      <c r="A3243" s="5"/>
    </row>
    <row r="3244" spans="1:1">
      <c r="A3244" s="5"/>
    </row>
    <row r="3245" spans="1:1">
      <c r="A3245" s="5"/>
    </row>
    <row r="3246" spans="1:1">
      <c r="A3246" s="5"/>
    </row>
    <row r="3247" spans="1:1">
      <c r="A3247" s="5"/>
    </row>
    <row r="3248" spans="1:1">
      <c r="A3248" s="5"/>
    </row>
    <row r="3249" spans="1:1">
      <c r="A3249" s="5"/>
    </row>
    <row r="3250" spans="1:1">
      <c r="A3250" s="5"/>
    </row>
    <row r="3251" spans="1:1">
      <c r="A3251" s="5"/>
    </row>
    <row r="3252" spans="1:1">
      <c r="A3252" s="5"/>
    </row>
    <row r="3253" spans="1:1">
      <c r="A3253" s="5"/>
    </row>
    <row r="3254" spans="1:1">
      <c r="A3254" s="5"/>
    </row>
    <row r="3255" spans="1:1">
      <c r="A3255" s="5"/>
    </row>
    <row r="3256" spans="1:1">
      <c r="A3256" s="5"/>
    </row>
    <row r="3257" spans="1:1">
      <c r="A3257" s="5"/>
    </row>
    <row r="3258" spans="1:1">
      <c r="A3258" s="5"/>
    </row>
    <row r="3259" spans="1:1">
      <c r="A3259" s="5"/>
    </row>
    <row r="3260" spans="1:1">
      <c r="A3260" s="5"/>
    </row>
    <row r="3261" spans="1:1">
      <c r="A3261" s="5"/>
    </row>
    <row r="3262" spans="1:1">
      <c r="A3262" s="5"/>
    </row>
    <row r="3263" spans="1:1">
      <c r="A3263" s="5"/>
    </row>
    <row r="3264" spans="1:1">
      <c r="A3264" s="5"/>
    </row>
    <row r="3265" spans="1:1">
      <c r="A3265" s="5"/>
    </row>
    <row r="3266" spans="1:1">
      <c r="A3266" s="5"/>
    </row>
    <row r="3267" spans="1:1">
      <c r="A3267" s="5"/>
    </row>
    <row r="3268" spans="1:1">
      <c r="A3268" s="5"/>
    </row>
    <row r="3269" spans="1:1">
      <c r="A3269" s="5"/>
    </row>
    <row r="3270" spans="1:1">
      <c r="A3270" s="5"/>
    </row>
    <row r="3271" spans="1:1">
      <c r="A3271" s="5"/>
    </row>
    <row r="3272" spans="1:1">
      <c r="A3272" s="5"/>
    </row>
    <row r="3273" spans="1:1">
      <c r="A3273" s="5"/>
    </row>
    <row r="3274" spans="1:1">
      <c r="A3274" s="5"/>
    </row>
    <row r="3275" spans="1:1">
      <c r="A3275" s="5"/>
    </row>
    <row r="3276" spans="1:1">
      <c r="A3276" s="5"/>
    </row>
    <row r="3277" spans="1:1">
      <c r="A3277" s="5"/>
    </row>
    <row r="3278" spans="1:1">
      <c r="A3278" s="5"/>
    </row>
    <row r="3279" spans="1:1">
      <c r="A3279" s="5"/>
    </row>
    <row r="3280" spans="1:1">
      <c r="A3280" s="5"/>
    </row>
    <row r="3281" spans="1:1">
      <c r="A3281" s="5"/>
    </row>
    <row r="3282" spans="1:1">
      <c r="A3282" s="5"/>
    </row>
    <row r="3283" spans="1:1">
      <c r="A3283" s="5"/>
    </row>
    <row r="3284" spans="1:1">
      <c r="A3284" s="5"/>
    </row>
    <row r="3285" spans="1:1">
      <c r="A3285" s="5"/>
    </row>
    <row r="3286" spans="1:1">
      <c r="A3286" s="5"/>
    </row>
    <row r="3287" spans="1:1">
      <c r="A3287" s="5"/>
    </row>
    <row r="3288" spans="1:1">
      <c r="A3288" s="5"/>
    </row>
    <row r="3289" spans="1:1">
      <c r="A3289" s="5"/>
    </row>
    <row r="3290" spans="1:1">
      <c r="A3290" s="5"/>
    </row>
    <row r="3291" spans="1:1">
      <c r="A3291" s="5"/>
    </row>
    <row r="3292" spans="1:1">
      <c r="A3292" s="5"/>
    </row>
    <row r="3293" spans="1:1">
      <c r="A3293" s="5"/>
    </row>
    <row r="3294" spans="1:1">
      <c r="A3294" s="5"/>
    </row>
    <row r="3295" spans="1:1">
      <c r="A3295" s="5"/>
    </row>
    <row r="3296" spans="1:1">
      <c r="A3296" s="5"/>
    </row>
    <row r="3297" spans="1:1">
      <c r="A3297" s="5"/>
    </row>
    <row r="3298" spans="1:1">
      <c r="A3298" s="5"/>
    </row>
    <row r="3299" spans="1:1">
      <c r="A3299" s="5"/>
    </row>
    <row r="3300" spans="1:1">
      <c r="A3300" s="5"/>
    </row>
    <row r="3301" spans="1:1">
      <c r="A3301" s="5"/>
    </row>
    <row r="3302" spans="1:1">
      <c r="A3302" s="5"/>
    </row>
    <row r="3303" spans="1:1">
      <c r="A3303" s="5"/>
    </row>
    <row r="3304" spans="1:1">
      <c r="A3304" s="5"/>
    </row>
    <row r="3305" spans="1:1">
      <c r="A3305" s="5"/>
    </row>
    <row r="3306" spans="1:1">
      <c r="A3306" s="5"/>
    </row>
    <row r="3307" spans="1:1">
      <c r="A3307" s="5"/>
    </row>
    <row r="3308" spans="1:1">
      <c r="A3308" s="5"/>
    </row>
    <row r="3309" spans="1:1">
      <c r="A3309" s="5"/>
    </row>
    <row r="3310" spans="1:1">
      <c r="A3310" s="5"/>
    </row>
    <row r="3311" spans="1:1">
      <c r="A3311" s="5"/>
    </row>
    <row r="3312" spans="1:1">
      <c r="A3312" s="5"/>
    </row>
    <row r="3313" spans="1:1">
      <c r="A3313" s="5"/>
    </row>
    <row r="3314" spans="1:1">
      <c r="A3314" s="5"/>
    </row>
    <row r="3315" spans="1:1">
      <c r="A3315" s="5"/>
    </row>
    <row r="3316" spans="1:1">
      <c r="A3316" s="5"/>
    </row>
    <row r="3317" spans="1:1">
      <c r="A3317" s="5"/>
    </row>
    <row r="3318" spans="1:1">
      <c r="A3318" s="5"/>
    </row>
    <row r="3319" spans="1:1">
      <c r="A3319" s="5"/>
    </row>
    <row r="3320" spans="1:1">
      <c r="A3320" s="5"/>
    </row>
    <row r="3321" spans="1:1">
      <c r="A3321" s="5"/>
    </row>
    <row r="3322" spans="1:1">
      <c r="A3322" s="5"/>
    </row>
    <row r="3323" spans="1:1">
      <c r="A3323" s="5"/>
    </row>
    <row r="3324" spans="1:1">
      <c r="A3324" s="5"/>
    </row>
    <row r="3325" spans="1:1">
      <c r="A3325" s="5"/>
    </row>
    <row r="3326" spans="1:1">
      <c r="A3326" s="5"/>
    </row>
    <row r="3327" spans="1:1">
      <c r="A3327" s="5"/>
    </row>
    <row r="3328" spans="1:1">
      <c r="A3328" s="5"/>
    </row>
    <row r="3329" spans="1:1">
      <c r="A3329" s="5"/>
    </row>
    <row r="3330" spans="1:1">
      <c r="A3330" s="5"/>
    </row>
    <row r="3331" spans="1:1">
      <c r="A3331" s="5"/>
    </row>
    <row r="3332" spans="1:1">
      <c r="A3332" s="5"/>
    </row>
    <row r="3333" spans="1:1">
      <c r="A3333" s="5"/>
    </row>
    <row r="3334" spans="1:1">
      <c r="A3334" s="5"/>
    </row>
    <row r="3335" spans="1:1">
      <c r="A3335" s="5"/>
    </row>
    <row r="3336" spans="1:1">
      <c r="A3336" s="5"/>
    </row>
    <row r="3337" spans="1:1">
      <c r="A3337" s="5"/>
    </row>
    <row r="3338" spans="1:1">
      <c r="A3338" s="5"/>
    </row>
    <row r="3339" spans="1:1">
      <c r="A3339" s="5"/>
    </row>
    <row r="3340" spans="1:1">
      <c r="A3340" s="5"/>
    </row>
    <row r="3341" spans="1:1">
      <c r="A3341" s="5"/>
    </row>
    <row r="3342" spans="1:1">
      <c r="A3342" s="5"/>
    </row>
    <row r="3343" spans="1:1">
      <c r="A3343" s="5"/>
    </row>
    <row r="3344" spans="1:1">
      <c r="A3344" s="5"/>
    </row>
    <row r="3345" spans="1:1">
      <c r="A3345" s="5"/>
    </row>
    <row r="3346" spans="1:1">
      <c r="A3346" s="5"/>
    </row>
    <row r="3347" spans="1:1">
      <c r="A3347" s="5"/>
    </row>
    <row r="3348" spans="1:1">
      <c r="A3348" s="5"/>
    </row>
    <row r="3349" spans="1:1">
      <c r="A3349" s="5"/>
    </row>
    <row r="3350" spans="1:1">
      <c r="A3350" s="5"/>
    </row>
    <row r="3351" spans="1:1">
      <c r="A3351" s="5"/>
    </row>
    <row r="3352" spans="1:1">
      <c r="A3352" s="5"/>
    </row>
    <row r="3353" spans="1:1">
      <c r="A3353" s="5"/>
    </row>
    <row r="3354" spans="1:1">
      <c r="A3354" s="5"/>
    </row>
    <row r="3355" spans="1:1">
      <c r="A3355" s="5"/>
    </row>
    <row r="3356" spans="1:1">
      <c r="A3356" s="5"/>
    </row>
    <row r="3357" spans="1:1">
      <c r="A3357" s="5"/>
    </row>
    <row r="3358" spans="1:1">
      <c r="A3358" s="5"/>
    </row>
    <row r="3359" spans="1:1">
      <c r="A3359" s="5"/>
    </row>
    <row r="3360" spans="1:1">
      <c r="A3360" s="5"/>
    </row>
    <row r="3361" spans="1:1">
      <c r="A3361" s="5"/>
    </row>
    <row r="3362" spans="1:1">
      <c r="A3362" s="5"/>
    </row>
    <row r="3363" spans="1:1">
      <c r="A3363" s="5"/>
    </row>
    <row r="3364" spans="1:1">
      <c r="A3364" s="5"/>
    </row>
    <row r="3365" spans="1:1">
      <c r="A3365" s="5"/>
    </row>
    <row r="3366" spans="1:1">
      <c r="A3366" s="5"/>
    </row>
    <row r="3367" spans="1:1">
      <c r="A3367" s="5"/>
    </row>
    <row r="3368" spans="1:1">
      <c r="A3368" s="5"/>
    </row>
    <row r="3369" spans="1:1">
      <c r="A3369" s="5"/>
    </row>
    <row r="3370" spans="1:1">
      <c r="A3370" s="5"/>
    </row>
    <row r="3371" spans="1:1">
      <c r="A3371" s="5"/>
    </row>
    <row r="3372" spans="1:1">
      <c r="A3372" s="5"/>
    </row>
    <row r="3373" spans="1:1">
      <c r="A3373" s="5"/>
    </row>
    <row r="3374" spans="1:1">
      <c r="A3374" s="5"/>
    </row>
    <row r="3375" spans="1:1">
      <c r="A3375" s="5"/>
    </row>
    <row r="3376" spans="1:1">
      <c r="A3376" s="5"/>
    </row>
    <row r="3377" spans="1:1">
      <c r="A3377" s="5"/>
    </row>
    <row r="3378" spans="1:1">
      <c r="A3378" s="5"/>
    </row>
    <row r="3379" spans="1:1">
      <c r="A3379" s="5"/>
    </row>
    <row r="3380" spans="1:1">
      <c r="A3380" s="5"/>
    </row>
    <row r="3381" spans="1:1">
      <c r="A3381" s="5"/>
    </row>
    <row r="3382" spans="1:1">
      <c r="A3382" s="5"/>
    </row>
    <row r="3383" spans="1:1">
      <c r="A3383" s="5"/>
    </row>
    <row r="3384" spans="1:1">
      <c r="A3384" s="5"/>
    </row>
    <row r="3385" spans="1:1">
      <c r="A3385" s="5"/>
    </row>
    <row r="3386" spans="1:1">
      <c r="A3386" s="5"/>
    </row>
    <row r="3387" spans="1:1">
      <c r="A3387" s="5"/>
    </row>
    <row r="3388" spans="1:1">
      <c r="A3388" s="5"/>
    </row>
    <row r="3389" spans="1:1">
      <c r="A3389" s="5"/>
    </row>
    <row r="3390" spans="1:1">
      <c r="A3390" s="5"/>
    </row>
    <row r="3391" spans="1:1">
      <c r="A3391" s="5"/>
    </row>
    <row r="3392" spans="1:1">
      <c r="A3392" s="5"/>
    </row>
    <row r="3393" spans="1:1">
      <c r="A3393" s="5"/>
    </row>
    <row r="3394" spans="1:1">
      <c r="A3394" s="5"/>
    </row>
    <row r="3395" spans="1:1">
      <c r="A3395" s="5"/>
    </row>
    <row r="3396" spans="1:1">
      <c r="A3396" s="5"/>
    </row>
    <row r="3397" spans="1:1">
      <c r="A3397" s="5"/>
    </row>
    <row r="3398" spans="1:1">
      <c r="A3398" s="5"/>
    </row>
    <row r="3399" spans="1:1">
      <c r="A3399" s="5"/>
    </row>
    <row r="3400" spans="1:1">
      <c r="A3400" s="5"/>
    </row>
    <row r="3401" spans="1:1">
      <c r="A3401" s="5"/>
    </row>
    <row r="3402" spans="1:1">
      <c r="A3402" s="5"/>
    </row>
    <row r="3403" spans="1:1">
      <c r="A3403" s="5"/>
    </row>
    <row r="3404" spans="1:1">
      <c r="A3404" s="5"/>
    </row>
    <row r="3405" spans="1:1">
      <c r="A3405" s="5"/>
    </row>
    <row r="3406" spans="1:1">
      <c r="A3406" s="5"/>
    </row>
    <row r="3407" spans="1:1">
      <c r="A3407" s="5"/>
    </row>
    <row r="3408" spans="1:1">
      <c r="A3408" s="5"/>
    </row>
    <row r="3409" spans="1:1">
      <c r="A3409" s="5"/>
    </row>
    <row r="3410" spans="1:1">
      <c r="A3410" s="5"/>
    </row>
    <row r="3411" spans="1:1">
      <c r="A3411" s="5"/>
    </row>
    <row r="3412" spans="1:1">
      <c r="A3412" s="5"/>
    </row>
    <row r="3413" spans="1:1">
      <c r="A3413" s="5"/>
    </row>
    <row r="3414" spans="1:1">
      <c r="A3414" s="5"/>
    </row>
    <row r="3415" spans="1:1">
      <c r="A3415" s="5"/>
    </row>
    <row r="3416" spans="1:1">
      <c r="A3416" s="5"/>
    </row>
    <row r="3417" spans="1:1">
      <c r="A3417" s="5"/>
    </row>
    <row r="3418" spans="1:1">
      <c r="A3418" s="5"/>
    </row>
    <row r="3419" spans="1:1">
      <c r="A3419" s="5"/>
    </row>
    <row r="3420" spans="1:1">
      <c r="A3420" s="5"/>
    </row>
    <row r="3421" spans="1:1">
      <c r="A3421" s="5"/>
    </row>
    <row r="3422" spans="1:1">
      <c r="A3422" s="5"/>
    </row>
    <row r="3423" spans="1:1">
      <c r="A3423" s="5"/>
    </row>
    <row r="3424" spans="1:1">
      <c r="A3424" s="5"/>
    </row>
    <row r="3425" spans="1:1">
      <c r="A3425" s="5"/>
    </row>
    <row r="3426" spans="1:1">
      <c r="A3426" s="5"/>
    </row>
    <row r="3427" spans="1:1">
      <c r="A3427" s="5"/>
    </row>
    <row r="3428" spans="1:1">
      <c r="A3428" s="5"/>
    </row>
    <row r="3429" spans="1:1">
      <c r="A3429" s="5"/>
    </row>
    <row r="3430" spans="1:1">
      <c r="A3430" s="5"/>
    </row>
    <row r="3431" spans="1:1">
      <c r="A3431" s="5"/>
    </row>
    <row r="3432" spans="1:1">
      <c r="A3432" s="5"/>
    </row>
    <row r="3433" spans="1:1">
      <c r="A3433" s="5"/>
    </row>
    <row r="3434" spans="1:1">
      <c r="A3434" s="5"/>
    </row>
    <row r="3435" spans="1:1">
      <c r="A3435" s="5"/>
    </row>
    <row r="3436" spans="1:1">
      <c r="A3436" s="5"/>
    </row>
    <row r="3437" spans="1:1">
      <c r="A3437" s="5"/>
    </row>
    <row r="3438" spans="1:1">
      <c r="A3438" s="5"/>
    </row>
    <row r="3439" spans="1:1">
      <c r="A3439" s="5"/>
    </row>
    <row r="3440" spans="1:1">
      <c r="A3440" s="5"/>
    </row>
    <row r="3441" spans="1:1">
      <c r="A3441" s="5"/>
    </row>
    <row r="3442" spans="1:1">
      <c r="A3442" s="5"/>
    </row>
    <row r="3443" spans="1:1">
      <c r="A3443" s="5"/>
    </row>
    <row r="3444" spans="1:1">
      <c r="A3444" s="5"/>
    </row>
    <row r="3445" spans="1:1">
      <c r="A3445" s="5"/>
    </row>
    <row r="3446" spans="1:1">
      <c r="A3446" s="5"/>
    </row>
    <row r="3447" spans="1:1">
      <c r="A3447" s="5"/>
    </row>
    <row r="3448" spans="1:1">
      <c r="A3448" s="5"/>
    </row>
    <row r="3449" spans="1:1">
      <c r="A3449" s="5"/>
    </row>
    <row r="3450" spans="1:1">
      <c r="A3450" s="5"/>
    </row>
    <row r="3451" spans="1:1">
      <c r="A3451" s="5"/>
    </row>
    <row r="3452" spans="1:1">
      <c r="A3452" s="5"/>
    </row>
    <row r="3453" spans="1:1">
      <c r="A3453" s="5"/>
    </row>
    <row r="3454" spans="1:1">
      <c r="A3454" s="5"/>
    </row>
    <row r="3455" spans="1:1">
      <c r="A3455" s="5"/>
    </row>
    <row r="3456" spans="1:1">
      <c r="A3456" s="5"/>
    </row>
    <row r="3457" spans="1:1">
      <c r="A3457" s="5"/>
    </row>
    <row r="3458" spans="1:1">
      <c r="A3458" s="5"/>
    </row>
    <row r="3459" spans="1:1">
      <c r="A3459" s="5"/>
    </row>
    <row r="3460" spans="1:1">
      <c r="A3460" s="5"/>
    </row>
    <row r="3461" spans="1:1">
      <c r="A3461" s="5"/>
    </row>
    <row r="3462" spans="1:1">
      <c r="A3462" s="5"/>
    </row>
    <row r="3463" spans="1:1">
      <c r="A3463" s="5"/>
    </row>
    <row r="3464" spans="1:1">
      <c r="A3464" s="5"/>
    </row>
    <row r="3465" spans="1:1">
      <c r="A3465" s="5"/>
    </row>
    <row r="3466" spans="1:1">
      <c r="A3466" s="5"/>
    </row>
    <row r="3467" spans="1:1">
      <c r="A3467" s="5"/>
    </row>
    <row r="3468" spans="1:1">
      <c r="A3468" s="5"/>
    </row>
    <row r="3469" spans="1:1">
      <c r="A3469" s="5"/>
    </row>
    <row r="3470" spans="1:1">
      <c r="A3470" s="5"/>
    </row>
    <row r="3471" spans="1:1">
      <c r="A3471" s="5"/>
    </row>
    <row r="3472" spans="1:1">
      <c r="A3472" s="5"/>
    </row>
    <row r="3473" spans="1:1">
      <c r="A3473" s="5"/>
    </row>
    <row r="3474" spans="1:1">
      <c r="A3474" s="5"/>
    </row>
    <row r="3475" spans="1:1">
      <c r="A3475" s="5"/>
    </row>
    <row r="3476" spans="1:1">
      <c r="A3476" s="5"/>
    </row>
    <row r="3477" spans="1:1">
      <c r="A3477" s="5"/>
    </row>
    <row r="3478" spans="1:1">
      <c r="A3478" s="5"/>
    </row>
    <row r="3479" spans="1:1">
      <c r="A3479" s="5"/>
    </row>
    <row r="3480" spans="1:1">
      <c r="A3480" s="5"/>
    </row>
    <row r="3481" spans="1:1">
      <c r="A3481" s="5"/>
    </row>
    <row r="3482" spans="1:1">
      <c r="A3482" s="5"/>
    </row>
    <row r="3483" spans="1:1">
      <c r="A3483" s="5"/>
    </row>
    <row r="3484" spans="1:1">
      <c r="A3484" s="5"/>
    </row>
    <row r="3485" spans="1:1">
      <c r="A3485" s="5"/>
    </row>
    <row r="3486" spans="1:1">
      <c r="A3486" s="5"/>
    </row>
    <row r="3487" spans="1:1">
      <c r="A3487" s="5"/>
    </row>
    <row r="3488" spans="1:1">
      <c r="A3488" s="5"/>
    </row>
    <row r="3489" spans="1:1">
      <c r="A3489" s="5"/>
    </row>
    <row r="3490" spans="1:1">
      <c r="A3490" s="5"/>
    </row>
    <row r="3491" spans="1:1">
      <c r="A3491" s="5"/>
    </row>
    <row r="3492" spans="1:1">
      <c r="A3492" s="5"/>
    </row>
    <row r="3493" spans="1:1">
      <c r="A3493" s="5"/>
    </row>
    <row r="3494" spans="1:1">
      <c r="A3494" s="5"/>
    </row>
    <row r="3495" spans="1:1">
      <c r="A3495" s="5"/>
    </row>
    <row r="3496" spans="1:1">
      <c r="A3496" s="5"/>
    </row>
    <row r="3497" spans="1:1">
      <c r="A3497" s="5"/>
    </row>
    <row r="3498" spans="1:1">
      <c r="A3498" s="5"/>
    </row>
    <row r="3499" spans="1:1">
      <c r="A3499" s="5"/>
    </row>
    <row r="3500" spans="1:1">
      <c r="A3500" s="5"/>
    </row>
    <row r="3501" spans="1:1">
      <c r="A3501" s="5"/>
    </row>
    <row r="3502" spans="1:1">
      <c r="A3502" s="5"/>
    </row>
    <row r="3503" spans="1:1">
      <c r="A3503" s="5"/>
    </row>
    <row r="3504" spans="1:1">
      <c r="A3504" s="5"/>
    </row>
    <row r="3505" spans="1:1">
      <c r="A3505" s="5"/>
    </row>
    <row r="3506" spans="1:1">
      <c r="A3506" s="5"/>
    </row>
    <row r="3507" spans="1:1">
      <c r="A3507" s="5"/>
    </row>
    <row r="3508" spans="1:1">
      <c r="A3508" s="5"/>
    </row>
    <row r="3509" spans="1:1">
      <c r="A3509" s="5"/>
    </row>
    <row r="3510" spans="1:1">
      <c r="A3510" s="5"/>
    </row>
    <row r="3511" spans="1:1">
      <c r="A3511" s="5"/>
    </row>
    <row r="3512" spans="1:1">
      <c r="A3512" s="5"/>
    </row>
    <row r="3513" spans="1:1">
      <c r="A3513" s="5"/>
    </row>
    <row r="3514" spans="1:1">
      <c r="A3514" s="5"/>
    </row>
    <row r="3515" spans="1:1">
      <c r="A3515" s="5"/>
    </row>
    <row r="3516" spans="1:1">
      <c r="A3516" s="5"/>
    </row>
    <row r="3517" spans="1:1">
      <c r="A3517" s="5"/>
    </row>
    <row r="3518" spans="1:1">
      <c r="A3518" s="5"/>
    </row>
    <row r="3519" spans="1:1">
      <c r="A3519" s="5"/>
    </row>
    <row r="3520" spans="1:1">
      <c r="A3520" s="5"/>
    </row>
    <row r="3521" spans="1:1">
      <c r="A3521" s="5"/>
    </row>
    <row r="3522" spans="1:1">
      <c r="A3522" s="5"/>
    </row>
    <row r="3523" spans="1:1">
      <c r="A3523" s="5"/>
    </row>
    <row r="3524" spans="1:1">
      <c r="A3524" s="5"/>
    </row>
    <row r="3525" spans="1:1">
      <c r="A3525" s="5"/>
    </row>
    <row r="3526" spans="1:1">
      <c r="A3526" s="5"/>
    </row>
    <row r="3527" spans="1:1">
      <c r="A3527" s="5"/>
    </row>
    <row r="3528" spans="1:1">
      <c r="A3528" s="5"/>
    </row>
    <row r="3529" spans="1:1">
      <c r="A3529" s="5"/>
    </row>
    <row r="3530" spans="1:1">
      <c r="A3530" s="5"/>
    </row>
    <row r="3531" spans="1:1">
      <c r="A3531" s="5"/>
    </row>
    <row r="3532" spans="1:1">
      <c r="A3532" s="5"/>
    </row>
    <row r="3533" spans="1:1">
      <c r="A3533" s="5"/>
    </row>
    <row r="3534" spans="1:1">
      <c r="A3534" s="5"/>
    </row>
    <row r="3535" spans="1:1">
      <c r="A3535" s="5"/>
    </row>
    <row r="3536" spans="1:1">
      <c r="A3536" s="5"/>
    </row>
    <row r="3537" spans="1:1">
      <c r="A3537" s="5"/>
    </row>
    <row r="3538" spans="1:1">
      <c r="A3538" s="5"/>
    </row>
    <row r="3539" spans="1:1">
      <c r="A3539" s="5"/>
    </row>
    <row r="3540" spans="1:1">
      <c r="A3540" s="5"/>
    </row>
    <row r="3541" spans="1:1">
      <c r="A3541" s="5"/>
    </row>
    <row r="3542" spans="1:1">
      <c r="A3542" s="5"/>
    </row>
    <row r="3543" spans="1:1">
      <c r="A3543" s="5"/>
    </row>
    <row r="3544" spans="1:1">
      <c r="A3544" s="5"/>
    </row>
    <row r="3545" spans="1:1">
      <c r="A3545" s="5"/>
    </row>
    <row r="3546" spans="1:1">
      <c r="A3546" s="5"/>
    </row>
    <row r="3547" spans="1:1">
      <c r="A3547" s="5"/>
    </row>
    <row r="3548" spans="1:1">
      <c r="A3548" s="5"/>
    </row>
    <row r="3549" spans="1:1">
      <c r="A3549" s="5"/>
    </row>
    <row r="3550" spans="1:1">
      <c r="A3550" s="5"/>
    </row>
    <row r="3551" spans="1:1">
      <c r="A3551" s="5"/>
    </row>
    <row r="3552" spans="1:1">
      <c r="A3552" s="5"/>
    </row>
    <row r="3553" spans="1:1">
      <c r="A3553" s="5"/>
    </row>
    <row r="3554" spans="1:1">
      <c r="A3554" s="5"/>
    </row>
    <row r="3555" spans="1:1">
      <c r="A3555" s="5"/>
    </row>
    <row r="3556" spans="1:1">
      <c r="A3556" s="5"/>
    </row>
    <row r="3557" spans="1:1">
      <c r="A3557" s="5"/>
    </row>
    <row r="3558" spans="1:1">
      <c r="A3558" s="5"/>
    </row>
    <row r="3559" spans="1:1">
      <c r="A3559" s="5"/>
    </row>
    <row r="3560" spans="1:1">
      <c r="A3560" s="5"/>
    </row>
    <row r="3561" spans="1:1">
      <c r="A3561" s="5"/>
    </row>
    <row r="3562" spans="1:1">
      <c r="A3562" s="5"/>
    </row>
    <row r="3563" spans="1:1">
      <c r="A3563" s="5"/>
    </row>
    <row r="3564" spans="1:1">
      <c r="A3564" s="5"/>
    </row>
    <row r="3565" spans="1:1">
      <c r="A3565" s="5"/>
    </row>
    <row r="3566" spans="1:1">
      <c r="A3566" s="5"/>
    </row>
    <row r="3567" spans="1:1">
      <c r="A3567" s="5"/>
    </row>
    <row r="3568" spans="1:1">
      <c r="A3568" s="5"/>
    </row>
    <row r="3569" spans="1:1">
      <c r="A3569" s="5"/>
    </row>
    <row r="3570" spans="1:1">
      <c r="A3570" s="5"/>
    </row>
    <row r="3571" spans="1:1">
      <c r="A3571" s="5"/>
    </row>
    <row r="3572" spans="1:1">
      <c r="A3572" s="5"/>
    </row>
    <row r="3573" spans="1:1">
      <c r="A3573" s="5"/>
    </row>
    <row r="3574" spans="1:1">
      <c r="A3574" s="5"/>
    </row>
    <row r="3575" spans="1:1">
      <c r="A3575" s="5"/>
    </row>
    <row r="3576" spans="1:1">
      <c r="A3576" s="5"/>
    </row>
    <row r="3577" spans="1:1">
      <c r="A3577" s="5"/>
    </row>
    <row r="3578" spans="1:1">
      <c r="A3578" s="5"/>
    </row>
    <row r="3579" spans="1:1">
      <c r="A3579" s="5"/>
    </row>
    <row r="3580" spans="1:1">
      <c r="A3580" s="5"/>
    </row>
    <row r="3581" spans="1:1">
      <c r="A3581" s="5"/>
    </row>
    <row r="3582" spans="1:1">
      <c r="A3582" s="5"/>
    </row>
    <row r="3583" spans="1:1">
      <c r="A3583" s="5"/>
    </row>
    <row r="3584" spans="1:1">
      <c r="A3584" s="5"/>
    </row>
    <row r="3585" spans="1:1">
      <c r="A3585" s="5"/>
    </row>
    <row r="3586" spans="1:1">
      <c r="A3586" s="5"/>
    </row>
    <row r="3587" spans="1:1">
      <c r="A3587" s="5"/>
    </row>
    <row r="3588" spans="1:1">
      <c r="A3588" s="5"/>
    </row>
    <row r="3589" spans="1:1">
      <c r="A3589" s="5"/>
    </row>
    <row r="3590" spans="1:1">
      <c r="A3590" s="5"/>
    </row>
    <row r="3591" spans="1:1">
      <c r="A3591" s="5"/>
    </row>
    <row r="3592" spans="1:1">
      <c r="A3592" s="5"/>
    </row>
    <row r="3593" spans="1:1">
      <c r="A3593" s="5"/>
    </row>
    <row r="3594" spans="1:1">
      <c r="A3594" s="5"/>
    </row>
    <row r="3595" spans="1:1">
      <c r="A3595" s="5"/>
    </row>
    <row r="3596" spans="1:1">
      <c r="A3596" s="5"/>
    </row>
    <row r="3597" spans="1:1">
      <c r="A3597" s="5"/>
    </row>
    <row r="3598" spans="1:1">
      <c r="A3598" s="5"/>
    </row>
    <row r="3599" spans="1:1">
      <c r="A3599" s="5"/>
    </row>
    <row r="3600" spans="1:1">
      <c r="A3600" s="5"/>
    </row>
    <row r="3601" spans="1:1">
      <c r="A3601" s="5"/>
    </row>
    <row r="3602" spans="1:1">
      <c r="A3602" s="5"/>
    </row>
    <row r="3603" spans="1:1">
      <c r="A3603" s="5"/>
    </row>
    <row r="3604" spans="1:1">
      <c r="A3604" s="5"/>
    </row>
    <row r="3605" spans="1:1">
      <c r="A3605" s="5"/>
    </row>
    <row r="3606" spans="1:1">
      <c r="A3606" s="5"/>
    </row>
    <row r="3607" spans="1:1">
      <c r="A3607" s="5"/>
    </row>
    <row r="3608" spans="1:1">
      <c r="A3608" s="5"/>
    </row>
    <row r="3609" spans="1:1">
      <c r="A3609" s="5"/>
    </row>
    <row r="3610" spans="1:1">
      <c r="A3610" s="5"/>
    </row>
    <row r="3611" spans="1:1">
      <c r="A3611" s="5"/>
    </row>
    <row r="3612" spans="1:1">
      <c r="A3612" s="5"/>
    </row>
    <row r="3613" spans="1:1">
      <c r="A3613" s="5"/>
    </row>
    <row r="3614" spans="1:1">
      <c r="A3614" s="5"/>
    </row>
    <row r="3615" spans="1:1">
      <c r="A3615" s="5"/>
    </row>
    <row r="3616" spans="1:1">
      <c r="A3616" s="5"/>
    </row>
    <row r="3617" spans="1:1">
      <c r="A3617" s="5"/>
    </row>
    <row r="3618" spans="1:1">
      <c r="A3618" s="5"/>
    </row>
    <row r="3619" spans="1:1">
      <c r="A3619" s="5"/>
    </row>
    <row r="3620" spans="1:1">
      <c r="A3620" s="5"/>
    </row>
    <row r="3621" spans="1:1">
      <c r="A3621" s="5"/>
    </row>
    <row r="3622" spans="1:1">
      <c r="A3622" s="5"/>
    </row>
    <row r="3623" spans="1:1">
      <c r="A3623" s="5"/>
    </row>
    <row r="3624" spans="1:1">
      <c r="A3624" s="5"/>
    </row>
    <row r="3625" spans="1:1">
      <c r="A3625" s="5"/>
    </row>
    <row r="3626" spans="1:1">
      <c r="A3626" s="5"/>
    </row>
    <row r="3627" spans="1:1">
      <c r="A3627" s="5"/>
    </row>
    <row r="3628" spans="1:1">
      <c r="A3628" s="5"/>
    </row>
    <row r="3629" spans="1:1">
      <c r="A3629" s="5"/>
    </row>
    <row r="3630" spans="1:1">
      <c r="A3630" s="5"/>
    </row>
    <row r="3631" spans="1:1">
      <c r="A3631" s="5"/>
    </row>
    <row r="3632" spans="1:1">
      <c r="A3632" s="5"/>
    </row>
    <row r="3633" spans="1:1">
      <c r="A3633" s="5"/>
    </row>
    <row r="3634" spans="1:1">
      <c r="A3634" s="5"/>
    </row>
    <row r="3635" spans="1:1">
      <c r="A3635" s="5"/>
    </row>
    <row r="3636" spans="1:1">
      <c r="A3636" s="5"/>
    </row>
    <row r="3637" spans="1:1">
      <c r="A3637" s="5"/>
    </row>
    <row r="3638" spans="1:1">
      <c r="A3638" s="5"/>
    </row>
    <row r="3639" spans="1:1">
      <c r="A3639" s="5"/>
    </row>
    <row r="3640" spans="1:1">
      <c r="A3640" s="5"/>
    </row>
    <row r="3641" spans="1:1">
      <c r="A3641" s="5"/>
    </row>
    <row r="3642" spans="1:1">
      <c r="A3642" s="5"/>
    </row>
    <row r="3643" spans="1:1">
      <c r="A3643" s="5"/>
    </row>
    <row r="3644" spans="1:1">
      <c r="A3644" s="5"/>
    </row>
    <row r="3645" spans="1:1">
      <c r="A3645" s="5"/>
    </row>
    <row r="3646" spans="1:1">
      <c r="A3646" s="5"/>
    </row>
    <row r="3647" spans="1:1">
      <c r="A3647" s="5"/>
    </row>
    <row r="3648" spans="1:1">
      <c r="A3648" s="5"/>
    </row>
    <row r="3649" spans="1:1">
      <c r="A3649" s="5"/>
    </row>
    <row r="3650" spans="1:1">
      <c r="A3650" s="5"/>
    </row>
    <row r="3651" spans="1:1">
      <c r="A3651" s="5"/>
    </row>
    <row r="3652" spans="1:1">
      <c r="A3652" s="5"/>
    </row>
    <row r="3653" spans="1:1">
      <c r="A3653" s="5"/>
    </row>
    <row r="3654" spans="1:1">
      <c r="A3654" s="5"/>
    </row>
    <row r="3655" spans="1:1">
      <c r="A3655" s="5"/>
    </row>
    <row r="3656" spans="1:1">
      <c r="A3656" s="5"/>
    </row>
    <row r="3657" spans="1:1">
      <c r="A3657" s="5"/>
    </row>
    <row r="3658" spans="1:1">
      <c r="A3658" s="5"/>
    </row>
    <row r="3659" spans="1:1">
      <c r="A3659" s="5"/>
    </row>
    <row r="3660" spans="1:1">
      <c r="A3660" s="5"/>
    </row>
    <row r="3661" spans="1:1">
      <c r="A3661" s="5"/>
    </row>
    <row r="3662" spans="1:1">
      <c r="A3662" s="5"/>
    </row>
    <row r="3663" spans="1:1">
      <c r="A3663" s="5"/>
    </row>
    <row r="3664" spans="1:1">
      <c r="A3664" s="5"/>
    </row>
    <row r="3665" spans="1:1">
      <c r="A3665" s="5"/>
    </row>
    <row r="3666" spans="1:1">
      <c r="A3666" s="5"/>
    </row>
    <row r="3667" spans="1:1">
      <c r="A3667" s="5"/>
    </row>
    <row r="3668" spans="1:1">
      <c r="A3668" s="5"/>
    </row>
    <row r="3669" spans="1:1">
      <c r="A3669" s="5"/>
    </row>
    <row r="3670" spans="1:1">
      <c r="A3670" s="5"/>
    </row>
    <row r="3671" spans="1:1">
      <c r="A3671" s="5"/>
    </row>
    <row r="3672" spans="1:1">
      <c r="A3672" s="5"/>
    </row>
    <row r="3673" spans="1:1">
      <c r="A3673" s="5"/>
    </row>
    <row r="3674" spans="1:1">
      <c r="A3674" s="5"/>
    </row>
    <row r="3675" spans="1:1">
      <c r="A3675" s="5"/>
    </row>
    <row r="3676" spans="1:1">
      <c r="A3676" s="5"/>
    </row>
    <row r="3677" spans="1:1">
      <c r="A3677" s="5"/>
    </row>
    <row r="3678" spans="1:1">
      <c r="A3678" s="5"/>
    </row>
    <row r="3679" spans="1:1">
      <c r="A3679" s="5"/>
    </row>
    <row r="3680" spans="1:1">
      <c r="A3680" s="5"/>
    </row>
    <row r="3681" spans="1:1">
      <c r="A3681" s="5"/>
    </row>
    <row r="3682" spans="1:1">
      <c r="A3682" s="5"/>
    </row>
    <row r="3683" spans="1:1">
      <c r="A3683" s="5"/>
    </row>
    <row r="3684" spans="1:1">
      <c r="A3684" s="5"/>
    </row>
    <row r="3685" spans="1:1">
      <c r="A3685" s="5"/>
    </row>
    <row r="3686" spans="1:1">
      <c r="A3686" s="5"/>
    </row>
    <row r="3687" spans="1:1">
      <c r="A3687" s="5"/>
    </row>
    <row r="3688" spans="1:1">
      <c r="A3688" s="5"/>
    </row>
    <row r="3689" spans="1:1">
      <c r="A3689" s="5"/>
    </row>
    <row r="3690" spans="1:1">
      <c r="A3690" s="5"/>
    </row>
    <row r="3691" spans="1:1">
      <c r="A3691" s="5"/>
    </row>
    <row r="3692" spans="1:1">
      <c r="A3692" s="5"/>
    </row>
    <row r="3693" spans="1:1">
      <c r="A3693" s="5"/>
    </row>
    <row r="3694" spans="1:1">
      <c r="A3694" s="5"/>
    </row>
    <row r="3695" spans="1:1">
      <c r="A3695" s="5"/>
    </row>
    <row r="3696" spans="1:1">
      <c r="A3696" s="5"/>
    </row>
    <row r="3697" spans="1:1">
      <c r="A3697" s="5"/>
    </row>
    <row r="3698" spans="1:1">
      <c r="A3698" s="5"/>
    </row>
    <row r="3699" spans="1:1">
      <c r="A3699" s="5"/>
    </row>
    <row r="3700" spans="1:1">
      <c r="A3700" s="5"/>
    </row>
    <row r="3701" spans="1:1">
      <c r="A3701" s="5"/>
    </row>
    <row r="3702" spans="1:1">
      <c r="A3702" s="5"/>
    </row>
    <row r="3703" spans="1:1">
      <c r="A3703" s="5"/>
    </row>
    <row r="3704" spans="1:1">
      <c r="A3704" s="5"/>
    </row>
    <row r="3705" spans="1:1">
      <c r="A3705" s="5"/>
    </row>
    <row r="3706" spans="1:1">
      <c r="A3706" s="5"/>
    </row>
    <row r="3707" spans="1:1">
      <c r="A3707" s="5"/>
    </row>
    <row r="3708" spans="1:1">
      <c r="A3708" s="5"/>
    </row>
    <row r="3709" spans="1:1">
      <c r="A3709" s="5"/>
    </row>
    <row r="3710" spans="1:1">
      <c r="A3710" s="5"/>
    </row>
    <row r="3711" spans="1:1">
      <c r="A3711" s="5"/>
    </row>
    <row r="3712" spans="1:1">
      <c r="A3712" s="5"/>
    </row>
    <row r="3713" spans="1:1">
      <c r="A3713" s="5"/>
    </row>
    <row r="3714" spans="1:1">
      <c r="A3714" s="5"/>
    </row>
    <row r="3715" spans="1:1">
      <c r="A3715" s="5"/>
    </row>
    <row r="3716" spans="1:1">
      <c r="A3716" s="5"/>
    </row>
    <row r="3717" spans="1:1">
      <c r="A3717" s="5"/>
    </row>
    <row r="3718" spans="1:1">
      <c r="A3718" s="5"/>
    </row>
    <row r="3719" spans="1:1">
      <c r="A3719" s="5"/>
    </row>
    <row r="3720" spans="1:1">
      <c r="A3720" s="5"/>
    </row>
    <row r="3721" spans="1:1">
      <c r="A3721" s="5"/>
    </row>
    <row r="3722" spans="1:1">
      <c r="A3722" s="5"/>
    </row>
    <row r="3723" spans="1:1">
      <c r="A3723" s="5"/>
    </row>
    <row r="3724" spans="1:1">
      <c r="A3724" s="5"/>
    </row>
    <row r="3725" spans="1:1">
      <c r="A3725" s="5"/>
    </row>
    <row r="3726" spans="1:1">
      <c r="A3726" s="5"/>
    </row>
    <row r="3727" spans="1:1">
      <c r="A3727" s="5"/>
    </row>
    <row r="3728" spans="1:1">
      <c r="A3728" s="5"/>
    </row>
    <row r="3729" spans="1:1">
      <c r="A3729" s="5"/>
    </row>
    <row r="3730" spans="1:1">
      <c r="A3730" s="5"/>
    </row>
    <row r="3731" spans="1:1">
      <c r="A3731" s="5"/>
    </row>
    <row r="3732" spans="1:1">
      <c r="A3732" s="5"/>
    </row>
    <row r="3733" spans="1:1">
      <c r="A3733" s="5"/>
    </row>
    <row r="3734" spans="1:1">
      <c r="A3734" s="5"/>
    </row>
    <row r="3735" spans="1:1">
      <c r="A3735" s="5"/>
    </row>
    <row r="3736" spans="1:1">
      <c r="A3736" s="5"/>
    </row>
    <row r="3737" spans="1:1">
      <c r="A3737" s="5"/>
    </row>
    <row r="3738" spans="1:1">
      <c r="A3738" s="5"/>
    </row>
    <row r="3739" spans="1:1">
      <c r="A3739" s="5"/>
    </row>
    <row r="3740" spans="1:1">
      <c r="A3740" s="5"/>
    </row>
    <row r="3741" spans="1:1">
      <c r="A3741" s="5"/>
    </row>
    <row r="3742" spans="1:1">
      <c r="A3742" s="5"/>
    </row>
    <row r="3743" spans="1:1">
      <c r="A3743" s="5"/>
    </row>
    <row r="3744" spans="1:1">
      <c r="A3744" s="5"/>
    </row>
    <row r="3745" spans="1:1">
      <c r="A3745" s="5"/>
    </row>
    <row r="3746" spans="1:1">
      <c r="A3746" s="5"/>
    </row>
    <row r="3747" spans="1:1">
      <c r="A3747" s="5"/>
    </row>
    <row r="3748" spans="1:1">
      <c r="A3748" s="5"/>
    </row>
    <row r="3749" spans="1:1">
      <c r="A3749" s="5"/>
    </row>
    <row r="3750" spans="1:1">
      <c r="A3750" s="5"/>
    </row>
    <row r="3751" spans="1:1">
      <c r="A3751" s="5"/>
    </row>
    <row r="3752" spans="1:1">
      <c r="A3752" s="5"/>
    </row>
    <row r="3753" spans="1:1">
      <c r="A3753" s="5"/>
    </row>
    <row r="3754" spans="1:1">
      <c r="A3754" s="5"/>
    </row>
    <row r="3755" spans="1:1">
      <c r="A3755" s="5"/>
    </row>
    <row r="3756" spans="1:1">
      <c r="A3756" s="5"/>
    </row>
    <row r="3757" spans="1:1">
      <c r="A3757" s="5"/>
    </row>
    <row r="3758" spans="1:1">
      <c r="A3758" s="5"/>
    </row>
    <row r="3759" spans="1:1">
      <c r="A3759" s="5"/>
    </row>
    <row r="3760" spans="1:1">
      <c r="A3760" s="5"/>
    </row>
    <row r="3761" spans="1:1">
      <c r="A3761" s="5"/>
    </row>
    <row r="3762" spans="1:1">
      <c r="A3762" s="5"/>
    </row>
    <row r="3763" spans="1:1">
      <c r="A3763" s="5"/>
    </row>
    <row r="3764" spans="1:1">
      <c r="A3764" s="5"/>
    </row>
    <row r="3765" spans="1:1">
      <c r="A3765" s="5"/>
    </row>
    <row r="3766" spans="1:1">
      <c r="A3766" s="5"/>
    </row>
    <row r="3767" spans="1:1">
      <c r="A3767" s="5"/>
    </row>
    <row r="3768" spans="1:1">
      <c r="A3768" s="5"/>
    </row>
    <row r="3769" spans="1:1">
      <c r="A3769" s="5"/>
    </row>
    <row r="3770" spans="1:1">
      <c r="A3770" s="5"/>
    </row>
    <row r="3771" spans="1:1">
      <c r="A3771" s="5"/>
    </row>
    <row r="3772" spans="1:1">
      <c r="A3772" s="5"/>
    </row>
    <row r="3773" spans="1:1">
      <c r="A3773" s="5"/>
    </row>
    <row r="3774" spans="1:1">
      <c r="A3774" s="5"/>
    </row>
    <row r="3775" spans="1:1">
      <c r="A3775" s="5"/>
    </row>
    <row r="3776" spans="1:1">
      <c r="A3776" s="5"/>
    </row>
    <row r="3777" spans="1:1">
      <c r="A3777" s="5"/>
    </row>
    <row r="3778" spans="1:1">
      <c r="A3778" s="5"/>
    </row>
    <row r="3779" spans="1:1">
      <c r="A3779" s="5"/>
    </row>
    <row r="3780" spans="1:1">
      <c r="A3780" s="5"/>
    </row>
    <row r="3781" spans="1:1">
      <c r="A3781" s="5"/>
    </row>
    <row r="3782" spans="1:1">
      <c r="A3782" s="5"/>
    </row>
    <row r="3783" spans="1:1">
      <c r="A3783" s="5"/>
    </row>
    <row r="3784" spans="1:1">
      <c r="A3784" s="5"/>
    </row>
    <row r="3785" spans="1:1">
      <c r="A3785" s="5"/>
    </row>
    <row r="3786" spans="1:1">
      <c r="A3786" s="5"/>
    </row>
    <row r="3787" spans="1:1">
      <c r="A3787" s="5"/>
    </row>
    <row r="3788" spans="1:1">
      <c r="A3788" s="5"/>
    </row>
    <row r="3789" spans="1:1">
      <c r="A3789" s="5"/>
    </row>
    <row r="3790" spans="1:1">
      <c r="A3790" s="5"/>
    </row>
    <row r="3791" spans="1:1">
      <c r="A3791" s="5"/>
    </row>
    <row r="3792" spans="1:1">
      <c r="A3792" s="5"/>
    </row>
    <row r="3793" spans="1:1">
      <c r="A3793" s="5"/>
    </row>
    <row r="3794" spans="1:1">
      <c r="A3794" s="5"/>
    </row>
    <row r="3795" spans="1:1">
      <c r="A3795" s="5"/>
    </row>
    <row r="3796" spans="1:1">
      <c r="A3796" s="5"/>
    </row>
    <row r="3797" spans="1:1">
      <c r="A3797" s="5"/>
    </row>
    <row r="3798" spans="1:1">
      <c r="A3798" s="5"/>
    </row>
    <row r="3799" spans="1:1">
      <c r="A3799" s="5"/>
    </row>
    <row r="3800" spans="1:1">
      <c r="A3800" s="5"/>
    </row>
    <row r="3801" spans="1:1">
      <c r="A3801" s="5"/>
    </row>
    <row r="3802" spans="1:1">
      <c r="A3802" s="5"/>
    </row>
    <row r="3803" spans="1:1">
      <c r="A3803" s="5"/>
    </row>
    <row r="3804" spans="1:1">
      <c r="A3804" s="5"/>
    </row>
    <row r="3805" spans="1:1">
      <c r="A3805" s="5"/>
    </row>
    <row r="3806" spans="1:1">
      <c r="A3806" s="5"/>
    </row>
    <row r="3807" spans="1:1">
      <c r="A3807" s="5"/>
    </row>
    <row r="3808" spans="1:1">
      <c r="A3808" s="5"/>
    </row>
    <row r="3809" spans="1:1">
      <c r="A3809" s="5"/>
    </row>
    <row r="3810" spans="1:1">
      <c r="A3810" s="5"/>
    </row>
    <row r="3811" spans="1:1">
      <c r="A3811" s="5"/>
    </row>
    <row r="3812" spans="1:1">
      <c r="A3812" s="5"/>
    </row>
    <row r="3813" spans="1:1">
      <c r="A3813" s="5"/>
    </row>
    <row r="3814" spans="1:1">
      <c r="A3814" s="5"/>
    </row>
    <row r="3815" spans="1:1">
      <c r="A3815" s="5"/>
    </row>
    <row r="3816" spans="1:1">
      <c r="A3816" s="5"/>
    </row>
    <row r="3817" spans="1:1">
      <c r="A3817" s="5"/>
    </row>
    <row r="3818" spans="1:1">
      <c r="A3818" s="5"/>
    </row>
    <row r="3819" spans="1:1">
      <c r="A3819" s="5"/>
    </row>
    <row r="3820" spans="1:1">
      <c r="A3820" s="5"/>
    </row>
    <row r="3821" spans="1:1">
      <c r="A3821" s="5"/>
    </row>
    <row r="3822" spans="1:1">
      <c r="A3822" s="5"/>
    </row>
    <row r="3823" spans="1:1">
      <c r="A3823" s="5"/>
    </row>
    <row r="3824" spans="1:1">
      <c r="A3824" s="5"/>
    </row>
    <row r="3825" spans="1:1">
      <c r="A3825" s="5"/>
    </row>
    <row r="3826" spans="1:1">
      <c r="A3826" s="5"/>
    </row>
    <row r="3827" spans="1:1">
      <c r="A3827" s="5"/>
    </row>
    <row r="3828" spans="1:1">
      <c r="A3828" s="5"/>
    </row>
    <row r="3829" spans="1:1">
      <c r="A3829" s="5"/>
    </row>
    <row r="3830" spans="1:1">
      <c r="A3830" s="5"/>
    </row>
    <row r="3831" spans="1:1">
      <c r="A3831" s="5"/>
    </row>
    <row r="3832" spans="1:1">
      <c r="A3832" s="5"/>
    </row>
    <row r="3833" spans="1:1">
      <c r="A3833" s="5"/>
    </row>
    <row r="3834" spans="1:1">
      <c r="A3834" s="5"/>
    </row>
    <row r="3835" spans="1:1">
      <c r="A3835" s="5"/>
    </row>
    <row r="3836" spans="1:1">
      <c r="A3836" s="5"/>
    </row>
    <row r="3837" spans="1:1">
      <c r="A3837" s="5"/>
    </row>
    <row r="3838" spans="1:1">
      <c r="A3838" s="5"/>
    </row>
    <row r="3839" spans="1:1">
      <c r="A3839" s="5"/>
    </row>
    <row r="3840" spans="1:1">
      <c r="A3840" s="5"/>
    </row>
    <row r="3841" spans="1:1">
      <c r="A3841" s="5"/>
    </row>
    <row r="3842" spans="1:1">
      <c r="A3842" s="5"/>
    </row>
    <row r="3843" spans="1:1">
      <c r="A3843" s="5"/>
    </row>
    <row r="3844" spans="1:1">
      <c r="A3844" s="5"/>
    </row>
    <row r="3845" spans="1:1">
      <c r="A3845" s="5"/>
    </row>
    <row r="3846" spans="1:1">
      <c r="A3846" s="5"/>
    </row>
    <row r="3847" spans="1:1">
      <c r="A3847" s="5"/>
    </row>
    <row r="3848" spans="1:1">
      <c r="A3848" s="5"/>
    </row>
    <row r="3849" spans="1:1">
      <c r="A3849" s="5"/>
    </row>
    <row r="3850" spans="1:1">
      <c r="A3850" s="5"/>
    </row>
    <row r="3851" spans="1:1">
      <c r="A3851" s="5"/>
    </row>
    <row r="3852" spans="1:1">
      <c r="A3852" s="5"/>
    </row>
    <row r="3853" spans="1:1">
      <c r="A3853" s="5"/>
    </row>
    <row r="3854" spans="1:1">
      <c r="A3854" s="5"/>
    </row>
    <row r="3855" spans="1:1">
      <c r="A3855" s="5"/>
    </row>
    <row r="3856" spans="1:1">
      <c r="A3856" s="5"/>
    </row>
    <row r="3857" spans="1:1">
      <c r="A3857" s="5"/>
    </row>
    <row r="3858" spans="1:1">
      <c r="A3858" s="5"/>
    </row>
    <row r="3859" spans="1:1">
      <c r="A3859" s="5"/>
    </row>
    <row r="3860" spans="1:1">
      <c r="A3860" s="5"/>
    </row>
    <row r="3861" spans="1:1">
      <c r="A3861" s="5"/>
    </row>
    <row r="3862" spans="1:1">
      <c r="A3862" s="5"/>
    </row>
    <row r="3863" spans="1:1">
      <c r="A3863" s="5"/>
    </row>
    <row r="3864" spans="1:1">
      <c r="A3864" s="5"/>
    </row>
    <row r="3865" spans="1:1">
      <c r="A3865" s="5"/>
    </row>
    <row r="3866" spans="1:1">
      <c r="A3866" s="5"/>
    </row>
    <row r="3867" spans="1:1">
      <c r="A3867" s="5"/>
    </row>
    <row r="3868" spans="1:1">
      <c r="A3868" s="5"/>
    </row>
    <row r="3869" spans="1:1">
      <c r="A3869" s="5"/>
    </row>
    <row r="3870" spans="1:1">
      <c r="A3870" s="5"/>
    </row>
    <row r="3871" spans="1:1">
      <c r="A3871" s="5"/>
    </row>
    <row r="3872" spans="1:1">
      <c r="A3872" s="5"/>
    </row>
    <row r="3873" spans="1:1">
      <c r="A3873" s="5"/>
    </row>
    <row r="3874" spans="1:1">
      <c r="A3874" s="5"/>
    </row>
    <row r="3875" spans="1:1">
      <c r="A3875" s="5"/>
    </row>
    <row r="3876" spans="1:1">
      <c r="A3876" s="5"/>
    </row>
    <row r="3877" spans="1:1">
      <c r="A3877" s="5"/>
    </row>
    <row r="3878" spans="1:1">
      <c r="A3878" s="5"/>
    </row>
    <row r="3879" spans="1:1">
      <c r="A3879" s="5"/>
    </row>
    <row r="3880" spans="1:1">
      <c r="A3880" s="5"/>
    </row>
    <row r="3881" spans="1:1">
      <c r="A3881" s="5"/>
    </row>
    <row r="3882" spans="1:1">
      <c r="A3882" s="5"/>
    </row>
    <row r="3883" spans="1:1">
      <c r="A3883" s="5"/>
    </row>
    <row r="3884" spans="1:1">
      <c r="A3884" s="5"/>
    </row>
    <row r="3885" spans="1:1">
      <c r="A3885" s="5"/>
    </row>
    <row r="3886" spans="1:1">
      <c r="A3886" s="5"/>
    </row>
    <row r="3887" spans="1:1">
      <c r="A3887" s="5"/>
    </row>
    <row r="3888" spans="1:1">
      <c r="A3888" s="5"/>
    </row>
    <row r="3889" spans="1:1">
      <c r="A3889" s="5"/>
    </row>
    <row r="3890" spans="1:1">
      <c r="A3890" s="5"/>
    </row>
    <row r="3891" spans="1:1">
      <c r="A3891" s="5"/>
    </row>
    <row r="3892" spans="1:1">
      <c r="A3892" s="5"/>
    </row>
    <row r="3893" spans="1:1">
      <c r="A3893" s="5"/>
    </row>
    <row r="3894" spans="1:1">
      <c r="A3894" s="5"/>
    </row>
    <row r="3895" spans="1:1">
      <c r="A3895" s="5"/>
    </row>
    <row r="3896" spans="1:1">
      <c r="A3896" s="5"/>
    </row>
    <row r="3897" spans="1:1">
      <c r="A3897" s="5"/>
    </row>
    <row r="3898" spans="1:1">
      <c r="A3898" s="5"/>
    </row>
    <row r="3899" spans="1:1">
      <c r="A3899" s="5"/>
    </row>
    <row r="3900" spans="1:1">
      <c r="A3900" s="5"/>
    </row>
    <row r="3901" spans="1:1">
      <c r="A3901" s="5"/>
    </row>
    <row r="3902" spans="1:1">
      <c r="A3902" s="5"/>
    </row>
    <row r="3903" spans="1:1">
      <c r="A3903" s="5"/>
    </row>
    <row r="3904" spans="1:1">
      <c r="A3904" s="5"/>
    </row>
    <row r="3905" spans="1:1">
      <c r="A3905" s="5"/>
    </row>
    <row r="3906" spans="1:1">
      <c r="A3906" s="5"/>
    </row>
    <row r="3907" spans="1:1">
      <c r="A3907" s="5"/>
    </row>
    <row r="3908" spans="1:1">
      <c r="A3908" s="5"/>
    </row>
    <row r="3909" spans="1:1">
      <c r="A3909" s="5"/>
    </row>
    <row r="3910" spans="1:1">
      <c r="A3910" s="5"/>
    </row>
    <row r="3911" spans="1:1">
      <c r="A3911" s="5"/>
    </row>
    <row r="3912" spans="1:1">
      <c r="A3912" s="5"/>
    </row>
    <row r="3913" spans="1:1">
      <c r="A3913" s="5"/>
    </row>
    <row r="3914" spans="1:1">
      <c r="A3914" s="5"/>
    </row>
    <row r="3915" spans="1:1">
      <c r="A3915" s="5"/>
    </row>
    <row r="3916" spans="1:1">
      <c r="A3916" s="5"/>
    </row>
    <row r="3917" spans="1:1">
      <c r="A3917" s="5"/>
    </row>
    <row r="3918" spans="1:1">
      <c r="A3918" s="5"/>
    </row>
    <row r="3919" spans="1:1">
      <c r="A3919" s="5"/>
    </row>
    <row r="3920" spans="1:1">
      <c r="A3920" s="5"/>
    </row>
    <row r="3921" spans="1:1">
      <c r="A3921" s="5"/>
    </row>
    <row r="3922" spans="1:1">
      <c r="A3922" s="5"/>
    </row>
    <row r="3923" spans="1:1">
      <c r="A3923" s="5"/>
    </row>
    <row r="3924" spans="1:1">
      <c r="A3924" s="5"/>
    </row>
    <row r="3925" spans="1:1">
      <c r="A3925" s="5"/>
    </row>
    <row r="3926" spans="1:1">
      <c r="A3926" s="5"/>
    </row>
    <row r="3927" spans="1:1">
      <c r="A3927" s="5"/>
    </row>
    <row r="3928" spans="1:1">
      <c r="A3928" s="5"/>
    </row>
    <row r="3929" spans="1:1">
      <c r="A3929" s="5"/>
    </row>
    <row r="3930" spans="1:1">
      <c r="A3930" s="5"/>
    </row>
    <row r="3931" spans="1:1">
      <c r="A3931" s="5"/>
    </row>
    <row r="3932" spans="1:1">
      <c r="A3932" s="5"/>
    </row>
    <row r="3933" spans="1:1">
      <c r="A3933" s="5"/>
    </row>
    <row r="3934" spans="1:1">
      <c r="A3934" s="5"/>
    </row>
    <row r="3935" spans="1:1">
      <c r="A3935" s="5"/>
    </row>
    <row r="3936" spans="1:1">
      <c r="A3936" s="5"/>
    </row>
    <row r="3937" spans="1:1">
      <c r="A3937" s="5"/>
    </row>
    <row r="3938" spans="1:1">
      <c r="A3938" s="5"/>
    </row>
    <row r="3939" spans="1:1">
      <c r="A3939" s="5"/>
    </row>
    <row r="3940" spans="1:1">
      <c r="A3940" s="5"/>
    </row>
    <row r="3941" spans="1:1">
      <c r="A3941" s="5"/>
    </row>
    <row r="3942" spans="1:1">
      <c r="A3942" s="5"/>
    </row>
    <row r="3943" spans="1:1">
      <c r="A3943" s="5"/>
    </row>
    <row r="3944" spans="1:1">
      <c r="A3944" s="5"/>
    </row>
    <row r="3945" spans="1:1">
      <c r="A3945" s="5"/>
    </row>
    <row r="3946" spans="1:1">
      <c r="A3946" s="5"/>
    </row>
    <row r="3947" spans="1:1">
      <c r="A3947" s="5"/>
    </row>
    <row r="3948" spans="1:1">
      <c r="A3948" s="5"/>
    </row>
    <row r="3949" spans="1:1">
      <c r="A3949" s="5"/>
    </row>
    <row r="3950" spans="1:1">
      <c r="A3950" s="5"/>
    </row>
    <row r="3951" spans="1:1">
      <c r="A3951" s="5"/>
    </row>
    <row r="3952" spans="1:1">
      <c r="A3952" s="5"/>
    </row>
    <row r="3953" spans="1:1">
      <c r="A3953" s="5"/>
    </row>
    <row r="3954" spans="1:1">
      <c r="A3954" s="5"/>
    </row>
    <row r="3955" spans="1:1">
      <c r="A3955" s="5"/>
    </row>
    <row r="3956" spans="1:1">
      <c r="A3956" s="5"/>
    </row>
    <row r="3957" spans="1:1">
      <c r="A3957" s="5"/>
    </row>
    <row r="3958" spans="1:1">
      <c r="A3958" s="5"/>
    </row>
    <row r="3959" spans="1:1">
      <c r="A3959" s="5"/>
    </row>
    <row r="3960" spans="1:1">
      <c r="A3960" s="5"/>
    </row>
    <row r="3961" spans="1:1">
      <c r="A3961" s="5"/>
    </row>
    <row r="3962" spans="1:1">
      <c r="A3962" s="5"/>
    </row>
    <row r="3963" spans="1:1">
      <c r="A3963" s="5"/>
    </row>
    <row r="3964" spans="1:1">
      <c r="A3964" s="5"/>
    </row>
    <row r="3965" spans="1:1">
      <c r="A3965" s="5"/>
    </row>
    <row r="3966" spans="1:1">
      <c r="A3966" s="5"/>
    </row>
    <row r="3967" spans="1:1">
      <c r="A3967" s="5"/>
    </row>
    <row r="3968" spans="1:1">
      <c r="A3968" s="5"/>
    </row>
    <row r="3969" spans="1:1">
      <c r="A3969" s="5"/>
    </row>
    <row r="3970" spans="1:1">
      <c r="A3970" s="5"/>
    </row>
    <row r="3971" spans="1:1">
      <c r="A3971" s="5"/>
    </row>
    <row r="3972" spans="1:1">
      <c r="A3972" s="5"/>
    </row>
    <row r="3973" spans="1:1">
      <c r="A3973" s="5"/>
    </row>
    <row r="3974" spans="1:1">
      <c r="A3974" s="5"/>
    </row>
    <row r="3975" spans="1:1">
      <c r="A3975" s="5"/>
    </row>
    <row r="3976" spans="1:1">
      <c r="A3976" s="5"/>
    </row>
    <row r="3977" spans="1:1">
      <c r="A3977" s="5"/>
    </row>
    <row r="3978" spans="1:1">
      <c r="A3978" s="5"/>
    </row>
    <row r="3979" spans="1:1">
      <c r="A3979" s="5"/>
    </row>
    <row r="3980" spans="1:1">
      <c r="A3980" s="5"/>
    </row>
    <row r="3981" spans="1:1">
      <c r="A3981" s="5"/>
    </row>
    <row r="3982" spans="1:1">
      <c r="A3982" s="5"/>
    </row>
    <row r="3983" spans="1:1">
      <c r="A3983" s="5"/>
    </row>
    <row r="3984" spans="1:1">
      <c r="A3984" s="5"/>
    </row>
    <row r="3985" spans="1:1">
      <c r="A3985" s="5"/>
    </row>
    <row r="3986" spans="1:1">
      <c r="A3986" s="5"/>
    </row>
    <row r="3987" spans="1:1">
      <c r="A3987" s="5"/>
    </row>
    <row r="3988" spans="1:1">
      <c r="A3988" s="5"/>
    </row>
    <row r="3989" spans="1:1">
      <c r="A3989" s="5"/>
    </row>
    <row r="3990" spans="1:1">
      <c r="A3990" s="5"/>
    </row>
    <row r="3991" spans="1:1">
      <c r="A3991" s="5"/>
    </row>
    <row r="3992" spans="1:1">
      <c r="A3992" s="5"/>
    </row>
    <row r="3993" spans="1:1">
      <c r="A3993" s="5"/>
    </row>
    <row r="3994" spans="1:1">
      <c r="A3994" s="5"/>
    </row>
    <row r="3995" spans="1:1">
      <c r="A3995" s="5"/>
    </row>
    <row r="3996" spans="1:1">
      <c r="A3996" s="5"/>
    </row>
    <row r="3997" spans="1:1">
      <c r="A3997" s="5"/>
    </row>
    <row r="3998" spans="1:1">
      <c r="A3998" s="5"/>
    </row>
    <row r="3999" spans="1:1">
      <c r="A3999" s="5"/>
    </row>
    <row r="4000" spans="1:1">
      <c r="A4000" s="5"/>
    </row>
    <row r="4001" spans="1:1">
      <c r="A4001" s="5"/>
    </row>
    <row r="4002" spans="1:1">
      <c r="A4002" s="5"/>
    </row>
    <row r="4003" spans="1:1">
      <c r="A4003" s="5"/>
    </row>
    <row r="4004" spans="1:1">
      <c r="A4004" s="5"/>
    </row>
    <row r="4005" spans="1:1">
      <c r="A4005" s="5"/>
    </row>
    <row r="4006" spans="1:1">
      <c r="A4006" s="5"/>
    </row>
    <row r="4007" spans="1:1">
      <c r="A4007" s="5"/>
    </row>
    <row r="4008" spans="1:1">
      <c r="A4008" s="5"/>
    </row>
    <row r="4009" spans="1:1">
      <c r="A4009" s="5"/>
    </row>
    <row r="4010" spans="1:1">
      <c r="A4010" s="5"/>
    </row>
    <row r="4011" spans="1:1">
      <c r="A4011" s="5"/>
    </row>
    <row r="4012" spans="1:1">
      <c r="A4012" s="5"/>
    </row>
    <row r="4013" spans="1:1">
      <c r="A4013" s="5"/>
    </row>
    <row r="4014" spans="1:1">
      <c r="A4014" s="5"/>
    </row>
    <row r="4015" spans="1:1">
      <c r="A4015" s="5"/>
    </row>
    <row r="4016" spans="1:1">
      <c r="A4016" s="5"/>
    </row>
    <row r="4017" spans="1:1">
      <c r="A4017" s="5"/>
    </row>
    <row r="4018" spans="1:1">
      <c r="A4018" s="5"/>
    </row>
    <row r="4019" spans="1:1">
      <c r="A4019" s="5"/>
    </row>
    <row r="4020" spans="1:1">
      <c r="A4020" s="5"/>
    </row>
    <row r="4021" spans="1:1">
      <c r="A4021" s="5"/>
    </row>
    <row r="4022" spans="1:1">
      <c r="A4022" s="5"/>
    </row>
    <row r="4023" spans="1:1">
      <c r="A4023" s="5"/>
    </row>
    <row r="4024" spans="1:1">
      <c r="A4024" s="5"/>
    </row>
    <row r="4025" spans="1:1">
      <c r="A4025" s="5"/>
    </row>
    <row r="4026" spans="1:1">
      <c r="A4026" s="5"/>
    </row>
    <row r="4027" spans="1:1">
      <c r="A4027" s="5"/>
    </row>
    <row r="4028" spans="1:1">
      <c r="A4028" s="5"/>
    </row>
    <row r="4029" spans="1:1">
      <c r="A4029" s="5"/>
    </row>
    <row r="4030" spans="1:1">
      <c r="A4030" s="5"/>
    </row>
    <row r="4031" spans="1:1">
      <c r="A4031" s="5"/>
    </row>
    <row r="4032" spans="1:1">
      <c r="A4032" s="5"/>
    </row>
    <row r="4033" spans="1:1">
      <c r="A4033" s="5"/>
    </row>
    <row r="4034" spans="1:1">
      <c r="A4034" s="5"/>
    </row>
    <row r="4035" spans="1:1">
      <c r="A4035" s="5"/>
    </row>
    <row r="4036" spans="1:1">
      <c r="A4036" s="5"/>
    </row>
    <row r="4037" spans="1:1">
      <c r="A4037" s="5"/>
    </row>
    <row r="4038" spans="1:1">
      <c r="A4038" s="5"/>
    </row>
    <row r="4039" spans="1:1">
      <c r="A4039" s="5"/>
    </row>
    <row r="4040" spans="1:1">
      <c r="A4040" s="5"/>
    </row>
    <row r="4041" spans="1:1">
      <c r="A4041" s="5"/>
    </row>
    <row r="4042" spans="1:1">
      <c r="A4042" s="5"/>
    </row>
    <row r="4043" spans="1:1">
      <c r="A4043" s="5"/>
    </row>
    <row r="4044" spans="1:1">
      <c r="A4044" s="5"/>
    </row>
    <row r="4045" spans="1:1">
      <c r="A4045" s="5"/>
    </row>
    <row r="4046" spans="1:1">
      <c r="A4046" s="5"/>
    </row>
    <row r="4047" spans="1:1">
      <c r="A4047" s="5"/>
    </row>
    <row r="4048" spans="1:1">
      <c r="A4048" s="5"/>
    </row>
    <row r="4049" spans="1:1">
      <c r="A4049" s="5"/>
    </row>
    <row r="4050" spans="1:1">
      <c r="A4050" s="5"/>
    </row>
    <row r="4051" spans="1:1">
      <c r="A4051" s="5"/>
    </row>
    <row r="4052" spans="1:1">
      <c r="A4052" s="5"/>
    </row>
    <row r="4053" spans="1:1">
      <c r="A4053" s="5"/>
    </row>
    <row r="4054" spans="1:1">
      <c r="A4054" s="5"/>
    </row>
    <row r="4055" spans="1:1">
      <c r="A4055" s="5"/>
    </row>
    <row r="4056" spans="1:1">
      <c r="A4056" s="5"/>
    </row>
    <row r="4057" spans="1:1">
      <c r="A4057" s="5"/>
    </row>
    <row r="4058" spans="1:1">
      <c r="A4058" s="5"/>
    </row>
    <row r="4059" spans="1:1">
      <c r="A4059" s="5"/>
    </row>
    <row r="4060" spans="1:1">
      <c r="A4060" s="5"/>
    </row>
    <row r="4061" spans="1:1">
      <c r="A4061" s="5"/>
    </row>
    <row r="4062" spans="1:1">
      <c r="A4062" s="5"/>
    </row>
    <row r="4063" spans="1:1">
      <c r="A4063" s="5"/>
    </row>
    <row r="4064" spans="1:1">
      <c r="A4064" s="5"/>
    </row>
    <row r="4065" spans="1:1">
      <c r="A4065" s="5"/>
    </row>
    <row r="4066" spans="1:1">
      <c r="A4066" s="5"/>
    </row>
    <row r="4067" spans="1:1">
      <c r="A4067" s="5"/>
    </row>
    <row r="4068" spans="1:1">
      <c r="A4068" s="5"/>
    </row>
    <row r="4069" spans="1:1">
      <c r="A4069" s="5"/>
    </row>
    <row r="4070" spans="1:1">
      <c r="A4070" s="5"/>
    </row>
    <row r="4071" spans="1:1">
      <c r="A4071" s="5"/>
    </row>
    <row r="4072" spans="1:1">
      <c r="A4072" s="5"/>
    </row>
    <row r="4073" spans="1:1">
      <c r="A4073" s="5"/>
    </row>
    <row r="4074" spans="1:1">
      <c r="A4074" s="5"/>
    </row>
    <row r="4075" spans="1:1">
      <c r="A4075" s="5"/>
    </row>
    <row r="4076" spans="1:1">
      <c r="A4076" s="5"/>
    </row>
    <row r="4077" spans="1:1">
      <c r="A4077" s="5"/>
    </row>
    <row r="4078" spans="1:1">
      <c r="A4078" s="5"/>
    </row>
    <row r="4079" spans="1:1">
      <c r="A4079" s="5"/>
    </row>
    <row r="4080" spans="1:1">
      <c r="A4080" s="5"/>
    </row>
    <row r="4081" spans="1:1">
      <c r="A4081" s="5"/>
    </row>
    <row r="4082" spans="1:1">
      <c r="A4082" s="5"/>
    </row>
    <row r="4083" spans="1:1">
      <c r="A4083" s="5"/>
    </row>
    <row r="4084" spans="1:1">
      <c r="A4084" s="5"/>
    </row>
    <row r="4085" spans="1:1">
      <c r="A4085" s="5"/>
    </row>
    <row r="4086" spans="1:1">
      <c r="A4086" s="5"/>
    </row>
    <row r="4087" spans="1:1">
      <c r="A4087" s="5"/>
    </row>
    <row r="4088" spans="1:1">
      <c r="A4088" s="5"/>
    </row>
    <row r="4089" spans="1:1">
      <c r="A4089" s="5"/>
    </row>
    <row r="4090" spans="1:1">
      <c r="A4090" s="5"/>
    </row>
    <row r="4091" spans="1:1">
      <c r="A4091" s="5"/>
    </row>
    <row r="4092" spans="1:1">
      <c r="A4092" s="5"/>
    </row>
    <row r="4093" spans="1:1">
      <c r="A4093" s="5"/>
    </row>
    <row r="4094" spans="1:1">
      <c r="A4094" s="5"/>
    </row>
    <row r="4095" spans="1:1">
      <c r="A4095" s="5"/>
    </row>
    <row r="4096" spans="1:1">
      <c r="A4096" s="5"/>
    </row>
    <row r="4097" spans="1:1">
      <c r="A4097" s="5"/>
    </row>
    <row r="4098" spans="1:1">
      <c r="A4098" s="5"/>
    </row>
    <row r="4099" spans="1:1">
      <c r="A4099" s="5"/>
    </row>
    <row r="4100" spans="1:1">
      <c r="A4100" s="5"/>
    </row>
    <row r="4101" spans="1:1">
      <c r="A4101" s="5"/>
    </row>
    <row r="4102" spans="1:1">
      <c r="A4102" s="5"/>
    </row>
    <row r="4103" spans="1:1">
      <c r="A4103" s="5"/>
    </row>
    <row r="4104" spans="1:1">
      <c r="A4104" s="5"/>
    </row>
    <row r="4105" spans="1:1">
      <c r="A4105" s="5"/>
    </row>
    <row r="4106" spans="1:1">
      <c r="A4106" s="5"/>
    </row>
    <row r="4107" spans="1:1">
      <c r="A4107" s="5"/>
    </row>
    <row r="4108" spans="1:1">
      <c r="A4108" s="5"/>
    </row>
    <row r="4109" spans="1:1">
      <c r="A4109" s="5"/>
    </row>
    <row r="4110" spans="1:1">
      <c r="A4110" s="5"/>
    </row>
    <row r="4111" spans="1:1">
      <c r="A4111" s="5"/>
    </row>
    <row r="4112" spans="1:1">
      <c r="A4112" s="5"/>
    </row>
    <row r="4113" spans="1:1">
      <c r="A4113" s="5"/>
    </row>
    <row r="4114" spans="1:1">
      <c r="A4114" s="5"/>
    </row>
    <row r="4115" spans="1:1">
      <c r="A4115" s="5"/>
    </row>
    <row r="4116" spans="1:1">
      <c r="A4116" s="5"/>
    </row>
    <row r="4117" spans="1:1">
      <c r="A4117" s="5"/>
    </row>
    <row r="4118" spans="1:1">
      <c r="A4118" s="5"/>
    </row>
    <row r="4119" spans="1:1">
      <c r="A4119" s="5"/>
    </row>
    <row r="4120" spans="1:1">
      <c r="A4120" s="5"/>
    </row>
    <row r="4121" spans="1:1">
      <c r="A4121" s="5"/>
    </row>
    <row r="4122" spans="1:1">
      <c r="A4122" s="5"/>
    </row>
    <row r="4123" spans="1:1">
      <c r="A4123" s="5"/>
    </row>
    <row r="4124" spans="1:1">
      <c r="A4124" s="5"/>
    </row>
    <row r="4125" spans="1:1">
      <c r="A4125" s="5"/>
    </row>
    <row r="4126" spans="1:1">
      <c r="A4126" s="5"/>
    </row>
    <row r="4127" spans="1:1">
      <c r="A4127" s="5"/>
    </row>
    <row r="4128" spans="1:1">
      <c r="A4128" s="5"/>
    </row>
    <row r="4129" spans="1:1">
      <c r="A4129" s="5"/>
    </row>
    <row r="4130" spans="1:1">
      <c r="A4130" s="5"/>
    </row>
    <row r="4131" spans="1:1">
      <c r="A4131" s="5"/>
    </row>
    <row r="4132" spans="1:1">
      <c r="A4132" s="5"/>
    </row>
    <row r="4133" spans="1:1">
      <c r="A4133" s="5"/>
    </row>
    <row r="4134" spans="1:1">
      <c r="A4134" s="5"/>
    </row>
    <row r="4135" spans="1:1">
      <c r="A4135" s="5"/>
    </row>
    <row r="4136" spans="1:1">
      <c r="A4136" s="5"/>
    </row>
    <row r="4137" spans="1:1">
      <c r="A4137" s="5"/>
    </row>
    <row r="4138" spans="1:1">
      <c r="A4138" s="5"/>
    </row>
    <row r="4139" spans="1:1">
      <c r="A4139" s="5"/>
    </row>
    <row r="4140" spans="1:1">
      <c r="A4140" s="5"/>
    </row>
    <row r="4141" spans="1:1">
      <c r="A4141" s="5"/>
    </row>
    <row r="4142" spans="1:1">
      <c r="A4142" s="5"/>
    </row>
    <row r="4143" spans="1:1">
      <c r="A4143" s="5"/>
    </row>
    <row r="4144" spans="1:1">
      <c r="A4144" s="5"/>
    </row>
    <row r="4145" spans="1:1">
      <c r="A4145" s="5"/>
    </row>
    <row r="4146" spans="1:1">
      <c r="A4146" s="5"/>
    </row>
    <row r="4147" spans="1:1">
      <c r="A4147" s="5"/>
    </row>
    <row r="4148" spans="1:1">
      <c r="A4148" s="5"/>
    </row>
    <row r="4149" spans="1:1">
      <c r="A4149" s="5"/>
    </row>
    <row r="4150" spans="1:1">
      <c r="A4150" s="5"/>
    </row>
    <row r="4151" spans="1:1">
      <c r="A4151" s="5"/>
    </row>
    <row r="4152" spans="1:1">
      <c r="A4152" s="5"/>
    </row>
    <row r="4153" spans="1:1">
      <c r="A4153" s="5"/>
    </row>
    <row r="4154" spans="1:1">
      <c r="A4154" s="5"/>
    </row>
    <row r="4155" spans="1:1">
      <c r="A4155" s="5"/>
    </row>
    <row r="4156" spans="1:1">
      <c r="A4156" s="5"/>
    </row>
    <row r="4157" spans="1:1">
      <c r="A4157" s="5"/>
    </row>
    <row r="4158" spans="1:1">
      <c r="A4158" s="5"/>
    </row>
    <row r="4159" spans="1:1">
      <c r="A4159" s="5"/>
    </row>
    <row r="4160" spans="1:1">
      <c r="A4160" s="5"/>
    </row>
    <row r="4161" spans="1:1">
      <c r="A4161" s="5"/>
    </row>
    <row r="4162" spans="1:1">
      <c r="A4162" s="5"/>
    </row>
    <row r="4163" spans="1:1">
      <c r="A4163" s="5"/>
    </row>
    <row r="4164" spans="1:1">
      <c r="A4164" s="5"/>
    </row>
    <row r="4165" spans="1:1">
      <c r="A4165" s="5"/>
    </row>
    <row r="4166" spans="1:1">
      <c r="A4166" s="5"/>
    </row>
    <row r="4167" spans="1:1">
      <c r="A4167" s="5"/>
    </row>
    <row r="4168" spans="1:1">
      <c r="A4168" s="5"/>
    </row>
    <row r="4169" spans="1:1">
      <c r="A4169" s="5"/>
    </row>
    <row r="4170" spans="1:1">
      <c r="A4170" s="5"/>
    </row>
    <row r="4171" spans="1:1">
      <c r="A4171" s="5"/>
    </row>
    <row r="4172" spans="1:1">
      <c r="A4172" s="5"/>
    </row>
    <row r="4173" spans="1:1">
      <c r="A4173" s="5"/>
    </row>
    <row r="4174" spans="1:1">
      <c r="A4174" s="5"/>
    </row>
    <row r="4175" spans="1:1">
      <c r="A4175" s="5"/>
    </row>
    <row r="4176" spans="1:1">
      <c r="A4176" s="5"/>
    </row>
    <row r="4177" spans="1:1">
      <c r="A4177" s="5"/>
    </row>
    <row r="4178" spans="1:1">
      <c r="A4178" s="5"/>
    </row>
    <row r="4179" spans="1:1">
      <c r="A4179" s="5"/>
    </row>
    <row r="4180" spans="1:1">
      <c r="A4180" s="5"/>
    </row>
    <row r="4181" spans="1:1">
      <c r="A4181" s="5"/>
    </row>
    <row r="4182" spans="1:1">
      <c r="A4182" s="5"/>
    </row>
    <row r="4183" spans="1:1">
      <c r="A4183" s="5"/>
    </row>
    <row r="4184" spans="1:1">
      <c r="A4184" s="5"/>
    </row>
    <row r="4185" spans="1:1">
      <c r="A4185" s="5"/>
    </row>
    <row r="4186" spans="1:1">
      <c r="A4186" s="5"/>
    </row>
    <row r="4187" spans="1:1">
      <c r="A4187" s="5"/>
    </row>
    <row r="4188" spans="1:1">
      <c r="A4188" s="5"/>
    </row>
    <row r="4189" spans="1:1">
      <c r="A4189" s="5"/>
    </row>
    <row r="4190" spans="1:1">
      <c r="A4190" s="5"/>
    </row>
    <row r="4191" spans="1:1">
      <c r="A4191" s="5"/>
    </row>
    <row r="4192" spans="1:1">
      <c r="A4192" s="5"/>
    </row>
    <row r="4193" spans="1:1">
      <c r="A4193" s="5"/>
    </row>
    <row r="4194" spans="1:1">
      <c r="A4194" s="5"/>
    </row>
    <row r="4195" spans="1:1">
      <c r="A4195" s="5"/>
    </row>
    <row r="4196" spans="1:1">
      <c r="A4196" s="5"/>
    </row>
    <row r="4197" spans="1:1">
      <c r="A4197" s="5"/>
    </row>
    <row r="4198" spans="1:1">
      <c r="A4198" s="5"/>
    </row>
    <row r="4199" spans="1:1">
      <c r="A4199" s="5"/>
    </row>
    <row r="4200" spans="1:1">
      <c r="A4200" s="5"/>
    </row>
    <row r="4201" spans="1:1">
      <c r="A4201" s="5"/>
    </row>
    <row r="4202" spans="1:1">
      <c r="A4202" s="5"/>
    </row>
    <row r="4203" spans="1:1">
      <c r="A4203" s="5"/>
    </row>
    <row r="4204" spans="1:1">
      <c r="A4204" s="5"/>
    </row>
    <row r="4205" spans="1:1">
      <c r="A4205" s="5"/>
    </row>
    <row r="4206" spans="1:1">
      <c r="A4206" s="5"/>
    </row>
    <row r="4207" spans="1:1">
      <c r="A4207" s="5"/>
    </row>
    <row r="4208" spans="1:1">
      <c r="A4208" s="5"/>
    </row>
    <row r="4209" spans="1:1">
      <c r="A4209" s="5"/>
    </row>
    <row r="4210" spans="1:1">
      <c r="A4210" s="5"/>
    </row>
    <row r="4211" spans="1:1">
      <c r="A4211" s="5"/>
    </row>
    <row r="4212" spans="1:1">
      <c r="A4212" s="5"/>
    </row>
    <row r="4213" spans="1:1">
      <c r="A4213" s="5"/>
    </row>
    <row r="4214" spans="1:1">
      <c r="A4214" s="5"/>
    </row>
    <row r="4215" spans="1:1">
      <c r="A4215" s="5"/>
    </row>
    <row r="4216" spans="1:1">
      <c r="A4216" s="5"/>
    </row>
    <row r="4217" spans="1:1">
      <c r="A4217" s="5"/>
    </row>
    <row r="4218" spans="1:1">
      <c r="A4218" s="5"/>
    </row>
    <row r="4219" spans="1:1">
      <c r="A4219" s="5"/>
    </row>
    <row r="4220" spans="1:1">
      <c r="A4220" s="5"/>
    </row>
    <row r="4221" spans="1:1">
      <c r="A4221" s="5"/>
    </row>
    <row r="4222" spans="1:1">
      <c r="A4222" s="5"/>
    </row>
    <row r="4223" spans="1:1">
      <c r="A4223" s="5"/>
    </row>
    <row r="4224" spans="1:1">
      <c r="A4224" s="5"/>
    </row>
    <row r="4225" spans="1:1">
      <c r="A4225" s="5"/>
    </row>
    <row r="4226" spans="1:1">
      <c r="A4226" s="5"/>
    </row>
    <row r="4227" spans="1:1">
      <c r="A4227" s="5"/>
    </row>
    <row r="4228" spans="1:1">
      <c r="A4228" s="5"/>
    </row>
    <row r="4229" spans="1:1">
      <c r="A4229" s="5"/>
    </row>
    <row r="4230" spans="1:1">
      <c r="A4230" s="5"/>
    </row>
    <row r="4231" spans="1:1">
      <c r="A4231" s="5"/>
    </row>
    <row r="4232" spans="1:1">
      <c r="A4232" s="5"/>
    </row>
    <row r="4233" spans="1:1">
      <c r="A4233" s="5"/>
    </row>
    <row r="4234" spans="1:1">
      <c r="A4234" s="5"/>
    </row>
    <row r="4235" spans="1:1">
      <c r="A4235" s="5"/>
    </row>
    <row r="4236" spans="1:1">
      <c r="A4236" s="5"/>
    </row>
    <row r="4237" spans="1:1">
      <c r="A4237" s="5"/>
    </row>
    <row r="4238" spans="1:1">
      <c r="A4238" s="5"/>
    </row>
    <row r="4239" spans="1:1">
      <c r="A4239" s="5"/>
    </row>
    <row r="4240" spans="1:1">
      <c r="A4240" s="5"/>
    </row>
    <row r="4241" spans="1:1">
      <c r="A4241" s="5"/>
    </row>
    <row r="4242" spans="1:1">
      <c r="A4242" s="5"/>
    </row>
    <row r="4243" spans="1:1">
      <c r="A4243" s="5"/>
    </row>
    <row r="4244" spans="1:1">
      <c r="A4244" s="5"/>
    </row>
    <row r="4245" spans="1:1">
      <c r="A4245" s="5"/>
    </row>
    <row r="4246" spans="1:1">
      <c r="A4246" s="5"/>
    </row>
    <row r="4247" spans="1:1">
      <c r="A4247" s="5"/>
    </row>
    <row r="4248" spans="1:1">
      <c r="A4248" s="5"/>
    </row>
    <row r="4249" spans="1:1">
      <c r="A4249" s="5"/>
    </row>
    <row r="4250" spans="1:1">
      <c r="A4250" s="5"/>
    </row>
    <row r="4251" spans="1:1">
      <c r="A4251" s="5"/>
    </row>
    <row r="4252" spans="1:1">
      <c r="A4252" s="5"/>
    </row>
    <row r="4253" spans="1:1">
      <c r="A4253" s="5"/>
    </row>
    <row r="4254" spans="1:1">
      <c r="A4254" s="5"/>
    </row>
    <row r="4255" spans="1:1">
      <c r="A4255" s="5"/>
    </row>
    <row r="4256" spans="1:1">
      <c r="A4256" s="5"/>
    </row>
    <row r="4257" spans="1:1">
      <c r="A4257" s="5"/>
    </row>
    <row r="4258" spans="1:1">
      <c r="A4258" s="5"/>
    </row>
    <row r="4259" spans="1:1">
      <c r="A4259" s="5"/>
    </row>
    <row r="4260" spans="1:1">
      <c r="A4260" s="5"/>
    </row>
    <row r="4261" spans="1:1">
      <c r="A4261" s="5"/>
    </row>
    <row r="4262" spans="1:1">
      <c r="A4262" s="5"/>
    </row>
    <row r="4263" spans="1:1">
      <c r="A4263" s="5"/>
    </row>
    <row r="4264" spans="1:1">
      <c r="A4264" s="5"/>
    </row>
    <row r="4265" spans="1:1">
      <c r="A4265" s="5"/>
    </row>
    <row r="4266" spans="1:1">
      <c r="A4266" s="5"/>
    </row>
    <row r="4267" spans="1:1">
      <c r="A4267" s="5"/>
    </row>
    <row r="4268" spans="1:1">
      <c r="A4268" s="5"/>
    </row>
    <row r="4269" spans="1:1">
      <c r="A4269" s="5"/>
    </row>
    <row r="4270" spans="1:1">
      <c r="A4270" s="5"/>
    </row>
    <row r="4271" spans="1:1">
      <c r="A4271" s="5"/>
    </row>
    <row r="4272" spans="1:1">
      <c r="A4272" s="5"/>
    </row>
    <row r="4273" spans="1:1">
      <c r="A4273" s="5"/>
    </row>
    <row r="4274" spans="1:1">
      <c r="A4274" s="5"/>
    </row>
    <row r="4275" spans="1:1">
      <c r="A4275" s="5"/>
    </row>
    <row r="4276" spans="1:1">
      <c r="A4276" s="5"/>
    </row>
    <row r="4277" spans="1:1">
      <c r="A4277" s="5"/>
    </row>
    <row r="4278" spans="1:1">
      <c r="A4278" s="5"/>
    </row>
    <row r="4279" spans="1:1">
      <c r="A4279" s="5"/>
    </row>
    <row r="4280" spans="1:1">
      <c r="A4280" s="5"/>
    </row>
    <row r="4281" spans="1:1">
      <c r="A4281" s="5"/>
    </row>
    <row r="4282" spans="1:1">
      <c r="A4282" s="5"/>
    </row>
    <row r="4283" spans="1:1">
      <c r="A4283" s="5"/>
    </row>
    <row r="4284" spans="1:1">
      <c r="A4284" s="5"/>
    </row>
    <row r="4285" spans="1:1">
      <c r="A4285" s="5"/>
    </row>
    <row r="4286" spans="1:1">
      <c r="A4286" s="5"/>
    </row>
    <row r="4287" spans="1:1">
      <c r="A4287" s="5"/>
    </row>
    <row r="4288" spans="1:1">
      <c r="A4288" s="5"/>
    </row>
    <row r="4289" spans="1:1">
      <c r="A4289" s="5"/>
    </row>
    <row r="4290" spans="1:1">
      <c r="A4290" s="5"/>
    </row>
    <row r="4291" spans="1:1">
      <c r="A4291" s="5"/>
    </row>
    <row r="4292" spans="1:1">
      <c r="A4292" s="5"/>
    </row>
    <row r="4293" spans="1:1">
      <c r="A4293" s="5"/>
    </row>
    <row r="4294" spans="1:1">
      <c r="A4294" s="5"/>
    </row>
    <row r="4295" spans="1:1">
      <c r="A4295" s="5"/>
    </row>
    <row r="4296" spans="1:1">
      <c r="A4296" s="5"/>
    </row>
    <row r="4297" spans="1:1">
      <c r="A4297" s="5"/>
    </row>
    <row r="4298" spans="1:1">
      <c r="A4298" s="5"/>
    </row>
    <row r="4299" spans="1:1">
      <c r="A4299" s="5"/>
    </row>
    <row r="4300" spans="1:1">
      <c r="A4300" s="5"/>
    </row>
    <row r="4301" spans="1:1">
      <c r="A4301" s="5"/>
    </row>
    <row r="4302" spans="1:1">
      <c r="A4302" s="5"/>
    </row>
    <row r="4303" spans="1:1">
      <c r="A4303" s="5"/>
    </row>
    <row r="4304" spans="1:1">
      <c r="A4304" s="5"/>
    </row>
    <row r="4305" spans="1:1">
      <c r="A4305" s="5"/>
    </row>
    <row r="4306" spans="1:1">
      <c r="A4306" s="5"/>
    </row>
    <row r="4307" spans="1:1">
      <c r="A4307" s="5"/>
    </row>
    <row r="4308" spans="1:1">
      <c r="A4308" s="5"/>
    </row>
    <row r="4309" spans="1:1">
      <c r="A4309" s="5"/>
    </row>
    <row r="4310" spans="1:1">
      <c r="A4310" s="5"/>
    </row>
    <row r="4311" spans="1:1">
      <c r="A4311" s="5"/>
    </row>
    <row r="4312" spans="1:1">
      <c r="A4312" s="5"/>
    </row>
    <row r="4313" spans="1:1">
      <c r="A4313" s="5"/>
    </row>
    <row r="4314" spans="1:1">
      <c r="A4314" s="5"/>
    </row>
    <row r="4315" spans="1:1">
      <c r="A4315" s="5"/>
    </row>
    <row r="4316" spans="1:1">
      <c r="A4316" s="5"/>
    </row>
    <row r="4317" spans="1:1">
      <c r="A4317" s="5"/>
    </row>
    <row r="4318" spans="1:1">
      <c r="A4318" s="5"/>
    </row>
    <row r="4319" spans="1:1">
      <c r="A4319" s="5"/>
    </row>
    <row r="4320" spans="1:1">
      <c r="A4320" s="5"/>
    </row>
    <row r="4321" spans="1:1">
      <c r="A4321" s="5"/>
    </row>
    <row r="4322" spans="1:1">
      <c r="A4322" s="5"/>
    </row>
    <row r="4323" spans="1:1">
      <c r="A4323" s="5"/>
    </row>
    <row r="4324" spans="1:1">
      <c r="A4324" s="5"/>
    </row>
    <row r="4325" spans="1:1">
      <c r="A4325" s="5"/>
    </row>
    <row r="4326" spans="1:1">
      <c r="A4326" s="5"/>
    </row>
    <row r="4327" spans="1:1">
      <c r="A4327" s="5"/>
    </row>
    <row r="4328" spans="1:1">
      <c r="A4328" s="5"/>
    </row>
    <row r="4329" spans="1:1">
      <c r="A4329" s="5"/>
    </row>
    <row r="4330" spans="1:1">
      <c r="A4330" s="5"/>
    </row>
    <row r="4331" spans="1:1">
      <c r="A4331" s="5"/>
    </row>
    <row r="4332" spans="1:1">
      <c r="A4332" s="5"/>
    </row>
    <row r="4333" spans="1:1">
      <c r="A4333" s="5"/>
    </row>
    <row r="4334" spans="1:1">
      <c r="A4334" s="5"/>
    </row>
    <row r="4335" spans="1:1">
      <c r="A4335" s="5"/>
    </row>
    <row r="4336" spans="1:1">
      <c r="A4336" s="5"/>
    </row>
    <row r="4337" spans="1:1">
      <c r="A4337" s="5"/>
    </row>
    <row r="4338" spans="1:1">
      <c r="A4338" s="5"/>
    </row>
    <row r="4339" spans="1:1">
      <c r="A4339" s="5"/>
    </row>
    <row r="4340" spans="1:1">
      <c r="A4340" s="5"/>
    </row>
    <row r="4341" spans="1:1">
      <c r="A4341" s="5"/>
    </row>
    <row r="4342" spans="1:1">
      <c r="A4342" s="5"/>
    </row>
    <row r="4343" spans="1:1">
      <c r="A4343" s="5"/>
    </row>
    <row r="4344" spans="1:1">
      <c r="A4344" s="5"/>
    </row>
    <row r="4345" spans="1:1">
      <c r="A4345" s="5"/>
    </row>
    <row r="4346" spans="1:1">
      <c r="A4346" s="5"/>
    </row>
    <row r="4347" spans="1:1">
      <c r="A4347" s="5"/>
    </row>
    <row r="4348" spans="1:1">
      <c r="A4348" s="5"/>
    </row>
    <row r="4349" spans="1:1">
      <c r="A4349" s="5"/>
    </row>
    <row r="4350" spans="1:1">
      <c r="A4350" s="5"/>
    </row>
    <row r="4351" spans="1:1">
      <c r="A4351" s="5"/>
    </row>
    <row r="4352" spans="1:1">
      <c r="A4352" s="5"/>
    </row>
    <row r="4353" spans="1:1">
      <c r="A4353" s="5"/>
    </row>
    <row r="4354" spans="1:1">
      <c r="A4354" s="5"/>
    </row>
    <row r="4355" spans="1:1">
      <c r="A4355" s="5"/>
    </row>
    <row r="4356" spans="1:1">
      <c r="A4356" s="5"/>
    </row>
    <row r="4357" spans="1:1">
      <c r="A4357" s="5"/>
    </row>
    <row r="4358" spans="1:1">
      <c r="A4358" s="5"/>
    </row>
    <row r="4359" spans="1:1">
      <c r="A4359" s="5"/>
    </row>
    <row r="4360" spans="1:1">
      <c r="A4360" s="5"/>
    </row>
    <row r="4361" spans="1:1">
      <c r="A4361" s="5"/>
    </row>
    <row r="4362" spans="1:1">
      <c r="A4362" s="5"/>
    </row>
    <row r="4363" spans="1:1">
      <c r="A4363" s="5"/>
    </row>
    <row r="4364" spans="1:1">
      <c r="A4364" s="5"/>
    </row>
    <row r="4365" spans="1:1">
      <c r="A4365" s="5"/>
    </row>
    <row r="4366" spans="1:1">
      <c r="A4366" s="5"/>
    </row>
    <row r="4367" spans="1:1">
      <c r="A4367" s="5"/>
    </row>
    <row r="4368" spans="1:1">
      <c r="A4368" s="5"/>
    </row>
    <row r="4369" spans="1:1">
      <c r="A4369" s="5"/>
    </row>
    <row r="4370" spans="1:1">
      <c r="A4370" s="5"/>
    </row>
    <row r="4371" spans="1:1">
      <c r="A4371" s="5"/>
    </row>
    <row r="4372" spans="1:1">
      <c r="A4372" s="5"/>
    </row>
    <row r="4373" spans="1:1">
      <c r="A4373" s="5"/>
    </row>
    <row r="4374" spans="1:1">
      <c r="A4374" s="5"/>
    </row>
    <row r="4375" spans="1:1">
      <c r="A4375" s="5"/>
    </row>
    <row r="4376" spans="1:1">
      <c r="A4376" s="5"/>
    </row>
    <row r="4377" spans="1:1">
      <c r="A4377" s="5"/>
    </row>
    <row r="4378" spans="1:1">
      <c r="A4378" s="5"/>
    </row>
    <row r="4379" spans="1:1">
      <c r="A4379" s="5"/>
    </row>
    <row r="4380" spans="1:1">
      <c r="A4380" s="5"/>
    </row>
    <row r="4381" spans="1:1">
      <c r="A4381" s="5"/>
    </row>
    <row r="4382" spans="1:1">
      <c r="A4382" s="5"/>
    </row>
    <row r="4383" spans="1:1">
      <c r="A4383" s="5"/>
    </row>
    <row r="4384" spans="1:1">
      <c r="A4384" s="5"/>
    </row>
    <row r="4385" spans="1:1">
      <c r="A4385" s="5"/>
    </row>
    <row r="4386" spans="1:1">
      <c r="A4386" s="5"/>
    </row>
    <row r="4387" spans="1:1">
      <c r="A4387" s="5"/>
    </row>
    <row r="4388" spans="1:1">
      <c r="A4388" s="5"/>
    </row>
    <row r="4389" spans="1:1">
      <c r="A4389" s="5"/>
    </row>
    <row r="4390" spans="1:1">
      <c r="A4390" s="5"/>
    </row>
    <row r="4391" spans="1:1">
      <c r="A4391" s="5"/>
    </row>
    <row r="4392" spans="1:1">
      <c r="A4392" s="5"/>
    </row>
    <row r="4393" spans="1:1">
      <c r="A4393" s="5"/>
    </row>
    <row r="4394" spans="1:1">
      <c r="A4394" s="5"/>
    </row>
    <row r="4395" spans="1:1">
      <c r="A4395" s="5"/>
    </row>
    <row r="4396" spans="1:1">
      <c r="A4396" s="5"/>
    </row>
    <row r="4397" spans="1:1">
      <c r="A4397" s="5"/>
    </row>
    <row r="4398" spans="1:1">
      <c r="A4398" s="5"/>
    </row>
    <row r="4399" spans="1:1">
      <c r="A4399" s="5"/>
    </row>
    <row r="4400" spans="1:1">
      <c r="A4400" s="5"/>
    </row>
    <row r="4401" spans="1:1">
      <c r="A4401" s="5"/>
    </row>
    <row r="4402" spans="1:1">
      <c r="A4402" s="5"/>
    </row>
    <row r="4403" spans="1:1">
      <c r="A4403" s="5"/>
    </row>
    <row r="4404" spans="1:1">
      <c r="A4404" s="5"/>
    </row>
    <row r="4405" spans="1:1">
      <c r="A4405" s="5"/>
    </row>
    <row r="4406" spans="1:1">
      <c r="A4406" s="5"/>
    </row>
    <row r="4407" spans="1:1">
      <c r="A4407" s="5"/>
    </row>
    <row r="4408" spans="1:1">
      <c r="A4408" s="5"/>
    </row>
    <row r="4409" spans="1:1">
      <c r="A4409" s="5"/>
    </row>
    <row r="4410" spans="1:1">
      <c r="A4410" s="5"/>
    </row>
    <row r="4411" spans="1:1">
      <c r="A4411" s="5"/>
    </row>
    <row r="4412" spans="1:1">
      <c r="A4412" s="5"/>
    </row>
    <row r="4413" spans="1:1">
      <c r="A4413" s="5"/>
    </row>
    <row r="4414" spans="1:1">
      <c r="A4414" s="5"/>
    </row>
    <row r="4415" spans="1:1">
      <c r="A4415" s="5"/>
    </row>
    <row r="4416" spans="1:1">
      <c r="A4416" s="5"/>
    </row>
    <row r="4417" spans="1:1">
      <c r="A4417" s="5"/>
    </row>
    <row r="4418" spans="1:1">
      <c r="A4418" s="5"/>
    </row>
    <row r="4419" spans="1:1">
      <c r="A4419" s="5"/>
    </row>
    <row r="4420" spans="1:1">
      <c r="A4420" s="5"/>
    </row>
    <row r="4421" spans="1:1">
      <c r="A4421" s="5"/>
    </row>
    <row r="4422" spans="1:1">
      <c r="A4422" s="5"/>
    </row>
    <row r="4423" spans="1:1">
      <c r="A4423" s="5"/>
    </row>
    <row r="4424" spans="1:1">
      <c r="A4424" s="5"/>
    </row>
    <row r="4425" spans="1:1">
      <c r="A4425" s="5"/>
    </row>
    <row r="4426" spans="1:1">
      <c r="A4426" s="5"/>
    </row>
    <row r="4427" spans="1:1">
      <c r="A4427" s="5"/>
    </row>
    <row r="4428" spans="1:1">
      <c r="A4428" s="5"/>
    </row>
    <row r="4429" spans="1:1">
      <c r="A4429" s="5"/>
    </row>
    <row r="4430" spans="1:1">
      <c r="A4430" s="5"/>
    </row>
    <row r="4431" spans="1:1">
      <c r="A4431" s="5"/>
    </row>
    <row r="4432" spans="1:1">
      <c r="A4432" s="5"/>
    </row>
    <row r="4433" spans="1:1">
      <c r="A4433" s="5"/>
    </row>
    <row r="4434" spans="1:1">
      <c r="A4434" s="5"/>
    </row>
    <row r="4435" spans="1:1">
      <c r="A4435" s="5"/>
    </row>
    <row r="4436" spans="1:1">
      <c r="A4436" s="5"/>
    </row>
    <row r="4437" spans="1:1">
      <c r="A4437" s="5"/>
    </row>
    <row r="4438" spans="1:1">
      <c r="A4438" s="5"/>
    </row>
    <row r="4439" spans="1:1">
      <c r="A4439" s="5"/>
    </row>
    <row r="4440" spans="1:1">
      <c r="A4440" s="5"/>
    </row>
    <row r="4441" spans="1:1">
      <c r="A4441" s="5"/>
    </row>
    <row r="4442" spans="1:1">
      <c r="A4442" s="5"/>
    </row>
    <row r="4443" spans="1:1">
      <c r="A4443" s="5"/>
    </row>
    <row r="4444" spans="1:1">
      <c r="A4444" s="5"/>
    </row>
    <row r="4445" spans="1:1">
      <c r="A4445" s="5"/>
    </row>
    <row r="4446" spans="1:1">
      <c r="A4446" s="5"/>
    </row>
    <row r="4447" spans="1:1">
      <c r="A4447" s="5"/>
    </row>
    <row r="4448" spans="1:1">
      <c r="A4448" s="5"/>
    </row>
    <row r="4449" spans="1:1">
      <c r="A4449" s="5"/>
    </row>
    <row r="4450" spans="1:1">
      <c r="A4450" s="5"/>
    </row>
    <row r="4451" spans="1:1">
      <c r="A4451" s="5"/>
    </row>
    <row r="4452" spans="1:1">
      <c r="A4452" s="5"/>
    </row>
    <row r="4453" spans="1:1">
      <c r="A4453" s="5"/>
    </row>
    <row r="4454" spans="1:1">
      <c r="A4454" s="5"/>
    </row>
    <row r="4455" spans="1:1">
      <c r="A4455" s="5"/>
    </row>
    <row r="4456" spans="1:1">
      <c r="A4456" s="5"/>
    </row>
    <row r="4457" spans="1:1">
      <c r="A4457" s="5"/>
    </row>
    <row r="4458" spans="1:1">
      <c r="A4458" s="5"/>
    </row>
    <row r="4459" spans="1:1">
      <c r="A4459" s="5"/>
    </row>
    <row r="4460" spans="1:1">
      <c r="A4460" s="5"/>
    </row>
    <row r="4461" spans="1:1">
      <c r="A4461" s="5"/>
    </row>
    <row r="4462" spans="1:1">
      <c r="A4462" s="5"/>
    </row>
    <row r="4463" spans="1:1">
      <c r="A4463" s="5"/>
    </row>
    <row r="4464" spans="1:1">
      <c r="A4464" s="5"/>
    </row>
    <row r="4465" spans="1:1">
      <c r="A4465" s="5"/>
    </row>
    <row r="4466" spans="1:1">
      <c r="A4466" s="5"/>
    </row>
    <row r="4467" spans="1:1">
      <c r="A4467" s="5"/>
    </row>
    <row r="4468" spans="1:1">
      <c r="A4468" s="5"/>
    </row>
    <row r="4469" spans="1:1">
      <c r="A4469" s="5"/>
    </row>
    <row r="4470" spans="1:1">
      <c r="A4470" s="5"/>
    </row>
    <row r="4471" spans="1:1">
      <c r="A4471" s="5"/>
    </row>
    <row r="4472" spans="1:1">
      <c r="A4472" s="5"/>
    </row>
    <row r="4473" spans="1:1">
      <c r="A4473" s="5"/>
    </row>
    <row r="4474" spans="1:1">
      <c r="A4474" s="5"/>
    </row>
    <row r="4475" spans="1:1">
      <c r="A4475" s="5"/>
    </row>
    <row r="4476" spans="1:1">
      <c r="A4476" s="5"/>
    </row>
    <row r="4477" spans="1:1">
      <c r="A4477" s="5"/>
    </row>
    <row r="4478" spans="1:1">
      <c r="A4478" s="5"/>
    </row>
    <row r="4479" spans="1:1">
      <c r="A4479" s="5"/>
    </row>
    <row r="4480" spans="1:1">
      <c r="A4480" s="5"/>
    </row>
    <row r="4481" spans="1:1">
      <c r="A4481" s="5"/>
    </row>
    <row r="4482" spans="1:1">
      <c r="A4482" s="5"/>
    </row>
    <row r="4483" spans="1:1">
      <c r="A4483" s="5"/>
    </row>
    <row r="4484" spans="1:1">
      <c r="A4484" s="5"/>
    </row>
    <row r="4485" spans="1:1">
      <c r="A4485" s="5"/>
    </row>
    <row r="4486" spans="1:1">
      <c r="A4486" s="5"/>
    </row>
    <row r="4487" spans="1:1">
      <c r="A4487" s="5"/>
    </row>
    <row r="4488" spans="1:1">
      <c r="A4488" s="5"/>
    </row>
    <row r="4489" spans="1:1">
      <c r="A4489" s="5"/>
    </row>
    <row r="4490" spans="1:1">
      <c r="A4490" s="5"/>
    </row>
    <row r="4491" spans="1:1">
      <c r="A4491" s="5"/>
    </row>
    <row r="4492" spans="1:1">
      <c r="A4492" s="5"/>
    </row>
    <row r="4493" spans="1:1">
      <c r="A4493" s="5"/>
    </row>
    <row r="4494" spans="1:1">
      <c r="A4494" s="5"/>
    </row>
    <row r="4495" spans="1:1">
      <c r="A4495" s="5"/>
    </row>
    <row r="4496" spans="1:1">
      <c r="A4496" s="5"/>
    </row>
    <row r="4497" spans="1:1">
      <c r="A4497" s="5"/>
    </row>
    <row r="4498" spans="1:1">
      <c r="A4498" s="5"/>
    </row>
    <row r="4499" spans="1:1">
      <c r="A4499" s="5"/>
    </row>
    <row r="4500" spans="1:1">
      <c r="A4500" s="5"/>
    </row>
    <row r="4501" spans="1:1">
      <c r="A4501" s="5"/>
    </row>
    <row r="4502" spans="1:1">
      <c r="A4502" s="5"/>
    </row>
    <row r="4503" spans="1:1">
      <c r="A4503" s="5"/>
    </row>
    <row r="4504" spans="1:1">
      <c r="A4504" s="5"/>
    </row>
    <row r="4505" spans="1:1">
      <c r="A4505" s="5"/>
    </row>
    <row r="4506" spans="1:1">
      <c r="A4506" s="5"/>
    </row>
    <row r="4507" spans="1:1">
      <c r="A4507" s="5"/>
    </row>
    <row r="4508" spans="1:1">
      <c r="A4508" s="5"/>
    </row>
    <row r="4509" spans="1:1">
      <c r="A4509" s="5"/>
    </row>
    <row r="4510" spans="1:1">
      <c r="A4510" s="5"/>
    </row>
    <row r="4511" spans="1:1">
      <c r="A4511" s="5"/>
    </row>
    <row r="4512" spans="1:1">
      <c r="A4512" s="5"/>
    </row>
    <row r="4513" spans="1:1">
      <c r="A4513" s="5"/>
    </row>
    <row r="4514" spans="1:1">
      <c r="A4514" s="5"/>
    </row>
    <row r="4515" spans="1:1">
      <c r="A4515" s="5"/>
    </row>
    <row r="4516" spans="1:1">
      <c r="A4516" s="5"/>
    </row>
    <row r="4517" spans="1:1">
      <c r="A4517" s="5"/>
    </row>
    <row r="4518" spans="1:1">
      <c r="A4518" s="5"/>
    </row>
    <row r="4519" spans="1:1">
      <c r="A4519" s="5"/>
    </row>
    <row r="4520" spans="1:1">
      <c r="A4520" s="5"/>
    </row>
    <row r="4521" spans="1:1">
      <c r="A4521" s="5"/>
    </row>
    <row r="4522" spans="1:1">
      <c r="A4522" s="5"/>
    </row>
    <row r="4523" spans="1:1">
      <c r="A4523" s="5"/>
    </row>
    <row r="4524" spans="1:1">
      <c r="A4524" s="5"/>
    </row>
    <row r="4525" spans="1:1">
      <c r="A4525" s="5"/>
    </row>
    <row r="4526" spans="1:1">
      <c r="A4526" s="5"/>
    </row>
    <row r="4527" spans="1:1">
      <c r="A4527" s="5"/>
    </row>
    <row r="4528" spans="1:1">
      <c r="A4528" s="5"/>
    </row>
    <row r="4529" spans="1:1">
      <c r="A4529" s="5"/>
    </row>
    <row r="4530" spans="1:1">
      <c r="A4530" s="5"/>
    </row>
    <row r="4531" spans="1:1">
      <c r="A4531" s="5"/>
    </row>
    <row r="4532" spans="1:1">
      <c r="A4532" s="5"/>
    </row>
    <row r="4533" spans="1:1">
      <c r="A4533" s="5"/>
    </row>
    <row r="4534" spans="1:1">
      <c r="A4534" s="5"/>
    </row>
    <row r="4535" spans="1:1">
      <c r="A4535" s="5"/>
    </row>
    <row r="4536" spans="1:1">
      <c r="A4536" s="5"/>
    </row>
    <row r="4537" spans="1:1">
      <c r="A4537" s="5"/>
    </row>
    <row r="4538" spans="1:1">
      <c r="A4538" s="5"/>
    </row>
    <row r="4539" spans="1:1">
      <c r="A4539" s="5"/>
    </row>
    <row r="4540" spans="1:1">
      <c r="A4540" s="5"/>
    </row>
    <row r="4541" spans="1:1">
      <c r="A4541" s="5"/>
    </row>
    <row r="4542" spans="1:1">
      <c r="A4542" s="5"/>
    </row>
    <row r="4543" spans="1:1">
      <c r="A4543" s="5"/>
    </row>
    <row r="4544" spans="1:1">
      <c r="A4544" s="5"/>
    </row>
    <row r="4545" spans="1:1">
      <c r="A4545" s="5"/>
    </row>
    <row r="4546" spans="1:1">
      <c r="A4546" s="5"/>
    </row>
    <row r="4547" spans="1:1">
      <c r="A4547" s="5"/>
    </row>
    <row r="4548" spans="1:1">
      <c r="A4548" s="5"/>
    </row>
    <row r="4549" spans="1:1">
      <c r="A4549" s="5"/>
    </row>
    <row r="4550" spans="1:1">
      <c r="A4550" s="5"/>
    </row>
    <row r="4551" spans="1:1">
      <c r="A4551" s="5"/>
    </row>
    <row r="4552" spans="1:1">
      <c r="A4552" s="5"/>
    </row>
    <row r="4553" spans="1:1">
      <c r="A4553" s="5"/>
    </row>
    <row r="4554" spans="1:1">
      <c r="A4554" s="5"/>
    </row>
    <row r="4555" spans="1:1">
      <c r="A4555" s="5"/>
    </row>
    <row r="4556" spans="1:1">
      <c r="A4556" s="5"/>
    </row>
    <row r="4557" spans="1:1">
      <c r="A4557" s="5"/>
    </row>
    <row r="4558" spans="1:1">
      <c r="A4558" s="5"/>
    </row>
    <row r="4559" spans="1:1">
      <c r="A4559" s="5"/>
    </row>
    <row r="4560" spans="1:1">
      <c r="A4560" s="5"/>
    </row>
    <row r="4561" spans="1:1">
      <c r="A4561" s="5"/>
    </row>
    <row r="4562" spans="1:1">
      <c r="A4562" s="5"/>
    </row>
    <row r="4563" spans="1:1">
      <c r="A4563" s="5"/>
    </row>
    <row r="4564" spans="1:1">
      <c r="A4564" s="5"/>
    </row>
    <row r="4565" spans="1:1">
      <c r="A4565" s="5"/>
    </row>
    <row r="4566" spans="1:1">
      <c r="A4566" s="5"/>
    </row>
    <row r="4567" spans="1:1">
      <c r="A4567" s="5"/>
    </row>
    <row r="4568" spans="1:1">
      <c r="A4568" s="5"/>
    </row>
    <row r="4569" spans="1:1">
      <c r="A4569" s="5"/>
    </row>
    <row r="4570" spans="1:1">
      <c r="A4570" s="5"/>
    </row>
    <row r="4571" spans="1:1">
      <c r="A4571" s="5"/>
    </row>
    <row r="4572" spans="1:1">
      <c r="A4572" s="5"/>
    </row>
    <row r="4573" spans="1:1">
      <c r="A4573" s="5"/>
    </row>
    <row r="4574" spans="1:1">
      <c r="A4574" s="5"/>
    </row>
    <row r="4575" spans="1:1">
      <c r="A4575" s="5"/>
    </row>
    <row r="4576" spans="1:1">
      <c r="A4576" s="5"/>
    </row>
    <row r="4577" spans="1:1">
      <c r="A4577" s="5"/>
    </row>
    <row r="4578" spans="1:1">
      <c r="A4578" s="5"/>
    </row>
    <row r="4579" spans="1:1">
      <c r="A4579" s="5"/>
    </row>
    <row r="4580" spans="1:1">
      <c r="A4580" s="5"/>
    </row>
    <row r="4581" spans="1:1">
      <c r="A4581" s="5"/>
    </row>
    <row r="4582" spans="1:1">
      <c r="A4582" s="5"/>
    </row>
    <row r="4583" spans="1:1">
      <c r="A4583" s="5"/>
    </row>
    <row r="4584" spans="1:1">
      <c r="A4584" s="5"/>
    </row>
    <row r="4585" spans="1:1">
      <c r="A4585" s="5"/>
    </row>
    <row r="4586" spans="1:1">
      <c r="A4586" s="5"/>
    </row>
    <row r="4587" spans="1:1">
      <c r="A4587" s="5"/>
    </row>
    <row r="4588" spans="1:1">
      <c r="A4588" s="5"/>
    </row>
    <row r="4589" spans="1:1">
      <c r="A4589" s="5"/>
    </row>
    <row r="4590" spans="1:1">
      <c r="A4590" s="5"/>
    </row>
    <row r="4591" spans="1:1">
      <c r="A4591" s="5"/>
    </row>
    <row r="4592" spans="1:1">
      <c r="A4592" s="5"/>
    </row>
    <row r="4593" spans="1:1">
      <c r="A4593" s="5"/>
    </row>
    <row r="4594" spans="1:1">
      <c r="A4594" s="5"/>
    </row>
    <row r="4595" spans="1:1">
      <c r="A4595" s="5"/>
    </row>
    <row r="4596" spans="1:1">
      <c r="A4596" s="5"/>
    </row>
    <row r="4597" spans="1:1">
      <c r="A4597" s="5"/>
    </row>
    <row r="4598" spans="1:1">
      <c r="A4598" s="5"/>
    </row>
    <row r="4599" spans="1:1">
      <c r="A4599" s="5"/>
    </row>
    <row r="4600" spans="1:1">
      <c r="A4600" s="5"/>
    </row>
    <row r="4601" spans="1:1">
      <c r="A4601" s="5"/>
    </row>
    <row r="4602" spans="1:1">
      <c r="A4602" s="5"/>
    </row>
    <row r="4603" spans="1:1">
      <c r="A4603" s="5"/>
    </row>
    <row r="4604" spans="1:1">
      <c r="A4604" s="5"/>
    </row>
    <row r="4605" spans="1:1">
      <c r="A4605" s="5"/>
    </row>
    <row r="4606" spans="1:1">
      <c r="A4606" s="5"/>
    </row>
    <row r="4607" spans="1:1">
      <c r="A4607" s="5"/>
    </row>
    <row r="4608" spans="1:1">
      <c r="A4608" s="5"/>
    </row>
    <row r="4609" spans="1:1">
      <c r="A4609" s="5"/>
    </row>
    <row r="4610" spans="1:1">
      <c r="A4610" s="5"/>
    </row>
    <row r="4611" spans="1:1">
      <c r="A4611" s="5"/>
    </row>
    <row r="4612" spans="1:1">
      <c r="A4612" s="5"/>
    </row>
    <row r="4613" spans="1:1">
      <c r="A4613" s="5"/>
    </row>
    <row r="4614" spans="1:1">
      <c r="A4614" s="5"/>
    </row>
    <row r="4615" spans="1:1">
      <c r="A4615" s="5"/>
    </row>
    <row r="4616" spans="1:1">
      <c r="A4616" s="5"/>
    </row>
    <row r="4617" spans="1:1">
      <c r="A4617" s="5"/>
    </row>
    <row r="4618" spans="1:1">
      <c r="A4618" s="5"/>
    </row>
    <row r="4619" spans="1:1">
      <c r="A4619" s="5"/>
    </row>
    <row r="4620" spans="1:1">
      <c r="A4620" s="5"/>
    </row>
    <row r="4621" spans="1:1">
      <c r="A4621" s="5"/>
    </row>
    <row r="4622" spans="1:1">
      <c r="A4622" s="5"/>
    </row>
    <row r="4623" spans="1:1">
      <c r="A4623" s="5"/>
    </row>
    <row r="4624" spans="1:1">
      <c r="A4624" s="5"/>
    </row>
    <row r="4625" spans="1:1">
      <c r="A4625" s="5"/>
    </row>
    <row r="4626" spans="1:1">
      <c r="A4626" s="5"/>
    </row>
    <row r="4627" spans="1:1">
      <c r="A4627" s="5"/>
    </row>
    <row r="4628" spans="1:1">
      <c r="A4628" s="5"/>
    </row>
    <row r="4629" spans="1:1">
      <c r="A4629" s="5"/>
    </row>
    <row r="4630" spans="1:1">
      <c r="A4630" s="5"/>
    </row>
    <row r="4631" spans="1:1">
      <c r="A4631" s="5"/>
    </row>
    <row r="4632" spans="1:1">
      <c r="A4632" s="5"/>
    </row>
    <row r="4633" spans="1:1">
      <c r="A4633" s="5"/>
    </row>
    <row r="4634" spans="1:1">
      <c r="A4634" s="5"/>
    </row>
    <row r="4635" spans="1:1">
      <c r="A4635" s="5"/>
    </row>
    <row r="4636" spans="1:1">
      <c r="A4636" s="5"/>
    </row>
    <row r="4637" spans="1:1">
      <c r="A4637" s="5"/>
    </row>
    <row r="4638" spans="1:1">
      <c r="A4638" s="5"/>
    </row>
    <row r="4639" spans="1:1">
      <c r="A4639" s="5"/>
    </row>
    <row r="4640" spans="1:1">
      <c r="A4640" s="5"/>
    </row>
    <row r="4641" spans="1:1">
      <c r="A4641" s="5"/>
    </row>
    <row r="4642" spans="1:1">
      <c r="A4642" s="5"/>
    </row>
    <row r="4643" spans="1:1">
      <c r="A4643" s="5"/>
    </row>
    <row r="4644" spans="1:1">
      <c r="A4644" s="5"/>
    </row>
    <row r="4645" spans="1:1">
      <c r="A4645" s="5"/>
    </row>
    <row r="4646" spans="1:1">
      <c r="A4646" s="5"/>
    </row>
    <row r="4647" spans="1:1">
      <c r="A4647" s="5"/>
    </row>
    <row r="4648" spans="1:1">
      <c r="A4648" s="5"/>
    </row>
    <row r="4649" spans="1:1">
      <c r="A4649" s="5"/>
    </row>
    <row r="4650" spans="1:1">
      <c r="A4650" s="5"/>
    </row>
    <row r="4651" spans="1:1">
      <c r="A4651" s="5"/>
    </row>
    <row r="4652" spans="1:1">
      <c r="A4652" s="5"/>
    </row>
    <row r="4653" spans="1:1">
      <c r="A4653" s="5"/>
    </row>
    <row r="4654" spans="1:1">
      <c r="A4654" s="5"/>
    </row>
    <row r="4655" spans="1:1">
      <c r="A4655" s="5"/>
    </row>
    <row r="4656" spans="1:1">
      <c r="A4656" s="5"/>
    </row>
    <row r="4657" spans="1:1">
      <c r="A4657" s="5"/>
    </row>
    <row r="4658" spans="1:1">
      <c r="A4658" s="5"/>
    </row>
    <row r="4659" spans="1:1">
      <c r="A4659" s="5"/>
    </row>
    <row r="4660" spans="1:1">
      <c r="A4660" s="5"/>
    </row>
    <row r="4661" spans="1:1">
      <c r="A4661" s="5"/>
    </row>
    <row r="4662" spans="1:1">
      <c r="A4662" s="5"/>
    </row>
    <row r="4663" spans="1:1">
      <c r="A4663" s="5"/>
    </row>
    <row r="4664" spans="1:1">
      <c r="A4664" s="5"/>
    </row>
    <row r="4665" spans="1:1">
      <c r="A4665" s="5"/>
    </row>
    <row r="4666" spans="1:1">
      <c r="A4666" s="5"/>
    </row>
    <row r="4667" spans="1:1">
      <c r="A4667" s="5"/>
    </row>
    <row r="4668" spans="1:1">
      <c r="A4668" s="5"/>
    </row>
    <row r="4669" spans="1:1">
      <c r="A4669" s="5"/>
    </row>
    <row r="4670" spans="1:1">
      <c r="A4670" s="5"/>
    </row>
    <row r="4671" spans="1:1">
      <c r="A4671" s="5"/>
    </row>
    <row r="4672" spans="1:1">
      <c r="A4672" s="5"/>
    </row>
    <row r="4673" spans="1:1">
      <c r="A4673" s="5"/>
    </row>
    <row r="4674" spans="1:1">
      <c r="A4674" s="5"/>
    </row>
    <row r="4675" spans="1:1">
      <c r="A4675" s="5"/>
    </row>
    <row r="4676" spans="1:1">
      <c r="A4676" s="5"/>
    </row>
    <row r="4677" spans="1:1">
      <c r="A4677" s="5"/>
    </row>
    <row r="4678" spans="1:1">
      <c r="A4678" s="5"/>
    </row>
    <row r="4679" spans="1:1">
      <c r="A4679" s="5"/>
    </row>
    <row r="4680" spans="1:1">
      <c r="A4680" s="5"/>
    </row>
    <row r="4681" spans="1:1">
      <c r="A4681" s="5"/>
    </row>
    <row r="4682" spans="1:1">
      <c r="A4682" s="5"/>
    </row>
    <row r="4683" spans="1:1">
      <c r="A4683" s="5"/>
    </row>
    <row r="4684" spans="1:1">
      <c r="A4684" s="5"/>
    </row>
    <row r="4685" spans="1:1">
      <c r="A4685" s="5"/>
    </row>
    <row r="4686" spans="1:1">
      <c r="A4686" s="5"/>
    </row>
    <row r="4687" spans="1:1">
      <c r="A4687" s="5"/>
    </row>
    <row r="4688" spans="1:1">
      <c r="A4688" s="5"/>
    </row>
    <row r="4689" spans="1:1">
      <c r="A4689" s="5"/>
    </row>
    <row r="4690" spans="1:1">
      <c r="A4690" s="5"/>
    </row>
    <row r="4691" spans="1:1">
      <c r="A4691" s="5"/>
    </row>
    <row r="4692" spans="1:1">
      <c r="A4692" s="5"/>
    </row>
    <row r="4693" spans="1:1">
      <c r="A4693" s="5"/>
    </row>
    <row r="4694" spans="1:1">
      <c r="A4694" s="5"/>
    </row>
    <row r="4695" spans="1:1">
      <c r="A4695" s="5"/>
    </row>
    <row r="4696" spans="1:1">
      <c r="A4696" s="5"/>
    </row>
    <row r="4697" spans="1:1">
      <c r="A4697" s="5"/>
    </row>
    <row r="4698" spans="1:1">
      <c r="A4698" s="5"/>
    </row>
    <row r="4699" spans="1:1">
      <c r="A4699" s="5"/>
    </row>
    <row r="4700" spans="1:1">
      <c r="A4700" s="5"/>
    </row>
    <row r="4701" spans="1:1">
      <c r="A4701" s="5"/>
    </row>
    <row r="4702" spans="1:1">
      <c r="A4702" s="5"/>
    </row>
    <row r="4703" spans="1:1">
      <c r="A4703" s="5"/>
    </row>
    <row r="4704" spans="1:1">
      <c r="A4704" s="5"/>
    </row>
    <row r="4705" spans="1:1">
      <c r="A4705" s="5"/>
    </row>
    <row r="4706" spans="1:1">
      <c r="A4706" s="5"/>
    </row>
    <row r="4707" spans="1:1">
      <c r="A4707" s="5"/>
    </row>
    <row r="4708" spans="1:1">
      <c r="A4708" s="5"/>
    </row>
    <row r="4709" spans="1:1">
      <c r="A4709" s="5"/>
    </row>
    <row r="4710" spans="1:1">
      <c r="A4710" s="5"/>
    </row>
    <row r="4711" spans="1:1">
      <c r="A4711" s="5"/>
    </row>
    <row r="4712" spans="1:1">
      <c r="A4712" s="5"/>
    </row>
    <row r="4713" spans="1:1">
      <c r="A4713" s="5"/>
    </row>
    <row r="4714" spans="1:1">
      <c r="A4714" s="5"/>
    </row>
    <row r="4715" spans="1:1">
      <c r="A4715" s="5"/>
    </row>
    <row r="4716" spans="1:1">
      <c r="A4716" s="5"/>
    </row>
    <row r="4717" spans="1:1">
      <c r="A4717" s="5"/>
    </row>
    <row r="4718" spans="1:1">
      <c r="A4718" s="5"/>
    </row>
    <row r="4719" spans="1:1">
      <c r="A4719" s="5"/>
    </row>
    <row r="4720" spans="1:1">
      <c r="A4720" s="5"/>
    </row>
    <row r="4721" spans="1:1">
      <c r="A4721" s="5"/>
    </row>
    <row r="4722" spans="1:1">
      <c r="A4722" s="5"/>
    </row>
    <row r="4723" spans="1:1">
      <c r="A4723" s="5"/>
    </row>
    <row r="4724" spans="1:1">
      <c r="A4724" s="5"/>
    </row>
    <row r="4725" spans="1:1">
      <c r="A4725" s="5"/>
    </row>
    <row r="4726" spans="1:1">
      <c r="A4726" s="5"/>
    </row>
    <row r="4727" spans="1:1">
      <c r="A4727" s="5"/>
    </row>
    <row r="4728" spans="1:1">
      <c r="A4728" s="5"/>
    </row>
    <row r="4729" spans="1:1">
      <c r="A4729" s="5"/>
    </row>
    <row r="4730" spans="1:1">
      <c r="A4730" s="5"/>
    </row>
    <row r="4731" spans="1:1">
      <c r="A4731" s="5"/>
    </row>
    <row r="4732" spans="1:1">
      <c r="A4732" s="5"/>
    </row>
    <row r="4733" spans="1:1">
      <c r="A4733" s="5"/>
    </row>
    <row r="4734" spans="1:1">
      <c r="A4734" s="5"/>
    </row>
    <row r="4735" spans="1:1">
      <c r="A4735" s="5"/>
    </row>
    <row r="4736" spans="1:1">
      <c r="A4736" s="5"/>
    </row>
    <row r="4737" spans="1:1">
      <c r="A4737" s="5"/>
    </row>
    <row r="4738" spans="1:1">
      <c r="A4738" s="5"/>
    </row>
    <row r="4739" spans="1:1">
      <c r="A4739" s="5"/>
    </row>
    <row r="4740" spans="1:1">
      <c r="A4740" s="5"/>
    </row>
    <row r="4741" spans="1:1">
      <c r="A4741" s="5"/>
    </row>
    <row r="4742" spans="1:1">
      <c r="A4742" s="5"/>
    </row>
    <row r="4743" spans="1:1">
      <c r="A4743" s="5"/>
    </row>
    <row r="4744" spans="1:1">
      <c r="A4744" s="5"/>
    </row>
    <row r="4745" spans="1:1">
      <c r="A4745" s="5"/>
    </row>
    <row r="4746" spans="1:1">
      <c r="A4746" s="5"/>
    </row>
    <row r="4747" spans="1:1">
      <c r="A4747" s="5"/>
    </row>
    <row r="4748" spans="1:1">
      <c r="A4748" s="5"/>
    </row>
    <row r="4749" spans="1:1">
      <c r="A4749" s="5"/>
    </row>
    <row r="4750" spans="1:1">
      <c r="A4750" s="5"/>
    </row>
    <row r="4751" spans="1:1">
      <c r="A4751" s="5"/>
    </row>
    <row r="4752" spans="1:1">
      <c r="A4752" s="5"/>
    </row>
    <row r="4753" spans="1:1">
      <c r="A4753" s="5"/>
    </row>
    <row r="4754" spans="1:1">
      <c r="A4754" s="5"/>
    </row>
    <row r="4755" spans="1:1">
      <c r="A4755" s="5"/>
    </row>
    <row r="4756" spans="1:1">
      <c r="A4756" s="5"/>
    </row>
    <row r="4757" spans="1:1">
      <c r="A4757" s="5"/>
    </row>
    <row r="4758" spans="1:1">
      <c r="A4758" s="5"/>
    </row>
    <row r="4759" spans="1:1">
      <c r="A4759" s="5"/>
    </row>
    <row r="4760" spans="1:1">
      <c r="A4760" s="5"/>
    </row>
    <row r="4761" spans="1:1">
      <c r="A4761" s="5"/>
    </row>
    <row r="4762" spans="1:1">
      <c r="A4762" s="5"/>
    </row>
    <row r="4763" spans="1:1">
      <c r="A4763" s="5"/>
    </row>
    <row r="4764" spans="1:1">
      <c r="A4764" s="5"/>
    </row>
    <row r="4765" spans="1:1">
      <c r="A4765" s="5"/>
    </row>
    <row r="4766" spans="1:1">
      <c r="A4766" s="5"/>
    </row>
    <row r="4767" spans="1:1">
      <c r="A4767" s="5"/>
    </row>
    <row r="4768" spans="1:1">
      <c r="A4768" s="5"/>
    </row>
    <row r="4769" spans="1:1">
      <c r="A4769" s="5"/>
    </row>
    <row r="4770" spans="1:1">
      <c r="A4770" s="5"/>
    </row>
    <row r="4771" spans="1:1">
      <c r="A4771" s="5"/>
    </row>
    <row r="4772" spans="1:1">
      <c r="A4772" s="5"/>
    </row>
    <row r="4773" spans="1:1">
      <c r="A4773" s="5"/>
    </row>
    <row r="4774" spans="1:1">
      <c r="A4774" s="5"/>
    </row>
    <row r="4775" spans="1:1">
      <c r="A4775" s="5"/>
    </row>
    <row r="4776" spans="1:1">
      <c r="A4776" s="5"/>
    </row>
    <row r="4777" spans="1:1">
      <c r="A4777" s="5"/>
    </row>
    <row r="4778" spans="1:1">
      <c r="A4778" s="5"/>
    </row>
    <row r="4779" spans="1:1">
      <c r="A4779" s="5"/>
    </row>
    <row r="4780" spans="1:1">
      <c r="A4780" s="5"/>
    </row>
    <row r="4781" spans="1:1">
      <c r="A4781" s="5"/>
    </row>
    <row r="4782" spans="1:1">
      <c r="A4782" s="5"/>
    </row>
    <row r="4783" spans="1:1">
      <c r="A4783" s="5"/>
    </row>
    <row r="4784" spans="1:1">
      <c r="A4784" s="5"/>
    </row>
    <row r="4785" spans="1:1">
      <c r="A4785" s="5"/>
    </row>
    <row r="4786" spans="1:1">
      <c r="A4786" s="5"/>
    </row>
    <row r="4787" spans="1:1">
      <c r="A4787" s="5"/>
    </row>
    <row r="4788" spans="1:1">
      <c r="A4788" s="5"/>
    </row>
    <row r="4789" spans="1:1">
      <c r="A4789" s="5"/>
    </row>
    <row r="4790" spans="1:1">
      <c r="A4790" s="5"/>
    </row>
    <row r="4791" spans="1:1">
      <c r="A4791" s="5"/>
    </row>
    <row r="4792" spans="1:1">
      <c r="A4792" s="5"/>
    </row>
    <row r="4793" spans="1:1">
      <c r="A4793" s="5"/>
    </row>
    <row r="4794" spans="1:1">
      <c r="A4794" s="5"/>
    </row>
    <row r="4795" spans="1:1">
      <c r="A4795" s="5"/>
    </row>
    <row r="4796" spans="1:1">
      <c r="A4796" s="5"/>
    </row>
    <row r="4797" spans="1:1">
      <c r="A4797" s="5"/>
    </row>
    <row r="4798" spans="1:1">
      <c r="A4798" s="5"/>
    </row>
    <row r="4799" spans="1:1">
      <c r="A4799" s="5"/>
    </row>
    <row r="4800" spans="1:1">
      <c r="A4800" s="5"/>
    </row>
    <row r="4801" spans="1:1">
      <c r="A4801" s="5"/>
    </row>
    <row r="4802" spans="1:1">
      <c r="A4802" s="5"/>
    </row>
    <row r="4803" spans="1:1">
      <c r="A4803" s="5"/>
    </row>
    <row r="4804" spans="1:1">
      <c r="A4804" s="5"/>
    </row>
    <row r="4805" spans="1:1">
      <c r="A4805" s="5"/>
    </row>
    <row r="4806" spans="1:1">
      <c r="A4806" s="5"/>
    </row>
    <row r="4807" spans="1:1">
      <c r="A4807" s="5"/>
    </row>
    <row r="4808" spans="1:1">
      <c r="A4808" s="5"/>
    </row>
    <row r="4809" spans="1:1">
      <c r="A4809" s="5"/>
    </row>
    <row r="4810" spans="1:1">
      <c r="A4810" s="5"/>
    </row>
    <row r="4811" spans="1:1">
      <c r="A4811" s="5"/>
    </row>
    <row r="4812" spans="1:1">
      <c r="A4812" s="5"/>
    </row>
    <row r="4813" spans="1:1">
      <c r="A4813" s="5"/>
    </row>
    <row r="4814" spans="1:1">
      <c r="A4814" s="5"/>
    </row>
    <row r="4815" spans="1:1">
      <c r="A4815" s="5"/>
    </row>
    <row r="4816" spans="1:1">
      <c r="A4816" s="5"/>
    </row>
    <row r="4817" spans="1:1">
      <c r="A4817" s="5"/>
    </row>
    <row r="4818" spans="1:1">
      <c r="A4818" s="5"/>
    </row>
    <row r="4819" spans="1:1">
      <c r="A4819" s="5"/>
    </row>
    <row r="4820" spans="1:1">
      <c r="A4820" s="5"/>
    </row>
    <row r="4821" spans="1:1">
      <c r="A4821" s="5"/>
    </row>
    <row r="4822" spans="1:1">
      <c r="A4822" s="5"/>
    </row>
    <row r="4823" spans="1:1">
      <c r="A4823" s="5"/>
    </row>
    <row r="4824" spans="1:1">
      <c r="A4824" s="5"/>
    </row>
    <row r="4825" spans="1:1">
      <c r="A4825" s="5"/>
    </row>
    <row r="4826" spans="1:1">
      <c r="A4826" s="5"/>
    </row>
    <row r="4827" spans="1:1">
      <c r="A4827" s="5"/>
    </row>
    <row r="4828" spans="1:1">
      <c r="A4828" s="5"/>
    </row>
    <row r="4829" spans="1:1">
      <c r="A4829" s="5"/>
    </row>
    <row r="4830" spans="1:1">
      <c r="A4830" s="5"/>
    </row>
    <row r="4831" spans="1:1">
      <c r="A4831" s="5"/>
    </row>
    <row r="4832" spans="1:1">
      <c r="A4832" s="5"/>
    </row>
    <row r="4833" spans="1:1">
      <c r="A4833" s="5"/>
    </row>
    <row r="4834" spans="1:1">
      <c r="A4834" s="5"/>
    </row>
    <row r="4835" spans="1:1">
      <c r="A4835" s="5"/>
    </row>
    <row r="4836" spans="1:1">
      <c r="A4836" s="5"/>
    </row>
    <row r="4837" spans="1:1">
      <c r="A4837" s="5"/>
    </row>
    <row r="4838" spans="1:1">
      <c r="A4838" s="5"/>
    </row>
    <row r="4839" spans="1:1">
      <c r="A4839" s="5"/>
    </row>
    <row r="4840" spans="1:1">
      <c r="A4840" s="5"/>
    </row>
    <row r="4841" spans="1:1">
      <c r="A4841" s="5"/>
    </row>
    <row r="4842" spans="1:1">
      <c r="A4842" s="5"/>
    </row>
    <row r="4843" spans="1:1">
      <c r="A4843" s="5"/>
    </row>
    <row r="4844" spans="1:1">
      <c r="A4844" s="5"/>
    </row>
    <row r="4845" spans="1:1">
      <c r="A4845" s="5"/>
    </row>
    <row r="4846" spans="1:1">
      <c r="A4846" s="5"/>
    </row>
    <row r="4847" spans="1:1">
      <c r="A4847" s="5"/>
    </row>
    <row r="4848" spans="1:1">
      <c r="A4848" s="5"/>
    </row>
    <row r="4849" spans="1:1">
      <c r="A4849" s="5"/>
    </row>
    <row r="4850" spans="1:1">
      <c r="A4850" s="5"/>
    </row>
    <row r="4851" spans="1:1">
      <c r="A4851" s="5"/>
    </row>
    <row r="4852" spans="1:1">
      <c r="A4852" s="5"/>
    </row>
    <row r="4853" spans="1:1">
      <c r="A4853" s="5"/>
    </row>
    <row r="4854" spans="1:1">
      <c r="A4854" s="5"/>
    </row>
    <row r="4855" spans="1:1">
      <c r="A4855" s="5"/>
    </row>
    <row r="4856" spans="1:1">
      <c r="A4856" s="5"/>
    </row>
    <row r="4857" spans="1:1">
      <c r="A4857" s="5"/>
    </row>
    <row r="4858" spans="1:1">
      <c r="A4858" s="5"/>
    </row>
    <row r="4859" spans="1:1">
      <c r="A4859" s="5"/>
    </row>
    <row r="4860" spans="1:1">
      <c r="A4860" s="5"/>
    </row>
    <row r="4861" spans="1:1">
      <c r="A4861" s="5"/>
    </row>
    <row r="4862" spans="1:1">
      <c r="A4862" s="5"/>
    </row>
    <row r="4863" spans="1:1">
      <c r="A4863" s="5"/>
    </row>
    <row r="4864" spans="1:1">
      <c r="A4864" s="5"/>
    </row>
    <row r="4865" spans="1:1">
      <c r="A4865" s="5"/>
    </row>
    <row r="4866" spans="1:1">
      <c r="A4866" s="5"/>
    </row>
    <row r="4867" spans="1:1">
      <c r="A4867" s="5"/>
    </row>
    <row r="4868" spans="1:1">
      <c r="A4868" s="5"/>
    </row>
    <row r="4869" spans="1:1">
      <c r="A4869" s="5"/>
    </row>
    <row r="4870" spans="1:1">
      <c r="A4870" s="5"/>
    </row>
    <row r="4871" spans="1:1">
      <c r="A4871" s="5"/>
    </row>
    <row r="4872" spans="1:1">
      <c r="A4872" s="5"/>
    </row>
    <row r="4873" spans="1:1">
      <c r="A4873" s="5"/>
    </row>
    <row r="4874" spans="1:1">
      <c r="A4874" s="5"/>
    </row>
    <row r="4875" spans="1:1">
      <c r="A4875" s="5"/>
    </row>
    <row r="4876" spans="1:1">
      <c r="A4876" s="5"/>
    </row>
    <row r="4877" spans="1:1">
      <c r="A4877" s="5"/>
    </row>
    <row r="4878" spans="1:1">
      <c r="A4878" s="5"/>
    </row>
    <row r="4879" spans="1:1">
      <c r="A4879" s="5"/>
    </row>
    <row r="4880" spans="1:1">
      <c r="A4880" s="5"/>
    </row>
    <row r="4881" spans="1:1">
      <c r="A4881" s="5"/>
    </row>
    <row r="4882" spans="1:1">
      <c r="A4882" s="5"/>
    </row>
    <row r="4883" spans="1:1">
      <c r="A4883" s="5"/>
    </row>
    <row r="4884" spans="1:1">
      <c r="A4884" s="5"/>
    </row>
    <row r="4885" spans="1:1">
      <c r="A4885" s="5"/>
    </row>
    <row r="4886" spans="1:1">
      <c r="A4886" s="5"/>
    </row>
    <row r="4887" spans="1:1">
      <c r="A4887" s="5"/>
    </row>
    <row r="4888" spans="1:1">
      <c r="A4888" s="5"/>
    </row>
    <row r="4889" spans="1:1">
      <c r="A4889" s="5"/>
    </row>
    <row r="4890" spans="1:1">
      <c r="A4890" s="5"/>
    </row>
    <row r="4891" spans="1:1">
      <c r="A4891" s="5"/>
    </row>
    <row r="4892" spans="1:1">
      <c r="A4892" s="5"/>
    </row>
    <row r="4893" spans="1:1">
      <c r="A4893" s="5"/>
    </row>
    <row r="4894" spans="1:1">
      <c r="A4894" s="5"/>
    </row>
    <row r="4895" spans="1:1">
      <c r="A4895" s="5"/>
    </row>
    <row r="4896" spans="1:1">
      <c r="A4896" s="5"/>
    </row>
    <row r="4897" spans="1:1">
      <c r="A4897" s="5"/>
    </row>
    <row r="4898" spans="1:1">
      <c r="A4898" s="5"/>
    </row>
    <row r="4899" spans="1:1">
      <c r="A4899" s="5"/>
    </row>
    <row r="4900" spans="1:1">
      <c r="A4900" s="5"/>
    </row>
    <row r="4901" spans="1:1">
      <c r="A4901" s="5"/>
    </row>
    <row r="4902" spans="1:1">
      <c r="A4902" s="5"/>
    </row>
    <row r="4903" spans="1:1">
      <c r="A4903" s="5"/>
    </row>
    <row r="4904" spans="1:1">
      <c r="A4904" s="5"/>
    </row>
    <row r="4905" spans="1:1">
      <c r="A4905" s="5"/>
    </row>
    <row r="4906" spans="1:1">
      <c r="A4906" s="5"/>
    </row>
    <row r="4907" spans="1:1">
      <c r="A4907" s="5"/>
    </row>
    <row r="4908" spans="1:1">
      <c r="A4908" s="5"/>
    </row>
    <row r="4909" spans="1:1">
      <c r="A4909" s="5"/>
    </row>
    <row r="4910" spans="1:1">
      <c r="A4910" s="5"/>
    </row>
    <row r="4911" spans="1:1">
      <c r="A4911" s="5"/>
    </row>
    <row r="4912" spans="1:1">
      <c r="A4912" s="5"/>
    </row>
    <row r="4913" spans="1:1">
      <c r="A4913" s="5"/>
    </row>
    <row r="4914" spans="1:1">
      <c r="A4914" s="5"/>
    </row>
    <row r="4915" spans="1:1">
      <c r="A4915" s="5"/>
    </row>
    <row r="4916" spans="1:1">
      <c r="A4916" s="5"/>
    </row>
    <row r="4917" spans="1:1">
      <c r="A4917" s="5"/>
    </row>
    <row r="4918" spans="1:1">
      <c r="A4918" s="5"/>
    </row>
    <row r="4919" spans="1:1">
      <c r="A4919" s="5"/>
    </row>
    <row r="4920" spans="1:1">
      <c r="A4920" s="5"/>
    </row>
    <row r="4921" spans="1:1">
      <c r="A4921" s="5"/>
    </row>
    <row r="4922" spans="1:1">
      <c r="A4922" s="5"/>
    </row>
    <row r="4923" spans="1:1">
      <c r="A4923" s="5"/>
    </row>
    <row r="4924" spans="1:1">
      <c r="A4924" s="5"/>
    </row>
    <row r="4925" spans="1:1">
      <c r="A4925" s="5"/>
    </row>
    <row r="4926" spans="1:1">
      <c r="A4926" s="5"/>
    </row>
    <row r="4927" spans="1:1">
      <c r="A4927" s="5"/>
    </row>
    <row r="4928" spans="1:1">
      <c r="A4928" s="5"/>
    </row>
    <row r="4929" spans="1:1">
      <c r="A4929" s="5"/>
    </row>
    <row r="4930" spans="1:1">
      <c r="A4930" s="5"/>
    </row>
    <row r="4931" spans="1:1">
      <c r="A4931" s="5"/>
    </row>
    <row r="4932" spans="1:1">
      <c r="A4932" s="5"/>
    </row>
    <row r="4933" spans="1:1">
      <c r="A4933" s="5"/>
    </row>
    <row r="4934" spans="1:1">
      <c r="A4934" s="5"/>
    </row>
    <row r="4935" spans="1:1">
      <c r="A4935" s="5"/>
    </row>
    <row r="4936" spans="1:1">
      <c r="A4936" s="5"/>
    </row>
    <row r="4937" spans="1:1">
      <c r="A4937" s="5"/>
    </row>
    <row r="4938" spans="1:1">
      <c r="A4938" s="5"/>
    </row>
    <row r="4939" spans="1:1">
      <c r="A4939" s="5"/>
    </row>
    <row r="4940" spans="1:1">
      <c r="A4940" s="5"/>
    </row>
    <row r="4941" spans="1:1">
      <c r="A4941" s="5"/>
    </row>
    <row r="4942" spans="1:1">
      <c r="A4942" s="5"/>
    </row>
    <row r="4943" spans="1:1">
      <c r="A4943" s="5"/>
    </row>
    <row r="4944" spans="1:1">
      <c r="A4944" s="5"/>
    </row>
    <row r="4945" spans="1:1">
      <c r="A4945" s="5"/>
    </row>
    <row r="4946" spans="1:1">
      <c r="A4946" s="5"/>
    </row>
    <row r="4947" spans="1:1">
      <c r="A4947" s="5"/>
    </row>
    <row r="4948" spans="1:1">
      <c r="A4948" s="5"/>
    </row>
    <row r="4949" spans="1:1">
      <c r="A4949" s="5"/>
    </row>
    <row r="4950" spans="1:1">
      <c r="A4950" s="5"/>
    </row>
    <row r="4951" spans="1:1">
      <c r="A4951" s="5"/>
    </row>
    <row r="4952" spans="1:1">
      <c r="A4952" s="5"/>
    </row>
    <row r="4953" spans="1:1">
      <c r="A4953" s="5"/>
    </row>
    <row r="4954" spans="1:1">
      <c r="A4954" s="5"/>
    </row>
    <row r="4955" spans="1:1">
      <c r="A4955" s="5"/>
    </row>
    <row r="4956" spans="1:1">
      <c r="A4956" s="5"/>
    </row>
    <row r="4957" spans="1:1">
      <c r="A4957" s="5"/>
    </row>
    <row r="4958" spans="1:1">
      <c r="A4958" s="5"/>
    </row>
    <row r="4959" spans="1:1">
      <c r="A4959" s="5"/>
    </row>
    <row r="4960" spans="1:1">
      <c r="A4960" s="5"/>
    </row>
    <row r="4961" spans="1:1">
      <c r="A4961" s="5"/>
    </row>
    <row r="4962" spans="1:1">
      <c r="A4962" s="5"/>
    </row>
    <row r="4963" spans="1:1">
      <c r="A4963" s="5"/>
    </row>
    <row r="4964" spans="1:1">
      <c r="A4964" s="5"/>
    </row>
    <row r="4965" spans="1:1">
      <c r="A4965" s="5"/>
    </row>
    <row r="4966" spans="1:1">
      <c r="A4966" s="5"/>
    </row>
    <row r="4967" spans="1:1">
      <c r="A4967" s="5"/>
    </row>
    <row r="4968" spans="1:1">
      <c r="A4968" s="5"/>
    </row>
    <row r="4969" spans="1:1">
      <c r="A4969" s="5"/>
    </row>
    <row r="4970" spans="1:1">
      <c r="A4970" s="5"/>
    </row>
    <row r="4971" spans="1:1">
      <c r="A4971" s="5"/>
    </row>
    <row r="4972" spans="1:1">
      <c r="A4972" s="5"/>
    </row>
    <row r="4973" spans="1:1">
      <c r="A4973" s="5"/>
    </row>
    <row r="4974" spans="1:1">
      <c r="A4974" s="5"/>
    </row>
    <row r="4975" spans="1:1">
      <c r="A4975" s="5"/>
    </row>
    <row r="4976" spans="1:1">
      <c r="A4976" s="5"/>
    </row>
    <row r="4977" spans="1:1">
      <c r="A4977" s="5"/>
    </row>
    <row r="4978" spans="1:1">
      <c r="A4978" s="5"/>
    </row>
    <row r="4979" spans="1:1">
      <c r="A4979" s="5"/>
    </row>
    <row r="4980" spans="1:1">
      <c r="A4980" s="5"/>
    </row>
    <row r="4981" spans="1:1">
      <c r="A4981" s="5"/>
    </row>
    <row r="4982" spans="1:1">
      <c r="A4982" s="5"/>
    </row>
    <row r="4983" spans="1:1">
      <c r="A4983" s="5"/>
    </row>
    <row r="4984" spans="1:1">
      <c r="A4984" s="5"/>
    </row>
    <row r="4985" spans="1:1">
      <c r="A4985" s="5"/>
    </row>
    <row r="4986" spans="1:1">
      <c r="A4986" s="5"/>
    </row>
    <row r="4987" spans="1:1">
      <c r="A4987" s="5"/>
    </row>
    <row r="4988" spans="1:1">
      <c r="A4988" s="5"/>
    </row>
    <row r="4989" spans="1:1">
      <c r="A4989" s="5"/>
    </row>
    <row r="4990" spans="1:1">
      <c r="A4990" s="5"/>
    </row>
    <row r="4991" spans="1:1">
      <c r="A4991" s="5"/>
    </row>
    <row r="4992" spans="1:1">
      <c r="A4992" s="5"/>
    </row>
    <row r="4993" spans="1:1">
      <c r="A4993" s="5"/>
    </row>
    <row r="4994" spans="1:1">
      <c r="A4994" s="5"/>
    </row>
    <row r="4995" spans="1:1">
      <c r="A4995" s="5"/>
    </row>
    <row r="4996" spans="1:1">
      <c r="A4996" s="5"/>
    </row>
    <row r="4997" spans="1:1">
      <c r="A4997" s="5"/>
    </row>
    <row r="4998" spans="1:1">
      <c r="A4998" s="5"/>
    </row>
    <row r="4999" spans="1:1">
      <c r="A4999" s="5"/>
    </row>
    <row r="5000" spans="1:1">
      <c r="A5000" s="5"/>
    </row>
    <row r="5001" spans="1:1">
      <c r="A5001" s="5"/>
    </row>
    <row r="5002" spans="1:1">
      <c r="A5002" s="5"/>
    </row>
    <row r="5003" spans="1:1">
      <c r="A5003" s="5"/>
    </row>
    <row r="5004" spans="1:1">
      <c r="A5004" s="5"/>
    </row>
    <row r="5005" spans="1:1">
      <c r="A5005" s="5"/>
    </row>
    <row r="5006" spans="1:1">
      <c r="A5006" s="5"/>
    </row>
    <row r="5007" spans="1:1">
      <c r="A5007" s="5"/>
    </row>
    <row r="5008" spans="1:1">
      <c r="A5008" s="5"/>
    </row>
    <row r="5009" spans="1:1">
      <c r="A5009" s="5"/>
    </row>
    <row r="5010" spans="1:1">
      <c r="A5010" s="5"/>
    </row>
    <row r="5011" spans="1:1">
      <c r="A5011" s="5"/>
    </row>
    <row r="5012" spans="1:1">
      <c r="A5012" s="5"/>
    </row>
    <row r="5013" spans="1:1">
      <c r="A5013" s="5"/>
    </row>
    <row r="5014" spans="1:1">
      <c r="A5014" s="5"/>
    </row>
    <row r="5015" spans="1:1">
      <c r="A5015" s="5"/>
    </row>
    <row r="5016" spans="1:1">
      <c r="A5016" s="5"/>
    </row>
    <row r="5017" spans="1:1">
      <c r="A5017" s="5"/>
    </row>
    <row r="5018" spans="1:1">
      <c r="A5018" s="5"/>
    </row>
    <row r="5019" spans="1:1">
      <c r="A5019" s="5"/>
    </row>
    <row r="5020" spans="1:1">
      <c r="A5020" s="5"/>
    </row>
    <row r="5021" spans="1:1">
      <c r="A5021" s="5"/>
    </row>
    <row r="5022" spans="1:1">
      <c r="A5022" s="5"/>
    </row>
    <row r="5023" spans="1:1">
      <c r="A5023" s="5"/>
    </row>
    <row r="5024" spans="1:1">
      <c r="A5024" s="5"/>
    </row>
    <row r="5025" spans="1:1">
      <c r="A5025" s="5"/>
    </row>
    <row r="5026" spans="1:1">
      <c r="A5026" s="5"/>
    </row>
    <row r="5027" spans="1:1">
      <c r="A5027" s="5"/>
    </row>
    <row r="5028" spans="1:1">
      <c r="A5028" s="5"/>
    </row>
    <row r="5029" spans="1:1">
      <c r="A5029" s="5"/>
    </row>
    <row r="5030" spans="1:1">
      <c r="A5030" s="5"/>
    </row>
    <row r="5031" spans="1:1">
      <c r="A5031" s="5"/>
    </row>
    <row r="5032" spans="1:1">
      <c r="A5032" s="5"/>
    </row>
    <row r="5033" spans="1:1">
      <c r="A5033" s="5"/>
    </row>
    <row r="5034" spans="1:1">
      <c r="A5034" s="5"/>
    </row>
    <row r="5035" spans="1:1">
      <c r="A5035" s="5"/>
    </row>
    <row r="5036" spans="1:1">
      <c r="A5036" s="5"/>
    </row>
    <row r="5037" spans="1:1">
      <c r="A5037" s="5"/>
    </row>
    <row r="5038" spans="1:1">
      <c r="A5038" s="5"/>
    </row>
    <row r="5039" spans="1:1">
      <c r="A5039" s="5"/>
    </row>
    <row r="5040" spans="1:1">
      <c r="A5040" s="5"/>
    </row>
    <row r="5041" spans="1:1">
      <c r="A5041" s="5"/>
    </row>
    <row r="5042" spans="1:1">
      <c r="A5042" s="5"/>
    </row>
    <row r="5043" spans="1:1">
      <c r="A5043" s="5"/>
    </row>
    <row r="5044" spans="1:1">
      <c r="A5044" s="5"/>
    </row>
    <row r="5045" spans="1:1">
      <c r="A5045" s="5"/>
    </row>
    <row r="5046" spans="1:1">
      <c r="A5046" s="5"/>
    </row>
    <row r="5047" spans="1:1">
      <c r="A5047" s="5"/>
    </row>
    <row r="5048" spans="1:1">
      <c r="A5048" s="5"/>
    </row>
    <row r="5049" spans="1:1">
      <c r="A5049" s="5"/>
    </row>
    <row r="5050" spans="1:1">
      <c r="A5050" s="5"/>
    </row>
    <row r="5051" spans="1:1">
      <c r="A5051" s="5"/>
    </row>
    <row r="5052" spans="1:1">
      <c r="A5052" s="5"/>
    </row>
    <row r="5053" spans="1:1">
      <c r="A5053" s="5"/>
    </row>
    <row r="5054" spans="1:1">
      <c r="A5054" s="5"/>
    </row>
    <row r="5055" spans="1:1">
      <c r="A5055" s="5"/>
    </row>
    <row r="5056" spans="1:1">
      <c r="A5056" s="5"/>
    </row>
    <row r="5057" spans="1:1">
      <c r="A5057" s="5"/>
    </row>
    <row r="5058" spans="1:1">
      <c r="A5058" s="5"/>
    </row>
    <row r="5059" spans="1:1">
      <c r="A5059" s="5"/>
    </row>
    <row r="5060" spans="1:1">
      <c r="A5060" s="5"/>
    </row>
    <row r="5061" spans="1:1">
      <c r="A5061" s="5"/>
    </row>
    <row r="5062" spans="1:1">
      <c r="A5062" s="5"/>
    </row>
    <row r="5063" spans="1:1">
      <c r="A5063" s="5"/>
    </row>
    <row r="5064" spans="1:1">
      <c r="A5064" s="5"/>
    </row>
    <row r="5065" spans="1:1">
      <c r="A5065" s="5"/>
    </row>
    <row r="5066" spans="1:1">
      <c r="A5066" s="5"/>
    </row>
    <row r="5067" spans="1:1">
      <c r="A5067" s="5"/>
    </row>
    <row r="5068" spans="1:1">
      <c r="A5068" s="5"/>
    </row>
    <row r="5069" spans="1:1">
      <c r="A5069" s="5"/>
    </row>
    <row r="5070" spans="1:1">
      <c r="A5070" s="5"/>
    </row>
    <row r="5071" spans="1:1">
      <c r="A5071" s="5"/>
    </row>
    <row r="5072" spans="1:1">
      <c r="A5072" s="5"/>
    </row>
    <row r="5073" spans="1:1">
      <c r="A5073" s="5"/>
    </row>
    <row r="5074" spans="1:1">
      <c r="A5074" s="5"/>
    </row>
    <row r="5075" spans="1:1">
      <c r="A5075" s="5"/>
    </row>
    <row r="5076" spans="1:1">
      <c r="A5076" s="5"/>
    </row>
    <row r="5077" spans="1:1">
      <c r="A5077" s="5"/>
    </row>
    <row r="5078" spans="1:1">
      <c r="A5078" s="5"/>
    </row>
    <row r="5079" spans="1:1">
      <c r="A5079" s="5"/>
    </row>
    <row r="5080" spans="1:1">
      <c r="A5080" s="5"/>
    </row>
    <row r="5081" spans="1:1">
      <c r="A5081" s="5"/>
    </row>
    <row r="5082" spans="1:1">
      <c r="A5082" s="5"/>
    </row>
    <row r="5083" spans="1:1">
      <c r="A5083" s="5"/>
    </row>
    <row r="5084" spans="1:1">
      <c r="A5084" s="5"/>
    </row>
    <row r="5085" spans="1:1">
      <c r="A5085" s="5"/>
    </row>
    <row r="5086" spans="1:1">
      <c r="A5086" s="5"/>
    </row>
    <row r="5087" spans="1:1">
      <c r="A5087" s="5"/>
    </row>
    <row r="5088" spans="1:1">
      <c r="A5088" s="5"/>
    </row>
    <row r="5089" spans="1:1">
      <c r="A5089" s="5"/>
    </row>
    <row r="5090" spans="1:1">
      <c r="A5090" s="5"/>
    </row>
    <row r="5091" spans="1:1">
      <c r="A5091" s="5"/>
    </row>
    <row r="5092" spans="1:1">
      <c r="A5092" s="5"/>
    </row>
    <row r="5093" spans="1:1">
      <c r="A5093" s="5"/>
    </row>
    <row r="5094" spans="1:1">
      <c r="A5094" s="5"/>
    </row>
    <row r="5095" spans="1:1">
      <c r="A5095" s="5"/>
    </row>
    <row r="5096" spans="1:1">
      <c r="A5096" s="5"/>
    </row>
    <row r="5097" spans="1:1">
      <c r="A5097" s="5"/>
    </row>
    <row r="5098" spans="1:1">
      <c r="A5098" s="5"/>
    </row>
    <row r="5099" spans="1:1">
      <c r="A5099" s="5"/>
    </row>
    <row r="5100" spans="1:1">
      <c r="A5100" s="5"/>
    </row>
    <row r="5101" spans="1:1">
      <c r="A5101" s="5"/>
    </row>
    <row r="5102" spans="1:1">
      <c r="A5102" s="5"/>
    </row>
    <row r="5103" spans="1:1">
      <c r="A5103" s="5"/>
    </row>
    <row r="5104" spans="1:1">
      <c r="A5104" s="5"/>
    </row>
    <row r="5105" spans="1:1">
      <c r="A5105" s="5"/>
    </row>
    <row r="5106" spans="1:1">
      <c r="A5106" s="5"/>
    </row>
    <row r="5107" spans="1:1">
      <c r="A5107" s="5"/>
    </row>
    <row r="5108" spans="1:1">
      <c r="A5108" s="5"/>
    </row>
    <row r="5109" spans="1:1">
      <c r="A5109" s="5"/>
    </row>
    <row r="5110" spans="1:1">
      <c r="A5110" s="5"/>
    </row>
    <row r="5111" spans="1:1">
      <c r="A5111" s="5"/>
    </row>
    <row r="5112" spans="1:1">
      <c r="A5112" s="5"/>
    </row>
    <row r="5113" spans="1:1">
      <c r="A5113" s="5"/>
    </row>
    <row r="5114" spans="1:1">
      <c r="A5114" s="5"/>
    </row>
    <row r="5115" spans="1:1">
      <c r="A5115" s="5"/>
    </row>
    <row r="5116" spans="1:1">
      <c r="A5116" s="5"/>
    </row>
    <row r="5117" spans="1:1">
      <c r="A5117" s="5"/>
    </row>
    <row r="5118" spans="1:1">
      <c r="A5118" s="5"/>
    </row>
    <row r="5119" spans="1:1">
      <c r="A5119" s="5"/>
    </row>
    <row r="5120" spans="1:1">
      <c r="A5120" s="5"/>
    </row>
    <row r="5121" spans="1:1">
      <c r="A5121" s="5"/>
    </row>
    <row r="5122" spans="1:1">
      <c r="A5122" s="5"/>
    </row>
    <row r="5123" spans="1:1">
      <c r="A5123" s="5"/>
    </row>
    <row r="5124" spans="1:1">
      <c r="A5124" s="5"/>
    </row>
    <row r="5125" spans="1:1">
      <c r="A5125" s="5"/>
    </row>
    <row r="5126" spans="1:1">
      <c r="A5126" s="5"/>
    </row>
    <row r="5127" spans="1:1">
      <c r="A5127" s="5"/>
    </row>
    <row r="5128" spans="1:1">
      <c r="A5128" s="5"/>
    </row>
    <row r="5129" spans="1:1">
      <c r="A5129" s="5"/>
    </row>
    <row r="5130" spans="1:1">
      <c r="A5130" s="5"/>
    </row>
    <row r="5131" spans="1:1">
      <c r="A5131" s="5"/>
    </row>
    <row r="5132" spans="1:1">
      <c r="A5132" s="5"/>
    </row>
    <row r="5133" spans="1:1">
      <c r="A5133" s="5"/>
    </row>
    <row r="5134" spans="1:1">
      <c r="A5134" s="5"/>
    </row>
    <row r="5135" spans="1:1">
      <c r="A5135" s="5"/>
    </row>
    <row r="5136" spans="1:1">
      <c r="A5136" s="5"/>
    </row>
    <row r="5137" spans="1:1">
      <c r="A5137" s="5"/>
    </row>
    <row r="5138" spans="1:1">
      <c r="A5138" s="5"/>
    </row>
    <row r="5139" spans="1:1">
      <c r="A5139" s="5"/>
    </row>
    <row r="5140" spans="1:1">
      <c r="A5140" s="5"/>
    </row>
    <row r="5141" spans="1:1">
      <c r="A5141" s="5"/>
    </row>
    <row r="5142" spans="1:1">
      <c r="A5142" s="5"/>
    </row>
    <row r="5143" spans="1:1">
      <c r="A5143" s="5"/>
    </row>
    <row r="5144" spans="1:1">
      <c r="A5144" s="5"/>
    </row>
    <row r="5145" spans="1:1">
      <c r="A5145" s="5"/>
    </row>
    <row r="5146" spans="1:1">
      <c r="A5146" s="5"/>
    </row>
    <row r="5147" spans="1:1">
      <c r="A5147" s="5"/>
    </row>
    <row r="5148" spans="1:1">
      <c r="A5148" s="5"/>
    </row>
    <row r="5149" spans="1:1">
      <c r="A5149" s="5"/>
    </row>
    <row r="5150" spans="1:1">
      <c r="A5150" s="5"/>
    </row>
    <row r="5151" spans="1:1">
      <c r="A5151" s="5"/>
    </row>
    <row r="5152" spans="1:1">
      <c r="A5152" s="5"/>
    </row>
    <row r="5153" spans="1:1">
      <c r="A5153" s="5"/>
    </row>
    <row r="5154" spans="1:1">
      <c r="A5154" s="5"/>
    </row>
    <row r="5155" spans="1:1">
      <c r="A5155" s="5"/>
    </row>
    <row r="5156" spans="1:1">
      <c r="A5156" s="5"/>
    </row>
    <row r="5157" spans="1:1">
      <c r="A5157" s="5"/>
    </row>
    <row r="5158" spans="1:1">
      <c r="A5158" s="5"/>
    </row>
    <row r="5159" spans="1:1">
      <c r="A5159" s="5"/>
    </row>
    <row r="5160" spans="1:1">
      <c r="A5160" s="5"/>
    </row>
    <row r="5161" spans="1:1">
      <c r="A5161" s="5"/>
    </row>
    <row r="5162" spans="1:1">
      <c r="A5162" s="5"/>
    </row>
    <row r="5163" spans="1:1">
      <c r="A5163" s="5"/>
    </row>
    <row r="5164" spans="1:1">
      <c r="A5164" s="5"/>
    </row>
    <row r="5165" spans="1:1">
      <c r="A5165" s="5"/>
    </row>
    <row r="5166" spans="1:1">
      <c r="A5166" s="5"/>
    </row>
    <row r="5167" spans="1:1">
      <c r="A5167" s="5"/>
    </row>
    <row r="5168" spans="1:1">
      <c r="A5168" s="5"/>
    </row>
    <row r="5169" spans="1:1">
      <c r="A5169" s="5"/>
    </row>
    <row r="5170" spans="1:1">
      <c r="A5170" s="5"/>
    </row>
    <row r="5171" spans="1:1">
      <c r="A5171" s="5"/>
    </row>
    <row r="5172" spans="1:1">
      <c r="A5172" s="5"/>
    </row>
    <row r="5173" spans="1:1">
      <c r="A5173" s="5"/>
    </row>
    <row r="5174" spans="1:1">
      <c r="A5174" s="5"/>
    </row>
    <row r="5175" spans="1:1">
      <c r="A5175" s="5"/>
    </row>
    <row r="5176" spans="1:1">
      <c r="A5176" s="5"/>
    </row>
    <row r="5177" spans="1:1">
      <c r="A5177" s="5"/>
    </row>
    <row r="5178" spans="1:1">
      <c r="A5178" s="5"/>
    </row>
    <row r="5179" spans="1:1">
      <c r="A5179" s="5"/>
    </row>
    <row r="5180" spans="1:1">
      <c r="A5180" s="5"/>
    </row>
    <row r="5181" spans="1:1">
      <c r="A5181" s="5"/>
    </row>
    <row r="5182" spans="1:1">
      <c r="A5182" s="5"/>
    </row>
    <row r="5183" spans="1:1">
      <c r="A5183" s="5"/>
    </row>
    <row r="5184" spans="1:1">
      <c r="A5184" s="5"/>
    </row>
    <row r="5185" spans="1:1">
      <c r="A5185" s="5"/>
    </row>
    <row r="5186" spans="1:1">
      <c r="A5186" s="5"/>
    </row>
    <row r="5187" spans="1:1">
      <c r="A5187" s="5"/>
    </row>
    <row r="5188" spans="1:1">
      <c r="A5188" s="5"/>
    </row>
    <row r="5189" spans="1:1">
      <c r="A5189" s="5"/>
    </row>
    <row r="5190" spans="1:1">
      <c r="A5190" s="5"/>
    </row>
    <row r="5191" spans="1:1">
      <c r="A5191" s="5"/>
    </row>
    <row r="5192" spans="1:1">
      <c r="A5192" s="5"/>
    </row>
    <row r="5193" spans="1:1">
      <c r="A5193" s="5"/>
    </row>
    <row r="5194" spans="1:1">
      <c r="A5194" s="5"/>
    </row>
    <row r="5195" spans="1:1">
      <c r="A5195" s="5"/>
    </row>
    <row r="5196" spans="1:1">
      <c r="A5196" s="5"/>
    </row>
    <row r="5197" spans="1:1">
      <c r="A5197" s="5"/>
    </row>
    <row r="5198" spans="1:1">
      <c r="A5198" s="5"/>
    </row>
    <row r="5199" spans="1:1">
      <c r="A5199" s="5"/>
    </row>
    <row r="5200" spans="1:1">
      <c r="A5200" s="5"/>
    </row>
    <row r="5201" spans="1:1">
      <c r="A5201" s="5"/>
    </row>
    <row r="5202" spans="1:1">
      <c r="A5202" s="5"/>
    </row>
    <row r="5203" spans="1:1">
      <c r="A5203" s="5"/>
    </row>
    <row r="5204" spans="1:1">
      <c r="A5204" s="5"/>
    </row>
    <row r="5205" spans="1:1">
      <c r="A5205" s="5"/>
    </row>
    <row r="5206" spans="1:1">
      <c r="A5206" s="5"/>
    </row>
    <row r="5207" spans="1:1">
      <c r="A5207" s="5"/>
    </row>
    <row r="5208" spans="1:1">
      <c r="A5208" s="5"/>
    </row>
    <row r="5209" spans="1:1">
      <c r="A5209" s="5"/>
    </row>
    <row r="5210" spans="1:1">
      <c r="A5210" s="5"/>
    </row>
    <row r="5211" spans="1:1">
      <c r="A5211" s="5"/>
    </row>
    <row r="5212" spans="1:1">
      <c r="A5212" s="5"/>
    </row>
    <row r="5213" spans="1:1">
      <c r="A5213" s="5"/>
    </row>
    <row r="5214" spans="1:1">
      <c r="A5214" s="5"/>
    </row>
    <row r="5215" spans="1:1">
      <c r="A5215" s="5"/>
    </row>
    <row r="5216" spans="1:1">
      <c r="A5216" s="5"/>
    </row>
    <row r="5217" spans="1:1">
      <c r="A5217" s="5"/>
    </row>
    <row r="5218" spans="1:1">
      <c r="A5218" s="5"/>
    </row>
    <row r="5219" spans="1:1">
      <c r="A5219" s="5"/>
    </row>
    <row r="5220" spans="1:1">
      <c r="A5220" s="5"/>
    </row>
    <row r="5221" spans="1:1">
      <c r="A5221" s="5"/>
    </row>
    <row r="5222" spans="1:1">
      <c r="A5222" s="5"/>
    </row>
    <row r="5223" spans="1:1">
      <c r="A5223" s="5"/>
    </row>
    <row r="5224" spans="1:1">
      <c r="A5224" s="5"/>
    </row>
    <row r="5225" spans="1:1">
      <c r="A5225" s="5"/>
    </row>
    <row r="5226" spans="1:1">
      <c r="A5226" s="5"/>
    </row>
    <row r="5227" spans="1:1">
      <c r="A5227" s="5"/>
    </row>
    <row r="5228" spans="1:1">
      <c r="A5228" s="5"/>
    </row>
    <row r="5229" spans="1:1">
      <c r="A5229" s="5"/>
    </row>
    <row r="5230" spans="1:1">
      <c r="A5230" s="5"/>
    </row>
    <row r="5231" spans="1:1">
      <c r="A5231" s="5"/>
    </row>
    <row r="5232" spans="1:1">
      <c r="A5232" s="5"/>
    </row>
    <row r="5233" spans="1:1">
      <c r="A5233" s="5"/>
    </row>
    <row r="5234" spans="1:1">
      <c r="A5234" s="5"/>
    </row>
    <row r="5235" spans="1:1">
      <c r="A5235" s="5"/>
    </row>
    <row r="5236" spans="1:1">
      <c r="A5236" s="5"/>
    </row>
    <row r="5237" spans="1:1">
      <c r="A5237" s="5"/>
    </row>
    <row r="5238" spans="1:1">
      <c r="A5238" s="5"/>
    </row>
    <row r="5239" spans="1:1">
      <c r="A5239" s="5"/>
    </row>
    <row r="5240" spans="1:1">
      <c r="A5240" s="5"/>
    </row>
    <row r="5241" spans="1:1">
      <c r="A5241" s="5"/>
    </row>
    <row r="5242" spans="1:1">
      <c r="A5242" s="5"/>
    </row>
    <row r="5243" spans="1:1">
      <c r="A5243" s="5"/>
    </row>
    <row r="5244" spans="1:1">
      <c r="A5244" s="5"/>
    </row>
    <row r="5245" spans="1:1">
      <c r="A5245" s="5"/>
    </row>
    <row r="5246" spans="1:1">
      <c r="A5246" s="5"/>
    </row>
    <row r="5247" spans="1:1">
      <c r="A5247" s="5"/>
    </row>
    <row r="5248" spans="1:1">
      <c r="A5248" s="5"/>
    </row>
    <row r="5249" spans="1:1">
      <c r="A5249" s="5"/>
    </row>
    <row r="5250" spans="1:1">
      <c r="A5250" s="5"/>
    </row>
    <row r="5251" spans="1:1">
      <c r="A5251" s="5"/>
    </row>
    <row r="5252" spans="1:1">
      <c r="A5252" s="5"/>
    </row>
    <row r="5253" spans="1:1">
      <c r="A5253" s="5"/>
    </row>
    <row r="5254" spans="1:1">
      <c r="A5254" s="5"/>
    </row>
    <row r="5255" spans="1:1">
      <c r="A5255" s="5"/>
    </row>
    <row r="5256" spans="1:1">
      <c r="A5256" s="5"/>
    </row>
    <row r="5257" spans="1:1">
      <c r="A5257" s="5"/>
    </row>
    <row r="5258" spans="1:1">
      <c r="A5258" s="5"/>
    </row>
    <row r="5259" spans="1:1">
      <c r="A5259" s="5"/>
    </row>
    <row r="5260" spans="1:1">
      <c r="A5260" s="5"/>
    </row>
    <row r="5261" spans="1:1">
      <c r="A5261" s="5"/>
    </row>
    <row r="5262" spans="1:1">
      <c r="A5262" s="5"/>
    </row>
    <row r="5263" spans="1:1">
      <c r="A5263" s="5"/>
    </row>
    <row r="5264" spans="1:1">
      <c r="A5264" s="5"/>
    </row>
    <row r="5265" spans="1:1">
      <c r="A5265" s="5"/>
    </row>
    <row r="5266" spans="1:1">
      <c r="A5266" s="5"/>
    </row>
    <row r="5267" spans="1:1">
      <c r="A5267" s="5"/>
    </row>
    <row r="5268" spans="1:1">
      <c r="A5268" s="5"/>
    </row>
    <row r="5269" spans="1:1">
      <c r="A5269" s="5"/>
    </row>
    <row r="5270" spans="1:1">
      <c r="A5270" s="5"/>
    </row>
    <row r="5271" spans="1:1">
      <c r="A5271" s="5"/>
    </row>
    <row r="5272" spans="1:1">
      <c r="A5272" s="5"/>
    </row>
    <row r="5273" spans="1:1">
      <c r="A5273" s="5"/>
    </row>
    <row r="5274" spans="1:1">
      <c r="A5274" s="5"/>
    </row>
    <row r="5275" spans="1:1">
      <c r="A5275" s="5"/>
    </row>
    <row r="5276" spans="1:1">
      <c r="A5276" s="5"/>
    </row>
    <row r="5277" spans="1:1">
      <c r="A5277" s="5"/>
    </row>
    <row r="5278" spans="1:1">
      <c r="A5278" s="5"/>
    </row>
    <row r="5279" spans="1:1">
      <c r="A5279" s="5"/>
    </row>
    <row r="5280" spans="1:1">
      <c r="A5280" s="5"/>
    </row>
    <row r="5281" spans="1:1">
      <c r="A5281" s="5"/>
    </row>
    <row r="5282" spans="1:1">
      <c r="A5282" s="5"/>
    </row>
    <row r="5283" spans="1:1">
      <c r="A5283" s="5"/>
    </row>
    <row r="5284" spans="1:1">
      <c r="A5284" s="5"/>
    </row>
    <row r="5285" spans="1:1">
      <c r="A5285" s="5"/>
    </row>
    <row r="5286" spans="1:1">
      <c r="A5286" s="5"/>
    </row>
    <row r="5287" spans="1:1">
      <c r="A5287" s="5"/>
    </row>
    <row r="5288" spans="1:1">
      <c r="A5288" s="5"/>
    </row>
    <row r="5289" spans="1:1">
      <c r="A5289" s="5"/>
    </row>
    <row r="5290" spans="1:1">
      <c r="A5290" s="5"/>
    </row>
    <row r="5291" spans="1:1">
      <c r="A5291" s="5"/>
    </row>
    <row r="5292" spans="1:1">
      <c r="A5292" s="5"/>
    </row>
    <row r="5293" spans="1:1">
      <c r="A5293" s="5"/>
    </row>
    <row r="5294" spans="1:1">
      <c r="A5294" s="5"/>
    </row>
    <row r="5295" spans="1:1">
      <c r="A5295" s="5"/>
    </row>
    <row r="5296" spans="1:1">
      <c r="A5296" s="5"/>
    </row>
    <row r="5297" spans="1:1">
      <c r="A5297" s="5"/>
    </row>
    <row r="5298" spans="1:1">
      <c r="A5298" s="5"/>
    </row>
    <row r="5299" spans="1:1">
      <c r="A5299" s="5"/>
    </row>
    <row r="5300" spans="1:1">
      <c r="A5300" s="5"/>
    </row>
    <row r="5301" spans="1:1">
      <c r="A5301" s="5"/>
    </row>
    <row r="5302" spans="1:1">
      <c r="A5302" s="5"/>
    </row>
    <row r="5303" spans="1:1">
      <c r="A5303" s="5"/>
    </row>
    <row r="5304" spans="1:1">
      <c r="A5304" s="5"/>
    </row>
    <row r="5305" spans="1:1">
      <c r="A5305" s="5"/>
    </row>
    <row r="5306" spans="1:1">
      <c r="A5306" s="5"/>
    </row>
    <row r="5307" spans="1:1">
      <c r="A5307" s="5"/>
    </row>
    <row r="5308" spans="1:1">
      <c r="A5308" s="5"/>
    </row>
    <row r="5309" spans="1:1">
      <c r="A5309" s="5"/>
    </row>
    <row r="5310" spans="1:1">
      <c r="A5310" s="5"/>
    </row>
    <row r="5311" spans="1:1">
      <c r="A5311" s="5"/>
    </row>
    <row r="5312" spans="1:1">
      <c r="A5312" s="5"/>
    </row>
    <row r="5313" spans="1:1">
      <c r="A5313" s="5"/>
    </row>
    <row r="5314" spans="1:1">
      <c r="A5314" s="5"/>
    </row>
    <row r="5315" spans="1:1">
      <c r="A5315" s="5"/>
    </row>
    <row r="5316" spans="1:1">
      <c r="A5316" s="5"/>
    </row>
    <row r="5317" spans="1:1">
      <c r="A5317" s="5"/>
    </row>
    <row r="5318" spans="1:1">
      <c r="A5318" s="5"/>
    </row>
    <row r="5319" spans="1:1">
      <c r="A5319" s="5"/>
    </row>
    <row r="5320" spans="1:1">
      <c r="A5320" s="5"/>
    </row>
    <row r="5321" spans="1:1">
      <c r="A5321" s="5"/>
    </row>
    <row r="5322" spans="1:1">
      <c r="A5322" s="5"/>
    </row>
    <row r="5323" spans="1:1">
      <c r="A5323" s="5"/>
    </row>
    <row r="5324" spans="1:1">
      <c r="A5324" s="5"/>
    </row>
    <row r="5325" spans="1:1">
      <c r="A5325" s="5"/>
    </row>
    <row r="5326" spans="1:1">
      <c r="A5326" s="5"/>
    </row>
    <row r="5327" spans="1:1">
      <c r="A5327" s="5"/>
    </row>
    <row r="5328" spans="1:1">
      <c r="A5328" s="5"/>
    </row>
    <row r="5329" spans="1:1">
      <c r="A5329" s="5"/>
    </row>
    <row r="5330" spans="1:1">
      <c r="A5330" s="5"/>
    </row>
    <row r="5331" spans="1:1">
      <c r="A5331" s="5"/>
    </row>
    <row r="5332" spans="1:1">
      <c r="A5332" s="5"/>
    </row>
    <row r="5333" spans="1:1">
      <c r="A5333" s="5"/>
    </row>
    <row r="5334" spans="1:1">
      <c r="A5334" s="5"/>
    </row>
    <row r="5335" spans="1:1">
      <c r="A5335" s="5"/>
    </row>
    <row r="5336" spans="1:1">
      <c r="A5336" s="5"/>
    </row>
    <row r="5337" spans="1:1">
      <c r="A5337" s="5"/>
    </row>
    <row r="5338" spans="1:1">
      <c r="A5338" s="5"/>
    </row>
    <row r="5339" spans="1:1">
      <c r="A5339" s="5"/>
    </row>
    <row r="5340" spans="1:1">
      <c r="A5340" s="5"/>
    </row>
    <row r="5341" spans="1:1">
      <c r="A5341" s="5"/>
    </row>
    <row r="5342" spans="1:1">
      <c r="A5342" s="5"/>
    </row>
    <row r="5343" spans="1:1">
      <c r="A5343" s="5"/>
    </row>
    <row r="5344" spans="1:1">
      <c r="A5344" s="5"/>
    </row>
    <row r="5345" spans="1:1">
      <c r="A5345" s="5"/>
    </row>
    <row r="5346" spans="1:1">
      <c r="A5346" s="5"/>
    </row>
    <row r="5347" spans="1:1">
      <c r="A5347" s="5"/>
    </row>
    <row r="5348" spans="1:1">
      <c r="A5348" s="5"/>
    </row>
    <row r="5349" spans="1:1">
      <c r="A5349" s="5"/>
    </row>
    <row r="5350" spans="1:1">
      <c r="A5350" s="5"/>
    </row>
    <row r="5351" spans="1:1">
      <c r="A5351" s="5"/>
    </row>
    <row r="5352" spans="1:1">
      <c r="A5352" s="5"/>
    </row>
    <row r="5353" spans="1:1">
      <c r="A5353" s="5"/>
    </row>
    <row r="5354" spans="1:1">
      <c r="A5354" s="5"/>
    </row>
    <row r="5355" spans="1:1">
      <c r="A5355" s="5"/>
    </row>
    <row r="5356" spans="1:1">
      <c r="A5356" s="5"/>
    </row>
    <row r="5357" spans="1:1">
      <c r="A5357" s="5"/>
    </row>
    <row r="5358" spans="1:1">
      <c r="A5358" s="5"/>
    </row>
    <row r="5359" spans="1:1">
      <c r="A5359" s="5"/>
    </row>
    <row r="5360" spans="1:1">
      <c r="A5360" s="5"/>
    </row>
    <row r="5361" spans="1:1">
      <c r="A5361" s="5"/>
    </row>
    <row r="5362" spans="1:1">
      <c r="A5362" s="5"/>
    </row>
    <row r="5363" spans="1:1">
      <c r="A5363" s="5"/>
    </row>
    <row r="5364" spans="1:1">
      <c r="A5364" s="5"/>
    </row>
    <row r="5365" spans="1:1">
      <c r="A5365" s="5"/>
    </row>
    <row r="5366" spans="1:1">
      <c r="A5366" s="5"/>
    </row>
    <row r="5367" spans="1:1">
      <c r="A5367" s="5"/>
    </row>
    <row r="5368" spans="1:1">
      <c r="A5368" s="5"/>
    </row>
    <row r="5369" spans="1:1">
      <c r="A5369" s="5"/>
    </row>
    <row r="5370" spans="1:1">
      <c r="A5370" s="5"/>
    </row>
    <row r="5371" spans="1:1">
      <c r="A5371" s="5"/>
    </row>
    <row r="5372" spans="1:1">
      <c r="A5372" s="5"/>
    </row>
    <row r="5373" spans="1:1">
      <c r="A5373" s="5"/>
    </row>
    <row r="5374" spans="1:1">
      <c r="A5374" s="5"/>
    </row>
    <row r="5375" spans="1:1">
      <c r="A5375" s="5"/>
    </row>
    <row r="5376" spans="1:1">
      <c r="A5376" s="5"/>
    </row>
    <row r="5377" spans="1:1">
      <c r="A5377" s="5"/>
    </row>
    <row r="5378" spans="1:1">
      <c r="A5378" s="5"/>
    </row>
    <row r="5379" spans="1:1">
      <c r="A5379" s="5"/>
    </row>
    <row r="5380" spans="1:1">
      <c r="A5380" s="5"/>
    </row>
    <row r="5381" spans="1:1">
      <c r="A5381" s="5"/>
    </row>
    <row r="5382" spans="1:1">
      <c r="A5382" s="5"/>
    </row>
    <row r="5383" spans="1:1">
      <c r="A5383" s="5"/>
    </row>
    <row r="5384" spans="1:1">
      <c r="A5384" s="5"/>
    </row>
    <row r="5385" spans="1:1">
      <c r="A5385" s="5"/>
    </row>
    <row r="5386" spans="1:1">
      <c r="A5386" s="5"/>
    </row>
    <row r="5387" spans="1:1">
      <c r="A5387" s="5"/>
    </row>
    <row r="5388" spans="1:1">
      <c r="A5388" s="5"/>
    </row>
    <row r="5389" spans="1:1">
      <c r="A5389" s="5"/>
    </row>
    <row r="5390" spans="1:1">
      <c r="A5390" s="5"/>
    </row>
    <row r="5391" spans="1:1">
      <c r="A5391" s="5"/>
    </row>
    <row r="5392" spans="1:1">
      <c r="A5392" s="5"/>
    </row>
    <row r="5393" spans="1:1">
      <c r="A5393" s="5"/>
    </row>
    <row r="5394" spans="1:1">
      <c r="A5394" s="5"/>
    </row>
    <row r="5395" spans="1:1">
      <c r="A5395" s="5"/>
    </row>
    <row r="5396" spans="1:1">
      <c r="A5396" s="5"/>
    </row>
    <row r="5397" spans="1:1">
      <c r="A5397" s="5"/>
    </row>
    <row r="5398" spans="1:1">
      <c r="A5398" s="5"/>
    </row>
    <row r="5399" spans="1:1">
      <c r="A5399" s="5"/>
    </row>
    <row r="5400" spans="1:1">
      <c r="A5400" s="5"/>
    </row>
    <row r="5401" spans="1:1">
      <c r="A5401" s="5"/>
    </row>
    <row r="5402" spans="1:1">
      <c r="A5402" s="5"/>
    </row>
    <row r="5403" spans="1:1">
      <c r="A5403" s="5"/>
    </row>
    <row r="5404" spans="1:1">
      <c r="A5404" s="5"/>
    </row>
    <row r="5405" spans="1:1">
      <c r="A5405" s="5"/>
    </row>
    <row r="5406" spans="1:1">
      <c r="A5406" s="5"/>
    </row>
    <row r="5407" spans="1:1">
      <c r="A5407" s="5"/>
    </row>
    <row r="5408" spans="1:1">
      <c r="A5408" s="5"/>
    </row>
    <row r="5409" spans="1:1">
      <c r="A5409" s="5"/>
    </row>
    <row r="5410" spans="1:1">
      <c r="A5410" s="5"/>
    </row>
    <row r="5411" spans="1:1">
      <c r="A5411" s="5"/>
    </row>
    <row r="5412" spans="1:1">
      <c r="A5412" s="5"/>
    </row>
    <row r="5413" spans="1:1">
      <c r="A5413" s="5"/>
    </row>
    <row r="5414" spans="1:1">
      <c r="A5414" s="5"/>
    </row>
    <row r="5415" spans="1:1">
      <c r="A5415" s="5"/>
    </row>
    <row r="5416" spans="1:1">
      <c r="A5416" s="5"/>
    </row>
    <row r="5417" spans="1:1">
      <c r="A5417" s="5"/>
    </row>
    <row r="5418" spans="1:1">
      <c r="A5418" s="5"/>
    </row>
    <row r="5419" spans="1:1">
      <c r="A5419" s="5"/>
    </row>
    <row r="5420" spans="1:1">
      <c r="A5420" s="5"/>
    </row>
    <row r="5421" spans="1:1">
      <c r="A5421" s="5"/>
    </row>
    <row r="5422" spans="1:1">
      <c r="A5422" s="5"/>
    </row>
    <row r="5423" spans="1:1">
      <c r="A5423" s="5"/>
    </row>
    <row r="5424" spans="1:1">
      <c r="A5424" s="5"/>
    </row>
    <row r="5425" spans="1:1">
      <c r="A5425" s="5"/>
    </row>
    <row r="5426" spans="1:1">
      <c r="A5426" s="5"/>
    </row>
    <row r="5427" spans="1:1">
      <c r="A5427" s="5"/>
    </row>
    <row r="5428" spans="1:1">
      <c r="A5428" s="5"/>
    </row>
    <row r="5429" spans="1:1">
      <c r="A5429" s="5"/>
    </row>
    <row r="5430" spans="1:1">
      <c r="A5430" s="5"/>
    </row>
    <row r="5431" spans="1:1">
      <c r="A5431" s="5"/>
    </row>
    <row r="5432" spans="1:1">
      <c r="A5432" s="5"/>
    </row>
    <row r="5433" spans="1:1">
      <c r="A5433" s="5"/>
    </row>
    <row r="5434" spans="1:1">
      <c r="A5434" s="5"/>
    </row>
    <row r="5435" spans="1:1">
      <c r="A5435" s="5"/>
    </row>
    <row r="5436" spans="1:1">
      <c r="A5436" s="5"/>
    </row>
    <row r="5437" spans="1:1">
      <c r="A5437" s="5"/>
    </row>
    <row r="5438" spans="1:1">
      <c r="A5438" s="5"/>
    </row>
    <row r="5439" spans="1:1">
      <c r="A5439" s="5"/>
    </row>
    <row r="5440" spans="1:1">
      <c r="A5440" s="5"/>
    </row>
    <row r="5441" spans="1:1">
      <c r="A5441" s="5"/>
    </row>
    <row r="5442" spans="1:1">
      <c r="A5442" s="5"/>
    </row>
    <row r="5443" spans="1:1">
      <c r="A5443" s="5"/>
    </row>
    <row r="5444" spans="1:1">
      <c r="A5444" s="5"/>
    </row>
    <row r="5445" spans="1:1">
      <c r="A5445" s="5"/>
    </row>
    <row r="5446" spans="1:1">
      <c r="A5446" s="5"/>
    </row>
    <row r="5447" spans="1:1">
      <c r="A5447" s="5"/>
    </row>
    <row r="5448" spans="1:1">
      <c r="A5448" s="5"/>
    </row>
    <row r="5449" spans="1:1">
      <c r="A5449" s="5"/>
    </row>
    <row r="5450" spans="1:1">
      <c r="A5450" s="5"/>
    </row>
    <row r="5451" spans="1:1">
      <c r="A5451" s="5"/>
    </row>
    <row r="5452" spans="1:1">
      <c r="A5452" s="5"/>
    </row>
    <row r="5453" spans="1:1">
      <c r="A5453" s="5"/>
    </row>
    <row r="5454" spans="1:1">
      <c r="A5454" s="5"/>
    </row>
    <row r="5455" spans="1:1">
      <c r="A5455" s="5"/>
    </row>
    <row r="5456" spans="1:1">
      <c r="A5456" s="5"/>
    </row>
    <row r="5457" spans="1:1">
      <c r="A5457" s="5"/>
    </row>
    <row r="5458" spans="1:1">
      <c r="A5458" s="5"/>
    </row>
    <row r="5459" spans="1:1">
      <c r="A5459" s="5"/>
    </row>
    <row r="5460" spans="1:1">
      <c r="A5460" s="5"/>
    </row>
    <row r="5461" spans="1:1">
      <c r="A5461" s="5"/>
    </row>
    <row r="5462" spans="1:1">
      <c r="A5462" s="5"/>
    </row>
    <row r="5463" spans="1:1">
      <c r="A5463" s="5"/>
    </row>
    <row r="5464" spans="1:1">
      <c r="A5464" s="5"/>
    </row>
    <row r="5465" spans="1:1">
      <c r="A5465" s="5"/>
    </row>
    <row r="5466" spans="1:1">
      <c r="A5466" s="5"/>
    </row>
    <row r="5467" spans="1:1">
      <c r="A5467" s="5"/>
    </row>
    <row r="5468" spans="1:1">
      <c r="A5468" s="5"/>
    </row>
    <row r="5469" spans="1:1">
      <c r="A5469" s="5"/>
    </row>
    <row r="5470" spans="1:1">
      <c r="A5470" s="5"/>
    </row>
    <row r="5471" spans="1:1">
      <c r="A5471" s="5"/>
    </row>
    <row r="5472" spans="1:1">
      <c r="A5472" s="5"/>
    </row>
    <row r="5473" spans="1:1">
      <c r="A5473" s="5"/>
    </row>
    <row r="5474" spans="1:1">
      <c r="A5474" s="5"/>
    </row>
    <row r="5475" spans="1:1">
      <c r="A5475" s="5"/>
    </row>
    <row r="5476" spans="1:1">
      <c r="A5476" s="5"/>
    </row>
    <row r="5477" spans="1:1">
      <c r="A5477" s="5"/>
    </row>
    <row r="5478" spans="1:1">
      <c r="A5478" s="5"/>
    </row>
    <row r="5479" spans="1:1">
      <c r="A5479" s="5"/>
    </row>
    <row r="5480" spans="1:1">
      <c r="A5480" s="5"/>
    </row>
    <row r="5481" spans="1:1">
      <c r="A5481" s="5"/>
    </row>
    <row r="5482" spans="1:1">
      <c r="A5482" s="5"/>
    </row>
    <row r="5483" spans="1:1">
      <c r="A5483" s="5"/>
    </row>
    <row r="5484" spans="1:1">
      <c r="A5484" s="5"/>
    </row>
    <row r="5485" spans="1:1">
      <c r="A5485" s="5"/>
    </row>
    <row r="5486" spans="1:1">
      <c r="A5486" s="5"/>
    </row>
    <row r="5487" spans="1:1">
      <c r="A5487" s="5"/>
    </row>
    <row r="5488" spans="1:1">
      <c r="A5488" s="5"/>
    </row>
    <row r="5489" spans="1:1">
      <c r="A5489" s="5"/>
    </row>
    <row r="5490" spans="1:1">
      <c r="A5490" s="5"/>
    </row>
    <row r="5491" spans="1:1">
      <c r="A5491" s="5"/>
    </row>
    <row r="5492" spans="1:1">
      <c r="A5492" s="5"/>
    </row>
    <row r="5493" spans="1:1">
      <c r="A5493" s="5"/>
    </row>
    <row r="5494" spans="1:1">
      <c r="A5494" s="5"/>
    </row>
    <row r="5495" spans="1:1">
      <c r="A5495" s="5"/>
    </row>
    <row r="5496" spans="1:1">
      <c r="A5496" s="5"/>
    </row>
    <row r="5497" spans="1:1">
      <c r="A5497" s="5"/>
    </row>
    <row r="5498" spans="1:1">
      <c r="A5498" s="5"/>
    </row>
    <row r="5499" spans="1:1">
      <c r="A5499" s="5"/>
    </row>
    <row r="5500" spans="1:1">
      <c r="A5500" s="5"/>
    </row>
    <row r="5501" spans="1:1">
      <c r="A5501" s="5"/>
    </row>
    <row r="5502" spans="1:1">
      <c r="A5502" s="5"/>
    </row>
    <row r="5503" spans="1:1">
      <c r="A5503" s="5"/>
    </row>
    <row r="5504" spans="1:1">
      <c r="A5504" s="5"/>
    </row>
    <row r="5505" spans="1:1">
      <c r="A5505" s="5"/>
    </row>
    <row r="5506" spans="1:1">
      <c r="A5506" s="5"/>
    </row>
    <row r="5507" spans="1:1">
      <c r="A5507" s="5"/>
    </row>
    <row r="5508" spans="1:1">
      <c r="A5508" s="5"/>
    </row>
    <row r="5509" spans="1:1">
      <c r="A5509" s="5"/>
    </row>
    <row r="5510" spans="1:1">
      <c r="A5510" s="5"/>
    </row>
    <row r="5511" spans="1:1">
      <c r="A5511" s="5"/>
    </row>
    <row r="5512" spans="1:1">
      <c r="A5512" s="5"/>
    </row>
    <row r="5513" spans="1:1">
      <c r="A5513" s="5"/>
    </row>
    <row r="5514" spans="1:1">
      <c r="A5514" s="5"/>
    </row>
    <row r="5515" spans="1:1">
      <c r="A5515" s="5"/>
    </row>
    <row r="5516" spans="1:1">
      <c r="A5516" s="5"/>
    </row>
    <row r="5517" spans="1:1">
      <c r="A5517" s="5"/>
    </row>
    <row r="5518" spans="1:1">
      <c r="A5518" s="5"/>
    </row>
    <row r="5519" spans="1:1">
      <c r="A5519" s="5"/>
    </row>
    <row r="5520" spans="1:1">
      <c r="A5520" s="5"/>
    </row>
    <row r="5521" spans="1:1">
      <c r="A5521" s="5"/>
    </row>
    <row r="5522" spans="1:1">
      <c r="A5522" s="5"/>
    </row>
    <row r="5523" spans="1:1">
      <c r="A5523" s="5"/>
    </row>
    <row r="5524" spans="1:1">
      <c r="A5524" s="5"/>
    </row>
    <row r="5525" spans="1:1">
      <c r="A5525" s="5"/>
    </row>
    <row r="5526" spans="1:1">
      <c r="A5526" s="5"/>
    </row>
    <row r="5527" spans="1:1">
      <c r="A5527" s="5"/>
    </row>
    <row r="5528" spans="1:1">
      <c r="A5528" s="5"/>
    </row>
    <row r="5529" spans="1:1">
      <c r="A5529" s="5"/>
    </row>
    <row r="5530" spans="1:1">
      <c r="A5530" s="5"/>
    </row>
    <row r="5531" spans="1:1">
      <c r="A5531" s="5"/>
    </row>
    <row r="5532" spans="1:1">
      <c r="A5532" s="5"/>
    </row>
    <row r="5533" spans="1:1">
      <c r="A5533" s="5"/>
    </row>
    <row r="5534" spans="1:1">
      <c r="A5534" s="5"/>
    </row>
    <row r="5535" spans="1:1">
      <c r="A5535" s="5"/>
    </row>
    <row r="5536" spans="1:1">
      <c r="A5536" s="5"/>
    </row>
    <row r="5537" spans="1:1">
      <c r="A5537" s="5"/>
    </row>
    <row r="5538" spans="1:1">
      <c r="A5538" s="5"/>
    </row>
    <row r="5539" spans="1:1">
      <c r="A5539" s="5"/>
    </row>
    <row r="5540" spans="1:1">
      <c r="A5540" s="5"/>
    </row>
    <row r="5541" spans="1:1">
      <c r="A5541" s="5"/>
    </row>
    <row r="5542" spans="1:1">
      <c r="A5542" s="5"/>
    </row>
    <row r="5543" spans="1:1">
      <c r="A5543" s="5"/>
    </row>
    <row r="5544" spans="1:1">
      <c r="A5544" s="5"/>
    </row>
    <row r="5545" spans="1:1">
      <c r="A5545" s="5"/>
    </row>
    <row r="5546" spans="1:1">
      <c r="A5546" s="5"/>
    </row>
    <row r="5547" spans="1:1">
      <c r="A5547" s="5"/>
    </row>
    <row r="5548" spans="1:1">
      <c r="A5548" s="5"/>
    </row>
    <row r="5549" spans="1:1">
      <c r="A5549" s="5"/>
    </row>
    <row r="5550" spans="1:1">
      <c r="A5550" s="5"/>
    </row>
    <row r="5551" spans="1:1">
      <c r="A5551" s="5"/>
    </row>
    <row r="5552" spans="1:1">
      <c r="A5552" s="5"/>
    </row>
    <row r="5553" spans="1:1">
      <c r="A5553" s="5"/>
    </row>
    <row r="5554" spans="1:1">
      <c r="A5554" s="5"/>
    </row>
    <row r="5555" spans="1:1">
      <c r="A5555" s="5"/>
    </row>
    <row r="5556" spans="1:1">
      <c r="A5556" s="5"/>
    </row>
    <row r="5557" spans="1:1">
      <c r="A5557" s="5"/>
    </row>
    <row r="5558" spans="1:1">
      <c r="A5558" s="5"/>
    </row>
    <row r="5559" spans="1:1">
      <c r="A5559" s="5"/>
    </row>
    <row r="5560" spans="1:1">
      <c r="A5560" s="5"/>
    </row>
    <row r="5561" spans="1:1">
      <c r="A5561" s="5"/>
    </row>
    <row r="5562" spans="1:1">
      <c r="A5562" s="5"/>
    </row>
    <row r="5563" spans="1:1">
      <c r="A5563" s="5"/>
    </row>
    <row r="5564" spans="1:1">
      <c r="A5564" s="5"/>
    </row>
    <row r="5565" spans="1:1">
      <c r="A5565" s="5"/>
    </row>
    <row r="5566" spans="1:1">
      <c r="A5566" s="5"/>
    </row>
    <row r="5567" spans="1:1">
      <c r="A5567" s="5"/>
    </row>
    <row r="5568" spans="1:1">
      <c r="A5568" s="5"/>
    </row>
    <row r="5569" spans="1:1">
      <c r="A5569" s="5"/>
    </row>
    <row r="5570" spans="1:1">
      <c r="A5570" s="5"/>
    </row>
    <row r="5571" spans="1:1">
      <c r="A5571" s="5"/>
    </row>
    <row r="5572" spans="1:1">
      <c r="A5572" s="5"/>
    </row>
    <row r="5573" spans="1:1">
      <c r="A5573" s="5"/>
    </row>
    <row r="5574" spans="1:1">
      <c r="A5574" s="5"/>
    </row>
    <row r="5575" spans="1:1">
      <c r="A5575" s="5"/>
    </row>
    <row r="5576" spans="1:1">
      <c r="A5576" s="5"/>
    </row>
    <row r="5577" spans="1:1">
      <c r="A5577" s="5"/>
    </row>
    <row r="5578" spans="1:1">
      <c r="A5578" s="5"/>
    </row>
    <row r="5579" spans="1:1">
      <c r="A5579" s="5"/>
    </row>
    <row r="5580" spans="1:1">
      <c r="A5580" s="5"/>
    </row>
    <row r="5581" spans="1:1">
      <c r="A5581" s="5"/>
    </row>
    <row r="5582" spans="1:1">
      <c r="A5582" s="5"/>
    </row>
    <row r="5583" spans="1:1">
      <c r="A5583" s="5"/>
    </row>
    <row r="5584" spans="1:1">
      <c r="A5584" s="5"/>
    </row>
    <row r="5585" spans="1:1">
      <c r="A5585" s="5"/>
    </row>
    <row r="5586" spans="1:1">
      <c r="A5586" s="5"/>
    </row>
    <row r="5587" spans="1:1">
      <c r="A5587" s="5"/>
    </row>
    <row r="5588" spans="1:1">
      <c r="A5588" s="5"/>
    </row>
    <row r="5589" spans="1:1">
      <c r="A5589" s="5"/>
    </row>
    <row r="5590" spans="1:1">
      <c r="A5590" s="5"/>
    </row>
    <row r="5591" spans="1:1">
      <c r="A5591" s="5"/>
    </row>
    <row r="5592" spans="1:1">
      <c r="A5592" s="5"/>
    </row>
    <row r="5593" spans="1:1">
      <c r="A5593" s="5"/>
    </row>
    <row r="5594" spans="1:1">
      <c r="A5594" s="5"/>
    </row>
    <row r="5595" spans="1:1">
      <c r="A5595" s="5"/>
    </row>
    <row r="5596" spans="1:1">
      <c r="A5596" s="5"/>
    </row>
    <row r="5597" spans="1:1">
      <c r="A5597" s="5"/>
    </row>
    <row r="5598" spans="1:1">
      <c r="A5598" s="5"/>
    </row>
    <row r="5599" spans="1:1">
      <c r="A5599" s="5"/>
    </row>
    <row r="5600" spans="1:1">
      <c r="A5600" s="5"/>
    </row>
    <row r="5601" spans="1:1">
      <c r="A5601" s="5"/>
    </row>
    <row r="5602" spans="1:1">
      <c r="A5602" s="5"/>
    </row>
    <row r="5603" spans="1:1">
      <c r="A5603" s="5"/>
    </row>
    <row r="5604" spans="1:1">
      <c r="A5604" s="5"/>
    </row>
    <row r="5605" spans="1:1">
      <c r="A5605" s="5"/>
    </row>
    <row r="5606" spans="1:1">
      <c r="A5606" s="5"/>
    </row>
    <row r="5607" spans="1:1">
      <c r="A5607" s="5"/>
    </row>
    <row r="5608" spans="1:1">
      <c r="A5608" s="5"/>
    </row>
    <row r="5609" spans="1:1">
      <c r="A5609" s="5"/>
    </row>
    <row r="5610" spans="1:1">
      <c r="A5610" s="5"/>
    </row>
    <row r="5611" spans="1:1">
      <c r="A5611" s="5"/>
    </row>
    <row r="5612" spans="1:1">
      <c r="A5612" s="5"/>
    </row>
    <row r="5613" spans="1:1">
      <c r="A5613" s="5"/>
    </row>
    <row r="5614" spans="1:1">
      <c r="A5614" s="5"/>
    </row>
    <row r="5615" spans="1:1">
      <c r="A5615" s="5"/>
    </row>
    <row r="5616" spans="1:1">
      <c r="A5616" s="5"/>
    </row>
    <row r="5617" spans="1:1">
      <c r="A5617" s="5"/>
    </row>
    <row r="5618" spans="1:1">
      <c r="A5618" s="5"/>
    </row>
    <row r="5619" spans="1:1">
      <c r="A5619" s="5"/>
    </row>
    <row r="5620" spans="1:1">
      <c r="A5620" s="5"/>
    </row>
    <row r="5621" spans="1:1">
      <c r="A5621" s="5"/>
    </row>
    <row r="5622" spans="1:1">
      <c r="A5622" s="5"/>
    </row>
    <row r="5623" spans="1:1">
      <c r="A5623" s="5"/>
    </row>
    <row r="5624" spans="1:1">
      <c r="A5624" s="5"/>
    </row>
    <row r="5625" spans="1:1">
      <c r="A5625" s="5"/>
    </row>
    <row r="5626" spans="1:1">
      <c r="A5626" s="5"/>
    </row>
    <row r="5627" spans="1:1">
      <c r="A5627" s="5"/>
    </row>
    <row r="5628" spans="1:1">
      <c r="A5628" s="5"/>
    </row>
    <row r="5629" spans="1:1">
      <c r="A5629" s="5"/>
    </row>
    <row r="5630" spans="1:1">
      <c r="A5630" s="5"/>
    </row>
    <row r="5631" spans="1:1">
      <c r="A5631" s="5"/>
    </row>
    <row r="5632" spans="1:1">
      <c r="A5632" s="5"/>
    </row>
    <row r="5633" spans="1:1">
      <c r="A5633" s="5"/>
    </row>
    <row r="5634" spans="1:1">
      <c r="A5634" s="5"/>
    </row>
    <row r="5635" spans="1:1">
      <c r="A5635" s="5"/>
    </row>
    <row r="5636" spans="1:1">
      <c r="A5636" s="5"/>
    </row>
    <row r="5637" spans="1:1">
      <c r="A5637" s="5"/>
    </row>
    <row r="5638" spans="1:1">
      <c r="A5638" s="5"/>
    </row>
    <row r="5639" spans="1:1">
      <c r="A5639" s="5"/>
    </row>
    <row r="5640" spans="1:1">
      <c r="A5640" s="5"/>
    </row>
    <row r="5641" spans="1:1">
      <c r="A5641" s="5"/>
    </row>
    <row r="5642" spans="1:1">
      <c r="A5642" s="5"/>
    </row>
    <row r="5643" spans="1:1">
      <c r="A5643" s="5"/>
    </row>
    <row r="5644" spans="1:1">
      <c r="A5644" s="5"/>
    </row>
    <row r="5645" spans="1:1">
      <c r="A5645" s="5"/>
    </row>
    <row r="5646" spans="1:1">
      <c r="A5646" s="5"/>
    </row>
    <row r="5647" spans="1:1">
      <c r="A5647" s="5"/>
    </row>
    <row r="5648" spans="1:1">
      <c r="A5648" s="5"/>
    </row>
    <row r="5649" spans="1:1">
      <c r="A5649" s="5"/>
    </row>
    <row r="5650" spans="1:1">
      <c r="A5650" s="5"/>
    </row>
    <row r="5651" spans="1:1">
      <c r="A5651" s="5"/>
    </row>
    <row r="5652" spans="1:1">
      <c r="A5652" s="5"/>
    </row>
    <row r="5653" spans="1:1">
      <c r="A5653" s="5"/>
    </row>
    <row r="5654" spans="1:1">
      <c r="A5654" s="5"/>
    </row>
    <row r="5655" spans="1:1">
      <c r="A5655" s="5"/>
    </row>
    <row r="5656" spans="1:1">
      <c r="A5656" s="5"/>
    </row>
    <row r="5657" spans="1:1">
      <c r="A5657" s="5"/>
    </row>
    <row r="5658" spans="1:1">
      <c r="A5658" s="5"/>
    </row>
    <row r="5659" spans="1:1">
      <c r="A5659" s="5"/>
    </row>
    <row r="5660" spans="1:1">
      <c r="A5660" s="5"/>
    </row>
    <row r="5661" spans="1:1">
      <c r="A5661" s="5"/>
    </row>
    <row r="5662" spans="1:1">
      <c r="A5662" s="5"/>
    </row>
    <row r="5663" spans="1:1">
      <c r="A5663" s="5"/>
    </row>
    <row r="5664" spans="1:1">
      <c r="A5664" s="5"/>
    </row>
    <row r="5665" spans="1:1">
      <c r="A5665" s="5"/>
    </row>
    <row r="5666" spans="1:1">
      <c r="A5666" s="5"/>
    </row>
    <row r="5667" spans="1:1">
      <c r="A5667" s="5"/>
    </row>
    <row r="5668" spans="1:1">
      <c r="A5668" s="5"/>
    </row>
    <row r="5669" spans="1:1">
      <c r="A5669" s="5"/>
    </row>
    <row r="5670" spans="1:1">
      <c r="A5670" s="5"/>
    </row>
    <row r="5671" spans="1:1">
      <c r="A5671" s="5"/>
    </row>
    <row r="5672" spans="1:1">
      <c r="A5672" s="5"/>
    </row>
    <row r="5673" spans="1:1">
      <c r="A5673" s="5"/>
    </row>
    <row r="5674" spans="1:1">
      <c r="A5674" s="5"/>
    </row>
    <row r="5675" spans="1:1">
      <c r="A5675" s="5"/>
    </row>
    <row r="5676" spans="1:1">
      <c r="A5676" s="5"/>
    </row>
    <row r="5677" spans="1:1">
      <c r="A5677" s="5"/>
    </row>
    <row r="5678" spans="1:1">
      <c r="A5678" s="5"/>
    </row>
    <row r="5679" spans="1:1">
      <c r="A5679" s="5"/>
    </row>
    <row r="5680" spans="1:1">
      <c r="A5680" s="5"/>
    </row>
    <row r="5681" spans="1:1">
      <c r="A5681" s="5"/>
    </row>
    <row r="5682" spans="1:1">
      <c r="A5682" s="5"/>
    </row>
    <row r="5683" spans="1:1">
      <c r="A5683" s="5"/>
    </row>
    <row r="5684" spans="1:1">
      <c r="A5684" s="5"/>
    </row>
    <row r="5685" spans="1:1">
      <c r="A5685" s="5"/>
    </row>
    <row r="5686" spans="1:1">
      <c r="A5686" s="5"/>
    </row>
    <row r="5687" spans="1:1">
      <c r="A5687" s="5"/>
    </row>
    <row r="5688" spans="1:1">
      <c r="A5688" s="5"/>
    </row>
    <row r="5689" spans="1:1">
      <c r="A5689" s="5"/>
    </row>
    <row r="5690" spans="1:1">
      <c r="A5690" s="5"/>
    </row>
    <row r="5691" spans="1:1">
      <c r="A5691" s="5"/>
    </row>
    <row r="5692" spans="1:1">
      <c r="A5692" s="5"/>
    </row>
    <row r="5693" spans="1:1">
      <c r="A5693" s="5"/>
    </row>
    <row r="5694" spans="1:1">
      <c r="A5694" s="5"/>
    </row>
    <row r="5695" spans="1:1">
      <c r="A5695" s="5"/>
    </row>
    <row r="5696" spans="1:1">
      <c r="A5696" s="5"/>
    </row>
    <row r="5697" spans="1:1">
      <c r="A5697" s="5"/>
    </row>
    <row r="5698" spans="1:1">
      <c r="A5698" s="5"/>
    </row>
    <row r="5699" spans="1:1">
      <c r="A5699" s="5"/>
    </row>
    <row r="5700" spans="1:1">
      <c r="A5700" s="5"/>
    </row>
    <row r="5701" spans="1:1">
      <c r="A5701" s="5"/>
    </row>
    <row r="5702" spans="1:1">
      <c r="A5702" s="5"/>
    </row>
    <row r="5703" spans="1:1">
      <c r="A5703" s="5"/>
    </row>
    <row r="5704" spans="1:1">
      <c r="A5704" s="5"/>
    </row>
    <row r="5705" spans="1:1">
      <c r="A5705" s="5"/>
    </row>
    <row r="5706" spans="1:1">
      <c r="A5706" s="5"/>
    </row>
    <row r="5707" spans="1:1">
      <c r="A5707" s="5"/>
    </row>
    <row r="5708" spans="1:1">
      <c r="A5708" s="5"/>
    </row>
    <row r="5709" spans="1:1">
      <c r="A5709" s="5"/>
    </row>
    <row r="5710" spans="1:1">
      <c r="A5710" s="5"/>
    </row>
    <row r="5711" spans="1:1">
      <c r="A5711" s="5"/>
    </row>
    <row r="5712" spans="1:1">
      <c r="A5712" s="5"/>
    </row>
    <row r="5713" spans="1:1">
      <c r="A5713" s="5"/>
    </row>
    <row r="5714" spans="1:1">
      <c r="A5714" s="5"/>
    </row>
    <row r="5715" spans="1:1">
      <c r="A5715" s="5"/>
    </row>
    <row r="5716" spans="1:1">
      <c r="A5716" s="5"/>
    </row>
    <row r="5717" spans="1:1">
      <c r="A5717" s="5"/>
    </row>
    <row r="5718" spans="1:1">
      <c r="A5718" s="5"/>
    </row>
    <row r="5719" spans="1:1">
      <c r="A5719" s="5"/>
    </row>
    <row r="5720" spans="1:1">
      <c r="A5720" s="5"/>
    </row>
    <row r="5721" spans="1:1">
      <c r="A5721" s="5"/>
    </row>
    <row r="5722" spans="1:1">
      <c r="A5722" s="5"/>
    </row>
    <row r="5723" spans="1:1">
      <c r="A5723" s="5"/>
    </row>
    <row r="5724" spans="1:1">
      <c r="A5724" s="5"/>
    </row>
    <row r="5725" spans="1:1">
      <c r="A5725" s="5"/>
    </row>
    <row r="5726" spans="1:1">
      <c r="A5726" s="5"/>
    </row>
    <row r="5727" spans="1:1">
      <c r="A5727" s="5"/>
    </row>
    <row r="5728" spans="1:1">
      <c r="A5728" s="5"/>
    </row>
    <row r="5729" spans="1:1">
      <c r="A5729" s="5"/>
    </row>
    <row r="5730" spans="1:1">
      <c r="A5730" s="5"/>
    </row>
    <row r="5731" spans="1:1">
      <c r="A5731" s="5"/>
    </row>
    <row r="5732" spans="1:1">
      <c r="A5732" s="5"/>
    </row>
    <row r="5733" spans="1:1">
      <c r="A5733" s="5"/>
    </row>
    <row r="5734" spans="1:1">
      <c r="A5734" s="5"/>
    </row>
    <row r="5735" spans="1:1">
      <c r="A5735" s="5"/>
    </row>
    <row r="5736" spans="1:1">
      <c r="A5736" s="5"/>
    </row>
    <row r="5737" spans="1:1">
      <c r="A5737" s="5"/>
    </row>
    <row r="5738" spans="1:1">
      <c r="A5738" s="5"/>
    </row>
    <row r="5739" spans="1:1">
      <c r="A5739" s="5"/>
    </row>
    <row r="5740" spans="1:1">
      <c r="A5740" s="5"/>
    </row>
    <row r="5741" spans="1:1">
      <c r="A5741" s="5"/>
    </row>
    <row r="5742" spans="1:1">
      <c r="A5742" s="5"/>
    </row>
    <row r="5743" spans="1:1">
      <c r="A5743" s="5"/>
    </row>
    <row r="5744" spans="1:1">
      <c r="A5744" s="5"/>
    </row>
    <row r="5745" spans="1:1">
      <c r="A5745" s="5"/>
    </row>
    <row r="5746" spans="1:1">
      <c r="A5746" s="5"/>
    </row>
    <row r="5747" spans="1:1">
      <c r="A5747" s="5"/>
    </row>
    <row r="5748" spans="1:1">
      <c r="A5748" s="5"/>
    </row>
    <row r="5749" spans="1:1">
      <c r="A5749" s="5"/>
    </row>
    <row r="5750" spans="1:1">
      <c r="A5750" s="5"/>
    </row>
    <row r="5751" spans="1:1">
      <c r="A5751" s="5"/>
    </row>
    <row r="5752" spans="1:1">
      <c r="A5752" s="5"/>
    </row>
    <row r="5753" spans="1:1">
      <c r="A5753" s="5"/>
    </row>
    <row r="5754" spans="1:1">
      <c r="A5754" s="5"/>
    </row>
    <row r="5755" spans="1:1">
      <c r="A5755" s="5"/>
    </row>
    <row r="5756" spans="1:1">
      <c r="A5756" s="5"/>
    </row>
    <row r="5757" spans="1:1">
      <c r="A5757" s="5"/>
    </row>
    <row r="5758" spans="1:1">
      <c r="A5758" s="5"/>
    </row>
    <row r="5759" spans="1:1">
      <c r="A5759" s="5"/>
    </row>
    <row r="5760" spans="1:1">
      <c r="A5760" s="5"/>
    </row>
    <row r="5761" spans="1:1">
      <c r="A5761" s="5"/>
    </row>
    <row r="5762" spans="1:1">
      <c r="A5762" s="5"/>
    </row>
    <row r="5763" spans="1:1">
      <c r="A5763" s="5"/>
    </row>
    <row r="5764" spans="1:1">
      <c r="A5764" s="5"/>
    </row>
    <row r="5765" spans="1:1">
      <c r="A5765" s="5"/>
    </row>
    <row r="5766" spans="1:1">
      <c r="A5766" s="5"/>
    </row>
    <row r="5767" spans="1:1">
      <c r="A5767" s="5"/>
    </row>
    <row r="5768" spans="1:1">
      <c r="A5768" s="5"/>
    </row>
    <row r="5769" spans="1:1">
      <c r="A5769" s="5"/>
    </row>
    <row r="5770" spans="1:1">
      <c r="A5770" s="5"/>
    </row>
    <row r="5771" spans="1:1">
      <c r="A5771" s="5"/>
    </row>
    <row r="5772" spans="1:1">
      <c r="A5772" s="5"/>
    </row>
    <row r="5773" spans="1:1">
      <c r="A5773" s="5"/>
    </row>
    <row r="5774" spans="1:1">
      <c r="A5774" s="5"/>
    </row>
    <row r="5775" spans="1:1">
      <c r="A5775" s="5"/>
    </row>
    <row r="5776" spans="1:1">
      <c r="A5776" s="5"/>
    </row>
    <row r="5777" spans="1:1">
      <c r="A5777" s="5"/>
    </row>
    <row r="5778" spans="1:1">
      <c r="A5778" s="5"/>
    </row>
    <row r="5779" spans="1:1">
      <c r="A5779" s="5"/>
    </row>
    <row r="5780" spans="1:1">
      <c r="A5780" s="5"/>
    </row>
    <row r="5781" spans="1:1">
      <c r="A5781" s="5"/>
    </row>
    <row r="5782" spans="1:1">
      <c r="A5782" s="5"/>
    </row>
    <row r="5783" spans="1:1">
      <c r="A5783" s="5"/>
    </row>
    <row r="5784" spans="1:1">
      <c r="A5784" s="5"/>
    </row>
    <row r="5785" spans="1:1">
      <c r="A5785" s="5"/>
    </row>
    <row r="5786" spans="1:1">
      <c r="A5786" s="5"/>
    </row>
    <row r="5787" spans="1:1">
      <c r="A5787" s="5"/>
    </row>
    <row r="5788" spans="1:1">
      <c r="A5788" s="5"/>
    </row>
    <row r="5789" spans="1:1">
      <c r="A5789" s="5"/>
    </row>
    <row r="5790" spans="1:1">
      <c r="A5790" s="5"/>
    </row>
    <row r="5791" spans="1:1">
      <c r="A5791" s="5"/>
    </row>
    <row r="5792" spans="1:1">
      <c r="A5792" s="5"/>
    </row>
    <row r="5793" spans="1:1">
      <c r="A5793" s="5"/>
    </row>
    <row r="5794" spans="1:1">
      <c r="A5794" s="5"/>
    </row>
    <row r="5795" spans="1:1">
      <c r="A5795" s="5"/>
    </row>
    <row r="5796" spans="1:1">
      <c r="A5796" s="5"/>
    </row>
    <row r="5797" spans="1:1">
      <c r="A5797" s="5"/>
    </row>
    <row r="5798" spans="1:1">
      <c r="A5798" s="5"/>
    </row>
    <row r="5799" spans="1:1">
      <c r="A5799" s="5"/>
    </row>
    <row r="5800" spans="1:1">
      <c r="A5800" s="5"/>
    </row>
    <row r="5801" spans="1:1">
      <c r="A5801" s="5"/>
    </row>
    <row r="5802" spans="1:1">
      <c r="A5802" s="5"/>
    </row>
    <row r="5803" spans="1:1">
      <c r="A5803" s="5"/>
    </row>
    <row r="5804" spans="1:1">
      <c r="A5804" s="5"/>
    </row>
    <row r="5805" spans="1:1">
      <c r="A5805" s="5"/>
    </row>
    <row r="5806" spans="1:1">
      <c r="A5806" s="5"/>
    </row>
    <row r="5807" spans="1:1">
      <c r="A5807" s="5"/>
    </row>
    <row r="5808" spans="1:1">
      <c r="A5808" s="5"/>
    </row>
    <row r="5809" spans="1:1">
      <c r="A5809" s="5"/>
    </row>
    <row r="5810" spans="1:1">
      <c r="A5810" s="5"/>
    </row>
    <row r="5811" spans="1:1">
      <c r="A5811" s="5"/>
    </row>
    <row r="5812" spans="1:1">
      <c r="A5812" s="5"/>
    </row>
    <row r="5813" spans="1:1">
      <c r="A5813" s="5"/>
    </row>
    <row r="5814" spans="1:1">
      <c r="A5814" s="5"/>
    </row>
    <row r="5815" spans="1:1">
      <c r="A5815" s="5"/>
    </row>
    <row r="5816" spans="1:1">
      <c r="A5816" s="5"/>
    </row>
    <row r="5817" spans="1:1">
      <c r="A5817" s="5"/>
    </row>
    <row r="5818" spans="1:1">
      <c r="A5818" s="5"/>
    </row>
    <row r="5819" spans="1:1">
      <c r="A5819" s="5"/>
    </row>
    <row r="5820" spans="1:1">
      <c r="A5820" s="5"/>
    </row>
    <row r="5821" spans="1:1">
      <c r="A5821" s="5"/>
    </row>
    <row r="5822" spans="1:1">
      <c r="A5822" s="5"/>
    </row>
    <row r="5823" spans="1:1">
      <c r="A5823" s="5"/>
    </row>
    <row r="5824" spans="1:1">
      <c r="A5824" s="5"/>
    </row>
    <row r="5825" spans="1:1">
      <c r="A5825" s="5"/>
    </row>
    <row r="5826" spans="1:1">
      <c r="A5826" s="5"/>
    </row>
    <row r="5827" spans="1:1">
      <c r="A5827" s="5"/>
    </row>
    <row r="5828" spans="1:1">
      <c r="A5828" s="5"/>
    </row>
    <row r="5829" spans="1:1">
      <c r="A5829" s="5"/>
    </row>
    <row r="5830" spans="1:1">
      <c r="A5830" s="5"/>
    </row>
    <row r="5831" spans="1:1">
      <c r="A5831" s="5"/>
    </row>
    <row r="5832" spans="1:1">
      <c r="A5832" s="5"/>
    </row>
    <row r="5833" spans="1:1">
      <c r="A5833" s="5"/>
    </row>
    <row r="5834" spans="1:1">
      <c r="A5834" s="5"/>
    </row>
    <row r="5835" spans="1:1">
      <c r="A5835" s="5"/>
    </row>
    <row r="5836" spans="1:1">
      <c r="A5836" s="5"/>
    </row>
    <row r="5837" spans="1:1">
      <c r="A5837" s="5"/>
    </row>
    <row r="5838" spans="1:1">
      <c r="A5838" s="5"/>
    </row>
    <row r="5839" spans="1:1">
      <c r="A5839" s="5"/>
    </row>
    <row r="5840" spans="1:1">
      <c r="A5840" s="5"/>
    </row>
    <row r="5841" spans="1:1">
      <c r="A5841" s="5"/>
    </row>
    <row r="5842" spans="1:1">
      <c r="A5842" s="5"/>
    </row>
    <row r="5843" spans="1:1">
      <c r="A5843" s="5"/>
    </row>
    <row r="5844" spans="1:1">
      <c r="A5844" s="5"/>
    </row>
    <row r="5845" spans="1:1">
      <c r="A5845" s="5"/>
    </row>
    <row r="5846" spans="1:1">
      <c r="A5846" s="5"/>
    </row>
    <row r="5847" spans="1:1">
      <c r="A5847" s="5"/>
    </row>
    <row r="5848" spans="1:1">
      <c r="A5848" s="5"/>
    </row>
    <row r="5849" spans="1:1">
      <c r="A5849" s="5"/>
    </row>
    <row r="5850" spans="1:1">
      <c r="A5850" s="5"/>
    </row>
    <row r="5851" spans="1:1">
      <c r="A5851" s="5"/>
    </row>
    <row r="5852" spans="1:1">
      <c r="A5852" s="5"/>
    </row>
    <row r="5853" spans="1:1">
      <c r="A5853" s="5"/>
    </row>
    <row r="5854" spans="1:1">
      <c r="A5854" s="5"/>
    </row>
    <row r="5855" spans="1:1">
      <c r="A5855" s="5"/>
    </row>
    <row r="5856" spans="1:1">
      <c r="A5856" s="5"/>
    </row>
    <row r="5857" spans="1:1">
      <c r="A5857" s="5"/>
    </row>
    <row r="5858" spans="1:1">
      <c r="A5858" s="5"/>
    </row>
    <row r="5859" spans="1:1">
      <c r="A5859" s="5"/>
    </row>
    <row r="5860" spans="1:1">
      <c r="A5860" s="5"/>
    </row>
    <row r="5861" spans="1:1">
      <c r="A5861" s="5"/>
    </row>
    <row r="5862" spans="1:1">
      <c r="A5862" s="5"/>
    </row>
    <row r="5863" spans="1:1">
      <c r="A5863" s="5"/>
    </row>
    <row r="5864" spans="1:1">
      <c r="A5864" s="5"/>
    </row>
    <row r="5865" spans="1:1">
      <c r="A5865" s="5"/>
    </row>
    <row r="5866" spans="1:1">
      <c r="A5866" s="5"/>
    </row>
    <row r="5867" spans="1:1">
      <c r="A5867" s="5"/>
    </row>
    <row r="5868" spans="1:1">
      <c r="A5868" s="5"/>
    </row>
    <row r="5869" spans="1:1">
      <c r="A5869" s="5"/>
    </row>
    <row r="5870" spans="1:1">
      <c r="A5870" s="5"/>
    </row>
    <row r="5871" spans="1:1">
      <c r="A5871" s="5"/>
    </row>
    <row r="5872" spans="1:1">
      <c r="A5872" s="5"/>
    </row>
    <row r="5873" spans="1:1">
      <c r="A5873" s="5"/>
    </row>
    <row r="5874" spans="1:1">
      <c r="A5874" s="5"/>
    </row>
    <row r="5875" spans="1:1">
      <c r="A5875" s="5"/>
    </row>
    <row r="5876" spans="1:1">
      <c r="A5876" s="5"/>
    </row>
    <row r="5877" spans="1:1">
      <c r="A5877" s="5"/>
    </row>
    <row r="5878" spans="1:1">
      <c r="A5878" s="5"/>
    </row>
    <row r="5879" spans="1:1">
      <c r="A5879" s="5"/>
    </row>
    <row r="5880" spans="1:1">
      <c r="A5880" s="5"/>
    </row>
    <row r="5881" spans="1:1">
      <c r="A5881" s="5"/>
    </row>
    <row r="5882" spans="1:1">
      <c r="A5882" s="5"/>
    </row>
    <row r="5883" spans="1:1">
      <c r="A5883" s="5"/>
    </row>
    <row r="5884" spans="1:1">
      <c r="A5884" s="5"/>
    </row>
    <row r="5885" spans="1:1">
      <c r="A5885" s="5"/>
    </row>
    <row r="5886" spans="1:1">
      <c r="A5886" s="5"/>
    </row>
    <row r="5887" spans="1:1">
      <c r="A5887" s="5"/>
    </row>
    <row r="5888" spans="1:1">
      <c r="A5888" s="5"/>
    </row>
    <row r="5889" spans="1:1">
      <c r="A5889" s="5"/>
    </row>
    <row r="5890" spans="1:1">
      <c r="A5890" s="5"/>
    </row>
    <row r="5891" spans="1:1">
      <c r="A5891" s="5"/>
    </row>
    <row r="5892" spans="1:1">
      <c r="A5892" s="5"/>
    </row>
    <row r="5893" spans="1:1">
      <c r="A5893" s="5"/>
    </row>
    <row r="5894" spans="1:1">
      <c r="A5894" s="5"/>
    </row>
    <row r="5895" spans="1:1">
      <c r="A5895" s="5"/>
    </row>
    <row r="5896" spans="1:1">
      <c r="A5896" s="5"/>
    </row>
    <row r="5897" spans="1:1">
      <c r="A5897" s="5"/>
    </row>
    <row r="5898" spans="1:1">
      <c r="A5898" s="5"/>
    </row>
    <row r="5899" spans="1:1">
      <c r="A5899" s="5"/>
    </row>
    <row r="5900" spans="1:1">
      <c r="A5900" s="5"/>
    </row>
    <row r="5901" spans="1:1">
      <c r="A5901" s="5"/>
    </row>
    <row r="5902" spans="1:1">
      <c r="A5902" s="5"/>
    </row>
    <row r="5903" spans="1:1">
      <c r="A5903" s="5"/>
    </row>
    <row r="5904" spans="1:1">
      <c r="A5904" s="5"/>
    </row>
    <row r="5905" spans="1:1">
      <c r="A5905" s="5"/>
    </row>
    <row r="5906" spans="1:1">
      <c r="A5906" s="5"/>
    </row>
    <row r="5907" spans="1:1">
      <c r="A5907" s="5"/>
    </row>
    <row r="5908" spans="1:1">
      <c r="A5908" s="5"/>
    </row>
    <row r="5909" spans="1:1">
      <c r="A5909" s="5"/>
    </row>
    <row r="5910" spans="1:1">
      <c r="A5910" s="5"/>
    </row>
    <row r="5911" spans="1:1">
      <c r="A5911" s="5"/>
    </row>
    <row r="5912" spans="1:1">
      <c r="A5912" s="5"/>
    </row>
    <row r="5913" spans="1:1">
      <c r="A5913" s="5"/>
    </row>
    <row r="5914" spans="1:1">
      <c r="A5914" s="5"/>
    </row>
    <row r="5915" spans="1:1">
      <c r="A5915" s="5"/>
    </row>
    <row r="5916" spans="1:1">
      <c r="A5916" s="5"/>
    </row>
    <row r="5917" spans="1:1">
      <c r="A5917" s="5"/>
    </row>
    <row r="5918" spans="1:1">
      <c r="A5918" s="5"/>
    </row>
    <row r="5919" spans="1:1">
      <c r="A5919" s="5"/>
    </row>
    <row r="5920" spans="1:1">
      <c r="A5920" s="5"/>
    </row>
    <row r="5921" spans="1:1">
      <c r="A5921" s="5"/>
    </row>
    <row r="5922" spans="1:1">
      <c r="A5922" s="5"/>
    </row>
    <row r="5923" spans="1:1">
      <c r="A5923" s="5"/>
    </row>
    <row r="5924" spans="1:1">
      <c r="A5924" s="5"/>
    </row>
    <row r="5925" spans="1:1">
      <c r="A5925" s="5"/>
    </row>
    <row r="5926" spans="1:1">
      <c r="A5926" s="5"/>
    </row>
    <row r="5927" spans="1:1">
      <c r="A5927" s="5"/>
    </row>
    <row r="5928" spans="1:1">
      <c r="A5928" s="5"/>
    </row>
    <row r="5929" spans="1:1">
      <c r="A5929" s="5"/>
    </row>
    <row r="5930" spans="1:1">
      <c r="A5930" s="5"/>
    </row>
    <row r="5931" spans="1:1">
      <c r="A5931" s="5"/>
    </row>
    <row r="5932" spans="1:1">
      <c r="A5932" s="5"/>
    </row>
    <row r="5933" spans="1:1">
      <c r="A5933" s="5"/>
    </row>
    <row r="5934" spans="1:1">
      <c r="A5934" s="5"/>
    </row>
    <row r="5935" spans="1:1">
      <c r="A5935" s="5"/>
    </row>
    <row r="5936" spans="1:1">
      <c r="A5936" s="5"/>
    </row>
    <row r="5937" spans="1:1">
      <c r="A5937" s="5"/>
    </row>
    <row r="5938" spans="1:1">
      <c r="A5938" s="5"/>
    </row>
    <row r="5939" spans="1:1">
      <c r="A5939" s="5"/>
    </row>
    <row r="5940" spans="1:1">
      <c r="A5940" s="5"/>
    </row>
    <row r="5941" spans="1:1">
      <c r="A5941" s="5"/>
    </row>
    <row r="5942" spans="1:1">
      <c r="A5942" s="5"/>
    </row>
    <row r="5943" spans="1:1">
      <c r="A5943" s="5"/>
    </row>
    <row r="5944" spans="1:1">
      <c r="A5944" s="5"/>
    </row>
    <row r="5945" spans="1:1">
      <c r="A5945" s="5"/>
    </row>
    <row r="5946" spans="1:1">
      <c r="A5946" s="5"/>
    </row>
    <row r="5947" spans="1:1">
      <c r="A5947" s="5"/>
    </row>
    <row r="5948" spans="1:1">
      <c r="A5948" s="5"/>
    </row>
    <row r="5949" spans="1:1">
      <c r="A5949" s="5"/>
    </row>
    <row r="5950" spans="1:1">
      <c r="A5950" s="5"/>
    </row>
    <row r="5951" spans="1:1">
      <c r="A5951" s="5"/>
    </row>
    <row r="5952" spans="1:1">
      <c r="A5952" s="5"/>
    </row>
    <row r="5953" spans="1:1">
      <c r="A5953" s="5"/>
    </row>
    <row r="5954" spans="1:1">
      <c r="A5954" s="5"/>
    </row>
    <row r="5955" spans="1:1">
      <c r="A5955" s="5"/>
    </row>
    <row r="5956" spans="1:1">
      <c r="A5956" s="5"/>
    </row>
    <row r="5957" spans="1:1">
      <c r="A5957" s="5"/>
    </row>
    <row r="5958" spans="1:1">
      <c r="A5958" s="5"/>
    </row>
    <row r="5959" spans="1:1">
      <c r="A5959" s="5"/>
    </row>
    <row r="5960" spans="1:1">
      <c r="A5960" s="5"/>
    </row>
    <row r="5961" spans="1:1">
      <c r="A5961" s="5"/>
    </row>
    <row r="5962" spans="1:1">
      <c r="A5962" s="5"/>
    </row>
    <row r="5963" spans="1:1">
      <c r="A5963" s="5"/>
    </row>
    <row r="5964" spans="1:1">
      <c r="A5964" s="5"/>
    </row>
    <row r="5965" spans="1:1">
      <c r="A5965" s="5"/>
    </row>
    <row r="5966" spans="1:1">
      <c r="A5966" s="5"/>
    </row>
    <row r="5967" spans="1:1">
      <c r="A5967" s="5"/>
    </row>
    <row r="5968" spans="1:1">
      <c r="A5968" s="5"/>
    </row>
    <row r="5969" spans="1:1">
      <c r="A5969" s="5"/>
    </row>
    <row r="5970" spans="1:1">
      <c r="A5970" s="5"/>
    </row>
    <row r="5971" spans="1:1">
      <c r="A5971" s="5"/>
    </row>
    <row r="5972" spans="1:1">
      <c r="A5972" s="5"/>
    </row>
    <row r="5973" spans="1:1">
      <c r="A5973" s="5"/>
    </row>
    <row r="5974" spans="1:1">
      <c r="A5974" s="5"/>
    </row>
    <row r="5975" spans="1:1">
      <c r="A5975" s="5"/>
    </row>
    <row r="5976" spans="1:1">
      <c r="A5976" s="5"/>
    </row>
    <row r="5977" spans="1:1">
      <c r="A5977" s="5"/>
    </row>
    <row r="5978" spans="1:1">
      <c r="A5978" s="5"/>
    </row>
    <row r="5979" spans="1:1">
      <c r="A5979" s="5"/>
    </row>
    <row r="5980" spans="1:1">
      <c r="A5980" s="5"/>
    </row>
    <row r="5981" spans="1:1">
      <c r="A5981" s="5"/>
    </row>
    <row r="5982" spans="1:1">
      <c r="A5982" s="5"/>
    </row>
    <row r="5983" spans="1:1">
      <c r="A5983" s="5"/>
    </row>
    <row r="5984" spans="1:1">
      <c r="A5984" s="5"/>
    </row>
    <row r="5985" spans="1:1">
      <c r="A5985" s="5"/>
    </row>
    <row r="5986" spans="1:1">
      <c r="A5986" s="5"/>
    </row>
    <row r="5987" spans="1:1">
      <c r="A5987" s="5"/>
    </row>
    <row r="5988" spans="1:1">
      <c r="A5988" s="5"/>
    </row>
    <row r="5989" spans="1:1">
      <c r="A5989" s="5"/>
    </row>
    <row r="5990" spans="1:1">
      <c r="A5990" s="5"/>
    </row>
    <row r="5991" spans="1:1">
      <c r="A5991" s="5"/>
    </row>
    <row r="5992" spans="1:1">
      <c r="A5992" s="5"/>
    </row>
    <row r="5993" spans="1:1">
      <c r="A5993" s="5"/>
    </row>
    <row r="5994" spans="1:1">
      <c r="A5994" s="5"/>
    </row>
    <row r="5995" spans="1:1">
      <c r="A5995" s="5"/>
    </row>
    <row r="5996" spans="1:1">
      <c r="A5996" s="5"/>
    </row>
    <row r="5997" spans="1:1">
      <c r="A5997" s="5"/>
    </row>
    <row r="5998" spans="1:1">
      <c r="A5998" s="5"/>
    </row>
    <row r="5999" spans="1:1">
      <c r="A5999" s="5"/>
    </row>
    <row r="6000" spans="1:1">
      <c r="A6000" s="5"/>
    </row>
    <row r="6001" spans="1:1">
      <c r="A6001" s="5"/>
    </row>
    <row r="6002" spans="1:1">
      <c r="A6002" s="5"/>
    </row>
    <row r="6003" spans="1:1">
      <c r="A6003" s="5"/>
    </row>
    <row r="6004" spans="1:1">
      <c r="A6004" s="5"/>
    </row>
    <row r="6005" spans="1:1">
      <c r="A6005" s="5"/>
    </row>
    <row r="6006" spans="1:1">
      <c r="A6006" s="5"/>
    </row>
    <row r="6007" spans="1:1">
      <c r="A6007" s="5"/>
    </row>
    <row r="6008" spans="1:1">
      <c r="A6008" s="5"/>
    </row>
    <row r="6009" spans="1:1">
      <c r="A6009" s="5"/>
    </row>
    <row r="6010" spans="1:1">
      <c r="A6010" s="5"/>
    </row>
    <row r="6011" spans="1:1">
      <c r="A6011" s="5"/>
    </row>
    <row r="6012" spans="1:1">
      <c r="A6012" s="5"/>
    </row>
    <row r="6013" spans="1:1">
      <c r="A6013" s="5"/>
    </row>
    <row r="6014" spans="1:1">
      <c r="A6014" s="5"/>
    </row>
    <row r="6015" spans="1:1">
      <c r="A6015" s="5"/>
    </row>
    <row r="6016" spans="1:1">
      <c r="A6016" s="5"/>
    </row>
    <row r="6017" spans="1:1">
      <c r="A6017" s="5"/>
    </row>
    <row r="6018" spans="1:1">
      <c r="A6018" s="5"/>
    </row>
    <row r="6019" spans="1:1">
      <c r="A6019" s="5"/>
    </row>
    <row r="6020" spans="1:1">
      <c r="A6020" s="5"/>
    </row>
    <row r="6021" spans="1:1">
      <c r="A6021" s="5"/>
    </row>
    <row r="6022" spans="1:1">
      <c r="A6022" s="5"/>
    </row>
    <row r="6023" spans="1:1">
      <c r="A6023" s="5"/>
    </row>
    <row r="6024" spans="1:1">
      <c r="A6024" s="5"/>
    </row>
    <row r="6025" spans="1:1">
      <c r="A6025" s="5"/>
    </row>
    <row r="6026" spans="1:1">
      <c r="A6026" s="5"/>
    </row>
    <row r="6027" spans="1:1">
      <c r="A6027" s="5"/>
    </row>
    <row r="6028" spans="1:1">
      <c r="A6028" s="5"/>
    </row>
    <row r="6029" spans="1:1">
      <c r="A6029" s="5"/>
    </row>
    <row r="6030" spans="1:1">
      <c r="A6030" s="5"/>
    </row>
    <row r="6031" spans="1:1">
      <c r="A6031" s="5"/>
    </row>
    <row r="6032" spans="1:1">
      <c r="A6032" s="5"/>
    </row>
    <row r="6033" spans="1:1">
      <c r="A6033" s="5"/>
    </row>
    <row r="6034" spans="1:1">
      <c r="A6034" s="5"/>
    </row>
    <row r="6035" spans="1:1">
      <c r="A6035" s="5"/>
    </row>
    <row r="6036" spans="1:1">
      <c r="A6036" s="5"/>
    </row>
    <row r="6037" spans="1:1">
      <c r="A6037" s="5"/>
    </row>
    <row r="6038" spans="1:1">
      <c r="A6038" s="5"/>
    </row>
    <row r="6039" spans="1:1">
      <c r="A6039" s="5"/>
    </row>
    <row r="6040" spans="1:1">
      <c r="A6040" s="5"/>
    </row>
    <row r="6041" spans="1:1">
      <c r="A6041" s="5"/>
    </row>
    <row r="6042" spans="1:1">
      <c r="A6042" s="5"/>
    </row>
    <row r="6043" spans="1:1">
      <c r="A6043" s="5"/>
    </row>
    <row r="6044" spans="1:1">
      <c r="A6044" s="5"/>
    </row>
    <row r="6045" spans="1:1">
      <c r="A6045" s="5"/>
    </row>
    <row r="6046" spans="1:1">
      <c r="A6046" s="5"/>
    </row>
    <row r="6047" spans="1:1">
      <c r="A6047" s="5"/>
    </row>
    <row r="6048" spans="1:1">
      <c r="A6048" s="5"/>
    </row>
    <row r="6049" spans="1:1">
      <c r="A6049" s="5"/>
    </row>
    <row r="6050" spans="1:1">
      <c r="A6050" s="5"/>
    </row>
    <row r="6051" spans="1:1">
      <c r="A6051" s="5"/>
    </row>
    <row r="6052" spans="1:1">
      <c r="A6052" s="5"/>
    </row>
    <row r="6053" spans="1:1">
      <c r="A6053" s="5"/>
    </row>
    <row r="6054" spans="1:1">
      <c r="A6054" s="5"/>
    </row>
    <row r="6055" spans="1:1">
      <c r="A6055" s="5"/>
    </row>
    <row r="6056" spans="1:1">
      <c r="A6056" s="5"/>
    </row>
    <row r="6057" spans="1:1">
      <c r="A6057" s="5"/>
    </row>
    <row r="6058" spans="1:1">
      <c r="A6058" s="5"/>
    </row>
    <row r="6059" spans="1:1">
      <c r="A6059" s="5"/>
    </row>
    <row r="6060" spans="1:1">
      <c r="A6060" s="5"/>
    </row>
    <row r="6061" spans="1:1">
      <c r="A6061" s="5"/>
    </row>
    <row r="6062" spans="1:1">
      <c r="A6062" s="5"/>
    </row>
    <row r="6063" spans="1:1">
      <c r="A6063" s="5"/>
    </row>
    <row r="6064" spans="1:1">
      <c r="A6064" s="5"/>
    </row>
    <row r="6065" spans="1:1">
      <c r="A6065" s="5"/>
    </row>
    <row r="6066" spans="1:1">
      <c r="A6066" s="5"/>
    </row>
    <row r="6067" spans="1:1">
      <c r="A6067" s="5"/>
    </row>
    <row r="6068" spans="1:1">
      <c r="A6068" s="5"/>
    </row>
    <row r="6069" spans="1:1">
      <c r="A6069" s="5"/>
    </row>
    <row r="6070" spans="1:1">
      <c r="A6070" s="5"/>
    </row>
    <row r="6071" spans="1:1">
      <c r="A6071" s="5"/>
    </row>
    <row r="6072" spans="1:1">
      <c r="A6072" s="5"/>
    </row>
    <row r="6073" spans="1:1">
      <c r="A6073" s="5"/>
    </row>
    <row r="6074" spans="1:1">
      <c r="A6074" s="5"/>
    </row>
    <row r="6075" spans="1:1">
      <c r="A6075" s="5"/>
    </row>
    <row r="6076" spans="1:1">
      <c r="A6076" s="5"/>
    </row>
    <row r="6077" spans="1:1">
      <c r="A6077" s="5"/>
    </row>
    <row r="6078" spans="1:1">
      <c r="A6078" s="5"/>
    </row>
    <row r="6079" spans="1:1">
      <c r="A6079" s="5"/>
    </row>
    <row r="6080" spans="1:1">
      <c r="A6080" s="5"/>
    </row>
    <row r="6081" spans="1:1">
      <c r="A6081" s="5"/>
    </row>
    <row r="6082" spans="1:1">
      <c r="A6082" s="5"/>
    </row>
    <row r="6083" spans="1:1">
      <c r="A6083" s="5"/>
    </row>
    <row r="6084" spans="1:1">
      <c r="A6084" s="5"/>
    </row>
    <row r="6085" spans="1:1">
      <c r="A6085" s="5"/>
    </row>
    <row r="6086" spans="1:1">
      <c r="A6086" s="5"/>
    </row>
    <row r="6087" spans="1:1">
      <c r="A6087" s="5"/>
    </row>
    <row r="6088" spans="1:1">
      <c r="A6088" s="5"/>
    </row>
    <row r="6089" spans="1:1">
      <c r="A6089" s="5"/>
    </row>
    <row r="6090" spans="1:1">
      <c r="A6090" s="5"/>
    </row>
    <row r="6091" spans="1:1">
      <c r="A6091" s="5"/>
    </row>
    <row r="6092" spans="1:1">
      <c r="A6092" s="5"/>
    </row>
    <row r="6093" spans="1:1">
      <c r="A6093" s="5"/>
    </row>
    <row r="6094" spans="1:1">
      <c r="A6094" s="5"/>
    </row>
    <row r="6095" spans="1:1">
      <c r="A6095" s="5"/>
    </row>
    <row r="6096" spans="1:1">
      <c r="A6096" s="5"/>
    </row>
    <row r="6097" spans="1:1">
      <c r="A6097" s="5"/>
    </row>
    <row r="6098" spans="1:1">
      <c r="A6098" s="5"/>
    </row>
    <row r="6099" spans="1:1">
      <c r="A6099" s="5"/>
    </row>
    <row r="6100" spans="1:1">
      <c r="A6100" s="5"/>
    </row>
    <row r="6101" spans="1:1">
      <c r="A6101" s="5"/>
    </row>
    <row r="6102" spans="1:1">
      <c r="A6102" s="5"/>
    </row>
    <row r="6103" spans="1:1">
      <c r="A6103" s="5"/>
    </row>
    <row r="6104" spans="1:1">
      <c r="A6104" s="5"/>
    </row>
    <row r="6105" spans="1:1">
      <c r="A6105" s="5"/>
    </row>
    <row r="6106" spans="1:1">
      <c r="A6106" s="5"/>
    </row>
    <row r="6107" spans="1:1">
      <c r="A6107" s="5"/>
    </row>
    <row r="6108" spans="1:1">
      <c r="A6108" s="5"/>
    </row>
    <row r="6109" spans="1:1">
      <c r="A6109" s="5"/>
    </row>
    <row r="6110" spans="1:1">
      <c r="A6110" s="5"/>
    </row>
    <row r="6111" spans="1:1">
      <c r="A6111" s="5"/>
    </row>
    <row r="6112" spans="1:1">
      <c r="A6112" s="5"/>
    </row>
    <row r="6113" spans="1:1">
      <c r="A6113" s="5"/>
    </row>
    <row r="6114" spans="1:1">
      <c r="A6114" s="5"/>
    </row>
    <row r="6115" spans="1:1">
      <c r="A6115" s="5"/>
    </row>
    <row r="6116" spans="1:1">
      <c r="A6116" s="5"/>
    </row>
    <row r="6117" spans="1:1">
      <c r="A6117" s="5"/>
    </row>
    <row r="6118" spans="1:1">
      <c r="A6118" s="5"/>
    </row>
    <row r="6119" spans="1:1">
      <c r="A6119" s="5"/>
    </row>
    <row r="6120" spans="1:1">
      <c r="A6120" s="5"/>
    </row>
    <row r="6121" spans="1:1">
      <c r="A6121" s="5"/>
    </row>
    <row r="6122" spans="1:1">
      <c r="A6122" s="5"/>
    </row>
    <row r="6123" spans="1:1">
      <c r="A6123" s="5"/>
    </row>
    <row r="6124" spans="1:1">
      <c r="A6124" s="5"/>
    </row>
    <row r="6125" spans="1:1">
      <c r="A6125" s="5"/>
    </row>
    <row r="6126" spans="1:1">
      <c r="A6126" s="5"/>
    </row>
    <row r="6127" spans="1:1">
      <c r="A6127" s="5"/>
    </row>
    <row r="6128" spans="1:1">
      <c r="A6128" s="5"/>
    </row>
    <row r="6129" spans="1:1">
      <c r="A6129" s="5"/>
    </row>
    <row r="6130" spans="1:1">
      <c r="A6130" s="5"/>
    </row>
    <row r="6131" spans="1:1">
      <c r="A6131" s="5"/>
    </row>
    <row r="6132" spans="1:1">
      <c r="A6132" s="5"/>
    </row>
    <row r="6133" spans="1:1">
      <c r="A6133" s="5"/>
    </row>
    <row r="6134" spans="1:1">
      <c r="A6134" s="5"/>
    </row>
    <row r="6135" spans="1:1">
      <c r="A6135" s="5"/>
    </row>
    <row r="6136" spans="1:1">
      <c r="A6136" s="5"/>
    </row>
    <row r="6137" spans="1:1">
      <c r="A6137" s="5"/>
    </row>
    <row r="6138" spans="1:1">
      <c r="A6138" s="5"/>
    </row>
    <row r="6139" spans="1:1">
      <c r="A6139" s="5"/>
    </row>
    <row r="6140" spans="1:1">
      <c r="A6140" s="5"/>
    </row>
    <row r="6141" spans="1:1">
      <c r="A6141" s="5"/>
    </row>
    <row r="6142" spans="1:1">
      <c r="A6142" s="5"/>
    </row>
    <row r="6143" spans="1:1">
      <c r="A6143" s="5"/>
    </row>
    <row r="6144" spans="1:1">
      <c r="A6144" s="5"/>
    </row>
    <row r="6145" spans="1:1">
      <c r="A6145" s="5"/>
    </row>
    <row r="6146" spans="1:1">
      <c r="A6146" s="5"/>
    </row>
    <row r="6147" spans="1:1">
      <c r="A6147" s="5"/>
    </row>
    <row r="6148" spans="1:1">
      <c r="A6148" s="5"/>
    </row>
    <row r="6149" spans="1:1">
      <c r="A6149" s="5"/>
    </row>
    <row r="6150" spans="1:1">
      <c r="A6150" s="5"/>
    </row>
    <row r="6151" spans="1:1">
      <c r="A6151" s="5"/>
    </row>
    <row r="6152" spans="1:1">
      <c r="A6152" s="5"/>
    </row>
    <row r="6153" spans="1:1">
      <c r="A6153" s="5"/>
    </row>
    <row r="6154" spans="1:1">
      <c r="A6154" s="5"/>
    </row>
    <row r="6155" spans="1:1">
      <c r="A6155" s="5"/>
    </row>
    <row r="6156" spans="1:1">
      <c r="A6156" s="5"/>
    </row>
    <row r="6157" spans="1:1">
      <c r="A6157" s="5"/>
    </row>
    <row r="6158" spans="1:1">
      <c r="A6158" s="5"/>
    </row>
    <row r="6159" spans="1:1">
      <c r="A6159" s="5"/>
    </row>
    <row r="6160" spans="1:1">
      <c r="A6160" s="5"/>
    </row>
    <row r="6161" spans="1:1">
      <c r="A6161" s="5"/>
    </row>
    <row r="6162" spans="1:1">
      <c r="A6162" s="5"/>
    </row>
    <row r="6163" spans="1:1">
      <c r="A6163" s="5"/>
    </row>
    <row r="6164" spans="1:1">
      <c r="A6164" s="5"/>
    </row>
    <row r="6165" spans="1:1">
      <c r="A6165" s="5"/>
    </row>
    <row r="6166" spans="1:1">
      <c r="A6166" s="5"/>
    </row>
    <row r="6167" spans="1:1">
      <c r="A6167" s="5"/>
    </row>
    <row r="6168" spans="1:1">
      <c r="A6168" s="5"/>
    </row>
    <row r="6169" spans="1:1">
      <c r="A6169" s="5"/>
    </row>
    <row r="6170" spans="1:1">
      <c r="A6170" s="5"/>
    </row>
    <row r="6171" spans="1:1">
      <c r="A6171" s="5"/>
    </row>
    <row r="6172" spans="1:1">
      <c r="A6172" s="5"/>
    </row>
    <row r="6173" spans="1:1">
      <c r="A6173" s="5"/>
    </row>
    <row r="6174" spans="1:1">
      <c r="A6174" s="5"/>
    </row>
    <row r="6175" spans="1:1">
      <c r="A6175" s="5"/>
    </row>
    <row r="6176" spans="1:1">
      <c r="A6176" s="5"/>
    </row>
    <row r="6177" spans="1:1">
      <c r="A6177" s="5"/>
    </row>
    <row r="6178" spans="1:1">
      <c r="A6178" s="5"/>
    </row>
    <row r="6179" spans="1:1">
      <c r="A6179" s="5"/>
    </row>
    <row r="6180" spans="1:1">
      <c r="A6180" s="5"/>
    </row>
    <row r="6181" spans="1:1">
      <c r="A6181" s="5"/>
    </row>
    <row r="6182" spans="1:1">
      <c r="A6182" s="5"/>
    </row>
    <row r="6183" spans="1:1">
      <c r="A6183" s="5"/>
    </row>
    <row r="6184" spans="1:1">
      <c r="A6184" s="5"/>
    </row>
    <row r="6185" spans="1:1">
      <c r="A6185" s="5"/>
    </row>
    <row r="6186" spans="1:1">
      <c r="A6186" s="5"/>
    </row>
    <row r="6187" spans="1:1">
      <c r="A6187" s="5"/>
    </row>
    <row r="6188" spans="1:1">
      <c r="A6188" s="5"/>
    </row>
    <row r="6189" spans="1:1">
      <c r="A6189" s="5"/>
    </row>
    <row r="6190" spans="1:1">
      <c r="A6190" s="5"/>
    </row>
    <row r="6191" spans="1:1">
      <c r="A6191" s="5"/>
    </row>
    <row r="6192" spans="1:1">
      <c r="A6192" s="5"/>
    </row>
    <row r="6193" spans="1:1">
      <c r="A6193" s="5"/>
    </row>
    <row r="6194" spans="1:1">
      <c r="A6194" s="5"/>
    </row>
    <row r="6195" spans="1:1">
      <c r="A6195" s="5"/>
    </row>
    <row r="6196" spans="1:1">
      <c r="A6196" s="5"/>
    </row>
    <row r="6197" spans="1:1">
      <c r="A6197" s="5"/>
    </row>
    <row r="6198" spans="1:1">
      <c r="A6198" s="5"/>
    </row>
    <row r="6199" spans="1:1">
      <c r="A6199" s="5"/>
    </row>
    <row r="6200" spans="1:1">
      <c r="A6200" s="5"/>
    </row>
    <row r="6201" spans="1:1">
      <c r="A6201" s="5"/>
    </row>
    <row r="6202" spans="1:1">
      <c r="A6202" s="5"/>
    </row>
    <row r="6203" spans="1:1">
      <c r="A6203" s="5"/>
    </row>
    <row r="6204" spans="1:1">
      <c r="A6204" s="5"/>
    </row>
    <row r="6205" spans="1:1">
      <c r="A6205" s="5"/>
    </row>
    <row r="6206" spans="1:1">
      <c r="A6206" s="5"/>
    </row>
    <row r="6207" spans="1:1">
      <c r="A6207" s="5"/>
    </row>
    <row r="6208" spans="1:1">
      <c r="A6208" s="5"/>
    </row>
    <row r="6209" spans="1:1">
      <c r="A6209" s="5"/>
    </row>
    <row r="6210" spans="1:1">
      <c r="A6210" s="5"/>
    </row>
    <row r="6211" spans="1:1">
      <c r="A6211" s="5"/>
    </row>
    <row r="6212" spans="1:1">
      <c r="A6212" s="5"/>
    </row>
    <row r="6213" spans="1:1">
      <c r="A6213" s="5"/>
    </row>
    <row r="6214" spans="1:1">
      <c r="A6214" s="5"/>
    </row>
    <row r="6215" spans="1:1">
      <c r="A6215" s="5"/>
    </row>
    <row r="6216" spans="1:1">
      <c r="A6216" s="5"/>
    </row>
    <row r="6217" spans="1:1">
      <c r="A6217" s="5"/>
    </row>
    <row r="6218" spans="1:1">
      <c r="A6218" s="5"/>
    </row>
    <row r="6219" spans="1:1">
      <c r="A6219" s="5"/>
    </row>
    <row r="6220" spans="1:1">
      <c r="A6220" s="5"/>
    </row>
    <row r="6221" spans="1:1">
      <c r="A6221" s="5"/>
    </row>
    <row r="6222" spans="1:1">
      <c r="A6222" s="5"/>
    </row>
    <row r="6223" spans="1:1">
      <c r="A6223" s="5"/>
    </row>
    <row r="6224" spans="1:1">
      <c r="A6224" s="5"/>
    </row>
    <row r="6225" spans="1:1">
      <c r="A6225" s="5"/>
    </row>
    <row r="6226" spans="1:1">
      <c r="A6226" s="5"/>
    </row>
    <row r="6227" spans="1:1">
      <c r="A6227" s="5"/>
    </row>
    <row r="6228" spans="1:1">
      <c r="A6228" s="5"/>
    </row>
    <row r="6229" spans="1:1">
      <c r="A6229" s="5"/>
    </row>
    <row r="6230" spans="1:1">
      <c r="A6230" s="5"/>
    </row>
    <row r="6231" spans="1:1">
      <c r="A6231" s="5"/>
    </row>
    <row r="6232" spans="1:1">
      <c r="A6232" s="5"/>
    </row>
    <row r="6233" spans="1:1">
      <c r="A6233" s="5"/>
    </row>
    <row r="6234" spans="1:1">
      <c r="A6234" s="5"/>
    </row>
    <row r="6235" spans="1:1">
      <c r="A6235" s="5"/>
    </row>
    <row r="6236" spans="1:1">
      <c r="A6236" s="5"/>
    </row>
    <row r="6237" spans="1:1">
      <c r="A6237" s="5"/>
    </row>
    <row r="6238" spans="1:1">
      <c r="A6238" s="5"/>
    </row>
    <row r="6239" spans="1:1">
      <c r="A6239" s="5"/>
    </row>
    <row r="6240" spans="1:1">
      <c r="A6240" s="5"/>
    </row>
    <row r="6241" spans="1:1">
      <c r="A6241" s="5"/>
    </row>
    <row r="6242" spans="1:1">
      <c r="A6242" s="5"/>
    </row>
    <row r="6243" spans="1:1">
      <c r="A6243" s="5"/>
    </row>
    <row r="6244" spans="1:1">
      <c r="A6244" s="5"/>
    </row>
    <row r="6245" spans="1:1">
      <c r="A6245" s="5"/>
    </row>
    <row r="6246" spans="1:1">
      <c r="A6246" s="5"/>
    </row>
    <row r="6247" spans="1:1">
      <c r="A6247" s="5"/>
    </row>
    <row r="6248" spans="1:1">
      <c r="A6248" s="5"/>
    </row>
    <row r="6249" spans="1:1">
      <c r="A6249" s="5"/>
    </row>
    <row r="6250" spans="1:1">
      <c r="A6250" s="5"/>
    </row>
    <row r="6251" spans="1:1">
      <c r="A6251" s="5"/>
    </row>
    <row r="6252" spans="1:1">
      <c r="A6252" s="5"/>
    </row>
    <row r="6253" spans="1:1">
      <c r="A6253" s="5"/>
    </row>
    <row r="6254" spans="1:1">
      <c r="A6254" s="5"/>
    </row>
    <row r="6255" spans="1:1">
      <c r="A6255" s="5"/>
    </row>
    <row r="6256" spans="1:1">
      <c r="A6256" s="5"/>
    </row>
    <row r="6257" spans="1:1">
      <c r="A6257" s="5"/>
    </row>
    <row r="6258" spans="1:1">
      <c r="A6258" s="5"/>
    </row>
    <row r="6259" spans="1:1">
      <c r="A6259" s="5"/>
    </row>
    <row r="6260" spans="1:1">
      <c r="A6260" s="5"/>
    </row>
    <row r="6261" spans="1:1">
      <c r="A6261" s="5"/>
    </row>
    <row r="6262" spans="1:1">
      <c r="A6262" s="5"/>
    </row>
    <row r="6263" spans="1:1">
      <c r="A6263" s="5"/>
    </row>
    <row r="6264" spans="1:1">
      <c r="A6264" s="5"/>
    </row>
    <row r="6265" spans="1:1">
      <c r="A6265" s="5"/>
    </row>
    <row r="6266" spans="1:1">
      <c r="A6266" s="5"/>
    </row>
    <row r="6267" spans="1:1">
      <c r="A6267" s="5"/>
    </row>
    <row r="6268" spans="1:1">
      <c r="A6268" s="5"/>
    </row>
    <row r="6269" spans="1:1">
      <c r="A6269" s="5"/>
    </row>
    <row r="6270" spans="1:1">
      <c r="A6270" s="5"/>
    </row>
    <row r="6271" spans="1:1">
      <c r="A6271" s="5"/>
    </row>
    <row r="6272" spans="1:1">
      <c r="A6272" s="5"/>
    </row>
    <row r="6273" spans="1:1">
      <c r="A6273" s="5"/>
    </row>
    <row r="6274" spans="1:1">
      <c r="A6274" s="5"/>
    </row>
    <row r="6275" spans="1:1">
      <c r="A6275" s="5"/>
    </row>
    <row r="6276" spans="1:1">
      <c r="A6276" s="5"/>
    </row>
    <row r="6277" spans="1:1">
      <c r="A6277" s="5"/>
    </row>
    <row r="6278" spans="1:1">
      <c r="A6278" s="5"/>
    </row>
    <row r="6279" spans="1:1">
      <c r="A6279" s="5"/>
    </row>
    <row r="6280" spans="1:1">
      <c r="A6280" s="5"/>
    </row>
    <row r="6281" spans="1:1">
      <c r="A6281" s="5"/>
    </row>
    <row r="6282" spans="1:1">
      <c r="A6282" s="5"/>
    </row>
    <row r="6283" spans="1:1">
      <c r="A6283" s="5"/>
    </row>
    <row r="6284" spans="1:1">
      <c r="A6284" s="5"/>
    </row>
    <row r="6285" spans="1:1">
      <c r="A6285" s="5"/>
    </row>
    <row r="6286" spans="1:1">
      <c r="A6286" s="5"/>
    </row>
    <row r="6287" spans="1:1">
      <c r="A6287" s="5"/>
    </row>
    <row r="6288" spans="1:1">
      <c r="A6288" s="5"/>
    </row>
    <row r="6289" spans="1:1">
      <c r="A6289" s="5"/>
    </row>
    <row r="6290" spans="1:1">
      <c r="A6290" s="5"/>
    </row>
    <row r="6291" spans="1:1">
      <c r="A6291" s="5"/>
    </row>
    <row r="6292" spans="1:1">
      <c r="A6292" s="5"/>
    </row>
    <row r="6293" spans="1:1">
      <c r="A6293" s="5"/>
    </row>
    <row r="6294" spans="1:1">
      <c r="A6294" s="5"/>
    </row>
    <row r="6295" spans="1:1">
      <c r="A6295" s="5"/>
    </row>
    <row r="6296" spans="1:1">
      <c r="A6296" s="5"/>
    </row>
    <row r="6297" spans="1:1">
      <c r="A6297" s="5"/>
    </row>
    <row r="6298" spans="1:1">
      <c r="A6298" s="5"/>
    </row>
    <row r="6299" spans="1:1">
      <c r="A6299" s="5"/>
    </row>
    <row r="6300" spans="1:1">
      <c r="A6300" s="5"/>
    </row>
    <row r="6301" spans="1:1">
      <c r="A6301" s="5"/>
    </row>
    <row r="6302" spans="1:1">
      <c r="A6302" s="5"/>
    </row>
    <row r="6303" spans="1:1">
      <c r="A6303" s="5"/>
    </row>
    <row r="6304" spans="1:1">
      <c r="A6304" s="5"/>
    </row>
    <row r="6305" spans="1:1">
      <c r="A6305" s="5"/>
    </row>
    <row r="6306" spans="1:1">
      <c r="A6306" s="5"/>
    </row>
    <row r="6307" spans="1:1">
      <c r="A6307" s="5"/>
    </row>
    <row r="6308" spans="1:1">
      <c r="A6308" s="5"/>
    </row>
    <row r="6309" spans="1:1">
      <c r="A6309" s="5"/>
    </row>
    <row r="6310" spans="1:1">
      <c r="A6310" s="5"/>
    </row>
    <row r="6311" spans="1:1">
      <c r="A6311" s="5"/>
    </row>
    <row r="6312" spans="1:1">
      <c r="A6312" s="5"/>
    </row>
    <row r="6313" spans="1:1">
      <c r="A6313" s="5"/>
    </row>
    <row r="6314" spans="1:1">
      <c r="A6314" s="5"/>
    </row>
    <row r="6315" spans="1:1">
      <c r="A6315" s="5"/>
    </row>
    <row r="6316" spans="1:1">
      <c r="A6316" s="5"/>
    </row>
    <row r="6317" spans="1:1">
      <c r="A6317" s="5"/>
    </row>
    <row r="6318" spans="1:1">
      <c r="A6318" s="5"/>
    </row>
    <row r="6319" spans="1:1">
      <c r="A6319" s="5"/>
    </row>
    <row r="6320" spans="1:1">
      <c r="A6320" s="5"/>
    </row>
    <row r="6321" spans="1:1">
      <c r="A6321" s="5"/>
    </row>
    <row r="6322" spans="1:1">
      <c r="A6322" s="5"/>
    </row>
    <row r="6323" spans="1:1">
      <c r="A6323" s="5"/>
    </row>
    <row r="6324" spans="1:1">
      <c r="A6324" s="5"/>
    </row>
    <row r="6325" spans="1:1">
      <c r="A6325" s="5"/>
    </row>
    <row r="6326" spans="1:1">
      <c r="A6326" s="5"/>
    </row>
    <row r="6327" spans="1:1">
      <c r="A6327" s="5"/>
    </row>
    <row r="6328" spans="1:1">
      <c r="A6328" s="5"/>
    </row>
    <row r="6329" spans="1:1">
      <c r="A6329" s="5"/>
    </row>
    <row r="6330" spans="1:1">
      <c r="A6330" s="5"/>
    </row>
    <row r="6331" spans="1:1">
      <c r="A6331" s="5"/>
    </row>
    <row r="6332" spans="1:1">
      <c r="A6332" s="5"/>
    </row>
    <row r="6333" spans="1:1">
      <c r="A6333" s="5"/>
    </row>
    <row r="6334" spans="1:1">
      <c r="A6334" s="5"/>
    </row>
    <row r="6335" spans="1:1">
      <c r="A6335" s="5"/>
    </row>
    <row r="6336" spans="1:1">
      <c r="A6336" s="5"/>
    </row>
    <row r="6337" spans="1:1">
      <c r="A6337" s="5"/>
    </row>
    <row r="6338" spans="1:1">
      <c r="A6338" s="5"/>
    </row>
    <row r="6339" spans="1:1">
      <c r="A6339" s="5"/>
    </row>
    <row r="6340" spans="1:1">
      <c r="A6340" s="5"/>
    </row>
    <row r="6341" spans="1:1">
      <c r="A6341" s="5"/>
    </row>
    <row r="6342" spans="1:1">
      <c r="A6342" s="5"/>
    </row>
    <row r="6343" spans="1:1">
      <c r="A6343" s="5"/>
    </row>
    <row r="6344" spans="1:1">
      <c r="A6344" s="5"/>
    </row>
    <row r="6345" spans="1:1">
      <c r="A6345" s="5"/>
    </row>
    <row r="6346" spans="1:1">
      <c r="A6346" s="5"/>
    </row>
    <row r="6347" spans="1:1">
      <c r="A6347" s="5"/>
    </row>
    <row r="6348" spans="1:1">
      <c r="A6348" s="5"/>
    </row>
    <row r="6349" spans="1:1">
      <c r="A6349" s="5"/>
    </row>
    <row r="6350" spans="1:1">
      <c r="A6350" s="5"/>
    </row>
    <row r="6351" spans="1:1">
      <c r="A6351" s="5"/>
    </row>
    <row r="6352" spans="1:1">
      <c r="A6352" s="5"/>
    </row>
    <row r="6353" spans="1:1">
      <c r="A6353" s="5"/>
    </row>
    <row r="6354" spans="1:1">
      <c r="A6354" s="5"/>
    </row>
    <row r="6355" spans="1:1">
      <c r="A6355" s="5"/>
    </row>
    <row r="6356" spans="1:1">
      <c r="A6356" s="5"/>
    </row>
    <row r="6357" spans="1:1">
      <c r="A6357" s="5"/>
    </row>
    <row r="6358" spans="1:1">
      <c r="A6358" s="5"/>
    </row>
    <row r="6359" spans="1:1">
      <c r="A6359" s="5"/>
    </row>
    <row r="6360" spans="1:1">
      <c r="A6360" s="5"/>
    </row>
    <row r="6361" spans="1:1">
      <c r="A6361" s="5"/>
    </row>
    <row r="6362" spans="1:1">
      <c r="A6362" s="5"/>
    </row>
    <row r="6363" spans="1:1">
      <c r="A6363" s="5"/>
    </row>
    <row r="6364" spans="1:1">
      <c r="A6364" s="5"/>
    </row>
    <row r="6365" spans="1:1">
      <c r="A6365" s="5"/>
    </row>
    <row r="6366" spans="1:1">
      <c r="A6366" s="5"/>
    </row>
    <row r="6367" spans="1:1">
      <c r="A6367" s="5"/>
    </row>
    <row r="6368" spans="1:1">
      <c r="A6368" s="5"/>
    </row>
    <row r="6369" spans="1:1">
      <c r="A6369" s="5"/>
    </row>
    <row r="6370" spans="1:1">
      <c r="A6370" s="5"/>
    </row>
    <row r="6371" spans="1:1">
      <c r="A6371" s="5"/>
    </row>
    <row r="6372" spans="1:1">
      <c r="A6372" s="5"/>
    </row>
    <row r="6373" spans="1:1">
      <c r="A6373" s="5"/>
    </row>
    <row r="6374" spans="1:1">
      <c r="A6374" s="5"/>
    </row>
    <row r="6375" spans="1:1">
      <c r="A6375" s="5"/>
    </row>
    <row r="6376" spans="1:1">
      <c r="A6376" s="5"/>
    </row>
    <row r="6377" spans="1:1">
      <c r="A6377" s="5"/>
    </row>
    <row r="6378" spans="1:1">
      <c r="A6378" s="5"/>
    </row>
    <row r="6379" spans="1:1">
      <c r="A6379" s="5"/>
    </row>
    <row r="6380" spans="1:1">
      <c r="A6380" s="5"/>
    </row>
    <row r="6381" spans="1:1">
      <c r="A6381" s="5"/>
    </row>
    <row r="6382" spans="1:1">
      <c r="A6382" s="5"/>
    </row>
    <row r="6383" spans="1:1">
      <c r="A6383" s="5"/>
    </row>
    <row r="6384" spans="1:1">
      <c r="A6384" s="5"/>
    </row>
    <row r="6385" spans="1:1">
      <c r="A6385" s="5"/>
    </row>
    <row r="6386" spans="1:1">
      <c r="A6386" s="5"/>
    </row>
    <row r="6387" spans="1:1">
      <c r="A6387" s="5"/>
    </row>
    <row r="6388" spans="1:1">
      <c r="A6388" s="5"/>
    </row>
    <row r="6389" spans="1:1">
      <c r="A6389" s="5"/>
    </row>
    <row r="6390" spans="1:1">
      <c r="A6390" s="5"/>
    </row>
    <row r="6391" spans="1:1">
      <c r="A6391" s="5"/>
    </row>
    <row r="6392" spans="1:1">
      <c r="A6392" s="5"/>
    </row>
    <row r="6393" spans="1:1">
      <c r="A6393" s="5"/>
    </row>
    <row r="6394" spans="1:1">
      <c r="A6394" s="5"/>
    </row>
    <row r="6395" spans="1:1">
      <c r="A6395" s="5"/>
    </row>
    <row r="6396" spans="1:1">
      <c r="A6396" s="5"/>
    </row>
    <row r="6397" spans="1:1">
      <c r="A6397" s="5"/>
    </row>
    <row r="6398" spans="1:1">
      <c r="A6398" s="5"/>
    </row>
    <row r="6399" spans="1:1">
      <c r="A6399" s="5"/>
    </row>
    <row r="6400" spans="1:1">
      <c r="A6400" s="5"/>
    </row>
    <row r="6401" spans="1:1">
      <c r="A6401" s="5"/>
    </row>
    <row r="6402" spans="1:1">
      <c r="A6402" s="5"/>
    </row>
    <row r="6403" spans="1:1">
      <c r="A6403" s="5"/>
    </row>
    <row r="6404" spans="1:1">
      <c r="A6404" s="5"/>
    </row>
    <row r="6405" spans="1:1">
      <c r="A6405" s="5"/>
    </row>
    <row r="6406" spans="1:1">
      <c r="A6406" s="5"/>
    </row>
    <row r="6407" spans="1:1">
      <c r="A6407" s="5"/>
    </row>
    <row r="6408" spans="1:1">
      <c r="A6408" s="5"/>
    </row>
    <row r="6409" spans="1:1">
      <c r="A6409" s="5"/>
    </row>
    <row r="6410" spans="1:1">
      <c r="A6410" s="5"/>
    </row>
    <row r="6411" spans="1:1">
      <c r="A6411" s="5"/>
    </row>
    <row r="6412" spans="1:1">
      <c r="A6412" s="5"/>
    </row>
    <row r="6413" spans="1:1">
      <c r="A6413" s="5"/>
    </row>
    <row r="6414" spans="1:1">
      <c r="A6414" s="5"/>
    </row>
    <row r="6415" spans="1:1">
      <c r="A6415" s="5"/>
    </row>
    <row r="6416" spans="1:1">
      <c r="A6416" s="5"/>
    </row>
    <row r="6417" spans="1:1">
      <c r="A6417" s="5"/>
    </row>
    <row r="6418" spans="1:1">
      <c r="A6418" s="5"/>
    </row>
    <row r="6419" spans="1:1">
      <c r="A6419" s="5"/>
    </row>
    <row r="6420" spans="1:1">
      <c r="A6420" s="5"/>
    </row>
    <row r="6421" spans="1:1">
      <c r="A6421" s="5"/>
    </row>
    <row r="6422" spans="1:1">
      <c r="A6422" s="5"/>
    </row>
    <row r="6423" spans="1:1">
      <c r="A6423" s="5"/>
    </row>
    <row r="6424" spans="1:1">
      <c r="A6424" s="5"/>
    </row>
    <row r="6425" spans="1:1">
      <c r="A6425" s="5"/>
    </row>
    <row r="6426" spans="1:1">
      <c r="A6426" s="5"/>
    </row>
    <row r="6427" spans="1:1">
      <c r="A6427" s="5"/>
    </row>
    <row r="6428" spans="1:1">
      <c r="A6428" s="5"/>
    </row>
    <row r="6429" spans="1:1">
      <c r="A6429" s="5"/>
    </row>
    <row r="6430" spans="1:1">
      <c r="A6430" s="5"/>
    </row>
    <row r="6431" spans="1:1">
      <c r="A6431" s="5"/>
    </row>
    <row r="6432" spans="1:1">
      <c r="A6432" s="5"/>
    </row>
    <row r="6433" spans="1:1">
      <c r="A6433" s="5"/>
    </row>
    <row r="6434" spans="1:1">
      <c r="A6434" s="5"/>
    </row>
    <row r="6435" spans="1:1">
      <c r="A6435" s="5"/>
    </row>
    <row r="6436" spans="1:1">
      <c r="A6436" s="5"/>
    </row>
    <row r="6437" spans="1:1">
      <c r="A6437" s="5"/>
    </row>
    <row r="6438" spans="1:1">
      <c r="A6438" s="5"/>
    </row>
    <row r="6439" spans="1:1">
      <c r="A6439" s="5"/>
    </row>
    <row r="6440" spans="1:1">
      <c r="A6440" s="5"/>
    </row>
    <row r="6441" spans="1:1">
      <c r="A6441" s="5"/>
    </row>
    <row r="6442" spans="1:1">
      <c r="A6442" s="5"/>
    </row>
    <row r="6443" spans="1:1">
      <c r="A6443" s="5"/>
    </row>
    <row r="6444" spans="1:1">
      <c r="A6444" s="5"/>
    </row>
    <row r="6445" spans="1:1">
      <c r="A6445" s="5"/>
    </row>
    <row r="6446" spans="1:1">
      <c r="A6446" s="5"/>
    </row>
    <row r="6447" spans="1:1">
      <c r="A6447" s="5"/>
    </row>
    <row r="6448" spans="1:1">
      <c r="A6448" s="5"/>
    </row>
    <row r="6449" spans="1:1">
      <c r="A6449" s="5"/>
    </row>
    <row r="6450" spans="1:1">
      <c r="A6450" s="5"/>
    </row>
    <row r="6451" spans="1:1">
      <c r="A6451" s="5"/>
    </row>
    <row r="6452" spans="1:1">
      <c r="A6452" s="5"/>
    </row>
    <row r="6453" spans="1:1">
      <c r="A6453" s="5"/>
    </row>
    <row r="6454" spans="1:1">
      <c r="A6454" s="5"/>
    </row>
    <row r="6455" spans="1:1">
      <c r="A6455" s="5"/>
    </row>
    <row r="6456" spans="1:1">
      <c r="A6456" s="5"/>
    </row>
    <row r="6457" spans="1:1">
      <c r="A6457" s="5"/>
    </row>
    <row r="6458" spans="1:1">
      <c r="A6458" s="5"/>
    </row>
    <row r="6459" spans="1:1">
      <c r="A6459" s="5"/>
    </row>
    <row r="6460" spans="1:1">
      <c r="A6460" s="5"/>
    </row>
    <row r="6461" spans="1:1">
      <c r="A6461" s="5"/>
    </row>
    <row r="6462" spans="1:1">
      <c r="A6462" s="5"/>
    </row>
    <row r="6463" spans="1:1">
      <c r="A6463" s="5"/>
    </row>
    <row r="6464" spans="1:1">
      <c r="A6464" s="5"/>
    </row>
    <row r="6465" spans="1:1">
      <c r="A6465" s="5"/>
    </row>
    <row r="6466" spans="1:1">
      <c r="A6466" s="5"/>
    </row>
    <row r="6467" spans="1:1">
      <c r="A6467" s="5"/>
    </row>
    <row r="6468" spans="1:1">
      <c r="A6468" s="5"/>
    </row>
    <row r="6469" spans="1:1">
      <c r="A6469" s="5"/>
    </row>
    <row r="6470" spans="1:1">
      <c r="A6470" s="5"/>
    </row>
    <row r="6471" spans="1:1">
      <c r="A6471" s="5"/>
    </row>
    <row r="6472" spans="1:1">
      <c r="A6472" s="5"/>
    </row>
    <row r="6473" spans="1:1">
      <c r="A6473" s="5"/>
    </row>
    <row r="6474" spans="1:1">
      <c r="A6474" s="5"/>
    </row>
    <row r="6475" spans="1:1">
      <c r="A6475" s="5"/>
    </row>
    <row r="6476" spans="1:1">
      <c r="A6476" s="5"/>
    </row>
    <row r="6477" spans="1:1">
      <c r="A6477" s="5"/>
    </row>
    <row r="6478" spans="1:1">
      <c r="A6478" s="5"/>
    </row>
    <row r="6479" spans="1:1">
      <c r="A6479" s="5"/>
    </row>
    <row r="6480" spans="1:1">
      <c r="A6480" s="5"/>
    </row>
    <row r="6481" spans="1:1">
      <c r="A6481" s="5"/>
    </row>
    <row r="6482" spans="1:1">
      <c r="A6482" s="5"/>
    </row>
    <row r="6483" spans="1:1">
      <c r="A6483" s="5"/>
    </row>
    <row r="6484" spans="1:1">
      <c r="A6484" s="5"/>
    </row>
    <row r="6485" spans="1:1">
      <c r="A6485" s="5"/>
    </row>
    <row r="6486" spans="1:1">
      <c r="A6486" s="5"/>
    </row>
    <row r="6487" spans="1:1">
      <c r="A6487" s="5"/>
    </row>
    <row r="6488" spans="1:1">
      <c r="A6488" s="5"/>
    </row>
    <row r="6489" spans="1:1">
      <c r="A6489" s="5"/>
    </row>
    <row r="6490" spans="1:1">
      <c r="A6490" s="5"/>
    </row>
    <row r="6491" spans="1:1">
      <c r="A6491" s="5"/>
    </row>
    <row r="6492" spans="1:1">
      <c r="A6492" s="5"/>
    </row>
    <row r="6493" spans="1:1">
      <c r="A6493" s="5"/>
    </row>
    <row r="6494" spans="1:1">
      <c r="A6494" s="5"/>
    </row>
    <row r="6495" spans="1:1">
      <c r="A6495" s="5"/>
    </row>
    <row r="6496" spans="1:1">
      <c r="A6496" s="5"/>
    </row>
    <row r="6497" spans="1:1">
      <c r="A6497" s="5"/>
    </row>
    <row r="6498" spans="1:1">
      <c r="A6498" s="5"/>
    </row>
    <row r="6499" spans="1:1">
      <c r="A6499" s="5"/>
    </row>
    <row r="6500" spans="1:1">
      <c r="A6500" s="5"/>
    </row>
    <row r="6501" spans="1:1">
      <c r="A6501" s="5"/>
    </row>
    <row r="6502" spans="1:1">
      <c r="A6502" s="5"/>
    </row>
    <row r="6503" spans="1:1">
      <c r="A6503" s="5"/>
    </row>
    <row r="6504" spans="1:1">
      <c r="A6504" s="5"/>
    </row>
    <row r="6505" spans="1:1">
      <c r="A6505" s="5"/>
    </row>
    <row r="6506" spans="1:1">
      <c r="A6506" s="5"/>
    </row>
    <row r="6507" spans="1:1">
      <c r="A6507" s="5"/>
    </row>
    <row r="6508" spans="1:1">
      <c r="A6508" s="5"/>
    </row>
    <row r="6509" spans="1:1">
      <c r="A6509" s="5"/>
    </row>
    <row r="6510" spans="1:1">
      <c r="A6510" s="5"/>
    </row>
    <row r="6511" spans="1:1">
      <c r="A6511" s="5"/>
    </row>
    <row r="6512" spans="1:1">
      <c r="A6512" s="5"/>
    </row>
    <row r="6513" spans="1:1">
      <c r="A6513" s="5"/>
    </row>
    <row r="6514" spans="1:1">
      <c r="A6514" s="5"/>
    </row>
    <row r="6515" spans="1:1">
      <c r="A6515" s="5"/>
    </row>
    <row r="6516" spans="1:1">
      <c r="A6516" s="5"/>
    </row>
    <row r="6517" spans="1:1">
      <c r="A6517" s="5"/>
    </row>
    <row r="6518" spans="1:1">
      <c r="A6518" s="5"/>
    </row>
    <row r="6519" spans="1:1">
      <c r="A6519" s="5"/>
    </row>
    <row r="6520" spans="1:1">
      <c r="A6520" s="5"/>
    </row>
    <row r="6521" spans="1:1">
      <c r="A6521" s="5"/>
    </row>
    <row r="6522" spans="1:1">
      <c r="A6522" s="5"/>
    </row>
    <row r="6523" spans="1:1">
      <c r="A6523" s="5"/>
    </row>
    <row r="6524" spans="1:1">
      <c r="A6524" s="5"/>
    </row>
    <row r="6525" spans="1:1">
      <c r="A6525" s="5"/>
    </row>
    <row r="6526" spans="1:1">
      <c r="A6526" s="5"/>
    </row>
    <row r="6527" spans="1:1">
      <c r="A6527" s="5"/>
    </row>
    <row r="6528" spans="1:1">
      <c r="A6528" s="5"/>
    </row>
    <row r="6529" spans="1:1">
      <c r="A6529" s="5"/>
    </row>
    <row r="6530" spans="1:1">
      <c r="A6530" s="5"/>
    </row>
    <row r="6531" spans="1:1">
      <c r="A6531" s="5"/>
    </row>
    <row r="6532" spans="1:1">
      <c r="A6532" s="5"/>
    </row>
    <row r="6533" spans="1:1">
      <c r="A6533" s="5"/>
    </row>
    <row r="6534" spans="1:1">
      <c r="A6534" s="5"/>
    </row>
    <row r="6535" spans="1:1">
      <c r="A6535" s="5"/>
    </row>
    <row r="6536" spans="1:1">
      <c r="A6536" s="5"/>
    </row>
    <row r="6537" spans="1:1">
      <c r="A6537" s="5"/>
    </row>
    <row r="6538" spans="1:1">
      <c r="A6538" s="5"/>
    </row>
    <row r="6539" spans="1:1">
      <c r="A6539" s="5"/>
    </row>
    <row r="6540" spans="1:1">
      <c r="A6540" s="5"/>
    </row>
    <row r="6541" spans="1:1">
      <c r="A6541" s="5"/>
    </row>
    <row r="6542" spans="1:1">
      <c r="A6542" s="5"/>
    </row>
    <row r="6543" spans="1:1">
      <c r="A6543" s="5"/>
    </row>
    <row r="6544" spans="1:1">
      <c r="A6544" s="5"/>
    </row>
    <row r="6545" spans="1:1">
      <c r="A6545" s="5"/>
    </row>
    <row r="6546" spans="1:1">
      <c r="A6546" s="5"/>
    </row>
    <row r="6547" spans="1:1">
      <c r="A6547" s="5"/>
    </row>
    <row r="6548" spans="1:1">
      <c r="A6548" s="5"/>
    </row>
    <row r="6549" spans="1:1">
      <c r="A6549" s="5"/>
    </row>
    <row r="6550" spans="1:1">
      <c r="A6550" s="5"/>
    </row>
    <row r="6551" spans="1:1">
      <c r="A6551" s="5"/>
    </row>
    <row r="6552" spans="1:1">
      <c r="A6552" s="5"/>
    </row>
    <row r="6553" spans="1:1">
      <c r="A6553" s="5"/>
    </row>
    <row r="6554" spans="1:1">
      <c r="A6554" s="5"/>
    </row>
    <row r="6555" spans="1:1">
      <c r="A6555" s="5"/>
    </row>
    <row r="6556" spans="1:1">
      <c r="A6556" s="5"/>
    </row>
    <row r="6557" spans="1:1">
      <c r="A6557" s="5"/>
    </row>
    <row r="6558" spans="1:1">
      <c r="A6558" s="5"/>
    </row>
    <row r="6559" spans="1:1">
      <c r="A6559" s="5"/>
    </row>
    <row r="6560" spans="1:1">
      <c r="A6560" s="5"/>
    </row>
    <row r="6561" spans="1:1">
      <c r="A6561" s="5"/>
    </row>
    <row r="6562" spans="1:1">
      <c r="A6562" s="5"/>
    </row>
    <row r="6563" spans="1:1">
      <c r="A6563" s="5"/>
    </row>
    <row r="6564" spans="1:1">
      <c r="A6564" s="5"/>
    </row>
    <row r="6565" spans="1:1">
      <c r="A6565" s="5"/>
    </row>
    <row r="6566" spans="1:1">
      <c r="A6566" s="5"/>
    </row>
    <row r="6567" spans="1:1">
      <c r="A6567" s="5"/>
    </row>
    <row r="6568" spans="1:1">
      <c r="A6568" s="5"/>
    </row>
    <row r="6569" spans="1:1">
      <c r="A6569" s="5"/>
    </row>
    <row r="6570" spans="1:1">
      <c r="A6570" s="5"/>
    </row>
    <row r="6571" spans="1:1">
      <c r="A6571" s="5"/>
    </row>
    <row r="6572" spans="1:1">
      <c r="A6572" s="5"/>
    </row>
    <row r="6573" spans="1:1">
      <c r="A6573" s="5"/>
    </row>
    <row r="6574" spans="1:1">
      <c r="A6574" s="5"/>
    </row>
    <row r="6575" spans="1:1">
      <c r="A6575" s="5"/>
    </row>
    <row r="6576" spans="1:1">
      <c r="A6576" s="5"/>
    </row>
    <row r="6577" spans="1:1">
      <c r="A6577" s="5"/>
    </row>
    <row r="6578" spans="1:1">
      <c r="A6578" s="5"/>
    </row>
    <row r="6579" spans="1:1">
      <c r="A6579" s="5"/>
    </row>
    <row r="6580" spans="1:1">
      <c r="A6580" s="5"/>
    </row>
    <row r="6581" spans="1:1">
      <c r="A6581" s="5"/>
    </row>
    <row r="6582" spans="1:1">
      <c r="A6582" s="5"/>
    </row>
    <row r="6583" spans="1:1">
      <c r="A6583" s="5"/>
    </row>
    <row r="6584" spans="1:1">
      <c r="A6584" s="5"/>
    </row>
    <row r="6585" spans="1:1">
      <c r="A6585" s="5"/>
    </row>
    <row r="6586" spans="1:1">
      <c r="A6586" s="5"/>
    </row>
    <row r="6587" spans="1:1">
      <c r="A6587" s="5"/>
    </row>
    <row r="6588" spans="1:1">
      <c r="A6588" s="5"/>
    </row>
    <row r="6589" spans="1:1">
      <c r="A6589" s="5"/>
    </row>
    <row r="6590" spans="1:1">
      <c r="A6590" s="5"/>
    </row>
    <row r="6591" spans="1:1">
      <c r="A6591" s="5"/>
    </row>
    <row r="6592" spans="1:1">
      <c r="A6592" s="5"/>
    </row>
    <row r="6593" spans="1:1">
      <c r="A6593" s="5"/>
    </row>
    <row r="6594" spans="1:1">
      <c r="A6594" s="5"/>
    </row>
    <row r="6595" spans="1:1">
      <c r="A6595" s="5"/>
    </row>
    <row r="6596" spans="1:1">
      <c r="A6596" s="5"/>
    </row>
    <row r="6597" spans="1:1">
      <c r="A6597" s="5"/>
    </row>
    <row r="6598" spans="1:1">
      <c r="A6598" s="5"/>
    </row>
    <row r="6599" spans="1:1">
      <c r="A6599" s="5"/>
    </row>
    <row r="6600" spans="1:1">
      <c r="A6600" s="5"/>
    </row>
    <row r="6601" spans="1:1">
      <c r="A6601" s="5"/>
    </row>
    <row r="6602" spans="1:1">
      <c r="A6602" s="5"/>
    </row>
    <row r="6603" spans="1:1">
      <c r="A6603" s="5"/>
    </row>
    <row r="6604" spans="1:1">
      <c r="A6604" s="5"/>
    </row>
    <row r="6605" spans="1:1">
      <c r="A6605" s="5"/>
    </row>
    <row r="6606" spans="1:1">
      <c r="A6606" s="5"/>
    </row>
    <row r="6607" spans="1:1">
      <c r="A6607" s="5"/>
    </row>
    <row r="6608" spans="1:1">
      <c r="A6608" s="5"/>
    </row>
    <row r="6609" spans="1:1">
      <c r="A6609" s="5"/>
    </row>
    <row r="6610" spans="1:1">
      <c r="A6610" s="5"/>
    </row>
    <row r="6611" spans="1:1">
      <c r="A6611" s="5"/>
    </row>
    <row r="6612" spans="1:1">
      <c r="A6612" s="5"/>
    </row>
    <row r="6613" spans="1:1">
      <c r="A6613" s="5"/>
    </row>
    <row r="6614" spans="1:1">
      <c r="A6614" s="5"/>
    </row>
    <row r="6615" spans="1:1">
      <c r="A6615" s="5"/>
    </row>
    <row r="6616" spans="1:1">
      <c r="A6616" s="5"/>
    </row>
    <row r="6617" spans="1:1">
      <c r="A6617" s="5"/>
    </row>
    <row r="6618" spans="1:1">
      <c r="A6618" s="5"/>
    </row>
    <row r="6619" spans="1:1">
      <c r="A6619" s="5"/>
    </row>
    <row r="6620" spans="1:1">
      <c r="A6620" s="5"/>
    </row>
    <row r="6621" spans="1:1">
      <c r="A6621" s="5"/>
    </row>
    <row r="6622" spans="1:1">
      <c r="A6622" s="5"/>
    </row>
    <row r="6623" spans="1:1">
      <c r="A6623" s="5"/>
    </row>
    <row r="6624" spans="1:1">
      <c r="A6624" s="5"/>
    </row>
    <row r="6625" spans="1:1">
      <c r="A6625" s="5"/>
    </row>
    <row r="6626" spans="1:1">
      <c r="A6626" s="5"/>
    </row>
    <row r="6627" spans="1:1">
      <c r="A6627" s="5"/>
    </row>
    <row r="6628" spans="1:1">
      <c r="A6628" s="5"/>
    </row>
    <row r="6629" spans="1:1">
      <c r="A6629" s="5"/>
    </row>
    <row r="6630" spans="1:1">
      <c r="A6630" s="5"/>
    </row>
    <row r="6631" spans="1:1">
      <c r="A6631" s="5"/>
    </row>
    <row r="6632" spans="1:1">
      <c r="A6632" s="5"/>
    </row>
    <row r="6633" spans="1:1">
      <c r="A6633" s="5"/>
    </row>
    <row r="6634" spans="1:1">
      <c r="A6634" s="5"/>
    </row>
    <row r="6635" spans="1:1">
      <c r="A6635" s="5"/>
    </row>
    <row r="6636" spans="1:1">
      <c r="A6636" s="5"/>
    </row>
    <row r="6637" spans="1:1">
      <c r="A6637" s="5"/>
    </row>
    <row r="6638" spans="1:1">
      <c r="A6638" s="5"/>
    </row>
    <row r="6639" spans="1:1">
      <c r="A6639" s="5"/>
    </row>
    <row r="6640" spans="1:1">
      <c r="A6640" s="5"/>
    </row>
    <row r="6641" spans="1:1">
      <c r="A6641" s="5"/>
    </row>
    <row r="6642" spans="1:1">
      <c r="A6642" s="5"/>
    </row>
    <row r="6643" spans="1:1">
      <c r="A6643" s="5"/>
    </row>
    <row r="6644" spans="1:1">
      <c r="A6644" s="5"/>
    </row>
    <row r="6645" spans="1:1">
      <c r="A6645" s="5"/>
    </row>
    <row r="6646" spans="1:1">
      <c r="A6646" s="5"/>
    </row>
    <row r="6647" spans="1:1">
      <c r="A6647" s="5"/>
    </row>
    <row r="6648" spans="1:1">
      <c r="A6648" s="5"/>
    </row>
    <row r="6649" spans="1:1">
      <c r="A6649" s="5"/>
    </row>
    <row r="6650" spans="1:1">
      <c r="A6650" s="5"/>
    </row>
    <row r="6651" spans="1:1">
      <c r="A6651" s="5"/>
    </row>
    <row r="6652" spans="1:1">
      <c r="A6652" s="5"/>
    </row>
    <row r="6653" spans="1:1">
      <c r="A6653" s="5"/>
    </row>
    <row r="6654" spans="1:1">
      <c r="A6654" s="5"/>
    </row>
    <row r="6655" spans="1:1">
      <c r="A6655" s="5"/>
    </row>
    <row r="6656" spans="1:1">
      <c r="A6656" s="5"/>
    </row>
    <row r="6657" spans="1:1">
      <c r="A6657" s="5"/>
    </row>
    <row r="6658" spans="1:1">
      <c r="A6658" s="5"/>
    </row>
    <row r="6659" spans="1:1">
      <c r="A6659" s="5"/>
    </row>
    <row r="6660" spans="1:1">
      <c r="A6660" s="5"/>
    </row>
    <row r="6661" spans="1:1">
      <c r="A6661" s="5"/>
    </row>
    <row r="6662" spans="1:1">
      <c r="A6662" s="5"/>
    </row>
    <row r="6663" spans="1:1">
      <c r="A6663" s="5"/>
    </row>
    <row r="6664" spans="1:1">
      <c r="A6664" s="5"/>
    </row>
    <row r="6665" spans="1:1">
      <c r="A6665" s="5"/>
    </row>
    <row r="6666" spans="1:1">
      <c r="A6666" s="5"/>
    </row>
    <row r="6667" spans="1:1">
      <c r="A6667" s="5"/>
    </row>
    <row r="6668" spans="1:1">
      <c r="A6668" s="5"/>
    </row>
    <row r="6669" spans="1:1">
      <c r="A6669" s="5"/>
    </row>
    <row r="6670" spans="1:1">
      <c r="A6670" s="5"/>
    </row>
    <row r="6671" spans="1:1">
      <c r="A6671" s="5"/>
    </row>
    <row r="6672" spans="1:1">
      <c r="A6672" s="5"/>
    </row>
    <row r="6673" spans="1:1">
      <c r="A6673" s="5"/>
    </row>
    <row r="6674" spans="1:1">
      <c r="A6674" s="5"/>
    </row>
    <row r="6675" spans="1:1">
      <c r="A6675" s="5"/>
    </row>
    <row r="6676" spans="1:1">
      <c r="A6676" s="5"/>
    </row>
    <row r="6677" spans="1:1">
      <c r="A6677" s="5"/>
    </row>
    <row r="6678" spans="1:1">
      <c r="A6678" s="5"/>
    </row>
    <row r="6679" spans="1:1">
      <c r="A6679" s="5"/>
    </row>
    <row r="6680" spans="1:1">
      <c r="A6680" s="5"/>
    </row>
    <row r="6681" spans="1:1">
      <c r="A6681" s="5"/>
    </row>
    <row r="6682" spans="1:1">
      <c r="A6682" s="5"/>
    </row>
    <row r="6683" spans="1:1">
      <c r="A6683" s="5"/>
    </row>
    <row r="6684" spans="1:1">
      <c r="A6684" s="5"/>
    </row>
    <row r="6685" spans="1:1">
      <c r="A6685" s="5"/>
    </row>
    <row r="6686" spans="1:1">
      <c r="A6686" s="5"/>
    </row>
    <row r="6687" spans="1:1">
      <c r="A6687" s="5"/>
    </row>
    <row r="6688" spans="1:1">
      <c r="A6688" s="5"/>
    </row>
    <row r="6689" spans="1:1">
      <c r="A6689" s="5"/>
    </row>
    <row r="6690" spans="1:1">
      <c r="A6690" s="5"/>
    </row>
    <row r="6691" spans="1:1">
      <c r="A6691" s="5"/>
    </row>
    <row r="6692" spans="1:1">
      <c r="A6692" s="5"/>
    </row>
    <row r="6693" spans="1:1">
      <c r="A6693" s="5"/>
    </row>
    <row r="6694" spans="1:1">
      <c r="A6694" s="5"/>
    </row>
    <row r="6695" spans="1:1">
      <c r="A6695" s="5"/>
    </row>
    <row r="6696" spans="1:1">
      <c r="A6696" s="5"/>
    </row>
    <row r="6697" spans="1:1">
      <c r="A6697" s="5"/>
    </row>
    <row r="6698" spans="1:1">
      <c r="A6698" s="5"/>
    </row>
    <row r="6699" spans="1:1">
      <c r="A6699" s="5"/>
    </row>
    <row r="6700" spans="1:1">
      <c r="A6700" s="5"/>
    </row>
    <row r="6701" spans="1:1">
      <c r="A6701" s="5"/>
    </row>
    <row r="6702" spans="1:1">
      <c r="A6702" s="5"/>
    </row>
    <row r="6703" spans="1:1">
      <c r="A6703" s="5"/>
    </row>
    <row r="6704" spans="1:1">
      <c r="A6704" s="5"/>
    </row>
    <row r="6705" spans="1:1">
      <c r="A6705" s="5"/>
    </row>
    <row r="6706" spans="1:1">
      <c r="A6706" s="5"/>
    </row>
    <row r="6707" spans="1:1">
      <c r="A6707" s="5"/>
    </row>
    <row r="6708" spans="1:1">
      <c r="A6708" s="5"/>
    </row>
    <row r="6709" spans="1:1">
      <c r="A6709" s="5"/>
    </row>
    <row r="6710" spans="1:1">
      <c r="A6710" s="5"/>
    </row>
    <row r="6711" spans="1:1">
      <c r="A6711" s="5"/>
    </row>
    <row r="6712" spans="1:1">
      <c r="A6712" s="5"/>
    </row>
    <row r="6713" spans="1:1">
      <c r="A6713" s="5"/>
    </row>
    <row r="6714" spans="1:1">
      <c r="A6714" s="5"/>
    </row>
    <row r="6715" spans="1:1">
      <c r="A6715" s="5"/>
    </row>
    <row r="6716" spans="1:1">
      <c r="A6716" s="5"/>
    </row>
    <row r="6717" spans="1:1">
      <c r="A6717" s="5"/>
    </row>
    <row r="6718" spans="1:1">
      <c r="A6718" s="5"/>
    </row>
    <row r="6719" spans="1:1">
      <c r="A6719" s="5"/>
    </row>
    <row r="6720" spans="1:1">
      <c r="A6720" s="5"/>
    </row>
    <row r="6721" spans="1:1">
      <c r="A6721" s="5"/>
    </row>
    <row r="6722" spans="1:1">
      <c r="A6722" s="5"/>
    </row>
    <row r="6723" spans="1:1">
      <c r="A6723" s="5"/>
    </row>
    <row r="6724" spans="1:1">
      <c r="A6724" s="5"/>
    </row>
    <row r="6725" spans="1:1">
      <c r="A6725" s="5"/>
    </row>
    <row r="6726" spans="1:1">
      <c r="A6726" s="5"/>
    </row>
    <row r="6727" spans="1:1">
      <c r="A6727" s="5"/>
    </row>
    <row r="6728" spans="1:1">
      <c r="A6728" s="5"/>
    </row>
    <row r="6729" spans="1:1">
      <c r="A6729" s="5"/>
    </row>
    <row r="6730" spans="1:1">
      <c r="A6730" s="5"/>
    </row>
    <row r="6731" spans="1:1">
      <c r="A6731" s="5"/>
    </row>
    <row r="6732" spans="1:1">
      <c r="A6732" s="5"/>
    </row>
    <row r="6733" spans="1:1">
      <c r="A6733" s="5"/>
    </row>
    <row r="6734" spans="1:1">
      <c r="A6734" s="5"/>
    </row>
    <row r="6735" spans="1:1">
      <c r="A6735" s="5"/>
    </row>
    <row r="6736" spans="1:1">
      <c r="A6736" s="5"/>
    </row>
    <row r="6737" spans="1:1">
      <c r="A6737" s="5"/>
    </row>
    <row r="6738" spans="1:1">
      <c r="A6738" s="5"/>
    </row>
    <row r="6739" spans="1:1">
      <c r="A6739" s="5"/>
    </row>
    <row r="6740" spans="1:1">
      <c r="A6740" s="5"/>
    </row>
    <row r="6741" spans="1:1">
      <c r="A6741" s="5"/>
    </row>
    <row r="6742" spans="1:1">
      <c r="A6742" s="5"/>
    </row>
    <row r="6743" spans="1:1">
      <c r="A6743" s="5"/>
    </row>
    <row r="6744" spans="1:1">
      <c r="A6744" s="5"/>
    </row>
    <row r="6745" spans="1:1">
      <c r="A6745" s="5"/>
    </row>
    <row r="6746" spans="1:1">
      <c r="A6746" s="5"/>
    </row>
    <row r="6747" spans="1:1">
      <c r="A6747" s="5"/>
    </row>
    <row r="6748" spans="1:1">
      <c r="A6748" s="5"/>
    </row>
    <row r="6749" spans="1:1">
      <c r="A6749" s="5"/>
    </row>
    <row r="6750" spans="1:1">
      <c r="A6750" s="5"/>
    </row>
    <row r="6751" spans="1:1">
      <c r="A6751" s="5"/>
    </row>
    <row r="6752" spans="1:1">
      <c r="A6752" s="5"/>
    </row>
    <row r="6753" spans="1:1">
      <c r="A6753" s="5"/>
    </row>
    <row r="6754" spans="1:1">
      <c r="A6754" s="5"/>
    </row>
    <row r="6755" spans="1:1">
      <c r="A6755" s="5"/>
    </row>
    <row r="6756" spans="1:1">
      <c r="A6756" s="5"/>
    </row>
    <row r="6757" spans="1:1">
      <c r="A6757" s="5"/>
    </row>
    <row r="6758" spans="1:1">
      <c r="A6758" s="5"/>
    </row>
    <row r="6759" spans="1:1">
      <c r="A6759" s="5"/>
    </row>
    <row r="6760" spans="1:1">
      <c r="A6760" s="5"/>
    </row>
    <row r="6761" spans="1:1">
      <c r="A6761" s="5"/>
    </row>
    <row r="6762" spans="1:1">
      <c r="A6762" s="5"/>
    </row>
    <row r="6763" spans="1:1">
      <c r="A6763" s="5"/>
    </row>
    <row r="6764" spans="1:1">
      <c r="A6764" s="5"/>
    </row>
    <row r="6765" spans="1:1">
      <c r="A6765" s="5"/>
    </row>
    <row r="6766" spans="1:1">
      <c r="A6766" s="5"/>
    </row>
    <row r="6767" spans="1:1">
      <c r="A6767" s="5"/>
    </row>
    <row r="6768" spans="1:1">
      <c r="A6768" s="5"/>
    </row>
    <row r="6769" spans="1:1">
      <c r="A6769" s="5"/>
    </row>
    <row r="6770" spans="1:1">
      <c r="A6770" s="5"/>
    </row>
    <row r="6771" spans="1:1">
      <c r="A6771" s="5"/>
    </row>
    <row r="6772" spans="1:1">
      <c r="A6772" s="5"/>
    </row>
    <row r="6773" spans="1:1">
      <c r="A6773" s="5"/>
    </row>
    <row r="6774" spans="1:1">
      <c r="A6774" s="5"/>
    </row>
    <row r="6775" spans="1:1">
      <c r="A6775" s="5"/>
    </row>
    <row r="6776" spans="1:1">
      <c r="A6776" s="5"/>
    </row>
    <row r="6777" spans="1:1">
      <c r="A6777" s="5"/>
    </row>
    <row r="6778" spans="1:1">
      <c r="A6778" s="5"/>
    </row>
    <row r="6779" spans="1:1">
      <c r="A6779" s="5"/>
    </row>
    <row r="6780" spans="1:1">
      <c r="A6780" s="5"/>
    </row>
    <row r="6781" spans="1:1">
      <c r="A6781" s="5"/>
    </row>
    <row r="6782" spans="1:1">
      <c r="A6782" s="5"/>
    </row>
    <row r="6783" spans="1:1">
      <c r="A6783" s="5"/>
    </row>
    <row r="6784" spans="1:1">
      <c r="A6784" s="5"/>
    </row>
    <row r="6785" spans="1:1">
      <c r="A6785" s="5"/>
    </row>
    <row r="6786" spans="1:1">
      <c r="A6786" s="5"/>
    </row>
    <row r="6787" spans="1:1">
      <c r="A6787" s="5"/>
    </row>
    <row r="6788" spans="1:1">
      <c r="A6788" s="5"/>
    </row>
    <row r="6789" spans="1:1">
      <c r="A6789" s="5"/>
    </row>
    <row r="6790" spans="1:1">
      <c r="A6790" s="5"/>
    </row>
    <row r="6791" spans="1:1">
      <c r="A6791" s="5"/>
    </row>
    <row r="6792" spans="1:1">
      <c r="A6792" s="5"/>
    </row>
    <row r="6793" spans="1:1">
      <c r="A6793" s="5"/>
    </row>
    <row r="6794" spans="1:1">
      <c r="A6794" s="5"/>
    </row>
    <row r="6795" spans="1:1">
      <c r="A6795" s="5"/>
    </row>
    <row r="6796" spans="1:1">
      <c r="A6796" s="5"/>
    </row>
    <row r="6797" spans="1:1">
      <c r="A6797" s="5"/>
    </row>
    <row r="6798" spans="1:1">
      <c r="A6798" s="5"/>
    </row>
    <row r="6799" spans="1:1">
      <c r="A6799" s="5"/>
    </row>
    <row r="6800" spans="1:1">
      <c r="A6800" s="5"/>
    </row>
    <row r="6801" spans="1:1">
      <c r="A6801" s="5"/>
    </row>
    <row r="6802" spans="1:1">
      <c r="A6802" s="5"/>
    </row>
    <row r="6803" spans="1:1">
      <c r="A6803" s="5"/>
    </row>
    <row r="6804" spans="1:1">
      <c r="A6804" s="5"/>
    </row>
    <row r="6805" spans="1:1">
      <c r="A6805" s="5"/>
    </row>
    <row r="6806" spans="1:1">
      <c r="A6806" s="5"/>
    </row>
    <row r="6807" spans="1:1">
      <c r="A6807" s="5"/>
    </row>
    <row r="6808" spans="1:1">
      <c r="A6808" s="5"/>
    </row>
    <row r="6809" spans="1:1">
      <c r="A6809" s="5"/>
    </row>
    <row r="6810" spans="1:1">
      <c r="A6810" s="5"/>
    </row>
    <row r="6811" spans="1:1">
      <c r="A6811" s="5"/>
    </row>
    <row r="6812" spans="1:1">
      <c r="A6812" s="5"/>
    </row>
    <row r="6813" spans="1:1">
      <c r="A6813" s="5"/>
    </row>
    <row r="6814" spans="1:1">
      <c r="A6814" s="5"/>
    </row>
    <row r="6815" spans="1:1">
      <c r="A6815" s="5"/>
    </row>
    <row r="6816" spans="1:1">
      <c r="A6816" s="5"/>
    </row>
    <row r="6817" spans="1:1">
      <c r="A6817" s="5"/>
    </row>
    <row r="6818" spans="1:1">
      <c r="A6818" s="5"/>
    </row>
    <row r="6819" spans="1:1">
      <c r="A6819" s="5"/>
    </row>
    <row r="6820" spans="1:1">
      <c r="A6820" s="5"/>
    </row>
    <row r="6821" spans="1:1">
      <c r="A6821" s="5"/>
    </row>
    <row r="6822" spans="1:1">
      <c r="A6822" s="5"/>
    </row>
    <row r="6823" spans="1:1">
      <c r="A6823" s="5"/>
    </row>
    <row r="6824" spans="1:1">
      <c r="A6824" s="5"/>
    </row>
    <row r="6825" spans="1:1">
      <c r="A6825" s="5"/>
    </row>
    <row r="6826" spans="1:1">
      <c r="A6826" s="5"/>
    </row>
    <row r="6827" spans="1:1">
      <c r="A6827" s="5"/>
    </row>
    <row r="6828" spans="1:1">
      <c r="A6828" s="5"/>
    </row>
    <row r="6829" spans="1:1">
      <c r="A6829" s="5"/>
    </row>
    <row r="6830" spans="1:1">
      <c r="A6830" s="5"/>
    </row>
    <row r="6831" spans="1:1">
      <c r="A6831" s="5"/>
    </row>
    <row r="6832" spans="1:1">
      <c r="A6832" s="5"/>
    </row>
    <row r="6833" spans="1:1">
      <c r="A6833" s="5"/>
    </row>
    <row r="6834" spans="1:1">
      <c r="A6834" s="5"/>
    </row>
    <row r="6835" spans="1:1">
      <c r="A6835" s="5"/>
    </row>
    <row r="6836" spans="1:1">
      <c r="A6836" s="5"/>
    </row>
    <row r="6837" spans="1:1">
      <c r="A6837" s="5"/>
    </row>
    <row r="6838" spans="1:1">
      <c r="A6838" s="5"/>
    </row>
    <row r="6839" spans="1:1">
      <c r="A6839" s="5"/>
    </row>
    <row r="6840" spans="1:1">
      <c r="A6840" s="5"/>
    </row>
    <row r="6841" spans="1:1">
      <c r="A6841" s="5"/>
    </row>
    <row r="6842" spans="1:1">
      <c r="A6842" s="5"/>
    </row>
    <row r="6843" spans="1:1">
      <c r="A6843" s="5"/>
    </row>
    <row r="6844" spans="1:1">
      <c r="A6844" s="5"/>
    </row>
    <row r="6845" spans="1:1">
      <c r="A6845" s="5"/>
    </row>
    <row r="6846" spans="1:1">
      <c r="A6846" s="5"/>
    </row>
    <row r="6847" spans="1:1">
      <c r="A6847" s="5"/>
    </row>
    <row r="6848" spans="1:1">
      <c r="A6848" s="5"/>
    </row>
    <row r="6849" spans="1:1">
      <c r="A6849" s="5"/>
    </row>
    <row r="6850" spans="1:1">
      <c r="A6850" s="5"/>
    </row>
    <row r="6851" spans="1:1">
      <c r="A6851" s="5"/>
    </row>
    <row r="6852" spans="1:1">
      <c r="A6852" s="5"/>
    </row>
    <row r="6853" spans="1:1">
      <c r="A6853" s="5"/>
    </row>
    <row r="6854" spans="1:1">
      <c r="A6854" s="5"/>
    </row>
    <row r="6855" spans="1:1">
      <c r="A6855" s="5"/>
    </row>
    <row r="6856" spans="1:1">
      <c r="A6856" s="5"/>
    </row>
    <row r="6857" spans="1:1">
      <c r="A6857" s="5"/>
    </row>
    <row r="6858" spans="1:1">
      <c r="A6858" s="5"/>
    </row>
    <row r="6859" spans="1:1">
      <c r="A6859" s="5"/>
    </row>
    <row r="6860" spans="1:1">
      <c r="A6860" s="5"/>
    </row>
    <row r="6861" spans="1:1">
      <c r="A6861" s="5"/>
    </row>
    <row r="6862" spans="1:1">
      <c r="A6862" s="5"/>
    </row>
    <row r="6863" spans="1:1">
      <c r="A6863" s="5"/>
    </row>
    <row r="6864" spans="1:1">
      <c r="A6864" s="5"/>
    </row>
    <row r="6865" spans="1:1">
      <c r="A6865" s="5"/>
    </row>
    <row r="6866" spans="1:1">
      <c r="A6866" s="5"/>
    </row>
    <row r="6867" spans="1:1">
      <c r="A6867" s="5"/>
    </row>
    <row r="6868" spans="1:1">
      <c r="A6868" s="5"/>
    </row>
    <row r="6869" spans="1:1">
      <c r="A6869" s="5"/>
    </row>
    <row r="6870" spans="1:1">
      <c r="A6870" s="5"/>
    </row>
    <row r="6871" spans="1:1">
      <c r="A6871" s="5"/>
    </row>
    <row r="6872" spans="1:1">
      <c r="A6872" s="5"/>
    </row>
    <row r="6873" spans="1:1">
      <c r="A6873" s="5"/>
    </row>
    <row r="6874" spans="1:1">
      <c r="A6874" s="5"/>
    </row>
    <row r="6875" spans="1:1">
      <c r="A6875" s="5"/>
    </row>
    <row r="6876" spans="1:1">
      <c r="A6876" s="5"/>
    </row>
    <row r="6877" spans="1:1">
      <c r="A6877" s="5"/>
    </row>
    <row r="6878" spans="1:1">
      <c r="A6878" s="5"/>
    </row>
    <row r="6879" spans="1:1">
      <c r="A6879" s="5"/>
    </row>
    <row r="6880" spans="1:1">
      <c r="A6880" s="5"/>
    </row>
    <row r="6881" spans="1:1">
      <c r="A6881" s="5"/>
    </row>
    <row r="6882" spans="1:1">
      <c r="A6882" s="5"/>
    </row>
    <row r="6883" spans="1:1">
      <c r="A6883" s="5"/>
    </row>
    <row r="6884" spans="1:1">
      <c r="A6884" s="5"/>
    </row>
    <row r="6885" spans="1:1">
      <c r="A6885" s="5"/>
    </row>
    <row r="6886" spans="1:1">
      <c r="A6886" s="5"/>
    </row>
    <row r="6887" spans="1:1">
      <c r="A6887" s="5"/>
    </row>
    <row r="6888" spans="1:1">
      <c r="A6888" s="5"/>
    </row>
    <row r="6889" spans="1:1">
      <c r="A6889" s="5"/>
    </row>
    <row r="6890" spans="1:1">
      <c r="A6890" s="5"/>
    </row>
    <row r="6891" spans="1:1">
      <c r="A6891" s="5"/>
    </row>
    <row r="6892" spans="1:1">
      <c r="A6892" s="5"/>
    </row>
    <row r="6893" spans="1:1">
      <c r="A6893" s="5"/>
    </row>
    <row r="6894" spans="1:1">
      <c r="A6894" s="5"/>
    </row>
    <row r="6895" spans="1:1">
      <c r="A6895" s="5"/>
    </row>
    <row r="6896" spans="1:1">
      <c r="A6896" s="5"/>
    </row>
    <row r="6897" spans="1:1">
      <c r="A6897" s="5"/>
    </row>
    <row r="6898" spans="1:1">
      <c r="A6898" s="5"/>
    </row>
    <row r="6899" spans="1:1">
      <c r="A6899" s="5"/>
    </row>
    <row r="6900" spans="1:1">
      <c r="A6900" s="5"/>
    </row>
    <row r="6901" spans="1:1">
      <c r="A6901" s="5"/>
    </row>
    <row r="6902" spans="1:1">
      <c r="A6902" s="5"/>
    </row>
    <row r="6903" spans="1:1">
      <c r="A6903" s="5"/>
    </row>
    <row r="6904" spans="1:1">
      <c r="A6904" s="5"/>
    </row>
    <row r="6905" spans="1:1">
      <c r="A6905" s="5"/>
    </row>
    <row r="6906" spans="1:1">
      <c r="A6906" s="5"/>
    </row>
    <row r="6907" spans="1:1">
      <c r="A6907" s="5"/>
    </row>
    <row r="6908" spans="1:1">
      <c r="A6908" s="5"/>
    </row>
    <row r="6909" spans="1:1">
      <c r="A6909" s="5"/>
    </row>
    <row r="6910" spans="1:1">
      <c r="A6910" s="5"/>
    </row>
    <row r="6911" spans="1:1">
      <c r="A6911" s="5"/>
    </row>
    <row r="6912" spans="1:1">
      <c r="A6912" s="5"/>
    </row>
    <row r="6913" spans="1:1">
      <c r="A6913" s="5"/>
    </row>
    <row r="6914" spans="1:1">
      <c r="A6914" s="5"/>
    </row>
    <row r="6915" spans="1:1">
      <c r="A6915" s="5"/>
    </row>
    <row r="6916" spans="1:1">
      <c r="A6916" s="5"/>
    </row>
    <row r="6917" spans="1:1">
      <c r="A6917" s="5"/>
    </row>
    <row r="6918" spans="1:1">
      <c r="A6918" s="5"/>
    </row>
    <row r="6919" spans="1:1">
      <c r="A6919" s="5"/>
    </row>
    <row r="6920" spans="1:1">
      <c r="A6920" s="5"/>
    </row>
    <row r="6921" spans="1:1">
      <c r="A6921" s="5"/>
    </row>
    <row r="6922" spans="1:1">
      <c r="A6922" s="5"/>
    </row>
    <row r="6923" spans="1:1">
      <c r="A6923" s="5"/>
    </row>
    <row r="6924" spans="1:1">
      <c r="A6924" s="5"/>
    </row>
    <row r="6925" spans="1:1">
      <c r="A6925" s="5"/>
    </row>
    <row r="6926" spans="1:1">
      <c r="A6926" s="5"/>
    </row>
    <row r="6927" spans="1:1">
      <c r="A6927" s="5"/>
    </row>
    <row r="6928" spans="1:1">
      <c r="A6928" s="5"/>
    </row>
    <row r="6929" spans="1:1">
      <c r="A6929" s="5"/>
    </row>
    <row r="6930" spans="1:1">
      <c r="A6930" s="5"/>
    </row>
    <row r="6931" spans="1:1">
      <c r="A6931" s="5"/>
    </row>
    <row r="6932" spans="1:1">
      <c r="A6932" s="5"/>
    </row>
    <row r="6933" spans="1:1">
      <c r="A6933" s="5"/>
    </row>
    <row r="6934" spans="1:1">
      <c r="A6934" s="5"/>
    </row>
    <row r="6935" spans="1:1">
      <c r="A6935" s="5"/>
    </row>
    <row r="6936" spans="1:1">
      <c r="A6936" s="5"/>
    </row>
    <row r="6937" spans="1:1">
      <c r="A6937" s="5"/>
    </row>
    <row r="6938" spans="1:1">
      <c r="A6938" s="5"/>
    </row>
    <row r="6939" spans="1:1">
      <c r="A6939" s="5"/>
    </row>
    <row r="6940" spans="1:1">
      <c r="A6940" s="5"/>
    </row>
    <row r="6941" spans="1:1">
      <c r="A6941" s="5"/>
    </row>
    <row r="6942" spans="1:1">
      <c r="A6942" s="5"/>
    </row>
    <row r="6943" spans="1:1">
      <c r="A6943" s="5"/>
    </row>
    <row r="6944" spans="1:1">
      <c r="A6944" s="5"/>
    </row>
    <row r="6945" spans="1:1">
      <c r="A6945" s="5"/>
    </row>
    <row r="6946" spans="1:1">
      <c r="A6946" s="5"/>
    </row>
    <row r="6947" spans="1:1">
      <c r="A6947" s="5"/>
    </row>
    <row r="6948" spans="1:1">
      <c r="A6948" s="5"/>
    </row>
    <row r="6949" spans="1:1">
      <c r="A6949" s="5"/>
    </row>
    <row r="6950" spans="1:1">
      <c r="A6950" s="5"/>
    </row>
    <row r="6951" spans="1:1">
      <c r="A6951" s="5"/>
    </row>
    <row r="6952" spans="1:1">
      <c r="A6952" s="5"/>
    </row>
    <row r="6953" spans="1:1">
      <c r="A6953" s="5"/>
    </row>
    <row r="6954" spans="1:1">
      <c r="A6954" s="5"/>
    </row>
    <row r="6955" spans="1:1">
      <c r="A6955" s="5"/>
    </row>
    <row r="6956" spans="1:1">
      <c r="A6956" s="5"/>
    </row>
    <row r="6957" spans="1:1">
      <c r="A6957" s="5"/>
    </row>
    <row r="6958" spans="1:1">
      <c r="A6958" s="5"/>
    </row>
    <row r="6959" spans="1:1">
      <c r="A6959" s="5"/>
    </row>
    <row r="6960" spans="1:1">
      <c r="A6960" s="5"/>
    </row>
    <row r="6961" spans="1:1">
      <c r="A6961" s="5"/>
    </row>
    <row r="6962" spans="1:1">
      <c r="A6962" s="5"/>
    </row>
    <row r="6963" spans="1:1">
      <c r="A6963" s="5"/>
    </row>
    <row r="6964" spans="1:1">
      <c r="A6964" s="5"/>
    </row>
    <row r="6965" spans="1:1">
      <c r="A6965" s="5"/>
    </row>
    <row r="6966" spans="1:1">
      <c r="A6966" s="5"/>
    </row>
    <row r="6967" spans="1:1">
      <c r="A6967" s="5"/>
    </row>
    <row r="6968" spans="1:1">
      <c r="A6968" s="5"/>
    </row>
    <row r="6969" spans="1:1">
      <c r="A6969" s="5"/>
    </row>
    <row r="6970" spans="1:1">
      <c r="A6970" s="5"/>
    </row>
    <row r="6971" spans="1:1">
      <c r="A6971" s="5"/>
    </row>
    <row r="6972" spans="1:1">
      <c r="A6972" s="5"/>
    </row>
    <row r="6973" spans="1:1">
      <c r="A6973" s="5"/>
    </row>
    <row r="6974" spans="1:1">
      <c r="A6974" s="5"/>
    </row>
    <row r="6975" spans="1:1">
      <c r="A6975" s="5"/>
    </row>
    <row r="6976" spans="1:1">
      <c r="A6976" s="5"/>
    </row>
    <row r="6977" spans="1:1">
      <c r="A6977" s="5"/>
    </row>
    <row r="6978" spans="1:1">
      <c r="A6978" s="5"/>
    </row>
    <row r="6979" spans="1:1">
      <c r="A6979" s="5"/>
    </row>
    <row r="6980" spans="1:1">
      <c r="A6980" s="5"/>
    </row>
    <row r="6981" spans="1:1">
      <c r="A6981" s="5"/>
    </row>
    <row r="6982" spans="1:1">
      <c r="A6982" s="5"/>
    </row>
    <row r="6983" spans="1:1">
      <c r="A6983" s="5"/>
    </row>
    <row r="6984" spans="1:1">
      <c r="A6984" s="5"/>
    </row>
    <row r="6985" spans="1:1">
      <c r="A6985" s="5"/>
    </row>
    <row r="6986" spans="1:1">
      <c r="A6986" s="5"/>
    </row>
    <row r="6987" spans="1:1">
      <c r="A6987" s="5"/>
    </row>
    <row r="6988" spans="1:1">
      <c r="A6988" s="5"/>
    </row>
    <row r="6989" spans="1:1">
      <c r="A6989" s="5"/>
    </row>
    <row r="6990" spans="1:1">
      <c r="A6990" s="5"/>
    </row>
    <row r="6991" spans="1:1">
      <c r="A6991" s="5"/>
    </row>
    <row r="6992" spans="1:1">
      <c r="A6992" s="5"/>
    </row>
    <row r="6993" spans="1:1">
      <c r="A6993" s="5"/>
    </row>
    <row r="6994" spans="1:1">
      <c r="A6994" s="5"/>
    </row>
    <row r="6995" spans="1:1">
      <c r="A6995" s="5"/>
    </row>
    <row r="6996" spans="1:1">
      <c r="A6996" s="5"/>
    </row>
    <row r="6997" spans="1:1">
      <c r="A6997" s="5"/>
    </row>
    <row r="6998" spans="1:1">
      <c r="A6998" s="5"/>
    </row>
    <row r="6999" spans="1:1">
      <c r="A6999" s="5"/>
    </row>
    <row r="7000" spans="1:1">
      <c r="A7000" s="5"/>
    </row>
    <row r="7001" spans="1:1">
      <c r="A7001" s="5"/>
    </row>
    <row r="7002" spans="1:1">
      <c r="A7002" s="5"/>
    </row>
    <row r="7003" spans="1:1">
      <c r="A7003" s="5"/>
    </row>
    <row r="7004" spans="1:1">
      <c r="A7004" s="5"/>
    </row>
    <row r="7005" spans="1:1">
      <c r="A7005" s="5"/>
    </row>
    <row r="7006" spans="1:1">
      <c r="A7006" s="5"/>
    </row>
    <row r="7007" spans="1:1">
      <c r="A7007" s="5"/>
    </row>
    <row r="7008" spans="1:1">
      <c r="A7008" s="5"/>
    </row>
    <row r="7009" spans="1:1">
      <c r="A7009" s="5"/>
    </row>
    <row r="7010" spans="1:1">
      <c r="A7010" s="5"/>
    </row>
    <row r="7011" spans="1:1">
      <c r="A7011" s="5"/>
    </row>
    <row r="7012" spans="1:1">
      <c r="A7012" s="5"/>
    </row>
    <row r="7013" spans="1:1">
      <c r="A7013" s="5"/>
    </row>
    <row r="7014" spans="1:1">
      <c r="A7014" s="5"/>
    </row>
    <row r="7015" spans="1:1">
      <c r="A7015" s="5"/>
    </row>
    <row r="7016" spans="1:1">
      <c r="A7016" s="5"/>
    </row>
    <row r="7017" spans="1:1">
      <c r="A7017" s="5"/>
    </row>
    <row r="7018" spans="1:1">
      <c r="A7018" s="5"/>
    </row>
    <row r="7019" spans="1:1">
      <c r="A7019" s="5"/>
    </row>
    <row r="7020" spans="1:1">
      <c r="A7020" s="5"/>
    </row>
    <row r="7021" spans="1:1">
      <c r="A7021" s="5"/>
    </row>
    <row r="7022" spans="1:1">
      <c r="A7022" s="5"/>
    </row>
    <row r="7023" spans="1:1">
      <c r="A7023" s="5"/>
    </row>
    <row r="7024" spans="1:1">
      <c r="A7024" s="5"/>
    </row>
    <row r="7025" spans="1:1">
      <c r="A7025" s="5"/>
    </row>
    <row r="7026" spans="1:1">
      <c r="A7026" s="5"/>
    </row>
    <row r="7027" spans="1:1">
      <c r="A7027" s="5"/>
    </row>
    <row r="7028" spans="1:1">
      <c r="A7028" s="5"/>
    </row>
    <row r="7029" spans="1:1">
      <c r="A7029" s="5"/>
    </row>
    <row r="7030" spans="1:1">
      <c r="A7030" s="5"/>
    </row>
    <row r="7031" spans="1:1">
      <c r="A7031" s="5"/>
    </row>
    <row r="7032" spans="1:1">
      <c r="A7032" s="5"/>
    </row>
    <row r="7033" spans="1:1">
      <c r="A7033" s="5"/>
    </row>
    <row r="7034" spans="1:1">
      <c r="A7034" s="5"/>
    </row>
    <row r="7035" spans="1:1">
      <c r="A7035" s="5"/>
    </row>
    <row r="7036" spans="1:1">
      <c r="A7036" s="5"/>
    </row>
    <row r="7037" spans="1:1">
      <c r="A7037" s="5"/>
    </row>
    <row r="7038" spans="1:1">
      <c r="A7038" s="5"/>
    </row>
    <row r="7039" spans="1:1">
      <c r="A7039" s="5"/>
    </row>
    <row r="7040" spans="1:1">
      <c r="A7040" s="5"/>
    </row>
    <row r="7041" spans="1:1">
      <c r="A7041" s="5"/>
    </row>
    <row r="7042" spans="1:1">
      <c r="A7042" s="5"/>
    </row>
    <row r="7043" spans="1:1">
      <c r="A7043" s="5"/>
    </row>
    <row r="7044" spans="1:1">
      <c r="A7044" s="5"/>
    </row>
    <row r="7045" spans="1:1">
      <c r="A7045" s="5"/>
    </row>
    <row r="7046" spans="1:1">
      <c r="A7046" s="5"/>
    </row>
    <row r="7047" spans="1:1">
      <c r="A7047" s="5"/>
    </row>
    <row r="7048" spans="1:1">
      <c r="A7048" s="5"/>
    </row>
    <row r="7049" spans="1:1">
      <c r="A7049" s="5"/>
    </row>
    <row r="7050" spans="1:1">
      <c r="A7050" s="5"/>
    </row>
    <row r="7051" spans="1:1">
      <c r="A7051" s="5"/>
    </row>
    <row r="7052" spans="1:1">
      <c r="A7052" s="5"/>
    </row>
    <row r="7053" spans="1:1">
      <c r="A7053" s="5"/>
    </row>
    <row r="7054" spans="1:1">
      <c r="A7054" s="5"/>
    </row>
    <row r="7055" spans="1:1">
      <c r="A7055" s="5"/>
    </row>
    <row r="7056" spans="1:1">
      <c r="A7056" s="5"/>
    </row>
    <row r="7057" spans="1:1">
      <c r="A7057" s="5"/>
    </row>
    <row r="7058" spans="1:1">
      <c r="A7058" s="5"/>
    </row>
    <row r="7059" spans="1:1">
      <c r="A7059" s="5"/>
    </row>
    <row r="7060" spans="1:1">
      <c r="A7060" s="5"/>
    </row>
    <row r="7061" spans="1:1">
      <c r="A7061" s="5"/>
    </row>
    <row r="7062" spans="1:1">
      <c r="A7062" s="5"/>
    </row>
    <row r="7063" spans="1:1">
      <c r="A7063" s="5"/>
    </row>
    <row r="7064" spans="1:1">
      <c r="A7064" s="5"/>
    </row>
    <row r="7065" spans="1:1">
      <c r="A7065" s="5"/>
    </row>
    <row r="7066" spans="1:1">
      <c r="A7066" s="5"/>
    </row>
    <row r="7067" spans="1:1">
      <c r="A7067" s="5"/>
    </row>
    <row r="7068" spans="1:1">
      <c r="A7068" s="5"/>
    </row>
    <row r="7069" spans="1:1">
      <c r="A7069" s="5"/>
    </row>
    <row r="7070" spans="1:1">
      <c r="A7070" s="5"/>
    </row>
    <row r="7071" spans="1:1">
      <c r="A7071" s="5"/>
    </row>
    <row r="7072" spans="1:1">
      <c r="A7072" s="5"/>
    </row>
    <row r="7073" spans="1:1">
      <c r="A7073" s="5"/>
    </row>
    <row r="7074" spans="1:1">
      <c r="A7074" s="5"/>
    </row>
    <row r="7075" spans="1:1">
      <c r="A7075" s="5"/>
    </row>
    <row r="7076" spans="1:1">
      <c r="A7076" s="5"/>
    </row>
    <row r="7077" spans="1:1">
      <c r="A7077" s="5"/>
    </row>
    <row r="7078" spans="1:1">
      <c r="A7078" s="5"/>
    </row>
    <row r="7079" spans="1:1">
      <c r="A7079" s="5"/>
    </row>
    <row r="7080" spans="1:1">
      <c r="A7080" s="5"/>
    </row>
    <row r="7081" spans="1:1">
      <c r="A7081" s="5"/>
    </row>
    <row r="7082" spans="1:1">
      <c r="A7082" s="5"/>
    </row>
    <row r="7083" spans="1:1">
      <c r="A7083" s="5"/>
    </row>
    <row r="7084" spans="1:1">
      <c r="A7084" s="5"/>
    </row>
    <row r="7085" spans="1:1">
      <c r="A7085" s="5"/>
    </row>
    <row r="7086" spans="1:1">
      <c r="A7086" s="5"/>
    </row>
    <row r="7087" spans="1:1">
      <c r="A7087" s="5"/>
    </row>
    <row r="7088" spans="1:1">
      <c r="A7088" s="5"/>
    </row>
    <row r="7089" spans="1:1">
      <c r="A7089" s="5"/>
    </row>
    <row r="7090" spans="1:1">
      <c r="A7090" s="5"/>
    </row>
    <row r="7091" spans="1:1">
      <c r="A7091" s="5"/>
    </row>
    <row r="7092" spans="1:1">
      <c r="A7092" s="5"/>
    </row>
    <row r="7093" spans="1:1">
      <c r="A7093" s="5"/>
    </row>
    <row r="7094" spans="1:1">
      <c r="A7094" s="5"/>
    </row>
    <row r="7095" spans="1:1">
      <c r="A7095" s="5"/>
    </row>
    <row r="7096" spans="1:1">
      <c r="A7096" s="5"/>
    </row>
    <row r="7097" spans="1:1">
      <c r="A7097" s="5"/>
    </row>
    <row r="7098" spans="1:1">
      <c r="A7098" s="5"/>
    </row>
    <row r="7099" spans="1:1">
      <c r="A7099" s="5"/>
    </row>
    <row r="7100" spans="1:1">
      <c r="A7100" s="5"/>
    </row>
    <row r="7101" spans="1:1">
      <c r="A7101" s="5"/>
    </row>
    <row r="7102" spans="1:1">
      <c r="A7102" s="5"/>
    </row>
    <row r="7103" spans="1:1">
      <c r="A7103" s="5"/>
    </row>
    <row r="7104" spans="1:1">
      <c r="A7104" s="5"/>
    </row>
    <row r="7105" spans="1:1">
      <c r="A7105" s="5"/>
    </row>
    <row r="7106" spans="1:1">
      <c r="A7106" s="5"/>
    </row>
    <row r="7107" spans="1:1">
      <c r="A7107" s="5"/>
    </row>
    <row r="7108" spans="1:1">
      <c r="A7108" s="5"/>
    </row>
    <row r="7109" spans="1:1">
      <c r="A7109" s="5"/>
    </row>
    <row r="7110" spans="1:1">
      <c r="A7110" s="5"/>
    </row>
    <row r="7111" spans="1:1">
      <c r="A7111" s="5"/>
    </row>
    <row r="7112" spans="1:1">
      <c r="A7112" s="5"/>
    </row>
    <row r="7113" spans="1:1">
      <c r="A7113" s="5"/>
    </row>
    <row r="7114" spans="1:1">
      <c r="A7114" s="5"/>
    </row>
    <row r="7115" spans="1:1">
      <c r="A7115" s="5"/>
    </row>
    <row r="7116" spans="1:1">
      <c r="A7116" s="5"/>
    </row>
    <row r="7117" spans="1:1">
      <c r="A7117" s="5"/>
    </row>
    <row r="7118" spans="1:1">
      <c r="A7118" s="5"/>
    </row>
    <row r="7119" spans="1:1">
      <c r="A7119" s="5"/>
    </row>
    <row r="7120" spans="1:1">
      <c r="A7120" s="5"/>
    </row>
    <row r="7121" spans="1:1">
      <c r="A7121" s="5"/>
    </row>
    <row r="7122" spans="1:1">
      <c r="A7122" s="5"/>
    </row>
    <row r="7123" spans="1:1">
      <c r="A7123" s="5"/>
    </row>
    <row r="7124" spans="1:1">
      <c r="A7124" s="5"/>
    </row>
    <row r="7125" spans="1:1">
      <c r="A7125" s="5"/>
    </row>
    <row r="7126" spans="1:1">
      <c r="A7126" s="5"/>
    </row>
    <row r="7127" spans="1:1">
      <c r="A7127" s="5"/>
    </row>
    <row r="7128" spans="1:1">
      <c r="A7128" s="5"/>
    </row>
    <row r="7129" spans="1:1">
      <c r="A7129" s="5"/>
    </row>
    <row r="7130" spans="1:1">
      <c r="A7130" s="5"/>
    </row>
    <row r="7131" spans="1:1">
      <c r="A7131" s="5"/>
    </row>
    <row r="7132" spans="1:1">
      <c r="A7132" s="5"/>
    </row>
    <row r="7133" spans="1:1">
      <c r="A7133" s="5"/>
    </row>
    <row r="7134" spans="1:1">
      <c r="A7134" s="5"/>
    </row>
    <row r="7135" spans="1:1">
      <c r="A7135" s="5"/>
    </row>
    <row r="7136" spans="1:1">
      <c r="A7136" s="5"/>
    </row>
    <row r="7137" spans="1:1">
      <c r="A7137" s="5"/>
    </row>
    <row r="7138" spans="1:1">
      <c r="A7138" s="5"/>
    </row>
    <row r="7139" spans="1:1">
      <c r="A7139" s="5"/>
    </row>
    <row r="7140" spans="1:1">
      <c r="A7140" s="5"/>
    </row>
    <row r="7141" spans="1:1">
      <c r="A7141" s="5"/>
    </row>
    <row r="7142" spans="1:1">
      <c r="A7142" s="5"/>
    </row>
    <row r="7143" spans="1:1">
      <c r="A7143" s="5"/>
    </row>
    <row r="7144" spans="1:1">
      <c r="A7144" s="5"/>
    </row>
    <row r="7145" spans="1:1">
      <c r="A7145" s="5"/>
    </row>
    <row r="7146" spans="1:1">
      <c r="A7146" s="5"/>
    </row>
    <row r="7147" spans="1:1">
      <c r="A7147" s="5"/>
    </row>
    <row r="7148" spans="1:1">
      <c r="A7148" s="5"/>
    </row>
    <row r="7149" spans="1:1">
      <c r="A7149" s="5"/>
    </row>
    <row r="7150" spans="1:1">
      <c r="A7150" s="5"/>
    </row>
    <row r="7151" spans="1:1">
      <c r="A7151" s="5"/>
    </row>
    <row r="7152" spans="1:1">
      <c r="A7152" s="5"/>
    </row>
    <row r="7153" spans="1:1">
      <c r="A7153" s="5"/>
    </row>
    <row r="7154" spans="1:1">
      <c r="A7154" s="5"/>
    </row>
    <row r="7155" spans="1:1">
      <c r="A7155" s="5"/>
    </row>
    <row r="7156" spans="1:1">
      <c r="A7156" s="5"/>
    </row>
    <row r="7157" spans="1:1">
      <c r="A7157" s="5"/>
    </row>
    <row r="7158" spans="1:1">
      <c r="A7158" s="5"/>
    </row>
    <row r="7159" spans="1:1">
      <c r="A7159" s="5"/>
    </row>
    <row r="7160" spans="1:1">
      <c r="A7160" s="5"/>
    </row>
    <row r="7161" spans="1:1">
      <c r="A7161" s="5"/>
    </row>
    <row r="7162" spans="1:1">
      <c r="A7162" s="5"/>
    </row>
    <row r="7163" spans="1:1">
      <c r="A7163" s="5"/>
    </row>
    <row r="7164" spans="1:1">
      <c r="A7164" s="5"/>
    </row>
    <row r="7165" spans="1:1">
      <c r="A7165" s="5"/>
    </row>
    <row r="7166" spans="1:1">
      <c r="A7166" s="5"/>
    </row>
    <row r="7167" spans="1:1">
      <c r="A7167" s="5"/>
    </row>
    <row r="7168" spans="1:1">
      <c r="A7168" s="5"/>
    </row>
    <row r="7169" spans="1:1">
      <c r="A7169" s="5"/>
    </row>
    <row r="7170" spans="1:1">
      <c r="A7170" s="5"/>
    </row>
    <row r="7171" spans="1:1">
      <c r="A7171" s="5"/>
    </row>
    <row r="7172" spans="1:1">
      <c r="A7172" s="5"/>
    </row>
    <row r="7173" spans="1:1">
      <c r="A7173" s="5"/>
    </row>
    <row r="7174" spans="1:1">
      <c r="A7174" s="5"/>
    </row>
    <row r="7175" spans="1:1">
      <c r="A7175" s="5"/>
    </row>
    <row r="7176" spans="1:1">
      <c r="A7176" s="5"/>
    </row>
    <row r="7177" spans="1:1">
      <c r="A7177" s="5"/>
    </row>
    <row r="7178" spans="1:1">
      <c r="A7178" s="5"/>
    </row>
    <row r="7179" spans="1:1">
      <c r="A7179" s="5"/>
    </row>
    <row r="7180" spans="1:1">
      <c r="A7180" s="5"/>
    </row>
    <row r="7181" spans="1:1">
      <c r="A7181" s="5"/>
    </row>
    <row r="7182" spans="1:1">
      <c r="A7182" s="5"/>
    </row>
    <row r="7183" spans="1:1">
      <c r="A7183" s="5"/>
    </row>
    <row r="7184" spans="1:1">
      <c r="A7184" s="5"/>
    </row>
    <row r="7185" spans="1:1">
      <c r="A7185" s="5"/>
    </row>
    <row r="7186" spans="1:1">
      <c r="A7186" s="5"/>
    </row>
    <row r="7187" spans="1:1">
      <c r="A7187" s="5"/>
    </row>
    <row r="7188" spans="1:1">
      <c r="A7188" s="5"/>
    </row>
    <row r="7189" spans="1:1">
      <c r="A7189" s="5"/>
    </row>
    <row r="7190" spans="1:1">
      <c r="A7190" s="5"/>
    </row>
    <row r="7191" spans="1:1">
      <c r="A7191" s="5"/>
    </row>
    <row r="7192" spans="1:1">
      <c r="A7192" s="5"/>
    </row>
    <row r="7193" spans="1:1">
      <c r="A7193" s="5"/>
    </row>
    <row r="7194" spans="1:1">
      <c r="A7194" s="5"/>
    </row>
    <row r="7195" spans="1:1">
      <c r="A7195" s="5"/>
    </row>
    <row r="7196" spans="1:1">
      <c r="A7196" s="5"/>
    </row>
    <row r="7197" spans="1:1">
      <c r="A7197" s="5"/>
    </row>
    <row r="7198" spans="1:1">
      <c r="A7198" s="5"/>
    </row>
    <row r="7199" spans="1:1">
      <c r="A7199" s="5"/>
    </row>
    <row r="7200" spans="1:1">
      <c r="A7200" s="5"/>
    </row>
    <row r="7201" spans="1:1">
      <c r="A7201" s="5"/>
    </row>
    <row r="7202" spans="1:1">
      <c r="A7202" s="5"/>
    </row>
    <row r="7203" spans="1:1">
      <c r="A7203" s="5"/>
    </row>
    <row r="7204" spans="1:1">
      <c r="A7204" s="5"/>
    </row>
    <row r="7205" spans="1:1">
      <c r="A7205" s="5"/>
    </row>
    <row r="7206" spans="1:1">
      <c r="A7206" s="5"/>
    </row>
    <row r="7207" spans="1:1">
      <c r="A7207" s="5"/>
    </row>
    <row r="7208" spans="1:1">
      <c r="A7208" s="5"/>
    </row>
    <row r="7209" spans="1:1">
      <c r="A7209" s="5"/>
    </row>
    <row r="7210" spans="1:1">
      <c r="A7210" s="5"/>
    </row>
    <row r="7211" spans="1:1">
      <c r="A7211" s="5"/>
    </row>
    <row r="7212" spans="1:1">
      <c r="A7212" s="5"/>
    </row>
    <row r="7213" spans="1:1">
      <c r="A7213" s="5"/>
    </row>
    <row r="7214" spans="1:1">
      <c r="A7214" s="5"/>
    </row>
    <row r="7215" spans="1:1">
      <c r="A7215" s="5"/>
    </row>
    <row r="7216" spans="1:1">
      <c r="A7216" s="5"/>
    </row>
    <row r="7217" spans="1:1">
      <c r="A7217" s="5"/>
    </row>
    <row r="7218" spans="1:1">
      <c r="A7218" s="5"/>
    </row>
    <row r="7219" spans="1:1">
      <c r="A7219" s="5"/>
    </row>
    <row r="7220" spans="1:1">
      <c r="A7220" s="5"/>
    </row>
    <row r="7221" spans="1:1">
      <c r="A7221" s="5"/>
    </row>
    <row r="7222" spans="1:1">
      <c r="A7222" s="5"/>
    </row>
    <row r="7223" spans="1:1">
      <c r="A7223" s="5"/>
    </row>
    <row r="7224" spans="1:1">
      <c r="A7224" s="5"/>
    </row>
    <row r="7225" spans="1:1">
      <c r="A7225" s="5"/>
    </row>
    <row r="7226" spans="1:1">
      <c r="A7226" s="5"/>
    </row>
    <row r="7227" spans="1:1">
      <c r="A7227" s="5"/>
    </row>
    <row r="7228" spans="1:1">
      <c r="A7228" s="5"/>
    </row>
    <row r="7229" spans="1:1">
      <c r="A7229" s="5"/>
    </row>
    <row r="7230" spans="1:1">
      <c r="A7230" s="5"/>
    </row>
    <row r="7231" spans="1:1">
      <c r="A7231" s="5"/>
    </row>
    <row r="7232" spans="1:1">
      <c r="A7232" s="5"/>
    </row>
    <row r="7233" spans="1:1">
      <c r="A7233" s="5"/>
    </row>
    <row r="7234" spans="1:1">
      <c r="A7234" s="5"/>
    </row>
    <row r="7235" spans="1:1">
      <c r="A7235" s="5"/>
    </row>
    <row r="7236" spans="1:1">
      <c r="A7236" s="5"/>
    </row>
    <row r="7237" spans="1:1">
      <c r="A7237" s="5"/>
    </row>
    <row r="7238" spans="1:1">
      <c r="A7238" s="5"/>
    </row>
    <row r="7239" spans="1:1">
      <c r="A7239" s="5"/>
    </row>
    <row r="7240" spans="1:1">
      <c r="A7240" s="5"/>
    </row>
    <row r="7241" spans="1:1">
      <c r="A7241" s="5"/>
    </row>
    <row r="7242" spans="1:1">
      <c r="A7242" s="5"/>
    </row>
    <row r="7243" spans="1:1">
      <c r="A7243" s="5"/>
    </row>
    <row r="7244" spans="1:1">
      <c r="A7244" s="5"/>
    </row>
    <row r="7245" spans="1:1">
      <c r="A7245" s="5"/>
    </row>
    <row r="7246" spans="1:1">
      <c r="A7246" s="5"/>
    </row>
    <row r="7247" spans="1:1">
      <c r="A7247" s="5"/>
    </row>
    <row r="7248" spans="1:1">
      <c r="A7248" s="5"/>
    </row>
    <row r="7249" spans="1:1">
      <c r="A7249" s="5"/>
    </row>
    <row r="7250" spans="1:1">
      <c r="A7250" s="5"/>
    </row>
    <row r="7251" spans="1:1">
      <c r="A7251" s="5"/>
    </row>
    <row r="7252" spans="1:1">
      <c r="A7252" s="5"/>
    </row>
    <row r="7253" spans="1:1">
      <c r="A7253" s="5"/>
    </row>
    <row r="7254" spans="1:1">
      <c r="A7254" s="5"/>
    </row>
    <row r="7255" spans="1:1">
      <c r="A7255" s="5"/>
    </row>
    <row r="7256" spans="1:1">
      <c r="A7256" s="5"/>
    </row>
    <row r="7257" spans="1:1">
      <c r="A7257" s="5"/>
    </row>
    <row r="7258" spans="1:1">
      <c r="A7258" s="5"/>
    </row>
    <row r="7259" spans="1:1">
      <c r="A7259" s="5"/>
    </row>
    <row r="7260" spans="1:1">
      <c r="A7260" s="5"/>
    </row>
    <row r="7261" spans="1:1">
      <c r="A7261" s="5"/>
    </row>
    <row r="7262" spans="1:1">
      <c r="A7262" s="5"/>
    </row>
    <row r="7263" spans="1:1">
      <c r="A7263" s="5"/>
    </row>
    <row r="7264" spans="1:1">
      <c r="A7264" s="5"/>
    </row>
    <row r="7265" spans="1:1">
      <c r="A7265" s="5"/>
    </row>
    <row r="7266" spans="1:1">
      <c r="A7266" s="5"/>
    </row>
    <row r="7267" spans="1:1">
      <c r="A7267" s="5"/>
    </row>
    <row r="7268" spans="1:1">
      <c r="A7268" s="5"/>
    </row>
    <row r="7269" spans="1:1">
      <c r="A7269" s="5"/>
    </row>
    <row r="7270" spans="1:1">
      <c r="A7270" s="5"/>
    </row>
    <row r="7271" spans="1:1">
      <c r="A7271" s="5"/>
    </row>
    <row r="7272" spans="1:1">
      <c r="A7272" s="5"/>
    </row>
    <row r="7273" spans="1:1">
      <c r="A7273" s="5"/>
    </row>
    <row r="7274" spans="1:1">
      <c r="A7274" s="5"/>
    </row>
    <row r="7275" spans="1:1">
      <c r="A7275" s="5"/>
    </row>
    <row r="7276" spans="1:1">
      <c r="A7276" s="5"/>
    </row>
    <row r="7277" spans="1:1">
      <c r="A7277" s="5"/>
    </row>
    <row r="7278" spans="1:1">
      <c r="A7278" s="5"/>
    </row>
    <row r="7279" spans="1:1">
      <c r="A7279" s="5"/>
    </row>
    <row r="7280" spans="1:1">
      <c r="A7280" s="5"/>
    </row>
    <row r="7281" spans="1:1">
      <c r="A7281" s="5"/>
    </row>
    <row r="7282" spans="1:1">
      <c r="A7282" s="5"/>
    </row>
    <row r="7283" spans="1:1">
      <c r="A7283" s="5"/>
    </row>
    <row r="7284" spans="1:1">
      <c r="A7284" s="5"/>
    </row>
    <row r="7285" spans="1:1">
      <c r="A7285" s="5"/>
    </row>
    <row r="7286" spans="1:1">
      <c r="A7286" s="5"/>
    </row>
    <row r="7287" spans="1:1">
      <c r="A7287" s="5"/>
    </row>
    <row r="7288" spans="1:1">
      <c r="A7288" s="5"/>
    </row>
    <row r="7289" spans="1:1">
      <c r="A7289" s="5"/>
    </row>
    <row r="7290" spans="1:1">
      <c r="A7290" s="5"/>
    </row>
    <row r="7291" spans="1:1">
      <c r="A7291" s="5"/>
    </row>
    <row r="7292" spans="1:1">
      <c r="A7292" s="5"/>
    </row>
    <row r="7293" spans="1:1">
      <c r="A7293" s="5"/>
    </row>
    <row r="7294" spans="1:1">
      <c r="A7294" s="5"/>
    </row>
    <row r="7295" spans="1:1">
      <c r="A7295" s="5"/>
    </row>
    <row r="7296" spans="1:1">
      <c r="A7296" s="5"/>
    </row>
    <row r="7297" spans="1:1">
      <c r="A7297" s="5"/>
    </row>
    <row r="7298" spans="1:1">
      <c r="A7298" s="5"/>
    </row>
    <row r="7299" spans="1:1">
      <c r="A7299" s="5"/>
    </row>
    <row r="7300" spans="1:1">
      <c r="A7300" s="5"/>
    </row>
    <row r="7301" spans="1:1">
      <c r="A7301" s="5"/>
    </row>
    <row r="7302" spans="1:1">
      <c r="A7302" s="5"/>
    </row>
    <row r="7303" spans="1:1">
      <c r="A7303" s="5"/>
    </row>
    <row r="7304" spans="1:1">
      <c r="A7304" s="5"/>
    </row>
    <row r="7305" spans="1:1">
      <c r="A7305" s="5"/>
    </row>
    <row r="7306" spans="1:1">
      <c r="A7306" s="5"/>
    </row>
    <row r="7307" spans="1:1">
      <c r="A7307" s="5"/>
    </row>
    <row r="7308" spans="1:1">
      <c r="A7308" s="5"/>
    </row>
    <row r="7309" spans="1:1">
      <c r="A7309" s="5"/>
    </row>
    <row r="7310" spans="1:1">
      <c r="A7310" s="5"/>
    </row>
    <row r="7311" spans="1:1">
      <c r="A7311" s="5"/>
    </row>
    <row r="7312" spans="1:1">
      <c r="A7312" s="5"/>
    </row>
    <row r="7313" spans="1:1">
      <c r="A7313" s="5"/>
    </row>
    <row r="7314" spans="1:1">
      <c r="A7314" s="5"/>
    </row>
    <row r="7315" spans="1:1">
      <c r="A7315" s="5"/>
    </row>
    <row r="7316" spans="1:1">
      <c r="A7316" s="5"/>
    </row>
    <row r="7317" spans="1:1">
      <c r="A7317" s="5"/>
    </row>
    <row r="7318" spans="1:1">
      <c r="A7318" s="5"/>
    </row>
    <row r="7319" spans="1:1">
      <c r="A7319" s="5"/>
    </row>
    <row r="7320" spans="1:1">
      <c r="A7320" s="5"/>
    </row>
    <row r="7321" spans="1:1">
      <c r="A7321" s="5"/>
    </row>
    <row r="7322" spans="1:1">
      <c r="A7322" s="5"/>
    </row>
    <row r="7323" spans="1:1">
      <c r="A7323" s="5"/>
    </row>
    <row r="7324" spans="1:1">
      <c r="A7324" s="5"/>
    </row>
    <row r="7325" spans="1:1">
      <c r="A7325" s="5"/>
    </row>
    <row r="7326" spans="1:1">
      <c r="A7326" s="5"/>
    </row>
    <row r="7327" spans="1:1">
      <c r="A7327" s="5"/>
    </row>
    <row r="7328" spans="1:1">
      <c r="A7328" s="5"/>
    </row>
    <row r="7329" spans="1:1">
      <c r="A7329" s="5"/>
    </row>
    <row r="7330" spans="1:1">
      <c r="A7330" s="5"/>
    </row>
    <row r="7331" spans="1:1">
      <c r="A7331" s="5"/>
    </row>
    <row r="7332" spans="1:1">
      <c r="A7332" s="5"/>
    </row>
    <row r="7333" spans="1:1">
      <c r="A7333" s="5"/>
    </row>
    <row r="7334" spans="1:1">
      <c r="A7334" s="5"/>
    </row>
    <row r="7335" spans="1:1">
      <c r="A7335" s="5"/>
    </row>
    <row r="7336" spans="1:1">
      <c r="A7336" s="5"/>
    </row>
    <row r="7337" spans="1:1">
      <c r="A7337" s="5"/>
    </row>
    <row r="7338" spans="1:1">
      <c r="A7338" s="5"/>
    </row>
    <row r="7339" spans="1:1">
      <c r="A7339" s="5"/>
    </row>
    <row r="7340" spans="1:1">
      <c r="A7340" s="5"/>
    </row>
    <row r="7341" spans="1:1">
      <c r="A7341" s="5"/>
    </row>
    <row r="7342" spans="1:1">
      <c r="A7342" s="5"/>
    </row>
    <row r="7343" spans="1:1">
      <c r="A7343" s="5"/>
    </row>
    <row r="7344" spans="1:1">
      <c r="A7344" s="5"/>
    </row>
    <row r="7345" spans="1:1">
      <c r="A7345" s="5"/>
    </row>
    <row r="7346" spans="1:1">
      <c r="A7346" s="5"/>
    </row>
    <row r="7347" spans="1:1">
      <c r="A7347" s="5"/>
    </row>
    <row r="7348" spans="1:1">
      <c r="A7348" s="5"/>
    </row>
    <row r="7349" spans="1:1">
      <c r="A7349" s="5"/>
    </row>
    <row r="7350" spans="1:1">
      <c r="A7350" s="5"/>
    </row>
    <row r="7351" spans="1:1">
      <c r="A7351" s="5"/>
    </row>
    <row r="7352" spans="1:1">
      <c r="A7352" s="5"/>
    </row>
    <row r="7353" spans="1:1">
      <c r="A7353" s="5"/>
    </row>
    <row r="7354" spans="1:1">
      <c r="A7354" s="5"/>
    </row>
    <row r="7355" spans="1:1">
      <c r="A7355" s="5"/>
    </row>
    <row r="7356" spans="1:1">
      <c r="A7356" s="5"/>
    </row>
    <row r="7357" spans="1:1">
      <c r="A7357" s="5"/>
    </row>
    <row r="7358" spans="1:1">
      <c r="A7358" s="5"/>
    </row>
    <row r="7359" spans="1:1">
      <c r="A7359" s="5"/>
    </row>
    <row r="7360" spans="1:1">
      <c r="A7360" s="5"/>
    </row>
    <row r="7361" spans="1:1">
      <c r="A7361" s="5"/>
    </row>
    <row r="7362" spans="1:1">
      <c r="A7362" s="5"/>
    </row>
    <row r="7363" spans="1:1">
      <c r="A7363" s="5"/>
    </row>
    <row r="7364" spans="1:1">
      <c r="A7364" s="5"/>
    </row>
    <row r="7365" spans="1:1">
      <c r="A7365" s="5"/>
    </row>
    <row r="7366" spans="1:1">
      <c r="A7366" s="5"/>
    </row>
    <row r="7367" spans="1:1">
      <c r="A7367" s="5"/>
    </row>
    <row r="7368" spans="1:1">
      <c r="A7368" s="5"/>
    </row>
    <row r="7369" spans="1:1">
      <c r="A7369" s="5"/>
    </row>
    <row r="7370" spans="1:1">
      <c r="A7370" s="5"/>
    </row>
    <row r="7371" spans="1:1">
      <c r="A7371" s="5"/>
    </row>
    <row r="7372" spans="1:1">
      <c r="A7372" s="5"/>
    </row>
    <row r="7373" spans="1:1">
      <c r="A7373" s="5"/>
    </row>
    <row r="7374" spans="1:1">
      <c r="A7374" s="5"/>
    </row>
    <row r="7375" spans="1:1">
      <c r="A7375" s="5"/>
    </row>
    <row r="7376" spans="1:1">
      <c r="A7376" s="5"/>
    </row>
    <row r="7377" spans="1:1">
      <c r="A7377" s="5"/>
    </row>
    <row r="7378" spans="1:1">
      <c r="A7378" s="5"/>
    </row>
    <row r="7379" spans="1:1">
      <c r="A7379" s="5"/>
    </row>
    <row r="7380" spans="1:1">
      <c r="A7380" s="5"/>
    </row>
    <row r="7381" spans="1:1">
      <c r="A7381" s="5"/>
    </row>
    <row r="7382" spans="1:1">
      <c r="A7382" s="5"/>
    </row>
    <row r="7383" spans="1:1">
      <c r="A7383" s="5"/>
    </row>
    <row r="7384" spans="1:1">
      <c r="A7384" s="5"/>
    </row>
    <row r="7385" spans="1:1">
      <c r="A7385" s="5"/>
    </row>
    <row r="7386" spans="1:1">
      <c r="A7386" s="5"/>
    </row>
    <row r="7387" spans="1:1">
      <c r="A7387" s="5"/>
    </row>
    <row r="7388" spans="1:1">
      <c r="A7388" s="5"/>
    </row>
    <row r="7389" spans="1:1">
      <c r="A7389" s="5"/>
    </row>
    <row r="7390" spans="1:1">
      <c r="A7390" s="5"/>
    </row>
    <row r="7391" spans="1:1">
      <c r="A7391" s="5"/>
    </row>
    <row r="7392" spans="1:1">
      <c r="A7392" s="5"/>
    </row>
    <row r="7393" spans="1:1">
      <c r="A7393" s="5"/>
    </row>
    <row r="7394" spans="1:1">
      <c r="A7394" s="5"/>
    </row>
    <row r="7395" spans="1:1">
      <c r="A7395" s="5"/>
    </row>
    <row r="7396" spans="1:1">
      <c r="A7396" s="5"/>
    </row>
    <row r="7397" spans="1:1">
      <c r="A7397" s="5"/>
    </row>
    <row r="7398" spans="1:1">
      <c r="A7398" s="5"/>
    </row>
    <row r="7399" spans="1:1">
      <c r="A7399" s="5"/>
    </row>
    <row r="7400" spans="1:1">
      <c r="A7400" s="5"/>
    </row>
    <row r="7401" spans="1:1">
      <c r="A7401" s="5"/>
    </row>
    <row r="7402" spans="1:1">
      <c r="A7402" s="5"/>
    </row>
    <row r="7403" spans="1:1">
      <c r="A7403" s="5"/>
    </row>
    <row r="7404" spans="1:1">
      <c r="A7404" s="5"/>
    </row>
    <row r="7405" spans="1:1">
      <c r="A7405" s="5"/>
    </row>
    <row r="7406" spans="1:1">
      <c r="A7406" s="5"/>
    </row>
    <row r="7407" spans="1:1">
      <c r="A7407" s="5"/>
    </row>
    <row r="7408" spans="1:1">
      <c r="A7408" s="5"/>
    </row>
    <row r="7409" spans="1:1">
      <c r="A7409" s="5"/>
    </row>
    <row r="7410" spans="1:1">
      <c r="A7410" s="5"/>
    </row>
    <row r="7411" spans="1:1">
      <c r="A7411" s="5"/>
    </row>
    <row r="7412" spans="1:1">
      <c r="A7412" s="5"/>
    </row>
    <row r="7413" spans="1:1">
      <c r="A7413" s="5"/>
    </row>
    <row r="7414" spans="1:1">
      <c r="A7414" s="5"/>
    </row>
    <row r="7415" spans="1:1">
      <c r="A7415" s="5"/>
    </row>
    <row r="7416" spans="1:1">
      <c r="A7416" s="5"/>
    </row>
    <row r="7417" spans="1:1">
      <c r="A7417" s="5"/>
    </row>
    <row r="7418" spans="1:1">
      <c r="A7418" s="5"/>
    </row>
    <row r="7419" spans="1:1">
      <c r="A7419" s="5"/>
    </row>
    <row r="7420" spans="1:1">
      <c r="A7420" s="5"/>
    </row>
    <row r="7421" spans="1:1">
      <c r="A7421" s="5"/>
    </row>
    <row r="7422" spans="1:1">
      <c r="A7422" s="5"/>
    </row>
    <row r="7423" spans="1:1">
      <c r="A7423" s="5"/>
    </row>
    <row r="7424" spans="1:1">
      <c r="A7424" s="5"/>
    </row>
    <row r="7425" spans="1:1">
      <c r="A7425" s="5"/>
    </row>
    <row r="7426" spans="1:1">
      <c r="A7426" s="5"/>
    </row>
    <row r="7427" spans="1:1">
      <c r="A7427" s="5"/>
    </row>
    <row r="7428" spans="1:1">
      <c r="A7428" s="5"/>
    </row>
    <row r="7429" spans="1:1">
      <c r="A7429" s="5"/>
    </row>
    <row r="7430" spans="1:1">
      <c r="A7430" s="5"/>
    </row>
    <row r="7431" spans="1:1">
      <c r="A7431" s="5"/>
    </row>
    <row r="7432" spans="1:1">
      <c r="A7432" s="5"/>
    </row>
    <row r="7433" spans="1:1">
      <c r="A7433" s="5"/>
    </row>
    <row r="7434" spans="1:1">
      <c r="A7434" s="5"/>
    </row>
    <row r="7435" spans="1:1">
      <c r="A7435" s="5"/>
    </row>
    <row r="7436" spans="1:1">
      <c r="A7436" s="5"/>
    </row>
    <row r="7437" spans="1:1">
      <c r="A7437" s="5"/>
    </row>
    <row r="7438" spans="1:1">
      <c r="A7438" s="5"/>
    </row>
    <row r="7439" spans="1:1">
      <c r="A7439" s="5"/>
    </row>
    <row r="7440" spans="1:1">
      <c r="A7440" s="5"/>
    </row>
    <row r="7441" spans="1:1">
      <c r="A7441" s="5"/>
    </row>
    <row r="7442" spans="1:1">
      <c r="A7442" s="5"/>
    </row>
    <row r="7443" spans="1:1">
      <c r="A7443" s="5"/>
    </row>
    <row r="7444" spans="1:1">
      <c r="A7444" s="5"/>
    </row>
    <row r="7445" spans="1:1">
      <c r="A7445" s="5"/>
    </row>
    <row r="7446" spans="1:1">
      <c r="A7446" s="5"/>
    </row>
    <row r="7447" spans="1:1">
      <c r="A7447" s="5"/>
    </row>
    <row r="7448" spans="1:1">
      <c r="A7448" s="5"/>
    </row>
    <row r="7449" spans="1:1">
      <c r="A7449" s="5"/>
    </row>
    <row r="7450" spans="1:1">
      <c r="A7450" s="5"/>
    </row>
    <row r="7451" spans="1:1">
      <c r="A7451" s="5"/>
    </row>
    <row r="7452" spans="1:1">
      <c r="A7452" s="5"/>
    </row>
    <row r="7453" spans="1:1">
      <c r="A7453" s="5"/>
    </row>
    <row r="7454" spans="1:1">
      <c r="A7454" s="5"/>
    </row>
    <row r="7455" spans="1:1">
      <c r="A7455" s="5"/>
    </row>
    <row r="7456" spans="1:1">
      <c r="A7456" s="5"/>
    </row>
    <row r="7457" spans="1:1">
      <c r="A7457" s="5"/>
    </row>
    <row r="7458" spans="1:1">
      <c r="A7458" s="5"/>
    </row>
    <row r="7459" spans="1:1">
      <c r="A7459" s="5"/>
    </row>
    <row r="7460" spans="1:1">
      <c r="A7460" s="5"/>
    </row>
    <row r="7461" spans="1:1">
      <c r="A7461" s="5"/>
    </row>
    <row r="7462" spans="1:1">
      <c r="A7462" s="5"/>
    </row>
    <row r="7463" spans="1:1">
      <c r="A7463" s="5"/>
    </row>
    <row r="7464" spans="1:1">
      <c r="A7464" s="5"/>
    </row>
    <row r="7465" spans="1:1">
      <c r="A7465" s="5"/>
    </row>
    <row r="7466" spans="1:1">
      <c r="A7466" s="5"/>
    </row>
    <row r="7467" spans="1:1">
      <c r="A7467" s="5"/>
    </row>
    <row r="7468" spans="1:1">
      <c r="A7468" s="5"/>
    </row>
    <row r="7469" spans="1:1">
      <c r="A7469" s="5"/>
    </row>
    <row r="7470" spans="1:1">
      <c r="A7470" s="5"/>
    </row>
    <row r="7471" spans="1:1">
      <c r="A7471" s="5"/>
    </row>
    <row r="7472" spans="1:1">
      <c r="A7472" s="5"/>
    </row>
    <row r="7473" spans="1:1">
      <c r="A7473" s="5"/>
    </row>
    <row r="7474" spans="1:1">
      <c r="A7474" s="5"/>
    </row>
    <row r="7475" spans="1:1">
      <c r="A7475" s="5"/>
    </row>
    <row r="7476" spans="1:1">
      <c r="A7476" s="5"/>
    </row>
    <row r="7477" spans="1:1">
      <c r="A7477" s="5"/>
    </row>
    <row r="7478" spans="1:1">
      <c r="A7478" s="5"/>
    </row>
    <row r="7479" spans="1:1">
      <c r="A7479" s="5"/>
    </row>
    <row r="7480" spans="1:1">
      <c r="A7480" s="5"/>
    </row>
    <row r="7481" spans="1:1">
      <c r="A7481" s="5"/>
    </row>
    <row r="7482" spans="1:1">
      <c r="A7482" s="5"/>
    </row>
    <row r="7483" spans="1:1">
      <c r="A7483" s="5"/>
    </row>
    <row r="7484" spans="1:1">
      <c r="A7484" s="5"/>
    </row>
    <row r="7485" spans="1:1">
      <c r="A7485" s="5"/>
    </row>
    <row r="7486" spans="1:1">
      <c r="A7486" s="5"/>
    </row>
    <row r="7487" spans="1:1">
      <c r="A7487" s="5"/>
    </row>
    <row r="7488" spans="1:1">
      <c r="A7488" s="5"/>
    </row>
    <row r="7489" spans="1:1">
      <c r="A7489" s="5"/>
    </row>
    <row r="7490" spans="1:1">
      <c r="A7490" s="5"/>
    </row>
    <row r="7491" spans="1:1">
      <c r="A7491" s="5"/>
    </row>
    <row r="7492" spans="1:1">
      <c r="A7492" s="5"/>
    </row>
    <row r="7493" spans="1:1">
      <c r="A7493" s="5"/>
    </row>
    <row r="7494" spans="1:1">
      <c r="A7494" s="5"/>
    </row>
    <row r="7495" spans="1:1">
      <c r="A7495" s="5"/>
    </row>
    <row r="7496" spans="1:1">
      <c r="A7496" s="5"/>
    </row>
    <row r="7497" spans="1:1">
      <c r="A7497" s="5"/>
    </row>
    <row r="7498" spans="1:1">
      <c r="A7498" s="5"/>
    </row>
    <row r="7499" spans="1:1">
      <c r="A7499" s="5"/>
    </row>
    <row r="7500" spans="1:1">
      <c r="A7500" s="5"/>
    </row>
    <row r="7501" spans="1:1">
      <c r="A7501" s="5"/>
    </row>
    <row r="7502" spans="1:1">
      <c r="A7502" s="5"/>
    </row>
    <row r="7503" spans="1:1">
      <c r="A7503" s="5"/>
    </row>
    <row r="7504" spans="1:1">
      <c r="A7504" s="5"/>
    </row>
    <row r="7505" spans="1:1">
      <c r="A7505" s="5"/>
    </row>
    <row r="7506" spans="1:1">
      <c r="A7506" s="5"/>
    </row>
    <row r="7507" spans="1:1">
      <c r="A7507" s="5"/>
    </row>
    <row r="7508" spans="1:1">
      <c r="A7508" s="5"/>
    </row>
    <row r="7509" spans="1:1">
      <c r="A7509" s="5"/>
    </row>
    <row r="7510" spans="1:1">
      <c r="A7510" s="5"/>
    </row>
    <row r="7511" spans="1:1">
      <c r="A7511" s="5"/>
    </row>
    <row r="7512" spans="1:1">
      <c r="A7512" s="5"/>
    </row>
    <row r="7513" spans="1:1">
      <c r="A7513" s="5"/>
    </row>
    <row r="7514" spans="1:1">
      <c r="A7514" s="5"/>
    </row>
    <row r="7515" spans="1:1">
      <c r="A7515" s="5"/>
    </row>
    <row r="7516" spans="1:1">
      <c r="A7516" s="5"/>
    </row>
    <row r="7517" spans="1:1">
      <c r="A7517" s="5"/>
    </row>
    <row r="7518" spans="1:1">
      <c r="A7518" s="5"/>
    </row>
    <row r="7519" spans="1:1">
      <c r="A7519" s="5"/>
    </row>
    <row r="7520" spans="1:1">
      <c r="A7520" s="5"/>
    </row>
    <row r="7521" spans="1:1">
      <c r="A7521" s="5"/>
    </row>
    <row r="7522" spans="1:1">
      <c r="A7522" s="5"/>
    </row>
    <row r="7523" spans="1:1">
      <c r="A7523" s="5"/>
    </row>
    <row r="7524" spans="1:1">
      <c r="A7524" s="5"/>
    </row>
    <row r="7525" spans="1:1">
      <c r="A7525" s="5"/>
    </row>
    <row r="7526" spans="1:1">
      <c r="A7526" s="5"/>
    </row>
    <row r="7527" spans="1:1">
      <c r="A7527" s="5"/>
    </row>
    <row r="7528" spans="1:1">
      <c r="A7528" s="5"/>
    </row>
    <row r="7529" spans="1:1">
      <c r="A7529" s="5"/>
    </row>
    <row r="7530" spans="1:1">
      <c r="A7530" s="5"/>
    </row>
    <row r="7531" spans="1:1">
      <c r="A7531" s="5"/>
    </row>
    <row r="7532" spans="1:1">
      <c r="A7532" s="5"/>
    </row>
    <row r="7533" spans="1:1">
      <c r="A7533" s="5"/>
    </row>
    <row r="7534" spans="1:1">
      <c r="A7534" s="5"/>
    </row>
    <row r="7535" spans="1:1">
      <c r="A7535" s="5"/>
    </row>
    <row r="7536" spans="1:1">
      <c r="A7536" s="5"/>
    </row>
    <row r="7537" spans="1:1">
      <c r="A7537" s="5"/>
    </row>
    <row r="7538" spans="1:1">
      <c r="A7538" s="5"/>
    </row>
    <row r="7539" spans="1:1">
      <c r="A7539" s="5"/>
    </row>
    <row r="7540" spans="1:1">
      <c r="A7540" s="5"/>
    </row>
    <row r="7541" spans="1:1">
      <c r="A7541" s="5"/>
    </row>
    <row r="7542" spans="1:1">
      <c r="A7542" s="5"/>
    </row>
    <row r="7543" spans="1:1">
      <c r="A7543" s="5"/>
    </row>
    <row r="7544" spans="1:1">
      <c r="A7544" s="5"/>
    </row>
    <row r="7545" spans="1:1">
      <c r="A7545" s="5"/>
    </row>
    <row r="7546" spans="1:1">
      <c r="A7546" s="5"/>
    </row>
    <row r="7547" spans="1:1">
      <c r="A7547" s="5"/>
    </row>
    <row r="7548" spans="1:1">
      <c r="A7548" s="5"/>
    </row>
    <row r="7549" spans="1:1">
      <c r="A7549" s="5"/>
    </row>
    <row r="7550" spans="1:1">
      <c r="A7550" s="5"/>
    </row>
    <row r="7551" spans="1:1">
      <c r="A7551" s="5"/>
    </row>
    <row r="7552" spans="1:1">
      <c r="A7552" s="5"/>
    </row>
    <row r="7553" spans="1:1">
      <c r="A7553" s="5"/>
    </row>
    <row r="7554" spans="1:1">
      <c r="A7554" s="5"/>
    </row>
    <row r="7555" spans="1:1">
      <c r="A7555" s="5"/>
    </row>
    <row r="7556" spans="1:1">
      <c r="A7556" s="5"/>
    </row>
    <row r="7557" spans="1:1">
      <c r="A7557" s="5"/>
    </row>
    <row r="7558" spans="1:1">
      <c r="A7558" s="5"/>
    </row>
    <row r="7559" spans="1:1">
      <c r="A7559" s="5"/>
    </row>
    <row r="7560" spans="1:1">
      <c r="A7560" s="5"/>
    </row>
    <row r="7561" spans="1:1">
      <c r="A7561" s="5"/>
    </row>
    <row r="7562" spans="1:1">
      <c r="A7562" s="5"/>
    </row>
    <row r="7563" spans="1:1">
      <c r="A7563" s="5"/>
    </row>
    <row r="7564" spans="1:1">
      <c r="A7564" s="5"/>
    </row>
    <row r="7565" spans="1:1">
      <c r="A7565" s="5"/>
    </row>
    <row r="7566" spans="1:1">
      <c r="A7566" s="5"/>
    </row>
    <row r="7567" spans="1:1">
      <c r="A7567" s="5"/>
    </row>
    <row r="7568" spans="1:1">
      <c r="A7568" s="5"/>
    </row>
    <row r="7569" spans="1:1">
      <c r="A7569" s="5"/>
    </row>
    <row r="7570" spans="1:1">
      <c r="A7570" s="5"/>
    </row>
    <row r="7571" spans="1:1">
      <c r="A7571" s="5"/>
    </row>
    <row r="7572" spans="1:1">
      <c r="A7572" s="5"/>
    </row>
    <row r="7573" spans="1:1">
      <c r="A7573" s="5"/>
    </row>
    <row r="7574" spans="1:1">
      <c r="A7574" s="5"/>
    </row>
    <row r="7575" spans="1:1">
      <c r="A7575" s="5"/>
    </row>
    <row r="7576" spans="1:1">
      <c r="A7576" s="5"/>
    </row>
    <row r="7577" spans="1:1">
      <c r="A7577" s="5"/>
    </row>
    <row r="7578" spans="1:1">
      <c r="A7578" s="5"/>
    </row>
    <row r="7579" spans="1:1">
      <c r="A7579" s="5"/>
    </row>
    <row r="7580" spans="1:1">
      <c r="A7580" s="5"/>
    </row>
    <row r="7581" spans="1:1">
      <c r="A7581" s="5"/>
    </row>
    <row r="7582" spans="1:1">
      <c r="A7582" s="5"/>
    </row>
    <row r="7583" spans="1:1">
      <c r="A7583" s="5"/>
    </row>
    <row r="7584" spans="1:1">
      <c r="A7584" s="5"/>
    </row>
    <row r="7585" spans="1:1">
      <c r="A7585" s="5"/>
    </row>
    <row r="7586" spans="1:1">
      <c r="A7586" s="5"/>
    </row>
    <row r="7587" spans="1:1">
      <c r="A7587" s="5"/>
    </row>
    <row r="7588" spans="1:1">
      <c r="A7588" s="5"/>
    </row>
    <row r="7589" spans="1:1">
      <c r="A7589" s="5"/>
    </row>
    <row r="7590" spans="1:1">
      <c r="A7590" s="5"/>
    </row>
    <row r="7591" spans="1:1">
      <c r="A7591" s="5"/>
    </row>
    <row r="7592" spans="1:1">
      <c r="A7592" s="5"/>
    </row>
    <row r="7593" spans="1:1">
      <c r="A7593" s="5"/>
    </row>
    <row r="7594" spans="1:1">
      <c r="A7594" s="5"/>
    </row>
    <row r="7595" spans="1:1">
      <c r="A7595" s="5"/>
    </row>
    <row r="7596" spans="1:1">
      <c r="A7596" s="5"/>
    </row>
    <row r="7597" spans="1:1">
      <c r="A7597" s="5"/>
    </row>
    <row r="7598" spans="1:1">
      <c r="A7598" s="5"/>
    </row>
    <row r="7599" spans="1:1">
      <c r="A7599" s="5"/>
    </row>
    <row r="7600" spans="1:1">
      <c r="A7600" s="5"/>
    </row>
    <row r="7601" spans="1:1">
      <c r="A7601" s="5"/>
    </row>
    <row r="7602" spans="1:1">
      <c r="A7602" s="5"/>
    </row>
    <row r="7603" spans="1:1">
      <c r="A7603" s="5"/>
    </row>
    <row r="7604" spans="1:1">
      <c r="A7604" s="5"/>
    </row>
    <row r="7605" spans="1:1">
      <c r="A7605" s="5"/>
    </row>
    <row r="7606" spans="1:1">
      <c r="A7606" s="5"/>
    </row>
    <row r="7607" spans="1:1">
      <c r="A7607" s="5"/>
    </row>
    <row r="7608" spans="1:1">
      <c r="A7608" s="5"/>
    </row>
    <row r="7609" spans="1:1">
      <c r="A7609" s="5"/>
    </row>
    <row r="7610" spans="1:1">
      <c r="A7610" s="5"/>
    </row>
    <row r="7611" spans="1:1">
      <c r="A7611" s="5"/>
    </row>
    <row r="7612" spans="1:1">
      <c r="A7612" s="5"/>
    </row>
    <row r="7613" spans="1:1">
      <c r="A7613" s="5"/>
    </row>
    <row r="7614" spans="1:1">
      <c r="A7614" s="5"/>
    </row>
    <row r="7615" spans="1:1">
      <c r="A7615" s="5"/>
    </row>
    <row r="7616" spans="1:1">
      <c r="A7616" s="5"/>
    </row>
    <row r="7617" spans="1:1">
      <c r="A7617" s="5"/>
    </row>
    <row r="7618" spans="1:1">
      <c r="A7618" s="5"/>
    </row>
    <row r="7619" spans="1:1">
      <c r="A7619" s="5"/>
    </row>
    <row r="7620" spans="1:1">
      <c r="A7620" s="5"/>
    </row>
    <row r="7621" spans="1:1">
      <c r="A7621" s="5"/>
    </row>
    <row r="7622" spans="1:1">
      <c r="A7622" s="5"/>
    </row>
    <row r="7623" spans="1:1">
      <c r="A7623" s="5"/>
    </row>
    <row r="7624" spans="1:1">
      <c r="A7624" s="5"/>
    </row>
    <row r="7625" spans="1:1">
      <c r="A7625" s="5"/>
    </row>
    <row r="7626" spans="1:1">
      <c r="A7626" s="5"/>
    </row>
    <row r="7627" spans="1:1">
      <c r="A7627" s="5"/>
    </row>
    <row r="7628" spans="1:1">
      <c r="A7628" s="5"/>
    </row>
    <row r="7629" spans="1:1">
      <c r="A7629" s="5"/>
    </row>
    <row r="7630" spans="1:1">
      <c r="A7630" s="5"/>
    </row>
    <row r="7631" spans="1:1">
      <c r="A7631" s="5"/>
    </row>
    <row r="7632" spans="1:1">
      <c r="A7632" s="5"/>
    </row>
    <row r="7633" spans="1:1">
      <c r="A7633" s="5"/>
    </row>
    <row r="7634" spans="1:1">
      <c r="A7634" s="5"/>
    </row>
    <row r="7635" spans="1:1">
      <c r="A7635" s="5"/>
    </row>
    <row r="7636" spans="1:1">
      <c r="A7636" s="5"/>
    </row>
    <row r="7637" spans="1:1">
      <c r="A7637" s="5"/>
    </row>
    <row r="7638" spans="1:1">
      <c r="A7638" s="5"/>
    </row>
    <row r="7639" spans="1:1">
      <c r="A7639" s="5"/>
    </row>
    <row r="7640" spans="1:1">
      <c r="A7640" s="5"/>
    </row>
    <row r="7641" spans="1:1">
      <c r="A7641" s="5"/>
    </row>
    <row r="7642" spans="1:1">
      <c r="A7642" s="5"/>
    </row>
    <row r="7643" spans="1:1">
      <c r="A7643" s="5"/>
    </row>
    <row r="7644" spans="1:1">
      <c r="A7644" s="5"/>
    </row>
    <row r="7645" spans="1:1">
      <c r="A7645" s="5"/>
    </row>
    <row r="7646" spans="1:1">
      <c r="A7646" s="5"/>
    </row>
    <row r="7647" spans="1:1">
      <c r="A7647" s="5"/>
    </row>
    <row r="7648" spans="1:1">
      <c r="A7648" s="5"/>
    </row>
    <row r="7649" spans="1:1">
      <c r="A7649" s="5"/>
    </row>
    <row r="7650" spans="1:1">
      <c r="A7650" s="5"/>
    </row>
    <row r="7651" spans="1:1">
      <c r="A7651" s="5"/>
    </row>
    <row r="7652" spans="1:1">
      <c r="A7652" s="5"/>
    </row>
    <row r="7653" spans="1:1">
      <c r="A7653" s="5"/>
    </row>
    <row r="7654" spans="1:1">
      <c r="A7654" s="5"/>
    </row>
    <row r="7655" spans="1:1">
      <c r="A7655" s="5"/>
    </row>
    <row r="7656" spans="1:1">
      <c r="A7656" s="5"/>
    </row>
    <row r="7657" spans="1:1">
      <c r="A7657" s="5"/>
    </row>
    <row r="7658" spans="1:1">
      <c r="A7658" s="5"/>
    </row>
    <row r="7659" spans="1:1">
      <c r="A7659" s="5"/>
    </row>
    <row r="7660" spans="1:1">
      <c r="A7660" s="5"/>
    </row>
    <row r="7661" spans="1:1">
      <c r="A7661" s="5"/>
    </row>
    <row r="7662" spans="1:1">
      <c r="A7662" s="5"/>
    </row>
    <row r="7663" spans="1:1">
      <c r="A7663" s="5"/>
    </row>
    <row r="7664" spans="1:1">
      <c r="A7664" s="5"/>
    </row>
    <row r="7665" spans="1:1">
      <c r="A7665" s="5"/>
    </row>
    <row r="7666" spans="1:1">
      <c r="A7666" s="5"/>
    </row>
    <row r="7667" spans="1:1">
      <c r="A7667" s="5"/>
    </row>
    <row r="7668" spans="1:1">
      <c r="A7668" s="5"/>
    </row>
    <row r="7669" spans="1:1">
      <c r="A7669" s="5"/>
    </row>
    <row r="7670" spans="1:1">
      <c r="A7670" s="5"/>
    </row>
    <row r="7671" spans="1:1">
      <c r="A7671" s="5"/>
    </row>
    <row r="7672" spans="1:1">
      <c r="A7672" s="5"/>
    </row>
    <row r="7673" spans="1:1">
      <c r="A7673" s="5"/>
    </row>
    <row r="7674" spans="1:1">
      <c r="A7674" s="5"/>
    </row>
    <row r="7675" spans="1:1">
      <c r="A7675" s="5"/>
    </row>
    <row r="7676" spans="1:1">
      <c r="A7676" s="5"/>
    </row>
    <row r="7677" spans="1:1">
      <c r="A7677" s="5"/>
    </row>
    <row r="7678" spans="1:1">
      <c r="A7678" s="5"/>
    </row>
    <row r="7679" spans="1:1">
      <c r="A7679" s="5"/>
    </row>
    <row r="7680" spans="1:1">
      <c r="A7680" s="5"/>
    </row>
    <row r="7681" spans="1:1">
      <c r="A7681" s="5"/>
    </row>
    <row r="7682" spans="1:1">
      <c r="A7682" s="5"/>
    </row>
    <row r="7683" spans="1:1">
      <c r="A7683" s="5"/>
    </row>
    <row r="7684" spans="1:1">
      <c r="A7684" s="5"/>
    </row>
    <row r="7685" spans="1:1">
      <c r="A7685" s="5"/>
    </row>
    <row r="7686" spans="1:1">
      <c r="A7686" s="5"/>
    </row>
    <row r="7687" spans="1:1">
      <c r="A7687" s="5"/>
    </row>
    <row r="7688" spans="1:1">
      <c r="A7688" s="5"/>
    </row>
    <row r="7689" spans="1:1">
      <c r="A7689" s="5"/>
    </row>
    <row r="7690" spans="1:1">
      <c r="A7690" s="5"/>
    </row>
    <row r="7691" spans="1:1">
      <c r="A7691" s="5"/>
    </row>
    <row r="7692" spans="1:1">
      <c r="A7692" s="5"/>
    </row>
    <row r="7693" spans="1:1">
      <c r="A7693" s="5"/>
    </row>
    <row r="7694" spans="1:1">
      <c r="A7694" s="5"/>
    </row>
    <row r="7695" spans="1:1">
      <c r="A7695" s="5"/>
    </row>
    <row r="7696" spans="1:1">
      <c r="A7696" s="5"/>
    </row>
    <row r="7697" spans="1:1">
      <c r="A7697" s="5"/>
    </row>
    <row r="7698" spans="1:1">
      <c r="A7698" s="5"/>
    </row>
    <row r="7699" spans="1:1">
      <c r="A7699" s="5"/>
    </row>
    <row r="7700" spans="1:1">
      <c r="A7700" s="5"/>
    </row>
    <row r="7701" spans="1:1">
      <c r="A7701" s="5"/>
    </row>
    <row r="7702" spans="1:1">
      <c r="A7702" s="5"/>
    </row>
    <row r="7703" spans="1:1">
      <c r="A7703" s="5"/>
    </row>
    <row r="7704" spans="1:1">
      <c r="A7704" s="5"/>
    </row>
    <row r="7705" spans="1:1">
      <c r="A7705" s="5"/>
    </row>
    <row r="7706" spans="1:1">
      <c r="A7706" s="5"/>
    </row>
    <row r="7707" spans="1:1">
      <c r="A7707" s="5"/>
    </row>
    <row r="7708" spans="1:1">
      <c r="A7708" s="5"/>
    </row>
    <row r="7709" spans="1:1">
      <c r="A7709" s="5"/>
    </row>
    <row r="7710" spans="1:1">
      <c r="A7710" s="5"/>
    </row>
    <row r="7711" spans="1:1">
      <c r="A7711" s="5"/>
    </row>
    <row r="7712" spans="1:1">
      <c r="A7712" s="5"/>
    </row>
    <row r="7713" spans="1:1">
      <c r="A7713" s="5"/>
    </row>
    <row r="7714" spans="1:1">
      <c r="A7714" s="5"/>
    </row>
    <row r="7715" spans="1:1">
      <c r="A7715" s="5"/>
    </row>
    <row r="7716" spans="1:1">
      <c r="A7716" s="5"/>
    </row>
    <row r="7717" spans="1:1">
      <c r="A7717" s="5"/>
    </row>
    <row r="7718" spans="1:1">
      <c r="A7718" s="5"/>
    </row>
    <row r="7719" spans="1:1">
      <c r="A7719" s="5"/>
    </row>
    <row r="7720" spans="1:1">
      <c r="A7720" s="5"/>
    </row>
    <row r="7721" spans="1:1">
      <c r="A7721" s="5"/>
    </row>
    <row r="7722" spans="1:1">
      <c r="A7722" s="5"/>
    </row>
    <row r="7723" spans="1:1">
      <c r="A7723" s="5"/>
    </row>
    <row r="7724" spans="1:1">
      <c r="A7724" s="5"/>
    </row>
    <row r="7725" spans="1:1">
      <c r="A7725" s="5"/>
    </row>
    <row r="7726" spans="1:1">
      <c r="A7726" s="5"/>
    </row>
    <row r="7727" spans="1:1">
      <c r="A7727" s="5"/>
    </row>
    <row r="7728" spans="1:1">
      <c r="A7728" s="5"/>
    </row>
    <row r="7729" spans="1:1">
      <c r="A7729" s="5"/>
    </row>
    <row r="7730" spans="1:1">
      <c r="A7730" s="5"/>
    </row>
    <row r="7731" spans="1:1">
      <c r="A7731" s="5"/>
    </row>
    <row r="7732" spans="1:1">
      <c r="A7732" s="5"/>
    </row>
    <row r="7733" spans="1:1">
      <c r="A7733" s="5"/>
    </row>
    <row r="7734" spans="1:1">
      <c r="A7734" s="5"/>
    </row>
    <row r="7735" spans="1:1">
      <c r="A7735" s="5"/>
    </row>
    <row r="7736" spans="1:1">
      <c r="A7736" s="5"/>
    </row>
    <row r="7737" spans="1:1">
      <c r="A7737" s="5"/>
    </row>
    <row r="7738" spans="1:1">
      <c r="A7738" s="5"/>
    </row>
    <row r="7739" spans="1:1">
      <c r="A7739" s="5"/>
    </row>
    <row r="7740" spans="1:1">
      <c r="A7740" s="5"/>
    </row>
    <row r="7741" spans="1:1">
      <c r="A7741" s="5"/>
    </row>
    <row r="7742" spans="1:1">
      <c r="A7742" s="5"/>
    </row>
    <row r="7743" spans="1:1">
      <c r="A7743" s="5"/>
    </row>
    <row r="7744" spans="1:1">
      <c r="A7744" s="5"/>
    </row>
    <row r="7745" spans="1:1">
      <c r="A7745" s="5"/>
    </row>
    <row r="7746" spans="1:1">
      <c r="A7746" s="5"/>
    </row>
    <row r="7747" spans="1:1">
      <c r="A7747" s="5"/>
    </row>
    <row r="7748" spans="1:1">
      <c r="A7748" s="5"/>
    </row>
    <row r="7749" spans="1:1">
      <c r="A7749" s="5"/>
    </row>
    <row r="7750" spans="1:1">
      <c r="A7750" s="5"/>
    </row>
    <row r="7751" spans="1:1">
      <c r="A7751" s="5"/>
    </row>
    <row r="7752" spans="1:1">
      <c r="A7752" s="5"/>
    </row>
    <row r="7753" spans="1:1">
      <c r="A7753" s="5"/>
    </row>
    <row r="7754" spans="1:1">
      <c r="A7754" s="5"/>
    </row>
    <row r="7755" spans="1:1">
      <c r="A7755" s="5"/>
    </row>
    <row r="7756" spans="1:1">
      <c r="A7756" s="5"/>
    </row>
    <row r="7757" spans="1:1">
      <c r="A7757" s="5"/>
    </row>
    <row r="7758" spans="1:1">
      <c r="A7758" s="5"/>
    </row>
    <row r="7759" spans="1:1">
      <c r="A7759" s="5"/>
    </row>
    <row r="7760" spans="1:1">
      <c r="A7760" s="5"/>
    </row>
    <row r="7761" spans="1:1">
      <c r="A7761" s="5"/>
    </row>
    <row r="7762" spans="1:1">
      <c r="A7762" s="5"/>
    </row>
    <row r="7763" spans="1:1">
      <c r="A7763" s="5"/>
    </row>
    <row r="7764" spans="1:1">
      <c r="A7764" s="5"/>
    </row>
    <row r="7765" spans="1:1">
      <c r="A7765" s="5"/>
    </row>
    <row r="7766" spans="1:1">
      <c r="A7766" s="5"/>
    </row>
    <row r="7767" spans="1:1">
      <c r="A7767" s="5"/>
    </row>
    <row r="7768" spans="1:1">
      <c r="A7768" s="5"/>
    </row>
    <row r="7769" spans="1:1">
      <c r="A7769" s="5"/>
    </row>
    <row r="7770" spans="1:1">
      <c r="A7770" s="5"/>
    </row>
    <row r="7771" spans="1:1">
      <c r="A7771" s="5"/>
    </row>
    <row r="7772" spans="1:1">
      <c r="A7772" s="5"/>
    </row>
    <row r="7773" spans="1:1">
      <c r="A7773" s="5"/>
    </row>
    <row r="7774" spans="1:1">
      <c r="A7774" s="5"/>
    </row>
    <row r="7775" spans="1:1">
      <c r="A7775" s="5"/>
    </row>
    <row r="7776" spans="1:1">
      <c r="A7776" s="5"/>
    </row>
    <row r="7777" spans="1:1">
      <c r="A7777" s="5"/>
    </row>
    <row r="7778" spans="1:1">
      <c r="A7778" s="5"/>
    </row>
    <row r="7779" spans="1:1">
      <c r="A7779" s="5"/>
    </row>
    <row r="7780" spans="1:1">
      <c r="A7780" s="5"/>
    </row>
    <row r="7781" spans="1:1">
      <c r="A7781" s="5"/>
    </row>
    <row r="7782" spans="1:1">
      <c r="A7782" s="5"/>
    </row>
    <row r="7783" spans="1:1">
      <c r="A7783" s="5"/>
    </row>
    <row r="7784" spans="1:1">
      <c r="A7784" s="5"/>
    </row>
    <row r="7785" spans="1:1">
      <c r="A7785" s="5"/>
    </row>
    <row r="7786" spans="1:1">
      <c r="A7786" s="5"/>
    </row>
    <row r="7787" spans="1:1">
      <c r="A7787" s="5"/>
    </row>
    <row r="7788" spans="1:1">
      <c r="A7788" s="5"/>
    </row>
    <row r="7789" spans="1:1">
      <c r="A7789" s="5"/>
    </row>
    <row r="7790" spans="1:1">
      <c r="A7790" s="5"/>
    </row>
    <row r="7791" spans="1:1">
      <c r="A7791" s="5"/>
    </row>
    <row r="7792" spans="1:1">
      <c r="A7792" s="5"/>
    </row>
    <row r="7793" spans="1:1">
      <c r="A7793" s="5"/>
    </row>
    <row r="7794" spans="1:1">
      <c r="A7794" s="5"/>
    </row>
    <row r="7795" spans="1:1">
      <c r="A7795" s="5"/>
    </row>
    <row r="7796" spans="1:1">
      <c r="A7796" s="5"/>
    </row>
    <row r="7797" spans="1:1">
      <c r="A7797" s="5"/>
    </row>
    <row r="7798" spans="1:1">
      <c r="A7798" s="5"/>
    </row>
    <row r="7799" spans="1:1">
      <c r="A7799" s="5"/>
    </row>
    <row r="7800" spans="1:1">
      <c r="A7800" s="5"/>
    </row>
    <row r="7801" spans="1:1">
      <c r="A7801" s="5"/>
    </row>
    <row r="7802" spans="1:1">
      <c r="A7802" s="5"/>
    </row>
    <row r="7803" spans="1:1">
      <c r="A7803" s="5"/>
    </row>
    <row r="7804" spans="1:1">
      <c r="A7804" s="5"/>
    </row>
    <row r="7805" spans="1:1">
      <c r="A7805" s="5"/>
    </row>
    <row r="7806" spans="1:1">
      <c r="A7806" s="5"/>
    </row>
    <row r="7807" spans="1:1">
      <c r="A7807" s="5"/>
    </row>
    <row r="7808" spans="1:1">
      <c r="A7808" s="5"/>
    </row>
    <row r="7809" spans="1:1">
      <c r="A7809" s="5"/>
    </row>
    <row r="7810" spans="1:1">
      <c r="A7810" s="5"/>
    </row>
    <row r="7811" spans="1:1">
      <c r="A7811" s="5"/>
    </row>
    <row r="7812" spans="1:1">
      <c r="A7812" s="5"/>
    </row>
    <row r="7813" spans="1:1">
      <c r="A7813" s="5"/>
    </row>
    <row r="7814" spans="1:1">
      <c r="A7814" s="5"/>
    </row>
    <row r="7815" spans="1:1">
      <c r="A7815" s="5"/>
    </row>
    <row r="7816" spans="1:1">
      <c r="A7816" s="5"/>
    </row>
    <row r="7817" spans="1:1">
      <c r="A7817" s="5"/>
    </row>
    <row r="7818" spans="1:1">
      <c r="A7818" s="5"/>
    </row>
    <row r="7819" spans="1:1">
      <c r="A7819" s="5"/>
    </row>
    <row r="7820" spans="1:1">
      <c r="A7820" s="5"/>
    </row>
    <row r="7821" spans="1:1">
      <c r="A7821" s="5"/>
    </row>
    <row r="7822" spans="1:1">
      <c r="A7822" s="5"/>
    </row>
    <row r="7823" spans="1:1">
      <c r="A7823" s="5"/>
    </row>
    <row r="7824" spans="1:1">
      <c r="A7824" s="5"/>
    </row>
    <row r="7825" spans="1:1">
      <c r="A7825" s="5"/>
    </row>
    <row r="7826" spans="1:1">
      <c r="A7826" s="5"/>
    </row>
    <row r="7827" spans="1:1">
      <c r="A7827" s="5"/>
    </row>
    <row r="7828" spans="1:1">
      <c r="A7828" s="5"/>
    </row>
    <row r="7829" spans="1:1">
      <c r="A7829" s="5"/>
    </row>
    <row r="7830" spans="1:1">
      <c r="A7830" s="5"/>
    </row>
    <row r="7831" spans="1:1">
      <c r="A7831" s="5"/>
    </row>
    <row r="7832" spans="1:1">
      <c r="A7832" s="5"/>
    </row>
    <row r="7833" spans="1:1">
      <c r="A7833" s="5"/>
    </row>
    <row r="7834" spans="1:1">
      <c r="A7834" s="5"/>
    </row>
    <row r="7835" spans="1:1">
      <c r="A7835" s="5"/>
    </row>
    <row r="7836" spans="1:1">
      <c r="A7836" s="5"/>
    </row>
    <row r="7837" spans="1:1">
      <c r="A7837" s="5"/>
    </row>
    <row r="7838" spans="1:1">
      <c r="A7838" s="5"/>
    </row>
    <row r="7839" spans="1:1">
      <c r="A7839" s="5"/>
    </row>
    <row r="7840" spans="1:1">
      <c r="A7840" s="5"/>
    </row>
    <row r="7841" spans="1:1">
      <c r="A7841" s="5"/>
    </row>
    <row r="7842" spans="1:1">
      <c r="A7842" s="5"/>
    </row>
    <row r="7843" spans="1:1">
      <c r="A7843" s="5"/>
    </row>
    <row r="7844" spans="1:1">
      <c r="A7844" s="5"/>
    </row>
    <row r="7845" spans="1:1">
      <c r="A7845" s="5"/>
    </row>
    <row r="7846" spans="1:1">
      <c r="A7846" s="5"/>
    </row>
    <row r="7847" spans="1:1">
      <c r="A7847" s="5"/>
    </row>
    <row r="7848" spans="1:1">
      <c r="A7848" s="5"/>
    </row>
    <row r="7849" spans="1:1">
      <c r="A7849" s="5"/>
    </row>
    <row r="7850" spans="1:1">
      <c r="A7850" s="5"/>
    </row>
    <row r="7851" spans="1:1">
      <c r="A7851" s="5"/>
    </row>
    <row r="7852" spans="1:1">
      <c r="A7852" s="5"/>
    </row>
    <row r="7853" spans="1:1">
      <c r="A7853" s="5"/>
    </row>
    <row r="7854" spans="1:1">
      <c r="A7854" s="5"/>
    </row>
    <row r="7855" spans="1:1">
      <c r="A7855" s="5"/>
    </row>
    <row r="7856" spans="1:1">
      <c r="A7856" s="5"/>
    </row>
    <row r="7857" spans="1:1">
      <c r="A7857" s="5"/>
    </row>
    <row r="7858" spans="1:1">
      <c r="A7858" s="5"/>
    </row>
    <row r="7859" spans="1:1">
      <c r="A7859" s="5"/>
    </row>
    <row r="7860" spans="1:1">
      <c r="A7860" s="5"/>
    </row>
    <row r="7861" spans="1:1">
      <c r="A7861" s="5"/>
    </row>
    <row r="7862" spans="1:1">
      <c r="A7862" s="5"/>
    </row>
    <row r="7863" spans="1:1">
      <c r="A7863" s="5"/>
    </row>
    <row r="7864" spans="1:1">
      <c r="A7864" s="5"/>
    </row>
    <row r="7865" spans="1:1">
      <c r="A7865" s="5"/>
    </row>
    <row r="7866" spans="1:1">
      <c r="A7866" s="5"/>
    </row>
    <row r="7867" spans="1:1">
      <c r="A7867" s="5"/>
    </row>
    <row r="7868" spans="1:1">
      <c r="A7868" s="5"/>
    </row>
    <row r="7869" spans="1:1">
      <c r="A7869" s="5"/>
    </row>
    <row r="7870" spans="1:1">
      <c r="A7870" s="5"/>
    </row>
    <row r="7871" spans="1:1">
      <c r="A7871" s="5"/>
    </row>
    <row r="7872" spans="1:1">
      <c r="A7872" s="5"/>
    </row>
    <row r="7873" spans="1:1">
      <c r="A7873" s="5"/>
    </row>
    <row r="7874" spans="1:1">
      <c r="A7874" s="5"/>
    </row>
    <row r="7875" spans="1:1">
      <c r="A7875" s="5"/>
    </row>
    <row r="7876" spans="1:1">
      <c r="A7876" s="5"/>
    </row>
    <row r="7877" spans="1:1">
      <c r="A7877" s="5"/>
    </row>
    <row r="7878" spans="1:1">
      <c r="A7878" s="5"/>
    </row>
    <row r="7879" spans="1:1">
      <c r="A7879" s="5"/>
    </row>
    <row r="7880" spans="1:1">
      <c r="A7880" s="5"/>
    </row>
    <row r="7881" spans="1:1">
      <c r="A7881" s="5"/>
    </row>
    <row r="7882" spans="1:1">
      <c r="A7882" s="5"/>
    </row>
    <row r="7883" spans="1:1">
      <c r="A7883" s="5"/>
    </row>
    <row r="7884" spans="1:1">
      <c r="A7884" s="5"/>
    </row>
    <row r="7885" spans="1:1">
      <c r="A7885" s="5"/>
    </row>
    <row r="7886" spans="1:1">
      <c r="A7886" s="5"/>
    </row>
    <row r="7887" spans="1:1">
      <c r="A7887" s="5"/>
    </row>
    <row r="7888" spans="1:1">
      <c r="A7888" s="5"/>
    </row>
    <row r="7889" spans="1:1">
      <c r="A7889" s="5"/>
    </row>
    <row r="7890" spans="1:1">
      <c r="A7890" s="5"/>
    </row>
    <row r="7891" spans="1:1">
      <c r="A7891" s="5"/>
    </row>
    <row r="7892" spans="1:1">
      <c r="A7892" s="5"/>
    </row>
    <row r="7893" spans="1:1">
      <c r="A7893" s="5"/>
    </row>
    <row r="7894" spans="1:1">
      <c r="A7894" s="5"/>
    </row>
    <row r="7895" spans="1:1">
      <c r="A7895" s="5"/>
    </row>
    <row r="7896" spans="1:1">
      <c r="A7896" s="5"/>
    </row>
    <row r="7897" spans="1:1">
      <c r="A7897" s="5"/>
    </row>
    <row r="7898" spans="1:1">
      <c r="A7898" s="5"/>
    </row>
    <row r="7899" spans="1:1">
      <c r="A7899" s="5"/>
    </row>
    <row r="7900" spans="1:1">
      <c r="A7900" s="5"/>
    </row>
    <row r="7901" spans="1:1">
      <c r="A7901" s="5"/>
    </row>
    <row r="7902" spans="1:1">
      <c r="A7902" s="5"/>
    </row>
    <row r="7903" spans="1:1">
      <c r="A7903" s="5"/>
    </row>
    <row r="7904" spans="1:1">
      <c r="A7904" s="5"/>
    </row>
    <row r="7905" spans="1:1">
      <c r="A7905" s="5"/>
    </row>
    <row r="7906" spans="1:1">
      <c r="A7906" s="5"/>
    </row>
    <row r="7907" spans="1:1">
      <c r="A7907" s="5"/>
    </row>
    <row r="7908" spans="1:1">
      <c r="A7908" s="5"/>
    </row>
    <row r="7909" spans="1:1">
      <c r="A7909" s="5"/>
    </row>
    <row r="7910" spans="1:1">
      <c r="A7910" s="5"/>
    </row>
    <row r="7911" spans="1:1">
      <c r="A7911" s="5"/>
    </row>
    <row r="7912" spans="1:1">
      <c r="A7912" s="5"/>
    </row>
    <row r="7913" spans="1:1">
      <c r="A7913" s="5"/>
    </row>
    <row r="7914" spans="1:1">
      <c r="A7914" s="5"/>
    </row>
    <row r="7915" spans="1:1">
      <c r="A7915" s="5"/>
    </row>
    <row r="7916" spans="1:1">
      <c r="A7916" s="5"/>
    </row>
    <row r="7917" spans="1:1">
      <c r="A7917" s="5"/>
    </row>
    <row r="7918" spans="1:1">
      <c r="A7918" s="5"/>
    </row>
    <row r="7919" spans="1:1">
      <c r="A7919" s="5"/>
    </row>
    <row r="7920" spans="1:1">
      <c r="A7920" s="5"/>
    </row>
    <row r="7921" spans="1:1">
      <c r="A7921" s="5"/>
    </row>
    <row r="7922" spans="1:1">
      <c r="A7922" s="5"/>
    </row>
    <row r="7923" spans="1:1">
      <c r="A7923" s="5"/>
    </row>
    <row r="7924" spans="1:1">
      <c r="A7924" s="5"/>
    </row>
    <row r="7925" spans="1:1">
      <c r="A7925" s="5"/>
    </row>
    <row r="7926" spans="1:1">
      <c r="A7926" s="5"/>
    </row>
    <row r="7927" spans="1:1">
      <c r="A7927" s="5"/>
    </row>
    <row r="7928" spans="1:1">
      <c r="A7928" s="5"/>
    </row>
    <row r="7929" spans="1:1">
      <c r="A7929" s="5"/>
    </row>
    <row r="7930" spans="1:1">
      <c r="A7930" s="5"/>
    </row>
    <row r="7931" spans="1:1">
      <c r="A7931" s="5"/>
    </row>
    <row r="7932" spans="1:1">
      <c r="A7932" s="5"/>
    </row>
    <row r="7933" spans="1:1">
      <c r="A7933" s="5"/>
    </row>
    <row r="7934" spans="1:1">
      <c r="A7934" s="5"/>
    </row>
    <row r="7935" spans="1:1">
      <c r="A7935" s="5"/>
    </row>
    <row r="7936" spans="1:1">
      <c r="A7936" s="5"/>
    </row>
    <row r="7937" spans="1:1">
      <c r="A7937" s="5"/>
    </row>
    <row r="7938" spans="1:1">
      <c r="A7938" s="5"/>
    </row>
    <row r="7939" spans="1:1">
      <c r="A7939" s="5"/>
    </row>
    <row r="7940" spans="1:1">
      <c r="A7940" s="5"/>
    </row>
    <row r="7941" spans="1:1">
      <c r="A7941" s="5"/>
    </row>
    <row r="7942" spans="1:1">
      <c r="A7942" s="5"/>
    </row>
    <row r="7943" spans="1:1">
      <c r="A7943" s="5"/>
    </row>
    <row r="7944" spans="1:1">
      <c r="A7944" s="5"/>
    </row>
    <row r="7945" spans="1:1">
      <c r="A7945" s="5"/>
    </row>
    <row r="7946" spans="1:1">
      <c r="A7946" s="5"/>
    </row>
    <row r="7947" spans="1:1">
      <c r="A7947" s="5"/>
    </row>
    <row r="7948" spans="1:1">
      <c r="A7948" s="5"/>
    </row>
    <row r="7949" spans="1:1">
      <c r="A7949" s="5"/>
    </row>
    <row r="7950" spans="1:1">
      <c r="A7950" s="5"/>
    </row>
    <row r="7951" spans="1:1">
      <c r="A7951" s="5"/>
    </row>
    <row r="7952" spans="1:1">
      <c r="A7952" s="5"/>
    </row>
    <row r="7953" spans="1:1">
      <c r="A7953" s="5"/>
    </row>
    <row r="7954" spans="1:1">
      <c r="A7954" s="5"/>
    </row>
    <row r="7955" spans="1:1">
      <c r="A7955" s="5"/>
    </row>
    <row r="7956" spans="1:1">
      <c r="A7956" s="5"/>
    </row>
    <row r="7957" spans="1:1">
      <c r="A7957" s="5"/>
    </row>
    <row r="7958" spans="1:1">
      <c r="A7958" s="5"/>
    </row>
    <row r="7959" spans="1:1">
      <c r="A7959" s="5"/>
    </row>
    <row r="7960" spans="1:1">
      <c r="A7960" s="5"/>
    </row>
    <row r="7961" spans="1:1">
      <c r="A7961" s="5"/>
    </row>
    <row r="7962" spans="1:1">
      <c r="A7962" s="5"/>
    </row>
    <row r="7963" spans="1:1">
      <c r="A7963" s="5"/>
    </row>
    <row r="7964" spans="1:1">
      <c r="A7964" s="5"/>
    </row>
    <row r="7965" spans="1:1">
      <c r="A7965" s="5"/>
    </row>
    <row r="7966" spans="1:1">
      <c r="A7966" s="5"/>
    </row>
    <row r="7967" spans="1:1">
      <c r="A7967" s="5"/>
    </row>
    <row r="7968" spans="1:1">
      <c r="A7968" s="5"/>
    </row>
    <row r="7969" spans="1:1">
      <c r="A7969" s="5"/>
    </row>
    <row r="7970" spans="1:1">
      <c r="A7970" s="5"/>
    </row>
    <row r="7971" spans="1:1">
      <c r="A7971" s="5"/>
    </row>
    <row r="7972" spans="1:1">
      <c r="A7972" s="5"/>
    </row>
    <row r="7973" spans="1:1">
      <c r="A7973" s="5"/>
    </row>
    <row r="7974" spans="1:1">
      <c r="A7974" s="5"/>
    </row>
    <row r="7975" spans="1:1">
      <c r="A7975" s="5"/>
    </row>
    <row r="7976" spans="1:1">
      <c r="A7976" s="5"/>
    </row>
    <row r="7977" spans="1:1">
      <c r="A7977" s="5"/>
    </row>
    <row r="7978" spans="1:1">
      <c r="A7978" s="5"/>
    </row>
    <row r="7979" spans="1:1">
      <c r="A7979" s="5"/>
    </row>
    <row r="7980" spans="1:1">
      <c r="A7980" s="5"/>
    </row>
    <row r="7981" spans="1:1">
      <c r="A7981" s="5"/>
    </row>
    <row r="7982" spans="1:1">
      <c r="A7982" s="5"/>
    </row>
    <row r="7983" spans="1:1">
      <c r="A7983" s="5"/>
    </row>
    <row r="7984" spans="1:1">
      <c r="A7984" s="5"/>
    </row>
    <row r="7985" spans="1:1">
      <c r="A7985" s="5"/>
    </row>
    <row r="7986" spans="1:1">
      <c r="A7986" s="5"/>
    </row>
    <row r="7987" spans="1:1">
      <c r="A7987" s="5"/>
    </row>
    <row r="7988" spans="1:1">
      <c r="A7988" s="5"/>
    </row>
    <row r="7989" spans="1:1">
      <c r="A7989" s="5"/>
    </row>
    <row r="7990" spans="1:1">
      <c r="A7990" s="5"/>
    </row>
    <row r="7991" spans="1:1">
      <c r="A7991" s="5"/>
    </row>
    <row r="7992" spans="1:1">
      <c r="A7992" s="5"/>
    </row>
    <row r="7993" spans="1:1">
      <c r="A7993" s="5"/>
    </row>
    <row r="7994" spans="1:1">
      <c r="A7994" s="5"/>
    </row>
    <row r="7995" spans="1:1">
      <c r="A7995" s="5"/>
    </row>
    <row r="7996" spans="1:1">
      <c r="A7996" s="5"/>
    </row>
    <row r="7997" spans="1:1">
      <c r="A7997" s="5"/>
    </row>
    <row r="7998" spans="1:1">
      <c r="A7998" s="5"/>
    </row>
    <row r="7999" spans="1:1">
      <c r="A7999" s="5"/>
    </row>
    <row r="8000" spans="1:1">
      <c r="A8000" s="5"/>
    </row>
    <row r="8001" spans="1:1">
      <c r="A8001" s="5"/>
    </row>
    <row r="8002" spans="1:1">
      <c r="A8002" s="5"/>
    </row>
    <row r="8003" spans="1:1">
      <c r="A8003" s="5"/>
    </row>
    <row r="8004" spans="1:1">
      <c r="A8004" s="5"/>
    </row>
    <row r="8005" spans="1:1">
      <c r="A8005" s="5"/>
    </row>
    <row r="8006" spans="1:1">
      <c r="A8006" s="5"/>
    </row>
    <row r="8007" spans="1:1">
      <c r="A8007" s="5"/>
    </row>
    <row r="8008" spans="1:1">
      <c r="A8008" s="5"/>
    </row>
    <row r="8009" spans="1:1">
      <c r="A8009" s="5"/>
    </row>
    <row r="8010" spans="1:1">
      <c r="A8010" s="5"/>
    </row>
    <row r="8011" spans="1:1">
      <c r="A8011" s="5"/>
    </row>
    <row r="8012" spans="1:1">
      <c r="A8012" s="5"/>
    </row>
    <row r="8013" spans="1:1">
      <c r="A8013" s="5"/>
    </row>
    <row r="8014" spans="1:1">
      <c r="A8014" s="5"/>
    </row>
    <row r="8015" spans="1:1">
      <c r="A8015" s="5"/>
    </row>
    <row r="8016" spans="1:1">
      <c r="A8016" s="5"/>
    </row>
    <row r="8017" spans="1:1">
      <c r="A8017" s="5"/>
    </row>
    <row r="8018" spans="1:1">
      <c r="A8018" s="5"/>
    </row>
    <row r="8019" spans="1:1">
      <c r="A8019" s="5"/>
    </row>
    <row r="8020" spans="1:1">
      <c r="A8020" s="5"/>
    </row>
    <row r="8021" spans="1:1">
      <c r="A8021" s="5"/>
    </row>
    <row r="8022" spans="1:1">
      <c r="A8022" s="5"/>
    </row>
    <row r="8023" spans="1:1">
      <c r="A8023" s="5"/>
    </row>
    <row r="8024" spans="1:1">
      <c r="A8024" s="5"/>
    </row>
    <row r="8025" spans="1:1">
      <c r="A8025" s="5"/>
    </row>
    <row r="8026" spans="1:1">
      <c r="A8026" s="5"/>
    </row>
    <row r="8027" spans="1:1">
      <c r="A8027" s="5"/>
    </row>
    <row r="8028" spans="1:1">
      <c r="A8028" s="5"/>
    </row>
    <row r="8029" spans="1:1">
      <c r="A8029" s="5"/>
    </row>
    <row r="8030" spans="1:1">
      <c r="A8030" s="5"/>
    </row>
    <row r="8031" spans="1:1">
      <c r="A8031" s="5"/>
    </row>
    <row r="8032" spans="1:1">
      <c r="A8032" s="5"/>
    </row>
    <row r="8033" spans="1:1">
      <c r="A8033" s="5"/>
    </row>
    <row r="8034" spans="1:1">
      <c r="A8034" s="5"/>
    </row>
    <row r="8035" spans="1:1">
      <c r="A8035" s="5"/>
    </row>
    <row r="8036" spans="1:1">
      <c r="A8036" s="5"/>
    </row>
    <row r="8037" spans="1:1">
      <c r="A8037" s="5"/>
    </row>
    <row r="8038" spans="1:1">
      <c r="A8038" s="5"/>
    </row>
    <row r="8039" spans="1:1">
      <c r="A8039" s="5"/>
    </row>
    <row r="8040" spans="1:1">
      <c r="A8040" s="5"/>
    </row>
    <row r="8041" spans="1:1">
      <c r="A8041" s="5"/>
    </row>
    <row r="8042" spans="1:1">
      <c r="A8042" s="5"/>
    </row>
    <row r="8043" spans="1:1">
      <c r="A8043" s="5"/>
    </row>
    <row r="8044" spans="1:1">
      <c r="A8044" s="5"/>
    </row>
    <row r="8045" spans="1:1">
      <c r="A8045" s="5"/>
    </row>
    <row r="8046" spans="1:1">
      <c r="A8046" s="5"/>
    </row>
    <row r="8047" spans="1:1">
      <c r="A8047" s="5"/>
    </row>
    <row r="8048" spans="1:1">
      <c r="A8048" s="5"/>
    </row>
    <row r="8049" spans="1:1">
      <c r="A8049" s="5"/>
    </row>
    <row r="8050" spans="1:1">
      <c r="A8050" s="5"/>
    </row>
    <row r="8051" spans="1:1">
      <c r="A8051" s="5"/>
    </row>
    <row r="8052" spans="1:1">
      <c r="A8052" s="5"/>
    </row>
    <row r="8053" spans="1:1">
      <c r="A8053" s="5"/>
    </row>
    <row r="8054" spans="1:1">
      <c r="A8054" s="5"/>
    </row>
    <row r="8055" spans="1:1">
      <c r="A8055" s="5"/>
    </row>
    <row r="8056" spans="1:1">
      <c r="A8056" s="5"/>
    </row>
    <row r="8057" spans="1:1">
      <c r="A8057" s="5"/>
    </row>
    <row r="8058" spans="1:1">
      <c r="A8058" s="5"/>
    </row>
    <row r="8059" spans="1:1">
      <c r="A8059" s="5"/>
    </row>
    <row r="8060" spans="1:1">
      <c r="A8060" s="5"/>
    </row>
    <row r="8061" spans="1:1">
      <c r="A8061" s="5"/>
    </row>
    <row r="8062" spans="1:1">
      <c r="A8062" s="5"/>
    </row>
    <row r="8063" spans="1:1">
      <c r="A8063" s="5"/>
    </row>
    <row r="8064" spans="1:1">
      <c r="A8064" s="5"/>
    </row>
    <row r="8065" spans="1:1">
      <c r="A8065" s="5"/>
    </row>
    <row r="8066" spans="1:1">
      <c r="A8066" s="5"/>
    </row>
    <row r="8067" spans="1:1">
      <c r="A8067" s="5"/>
    </row>
    <row r="8068" spans="1:1">
      <c r="A8068" s="5"/>
    </row>
    <row r="8069" spans="1:1">
      <c r="A8069" s="5"/>
    </row>
    <row r="8070" spans="1:1">
      <c r="A8070" s="5"/>
    </row>
    <row r="8071" spans="1:1">
      <c r="A8071" s="5"/>
    </row>
    <row r="8072" spans="1:1">
      <c r="A8072" s="5"/>
    </row>
    <row r="8073" spans="1:1">
      <c r="A8073" s="5"/>
    </row>
    <row r="8074" spans="1:1">
      <c r="A8074" s="5"/>
    </row>
    <row r="8075" spans="1:1">
      <c r="A8075" s="5"/>
    </row>
    <row r="8076" spans="1:1">
      <c r="A8076" s="5"/>
    </row>
    <row r="8077" spans="1:1">
      <c r="A8077" s="5"/>
    </row>
    <row r="8078" spans="1:1">
      <c r="A8078" s="5"/>
    </row>
    <row r="8079" spans="1:1">
      <c r="A8079" s="5"/>
    </row>
    <row r="8080" spans="1:1">
      <c r="A8080" s="5"/>
    </row>
    <row r="8081" spans="1:1">
      <c r="A8081" s="5"/>
    </row>
    <row r="8082" spans="1:1">
      <c r="A8082" s="5"/>
    </row>
    <row r="8083" spans="1:1">
      <c r="A8083" s="5"/>
    </row>
    <row r="8084" spans="1:1">
      <c r="A8084" s="5"/>
    </row>
    <row r="8085" spans="1:1">
      <c r="A8085" s="5"/>
    </row>
    <row r="8086" spans="1:1">
      <c r="A8086" s="5"/>
    </row>
    <row r="8087" spans="1:1">
      <c r="A8087" s="5"/>
    </row>
    <row r="8088" spans="1:1">
      <c r="A8088" s="5"/>
    </row>
    <row r="8089" spans="1:1">
      <c r="A8089" s="5"/>
    </row>
    <row r="8090" spans="1:1">
      <c r="A8090" s="5"/>
    </row>
    <row r="8091" spans="1:1">
      <c r="A8091" s="5"/>
    </row>
    <row r="8092" spans="1:1">
      <c r="A8092" s="5"/>
    </row>
    <row r="8093" spans="1:1">
      <c r="A8093" s="5"/>
    </row>
    <row r="8094" spans="1:1">
      <c r="A8094" s="5"/>
    </row>
    <row r="8095" spans="1:1">
      <c r="A8095" s="5"/>
    </row>
    <row r="8096" spans="1:1">
      <c r="A8096" s="5"/>
    </row>
    <row r="8097" spans="1:1">
      <c r="A8097" s="5"/>
    </row>
    <row r="8098" spans="1:1">
      <c r="A8098" s="5"/>
    </row>
    <row r="8099" spans="1:1">
      <c r="A8099" s="5"/>
    </row>
    <row r="8100" spans="1:1">
      <c r="A8100" s="5"/>
    </row>
    <row r="8101" spans="1:1">
      <c r="A8101" s="5"/>
    </row>
    <row r="8102" spans="1:1">
      <c r="A8102" s="5"/>
    </row>
    <row r="8103" spans="1:1">
      <c r="A8103" s="5"/>
    </row>
    <row r="8104" spans="1:1">
      <c r="A8104" s="5"/>
    </row>
    <row r="8105" spans="1:1">
      <c r="A8105" s="5"/>
    </row>
    <row r="8106" spans="1:1">
      <c r="A8106" s="5"/>
    </row>
    <row r="8107" spans="1:1">
      <c r="A8107" s="5"/>
    </row>
    <row r="8108" spans="1:1">
      <c r="A8108" s="5"/>
    </row>
    <row r="8109" spans="1:1">
      <c r="A8109" s="5"/>
    </row>
    <row r="8110" spans="1:1">
      <c r="A8110" s="5"/>
    </row>
    <row r="8111" spans="1:1">
      <c r="A8111" s="5"/>
    </row>
    <row r="8112" spans="1:1">
      <c r="A8112" s="5"/>
    </row>
    <row r="8113" spans="1:1">
      <c r="A8113" s="5"/>
    </row>
    <row r="8114" spans="1:1">
      <c r="A8114" s="5"/>
    </row>
    <row r="8115" spans="1:1">
      <c r="A8115" s="5"/>
    </row>
    <row r="8116" spans="1:1">
      <c r="A8116" s="5"/>
    </row>
    <row r="8117" spans="1:1">
      <c r="A8117" s="5"/>
    </row>
    <row r="8118" spans="1:1">
      <c r="A8118" s="5"/>
    </row>
    <row r="8119" spans="1:1">
      <c r="A8119" s="5"/>
    </row>
    <row r="8120" spans="1:1">
      <c r="A8120" s="5"/>
    </row>
    <row r="8121" spans="1:1">
      <c r="A8121" s="5"/>
    </row>
    <row r="8122" spans="1:1">
      <c r="A8122" s="5"/>
    </row>
    <row r="8123" spans="1:1">
      <c r="A8123" s="5"/>
    </row>
    <row r="8124" spans="1:1">
      <c r="A8124" s="5"/>
    </row>
    <row r="8125" spans="1:1">
      <c r="A8125" s="5"/>
    </row>
    <row r="8126" spans="1:1">
      <c r="A8126" s="5"/>
    </row>
    <row r="8127" spans="1:1">
      <c r="A8127" s="5"/>
    </row>
    <row r="8128" spans="1:1">
      <c r="A8128" s="5"/>
    </row>
    <row r="8129" spans="1:1">
      <c r="A8129" s="5"/>
    </row>
    <row r="8130" spans="1:1">
      <c r="A8130" s="5"/>
    </row>
    <row r="8131" spans="1:1">
      <c r="A8131" s="5"/>
    </row>
    <row r="8132" spans="1:1">
      <c r="A8132" s="5"/>
    </row>
    <row r="8133" spans="1:1">
      <c r="A8133" s="5"/>
    </row>
    <row r="8134" spans="1:1">
      <c r="A8134" s="5"/>
    </row>
    <row r="8135" spans="1:1">
      <c r="A8135" s="5"/>
    </row>
    <row r="8136" spans="1:1">
      <c r="A8136" s="5"/>
    </row>
    <row r="8137" spans="1:1">
      <c r="A8137" s="5"/>
    </row>
    <row r="8138" spans="1:1">
      <c r="A8138" s="5"/>
    </row>
    <row r="8139" spans="1:1">
      <c r="A8139" s="5"/>
    </row>
    <row r="8140" spans="1:1">
      <c r="A8140" s="5"/>
    </row>
    <row r="8141" spans="1:1">
      <c r="A8141" s="5"/>
    </row>
    <row r="8142" spans="1:1">
      <c r="A8142" s="5"/>
    </row>
    <row r="8143" spans="1:1">
      <c r="A8143" s="5"/>
    </row>
    <row r="8144" spans="1:1">
      <c r="A8144" s="5"/>
    </row>
    <row r="8145" spans="1:1">
      <c r="A8145" s="5"/>
    </row>
    <row r="8146" spans="1:1">
      <c r="A8146" s="5"/>
    </row>
    <row r="8147" spans="1:1">
      <c r="A8147" s="5"/>
    </row>
    <row r="8148" spans="1:1">
      <c r="A8148" s="5"/>
    </row>
    <row r="8149" spans="1:1">
      <c r="A8149" s="5"/>
    </row>
    <row r="8150" spans="1:1">
      <c r="A8150" s="5"/>
    </row>
    <row r="8151" spans="1:1">
      <c r="A8151" s="5"/>
    </row>
    <row r="8152" spans="1:1">
      <c r="A8152" s="5"/>
    </row>
    <row r="8153" spans="1:1">
      <c r="A8153" s="5"/>
    </row>
    <row r="8154" spans="1:1">
      <c r="A8154" s="5"/>
    </row>
    <row r="8155" spans="1:1">
      <c r="A8155" s="5"/>
    </row>
    <row r="8156" spans="1:1">
      <c r="A8156" s="5"/>
    </row>
    <row r="8157" spans="1:1">
      <c r="A8157" s="5"/>
    </row>
    <row r="8158" spans="1:1">
      <c r="A8158" s="5"/>
    </row>
    <row r="8159" spans="1:1">
      <c r="A8159" s="5"/>
    </row>
    <row r="8160" spans="1:1">
      <c r="A8160" s="5"/>
    </row>
    <row r="8161" spans="1:1">
      <c r="A8161" s="5"/>
    </row>
    <row r="8162" spans="1:1">
      <c r="A8162" s="5"/>
    </row>
    <row r="8163" spans="1:1">
      <c r="A8163" s="5"/>
    </row>
    <row r="8164" spans="1:1">
      <c r="A8164" s="5"/>
    </row>
    <row r="8165" spans="1:1">
      <c r="A8165" s="5"/>
    </row>
    <row r="8166" spans="1:1">
      <c r="A8166" s="5"/>
    </row>
    <row r="8167" spans="1:1">
      <c r="A8167" s="5"/>
    </row>
    <row r="8168" spans="1:1">
      <c r="A8168" s="5"/>
    </row>
    <row r="8169" spans="1:1">
      <c r="A8169" s="5"/>
    </row>
    <row r="8170" spans="1:1">
      <c r="A8170" s="5"/>
    </row>
    <row r="8171" spans="1:1">
      <c r="A8171" s="5"/>
    </row>
    <row r="8172" spans="1:1">
      <c r="A8172" s="5"/>
    </row>
    <row r="8173" spans="1:1">
      <c r="A8173" s="5"/>
    </row>
    <row r="8174" spans="1:1">
      <c r="A8174" s="5"/>
    </row>
    <row r="8175" spans="1:1">
      <c r="A8175" s="5"/>
    </row>
    <row r="8176" spans="1:1">
      <c r="A8176" s="5"/>
    </row>
    <row r="8177" spans="1:1">
      <c r="A8177" s="5"/>
    </row>
    <row r="8178" spans="1:1">
      <c r="A8178" s="5"/>
    </row>
    <row r="8179" spans="1:1">
      <c r="A8179" s="5"/>
    </row>
    <row r="8180" spans="1:1">
      <c r="A8180" s="5"/>
    </row>
    <row r="8181" spans="1:1">
      <c r="A8181" s="5"/>
    </row>
    <row r="8182" spans="1:1">
      <c r="A8182" s="5"/>
    </row>
    <row r="8183" spans="1:1">
      <c r="A8183" s="5"/>
    </row>
    <row r="8184" spans="1:1">
      <c r="A8184" s="5"/>
    </row>
    <row r="8185" spans="1:1">
      <c r="A8185" s="5"/>
    </row>
    <row r="8186" spans="1:1">
      <c r="A8186" s="5"/>
    </row>
    <row r="8187" spans="1:1">
      <c r="A8187" s="5"/>
    </row>
    <row r="8188" spans="1:1">
      <c r="A8188" s="5"/>
    </row>
    <row r="8189" spans="1:1">
      <c r="A8189" s="5"/>
    </row>
    <row r="8190" spans="1:1">
      <c r="A8190" s="5"/>
    </row>
    <row r="8191" spans="1:1">
      <c r="A8191" s="5"/>
    </row>
    <row r="8192" spans="1:1">
      <c r="A8192" s="5"/>
    </row>
    <row r="8193" spans="1:1">
      <c r="A8193" s="5"/>
    </row>
    <row r="8194" spans="1:1">
      <c r="A8194" s="5"/>
    </row>
    <row r="8195" spans="1:1">
      <c r="A8195" s="5"/>
    </row>
    <row r="8196" spans="1:1">
      <c r="A8196" s="5"/>
    </row>
    <row r="8197" spans="1:1">
      <c r="A8197" s="5"/>
    </row>
    <row r="8198" spans="1:1">
      <c r="A8198" s="5"/>
    </row>
    <row r="8199" spans="1:1">
      <c r="A8199" s="5"/>
    </row>
    <row r="8200" spans="1:1">
      <c r="A8200" s="5"/>
    </row>
    <row r="8201" spans="1:1">
      <c r="A8201" s="5"/>
    </row>
    <row r="8202" spans="1:1">
      <c r="A8202" s="5"/>
    </row>
    <row r="8203" spans="1:1">
      <c r="A8203" s="5"/>
    </row>
    <row r="8204" spans="1:1">
      <c r="A8204" s="5"/>
    </row>
    <row r="8205" spans="1:1">
      <c r="A8205" s="5"/>
    </row>
    <row r="8206" spans="1:1">
      <c r="A8206" s="5"/>
    </row>
    <row r="8207" spans="1:1">
      <c r="A8207" s="5"/>
    </row>
    <row r="8208" spans="1:1">
      <c r="A8208" s="5"/>
    </row>
    <row r="8209" spans="1:1">
      <c r="A8209" s="5"/>
    </row>
    <row r="8210" spans="1:1">
      <c r="A8210" s="5"/>
    </row>
    <row r="8211" spans="1:1">
      <c r="A8211" s="5"/>
    </row>
    <row r="8212" spans="1:1">
      <c r="A8212" s="5"/>
    </row>
    <row r="8213" spans="1:1">
      <c r="A8213" s="5"/>
    </row>
    <row r="8214" spans="1:1">
      <c r="A8214" s="5"/>
    </row>
    <row r="8215" spans="1:1">
      <c r="A8215" s="5"/>
    </row>
    <row r="8216" spans="1:1">
      <c r="A8216" s="5"/>
    </row>
    <row r="8217" spans="1:1">
      <c r="A8217" s="5"/>
    </row>
    <row r="8218" spans="1:1">
      <c r="A8218" s="5"/>
    </row>
    <row r="8219" spans="1:1">
      <c r="A8219" s="5"/>
    </row>
    <row r="8220" spans="1:1">
      <c r="A8220" s="5"/>
    </row>
    <row r="8221" spans="1:1">
      <c r="A8221" s="5"/>
    </row>
    <row r="8222" spans="1:1">
      <c r="A8222" s="5"/>
    </row>
    <row r="8223" spans="1:1">
      <c r="A8223" s="5"/>
    </row>
    <row r="8224" spans="1:1">
      <c r="A8224" s="5"/>
    </row>
    <row r="8225" spans="1:1">
      <c r="A8225" s="5"/>
    </row>
    <row r="8226" spans="1:1">
      <c r="A8226" s="5"/>
    </row>
    <row r="8227" spans="1:1">
      <c r="A8227" s="5"/>
    </row>
    <row r="8228" spans="1:1">
      <c r="A8228" s="5"/>
    </row>
    <row r="8229" spans="1:1">
      <c r="A8229" s="5"/>
    </row>
    <row r="8230" spans="1:1">
      <c r="A8230" s="5"/>
    </row>
    <row r="8231" spans="1:1">
      <c r="A8231" s="5"/>
    </row>
    <row r="8232" spans="1:1">
      <c r="A8232" s="5"/>
    </row>
    <row r="8233" spans="1:1">
      <c r="A8233" s="5"/>
    </row>
    <row r="8234" spans="1:1">
      <c r="A8234" s="5"/>
    </row>
    <row r="8235" spans="1:1">
      <c r="A8235" s="5"/>
    </row>
    <row r="8236" spans="1:1">
      <c r="A8236" s="5"/>
    </row>
    <row r="8237" spans="1:1">
      <c r="A8237" s="5"/>
    </row>
    <row r="8238" spans="1:1">
      <c r="A8238" s="5"/>
    </row>
    <row r="8239" spans="1:1">
      <c r="A8239" s="5"/>
    </row>
    <row r="8240" spans="1:1">
      <c r="A8240" s="5"/>
    </row>
    <row r="8241" spans="1:1">
      <c r="A8241" s="5"/>
    </row>
    <row r="8242" spans="1:1">
      <c r="A8242" s="5"/>
    </row>
    <row r="8243" spans="1:1">
      <c r="A8243" s="5"/>
    </row>
    <row r="8244" spans="1:1">
      <c r="A8244" s="5"/>
    </row>
    <row r="8245" spans="1:1">
      <c r="A8245" s="5"/>
    </row>
    <row r="8246" spans="1:1">
      <c r="A8246" s="5"/>
    </row>
    <row r="8247" spans="1:1">
      <c r="A8247" s="5"/>
    </row>
    <row r="8248" spans="1:1">
      <c r="A8248" s="5"/>
    </row>
    <row r="8249" spans="1:1">
      <c r="A8249" s="5"/>
    </row>
    <row r="8250" spans="1:1">
      <c r="A8250" s="5"/>
    </row>
    <row r="8251" spans="1:1">
      <c r="A8251" s="5"/>
    </row>
    <row r="8252" spans="1:1">
      <c r="A8252" s="5"/>
    </row>
    <row r="8253" spans="1:1">
      <c r="A8253" s="5"/>
    </row>
    <row r="8254" spans="1:1">
      <c r="A8254" s="5"/>
    </row>
    <row r="8255" spans="1:1">
      <c r="A8255" s="5"/>
    </row>
    <row r="8256" spans="1:1">
      <c r="A8256" s="5"/>
    </row>
    <row r="8257" spans="1:1">
      <c r="A8257" s="5"/>
    </row>
    <row r="8258" spans="1:1">
      <c r="A8258" s="5"/>
    </row>
    <row r="8259" spans="1:1">
      <c r="A8259" s="5"/>
    </row>
    <row r="8260" spans="1:1">
      <c r="A8260" s="5"/>
    </row>
    <row r="8261" spans="1:1">
      <c r="A8261" s="5"/>
    </row>
    <row r="8262" spans="1:1">
      <c r="A8262" s="5"/>
    </row>
    <row r="8263" spans="1:1">
      <c r="A8263" s="5"/>
    </row>
    <row r="8264" spans="1:1">
      <c r="A8264" s="5"/>
    </row>
    <row r="8265" spans="1:1">
      <c r="A8265" s="5"/>
    </row>
    <row r="8266" spans="1:1">
      <c r="A8266" s="5"/>
    </row>
    <row r="8267" spans="1:1">
      <c r="A8267" s="5"/>
    </row>
    <row r="8268" spans="1:1">
      <c r="A8268" s="5"/>
    </row>
    <row r="8269" spans="1:1">
      <c r="A8269" s="5"/>
    </row>
    <row r="8270" spans="1:1">
      <c r="A8270" s="5"/>
    </row>
    <row r="8271" spans="1:1">
      <c r="A8271" s="5"/>
    </row>
    <row r="8272" spans="1:1">
      <c r="A8272" s="5"/>
    </row>
    <row r="8273" spans="1:1">
      <c r="A8273" s="5"/>
    </row>
    <row r="8274" spans="1:1">
      <c r="A8274" s="5"/>
    </row>
    <row r="8275" spans="1:1">
      <c r="A8275" s="5"/>
    </row>
    <row r="8276" spans="1:1">
      <c r="A8276" s="5"/>
    </row>
    <row r="8277" spans="1:1">
      <c r="A8277" s="5"/>
    </row>
    <row r="8278" spans="1:1">
      <c r="A8278" s="5"/>
    </row>
    <row r="8279" spans="1:1">
      <c r="A8279" s="5"/>
    </row>
    <row r="8280" spans="1:1">
      <c r="A8280" s="5"/>
    </row>
    <row r="8281" spans="1:1">
      <c r="A8281" s="5"/>
    </row>
    <row r="8282" spans="1:1">
      <c r="A8282" s="5"/>
    </row>
    <row r="8283" spans="1:1">
      <c r="A8283" s="5"/>
    </row>
    <row r="8284" spans="1:1">
      <c r="A8284" s="5"/>
    </row>
    <row r="8285" spans="1:1">
      <c r="A8285" s="5"/>
    </row>
    <row r="8286" spans="1:1">
      <c r="A8286" s="5"/>
    </row>
    <row r="8287" spans="1:1">
      <c r="A8287" s="5"/>
    </row>
    <row r="8288" spans="1:1">
      <c r="A8288" s="5"/>
    </row>
    <row r="8289" spans="1:1">
      <c r="A8289" s="5"/>
    </row>
    <row r="8290" spans="1:1">
      <c r="A8290" s="5"/>
    </row>
    <row r="8291" spans="1:1">
      <c r="A8291" s="5"/>
    </row>
    <row r="8292" spans="1:1">
      <c r="A8292" s="5"/>
    </row>
    <row r="8293" spans="1:1">
      <c r="A8293" s="5"/>
    </row>
    <row r="8294" spans="1:1">
      <c r="A8294" s="5"/>
    </row>
    <row r="8295" spans="1:1">
      <c r="A8295" s="5"/>
    </row>
    <row r="8296" spans="1:1">
      <c r="A8296" s="5"/>
    </row>
    <row r="8297" spans="1:1">
      <c r="A8297" s="5"/>
    </row>
    <row r="8298" spans="1:1">
      <c r="A8298" s="5"/>
    </row>
    <row r="8299" spans="1:1">
      <c r="A8299" s="5"/>
    </row>
    <row r="8300" spans="1:1">
      <c r="A8300" s="5"/>
    </row>
    <row r="8301" spans="1:1">
      <c r="A8301" s="5"/>
    </row>
    <row r="8302" spans="1:1">
      <c r="A8302" s="5"/>
    </row>
    <row r="8303" spans="1:1">
      <c r="A8303" s="5"/>
    </row>
    <row r="8304" spans="1:1">
      <c r="A8304" s="5"/>
    </row>
    <row r="8305" spans="1:1">
      <c r="A8305" s="5"/>
    </row>
    <row r="8306" spans="1:1">
      <c r="A8306" s="5"/>
    </row>
    <row r="8307" spans="1:1">
      <c r="A8307" s="5"/>
    </row>
    <row r="8308" spans="1:1">
      <c r="A8308" s="5"/>
    </row>
    <row r="8309" spans="1:1">
      <c r="A8309" s="5"/>
    </row>
    <row r="8310" spans="1:1">
      <c r="A8310" s="5"/>
    </row>
    <row r="8311" spans="1:1">
      <c r="A8311" s="5"/>
    </row>
    <row r="8312" spans="1:1">
      <c r="A8312" s="5"/>
    </row>
    <row r="8313" spans="1:1">
      <c r="A8313" s="5"/>
    </row>
    <row r="8314" spans="1:1">
      <c r="A8314" s="5"/>
    </row>
    <row r="8315" spans="1:1">
      <c r="A8315" s="5"/>
    </row>
    <row r="8316" spans="1:1">
      <c r="A8316" s="5"/>
    </row>
    <row r="8317" spans="1:1">
      <c r="A8317" s="5"/>
    </row>
    <row r="8318" spans="1:1">
      <c r="A8318" s="5"/>
    </row>
    <row r="8319" spans="1:1">
      <c r="A8319" s="5"/>
    </row>
    <row r="8320" spans="1:1">
      <c r="A8320" s="5"/>
    </row>
    <row r="8321" spans="1:1">
      <c r="A8321" s="5"/>
    </row>
    <row r="8322" spans="1:1">
      <c r="A8322" s="5"/>
    </row>
    <row r="8323" spans="1:1">
      <c r="A8323" s="5"/>
    </row>
    <row r="8324" spans="1:1">
      <c r="A8324" s="5"/>
    </row>
    <row r="8325" spans="1:1">
      <c r="A8325" s="5"/>
    </row>
    <row r="8326" spans="1:1">
      <c r="A8326" s="5"/>
    </row>
    <row r="8327" spans="1:1">
      <c r="A8327" s="5"/>
    </row>
    <row r="8328" spans="1:1">
      <c r="A8328" s="5"/>
    </row>
    <row r="8329" spans="1:1">
      <c r="A8329" s="5"/>
    </row>
    <row r="8330" spans="1:1">
      <c r="A8330" s="5"/>
    </row>
    <row r="8331" spans="1:1">
      <c r="A8331" s="5"/>
    </row>
    <row r="8332" spans="1:1">
      <c r="A8332" s="5"/>
    </row>
    <row r="8333" spans="1:1">
      <c r="A8333" s="5"/>
    </row>
    <row r="8334" spans="1:1">
      <c r="A8334" s="5"/>
    </row>
    <row r="8335" spans="1:1">
      <c r="A8335" s="5"/>
    </row>
    <row r="8336" spans="1:1">
      <c r="A8336" s="5"/>
    </row>
    <row r="8337" spans="1:1">
      <c r="A8337" s="5"/>
    </row>
    <row r="8338" spans="1:1">
      <c r="A8338" s="5"/>
    </row>
    <row r="8339" spans="1:1">
      <c r="A8339" s="5"/>
    </row>
    <row r="8340" spans="1:1">
      <c r="A8340" s="5"/>
    </row>
    <row r="8341" spans="1:1">
      <c r="A8341" s="5"/>
    </row>
    <row r="8342" spans="1:1">
      <c r="A8342" s="5"/>
    </row>
    <row r="8343" spans="1:1">
      <c r="A8343" s="5"/>
    </row>
    <row r="8344" spans="1:1">
      <c r="A8344" s="5"/>
    </row>
    <row r="8345" spans="1:1">
      <c r="A8345" s="5"/>
    </row>
    <row r="8346" spans="1:1">
      <c r="A8346" s="5"/>
    </row>
    <row r="8347" spans="1:1">
      <c r="A8347" s="5"/>
    </row>
    <row r="8348" spans="1:1">
      <c r="A8348" s="5"/>
    </row>
    <row r="8349" spans="1:1">
      <c r="A8349" s="5"/>
    </row>
    <row r="8350" spans="1:1">
      <c r="A8350" s="5"/>
    </row>
    <row r="8351" spans="1:1">
      <c r="A8351" s="5"/>
    </row>
    <row r="8352" spans="1:1">
      <c r="A8352" s="5"/>
    </row>
    <row r="8353" spans="1:1">
      <c r="A8353" s="5"/>
    </row>
    <row r="8354" spans="1:1">
      <c r="A8354" s="5"/>
    </row>
    <row r="8355" spans="1:1">
      <c r="A8355" s="5"/>
    </row>
    <row r="8356" spans="1:1">
      <c r="A8356" s="5"/>
    </row>
    <row r="8357" spans="1:1">
      <c r="A8357" s="5"/>
    </row>
    <row r="8358" spans="1:1">
      <c r="A8358" s="5"/>
    </row>
    <row r="8359" spans="1:1">
      <c r="A8359" s="5"/>
    </row>
    <row r="8360" spans="1:1">
      <c r="A8360" s="5"/>
    </row>
    <row r="8361" spans="1:1">
      <c r="A8361" s="5"/>
    </row>
    <row r="8362" spans="1:1">
      <c r="A8362" s="5"/>
    </row>
    <row r="8363" spans="1:1">
      <c r="A8363" s="5"/>
    </row>
    <row r="8364" spans="1:1">
      <c r="A8364" s="5"/>
    </row>
    <row r="8365" spans="1:1">
      <c r="A8365" s="5"/>
    </row>
    <row r="8366" spans="1:1">
      <c r="A8366" s="5"/>
    </row>
    <row r="8367" spans="1:1">
      <c r="A8367" s="5"/>
    </row>
    <row r="8368" spans="1:1">
      <c r="A8368" s="5"/>
    </row>
    <row r="8369" spans="1:1">
      <c r="A8369" s="5"/>
    </row>
    <row r="8370" spans="1:1">
      <c r="A8370" s="5"/>
    </row>
    <row r="8371" spans="1:1">
      <c r="A8371" s="5"/>
    </row>
    <row r="8372" spans="1:1">
      <c r="A8372" s="5"/>
    </row>
    <row r="8373" spans="1:1">
      <c r="A8373" s="5"/>
    </row>
    <row r="8374" spans="1:1">
      <c r="A8374" s="5"/>
    </row>
    <row r="8375" spans="1:1">
      <c r="A8375" s="5"/>
    </row>
    <row r="8376" spans="1:1">
      <c r="A8376" s="5"/>
    </row>
    <row r="8377" spans="1:1">
      <c r="A8377" s="5"/>
    </row>
    <row r="8378" spans="1:1">
      <c r="A8378" s="5"/>
    </row>
    <row r="8379" spans="1:1">
      <c r="A8379" s="5"/>
    </row>
    <row r="8380" spans="1:1">
      <c r="A8380" s="5"/>
    </row>
    <row r="8381" spans="1:1">
      <c r="A8381" s="5"/>
    </row>
    <row r="8382" spans="1:1">
      <c r="A8382" s="5"/>
    </row>
    <row r="8383" spans="1:1">
      <c r="A8383" s="5"/>
    </row>
    <row r="8384" spans="1:1">
      <c r="A8384" s="5"/>
    </row>
    <row r="8385" spans="1:1">
      <c r="A8385" s="5"/>
    </row>
    <row r="8386" spans="1:1">
      <c r="A8386" s="5"/>
    </row>
    <row r="8387" spans="1:1">
      <c r="A8387" s="5"/>
    </row>
    <row r="8388" spans="1:1">
      <c r="A8388" s="5"/>
    </row>
    <row r="8389" spans="1:1">
      <c r="A8389" s="5"/>
    </row>
    <row r="8390" spans="1:1">
      <c r="A8390" s="5"/>
    </row>
    <row r="8391" spans="1:1">
      <c r="A8391" s="5"/>
    </row>
    <row r="8392" spans="1:1">
      <c r="A8392" s="5"/>
    </row>
    <row r="8393" spans="1:1">
      <c r="A8393" s="5"/>
    </row>
    <row r="8394" spans="1:1">
      <c r="A8394" s="5"/>
    </row>
    <row r="8395" spans="1:1">
      <c r="A8395" s="5"/>
    </row>
    <row r="8396" spans="1:1">
      <c r="A8396" s="5"/>
    </row>
    <row r="8397" spans="1:1">
      <c r="A8397" s="5"/>
    </row>
    <row r="8398" spans="1:1">
      <c r="A8398" s="5"/>
    </row>
    <row r="8399" spans="1:1">
      <c r="A8399" s="5"/>
    </row>
    <row r="8400" spans="1:1">
      <c r="A8400" s="5"/>
    </row>
    <row r="8401" spans="1:1">
      <c r="A8401" s="5"/>
    </row>
    <row r="8402" spans="1:1">
      <c r="A8402" s="5"/>
    </row>
    <row r="8403" spans="1:1">
      <c r="A8403" s="5"/>
    </row>
    <row r="8404" spans="1:1">
      <c r="A8404" s="5"/>
    </row>
    <row r="8405" spans="1:1">
      <c r="A8405" s="5"/>
    </row>
    <row r="8406" spans="1:1">
      <c r="A8406" s="5"/>
    </row>
    <row r="8407" spans="1:1">
      <c r="A8407" s="5"/>
    </row>
    <row r="8408" spans="1:1">
      <c r="A8408" s="5"/>
    </row>
    <row r="8409" spans="1:1">
      <c r="A8409" s="5"/>
    </row>
    <row r="8410" spans="1:1">
      <c r="A8410" s="5"/>
    </row>
    <row r="8411" spans="1:1">
      <c r="A8411" s="5"/>
    </row>
    <row r="8412" spans="1:1">
      <c r="A8412" s="5"/>
    </row>
    <row r="8413" spans="1:1">
      <c r="A8413" s="5"/>
    </row>
    <row r="8414" spans="1:1">
      <c r="A8414" s="5"/>
    </row>
    <row r="8415" spans="1:1">
      <c r="A8415" s="5"/>
    </row>
    <row r="8416" spans="1:1">
      <c r="A8416" s="5"/>
    </row>
    <row r="8417" spans="1:1">
      <c r="A8417" s="5"/>
    </row>
    <row r="8418" spans="1:1">
      <c r="A8418" s="5"/>
    </row>
    <row r="8419" spans="1:1">
      <c r="A8419" s="5"/>
    </row>
    <row r="8420" spans="1:1">
      <c r="A8420" s="5"/>
    </row>
    <row r="8421" spans="1:1">
      <c r="A8421" s="5"/>
    </row>
    <row r="8422" spans="1:1">
      <c r="A8422" s="5"/>
    </row>
    <row r="8423" spans="1:1">
      <c r="A8423" s="5"/>
    </row>
    <row r="8424" spans="1:1">
      <c r="A8424" s="5"/>
    </row>
    <row r="8425" spans="1:1">
      <c r="A8425" s="5"/>
    </row>
    <row r="8426" spans="1:1">
      <c r="A8426" s="5"/>
    </row>
    <row r="8427" spans="1:1">
      <c r="A8427" s="5"/>
    </row>
    <row r="8428" spans="1:1">
      <c r="A8428" s="5"/>
    </row>
    <row r="8429" spans="1:1">
      <c r="A8429" s="5"/>
    </row>
    <row r="8430" spans="1:1">
      <c r="A8430" s="5"/>
    </row>
    <row r="8431" spans="1:1">
      <c r="A8431" s="5"/>
    </row>
    <row r="8432" spans="1:1">
      <c r="A8432" s="5"/>
    </row>
    <row r="8433" spans="1:1">
      <c r="A8433" s="5"/>
    </row>
    <row r="8434" spans="1:1">
      <c r="A8434" s="5"/>
    </row>
    <row r="8435" spans="1:1">
      <c r="A8435" s="5"/>
    </row>
    <row r="8436" spans="1:1">
      <c r="A8436" s="5"/>
    </row>
    <row r="8437" spans="1:1">
      <c r="A8437" s="5"/>
    </row>
    <row r="8438" spans="1:1">
      <c r="A8438" s="5"/>
    </row>
    <row r="8439" spans="1:1">
      <c r="A8439" s="5"/>
    </row>
    <row r="8440" spans="1:1">
      <c r="A8440" s="5"/>
    </row>
    <row r="8441" spans="1:1">
      <c r="A8441" s="5"/>
    </row>
    <row r="8442" spans="1:1">
      <c r="A8442" s="5"/>
    </row>
    <row r="8443" spans="1:1">
      <c r="A8443" s="5"/>
    </row>
    <row r="8444" spans="1:1">
      <c r="A8444" s="5"/>
    </row>
    <row r="8445" spans="1:1">
      <c r="A8445" s="5"/>
    </row>
    <row r="8446" spans="1:1">
      <c r="A8446" s="5"/>
    </row>
    <row r="8447" spans="1:1">
      <c r="A8447" s="5"/>
    </row>
    <row r="8448" spans="1:1">
      <c r="A8448" s="5"/>
    </row>
    <row r="8449" spans="1:1">
      <c r="A8449" s="5"/>
    </row>
    <row r="8450" spans="1:1">
      <c r="A8450" s="5"/>
    </row>
    <row r="8451" spans="1:1">
      <c r="A8451" s="5"/>
    </row>
    <row r="8452" spans="1:1">
      <c r="A8452" s="5"/>
    </row>
    <row r="8453" spans="1:1">
      <c r="A8453" s="5"/>
    </row>
    <row r="8454" spans="1:1">
      <c r="A8454" s="5"/>
    </row>
    <row r="8455" spans="1:1">
      <c r="A8455" s="5"/>
    </row>
    <row r="8456" spans="1:1">
      <c r="A8456" s="5"/>
    </row>
    <row r="8457" spans="1:1">
      <c r="A8457" s="5"/>
    </row>
    <row r="8458" spans="1:1">
      <c r="A8458" s="5"/>
    </row>
    <row r="8459" spans="1:1">
      <c r="A8459" s="5"/>
    </row>
    <row r="8460" spans="1:1">
      <c r="A8460" s="5"/>
    </row>
    <row r="8461" spans="1:1">
      <c r="A8461" s="5"/>
    </row>
    <row r="8462" spans="1:1">
      <c r="A8462" s="5"/>
    </row>
    <row r="8463" spans="1:1">
      <c r="A8463" s="5"/>
    </row>
    <row r="8464" spans="1:1">
      <c r="A8464" s="5"/>
    </row>
    <row r="8465" spans="1:1">
      <c r="A8465" s="5"/>
    </row>
    <row r="8466" spans="1:1">
      <c r="A8466" s="5"/>
    </row>
    <row r="8467" spans="1:1">
      <c r="A8467" s="5"/>
    </row>
    <row r="8468" spans="1:1">
      <c r="A8468" s="5"/>
    </row>
    <row r="8469" spans="1:1">
      <c r="A8469" s="5"/>
    </row>
    <row r="8470" spans="1:1">
      <c r="A8470" s="5"/>
    </row>
    <row r="8471" spans="1:1">
      <c r="A8471" s="5"/>
    </row>
    <row r="8472" spans="1:1">
      <c r="A8472" s="5"/>
    </row>
    <row r="8473" spans="1:1">
      <c r="A8473" s="5"/>
    </row>
    <row r="8474" spans="1:1">
      <c r="A8474" s="5"/>
    </row>
    <row r="8475" spans="1:1">
      <c r="A8475" s="5"/>
    </row>
    <row r="8476" spans="1:1">
      <c r="A8476" s="5"/>
    </row>
    <row r="8477" spans="1:1">
      <c r="A8477" s="5"/>
    </row>
    <row r="8478" spans="1:1">
      <c r="A8478" s="5"/>
    </row>
    <row r="8479" spans="1:1">
      <c r="A8479" s="5"/>
    </row>
    <row r="8480" spans="1:1">
      <c r="A8480" s="5"/>
    </row>
    <row r="8481" spans="1:1">
      <c r="A8481" s="5"/>
    </row>
    <row r="8482" spans="1:1">
      <c r="A8482" s="5"/>
    </row>
    <row r="8483" spans="1:1">
      <c r="A8483" s="5"/>
    </row>
    <row r="8484" spans="1:1">
      <c r="A8484" s="5"/>
    </row>
    <row r="8485" spans="1:1">
      <c r="A8485" s="5"/>
    </row>
    <row r="8486" spans="1:1">
      <c r="A8486" s="5"/>
    </row>
    <row r="8487" spans="1:1">
      <c r="A8487" s="5"/>
    </row>
    <row r="8488" spans="1:1">
      <c r="A8488" s="5"/>
    </row>
    <row r="8489" spans="1:1">
      <c r="A8489" s="5"/>
    </row>
    <row r="8490" spans="1:1">
      <c r="A8490" s="5"/>
    </row>
    <row r="8491" spans="1:1">
      <c r="A8491" s="5"/>
    </row>
    <row r="8492" spans="1:1">
      <c r="A8492" s="5"/>
    </row>
    <row r="8493" spans="1:1">
      <c r="A8493" s="5"/>
    </row>
    <row r="8494" spans="1:1">
      <c r="A8494" s="5"/>
    </row>
    <row r="8495" spans="1:1">
      <c r="A8495" s="5"/>
    </row>
    <row r="8496" spans="1:1">
      <c r="A8496" s="5"/>
    </row>
    <row r="8497" spans="1:1">
      <c r="A8497" s="5"/>
    </row>
    <row r="8498" spans="1:1">
      <c r="A8498" s="5"/>
    </row>
    <row r="8499" spans="1:1">
      <c r="A8499" s="5"/>
    </row>
    <row r="8500" spans="1:1">
      <c r="A8500" s="5"/>
    </row>
    <row r="8501" spans="1:1">
      <c r="A8501" s="5"/>
    </row>
    <row r="8502" spans="1:1">
      <c r="A8502" s="5"/>
    </row>
    <row r="8503" spans="1:1">
      <c r="A8503" s="5"/>
    </row>
    <row r="8504" spans="1:1">
      <c r="A8504" s="5"/>
    </row>
    <row r="8505" spans="1:1">
      <c r="A8505" s="5"/>
    </row>
    <row r="8506" spans="1:1">
      <c r="A8506" s="5"/>
    </row>
    <row r="8507" spans="1:1">
      <c r="A8507" s="5"/>
    </row>
    <row r="8508" spans="1:1">
      <c r="A8508" s="5"/>
    </row>
    <row r="8509" spans="1:1">
      <c r="A8509" s="5"/>
    </row>
    <row r="8510" spans="1:1">
      <c r="A8510" s="5"/>
    </row>
    <row r="8511" spans="1:1">
      <c r="A8511" s="5"/>
    </row>
    <row r="8512" spans="1:1">
      <c r="A8512" s="5"/>
    </row>
    <row r="8513" spans="1:1">
      <c r="A8513" s="5"/>
    </row>
    <row r="8514" spans="1:1">
      <c r="A8514" s="5"/>
    </row>
    <row r="8515" spans="1:1">
      <c r="A8515" s="5"/>
    </row>
    <row r="8516" spans="1:1">
      <c r="A8516" s="5"/>
    </row>
    <row r="8517" spans="1:1">
      <c r="A8517" s="5"/>
    </row>
    <row r="8518" spans="1:1">
      <c r="A8518" s="5"/>
    </row>
    <row r="8519" spans="1:1">
      <c r="A8519" s="5"/>
    </row>
    <row r="8520" spans="1:1">
      <c r="A8520" s="5"/>
    </row>
    <row r="8521" spans="1:1">
      <c r="A8521" s="5"/>
    </row>
    <row r="8522" spans="1:1">
      <c r="A8522" s="5"/>
    </row>
    <row r="8523" spans="1:1">
      <c r="A8523" s="5"/>
    </row>
    <row r="8524" spans="1:1">
      <c r="A8524" s="5"/>
    </row>
    <row r="8525" spans="1:1">
      <c r="A8525" s="5"/>
    </row>
    <row r="8526" spans="1:1">
      <c r="A8526" s="5"/>
    </row>
    <row r="8527" spans="1:1">
      <c r="A8527" s="5"/>
    </row>
    <row r="8528" spans="1:1">
      <c r="A8528" s="5"/>
    </row>
    <row r="8529" spans="1:1">
      <c r="A8529" s="5"/>
    </row>
    <row r="8530" spans="1:1">
      <c r="A8530" s="5"/>
    </row>
    <row r="8531" spans="1:1">
      <c r="A8531" s="5"/>
    </row>
    <row r="8532" spans="1:1">
      <c r="A8532" s="5"/>
    </row>
    <row r="8533" spans="1:1">
      <c r="A8533" s="5"/>
    </row>
    <row r="8534" spans="1:1">
      <c r="A8534" s="5"/>
    </row>
    <row r="8535" spans="1:1">
      <c r="A8535" s="5"/>
    </row>
    <row r="8536" spans="1:1">
      <c r="A8536" s="5"/>
    </row>
    <row r="8537" spans="1:1">
      <c r="A8537" s="5"/>
    </row>
    <row r="8538" spans="1:1">
      <c r="A8538" s="5"/>
    </row>
    <row r="8539" spans="1:1">
      <c r="A8539" s="5"/>
    </row>
    <row r="8540" spans="1:1">
      <c r="A8540" s="5"/>
    </row>
    <row r="8541" spans="1:1">
      <c r="A8541" s="5"/>
    </row>
    <row r="8542" spans="1:1">
      <c r="A8542" s="5"/>
    </row>
    <row r="8543" spans="1:1">
      <c r="A8543" s="5"/>
    </row>
    <row r="8544" spans="1:1">
      <c r="A8544" s="5"/>
    </row>
    <row r="8545" spans="1:1">
      <c r="A8545" s="5"/>
    </row>
    <row r="8546" spans="1:1">
      <c r="A8546" s="5"/>
    </row>
    <row r="8547" spans="1:1">
      <c r="A8547" s="5"/>
    </row>
    <row r="8548" spans="1:1">
      <c r="A8548" s="5"/>
    </row>
    <row r="8549" spans="1:1">
      <c r="A8549" s="5"/>
    </row>
    <row r="8550" spans="1:1">
      <c r="A8550" s="5"/>
    </row>
    <row r="8551" spans="1:1">
      <c r="A8551" s="5"/>
    </row>
    <row r="8552" spans="1:1">
      <c r="A8552" s="5"/>
    </row>
    <row r="8553" spans="1:1">
      <c r="A8553" s="5"/>
    </row>
    <row r="8554" spans="1:1">
      <c r="A8554" s="5"/>
    </row>
    <row r="8555" spans="1:1">
      <c r="A8555" s="5"/>
    </row>
    <row r="8556" spans="1:1">
      <c r="A8556" s="5"/>
    </row>
    <row r="8557" spans="1:1">
      <c r="A8557" s="5"/>
    </row>
    <row r="8558" spans="1:1">
      <c r="A8558" s="5"/>
    </row>
    <row r="8559" spans="1:1">
      <c r="A8559" s="5"/>
    </row>
    <row r="8560" spans="1:1">
      <c r="A8560" s="5"/>
    </row>
    <row r="8561" spans="1:1">
      <c r="A8561" s="5"/>
    </row>
    <row r="8562" spans="1:1">
      <c r="A8562" s="5"/>
    </row>
    <row r="8563" spans="1:1">
      <c r="A8563" s="5"/>
    </row>
    <row r="8564" spans="1:1">
      <c r="A8564" s="5"/>
    </row>
    <row r="8565" spans="1:1">
      <c r="A8565" s="5"/>
    </row>
    <row r="8566" spans="1:1">
      <c r="A8566" s="5"/>
    </row>
    <row r="8567" spans="1:1">
      <c r="A8567" s="5"/>
    </row>
    <row r="8568" spans="1:1">
      <c r="A8568" s="5"/>
    </row>
    <row r="8569" spans="1:1">
      <c r="A8569" s="5"/>
    </row>
    <row r="8570" spans="1:1">
      <c r="A8570" s="5"/>
    </row>
    <row r="8571" spans="1:1">
      <c r="A8571" s="5"/>
    </row>
    <row r="8572" spans="1:1">
      <c r="A8572" s="5"/>
    </row>
    <row r="8573" spans="1:1">
      <c r="A8573" s="5"/>
    </row>
    <row r="8574" spans="1:1">
      <c r="A8574" s="5"/>
    </row>
    <row r="8575" spans="1:1">
      <c r="A8575" s="5"/>
    </row>
    <row r="8576" spans="1:1">
      <c r="A8576" s="5"/>
    </row>
    <row r="8577" spans="1:1">
      <c r="A8577" s="5"/>
    </row>
    <row r="8578" spans="1:1">
      <c r="A8578" s="5"/>
    </row>
    <row r="8579" spans="1:1">
      <c r="A8579" s="5"/>
    </row>
    <row r="8580" spans="1:1">
      <c r="A8580" s="5"/>
    </row>
    <row r="8581" spans="1:1">
      <c r="A8581" s="5"/>
    </row>
    <row r="8582" spans="1:1">
      <c r="A8582" s="5"/>
    </row>
    <row r="8583" spans="1:1">
      <c r="A8583" s="5"/>
    </row>
    <row r="8584" spans="1:1">
      <c r="A8584" s="5"/>
    </row>
    <row r="8585" spans="1:1">
      <c r="A8585" s="5"/>
    </row>
    <row r="8586" spans="1:1">
      <c r="A8586" s="5"/>
    </row>
    <row r="8587" spans="1:1">
      <c r="A8587" s="5"/>
    </row>
    <row r="8588" spans="1:1">
      <c r="A8588" s="5"/>
    </row>
    <row r="8589" spans="1:1">
      <c r="A8589" s="5"/>
    </row>
    <row r="8590" spans="1:1">
      <c r="A8590" s="5"/>
    </row>
    <row r="8591" spans="1:1">
      <c r="A8591" s="5"/>
    </row>
    <row r="8592" spans="1:1">
      <c r="A8592" s="5"/>
    </row>
    <row r="8593" spans="1:1">
      <c r="A8593" s="5"/>
    </row>
    <row r="8594" spans="1:1">
      <c r="A8594" s="5"/>
    </row>
    <row r="8595" spans="1:1">
      <c r="A8595" s="5"/>
    </row>
    <row r="8596" spans="1:1">
      <c r="A8596" s="5"/>
    </row>
    <row r="8597" spans="1:1">
      <c r="A8597" s="5"/>
    </row>
    <row r="8598" spans="1:1">
      <c r="A8598" s="5"/>
    </row>
    <row r="8599" spans="1:1">
      <c r="A8599" s="5"/>
    </row>
    <row r="8600" spans="1:1">
      <c r="A8600" s="5"/>
    </row>
    <row r="8601" spans="1:1">
      <c r="A8601" s="5"/>
    </row>
    <row r="8602" spans="1:1">
      <c r="A8602" s="5"/>
    </row>
    <row r="8603" spans="1:1">
      <c r="A8603" s="5"/>
    </row>
    <row r="8604" spans="1:1">
      <c r="A8604" s="5"/>
    </row>
    <row r="8605" spans="1:1">
      <c r="A8605" s="5"/>
    </row>
    <row r="8606" spans="1:1">
      <c r="A8606" s="5"/>
    </row>
    <row r="8607" spans="1:1">
      <c r="A8607" s="5"/>
    </row>
    <row r="8608" spans="1:1">
      <c r="A8608" s="5"/>
    </row>
    <row r="8609" spans="1:1">
      <c r="A8609" s="5"/>
    </row>
    <row r="8610" spans="1:1">
      <c r="A8610" s="5"/>
    </row>
    <row r="8611" spans="1:1">
      <c r="A8611" s="5"/>
    </row>
    <row r="8612" spans="1:1">
      <c r="A8612" s="5"/>
    </row>
    <row r="8613" spans="1:1">
      <c r="A8613" s="5"/>
    </row>
    <row r="8614" spans="1:1">
      <c r="A8614" s="5"/>
    </row>
    <row r="8615" spans="1:1">
      <c r="A8615" s="5"/>
    </row>
    <row r="8616" spans="1:1">
      <c r="A8616" s="5"/>
    </row>
    <row r="8617" spans="1:1">
      <c r="A8617" s="5"/>
    </row>
    <row r="8618" spans="1:1">
      <c r="A8618" s="5"/>
    </row>
    <row r="8619" spans="1:1">
      <c r="A8619" s="5"/>
    </row>
    <row r="8620" spans="1:1">
      <c r="A8620" s="5"/>
    </row>
    <row r="8621" spans="1:1">
      <c r="A8621" s="5"/>
    </row>
    <row r="8622" spans="1:1">
      <c r="A8622" s="5"/>
    </row>
    <row r="8623" spans="1:1">
      <c r="A8623" s="5"/>
    </row>
    <row r="8624" spans="1:1">
      <c r="A8624" s="5"/>
    </row>
    <row r="8625" spans="1:1">
      <c r="A8625" s="5"/>
    </row>
    <row r="8626" spans="1:1">
      <c r="A8626" s="5"/>
    </row>
    <row r="8627" spans="1:1">
      <c r="A8627" s="5"/>
    </row>
    <row r="8628" spans="1:1">
      <c r="A8628" s="5"/>
    </row>
    <row r="8629" spans="1:1">
      <c r="A8629" s="5"/>
    </row>
    <row r="8630" spans="1:1">
      <c r="A8630" s="5"/>
    </row>
    <row r="8631" spans="1:1">
      <c r="A8631" s="5"/>
    </row>
    <row r="8632" spans="1:1">
      <c r="A8632" s="5"/>
    </row>
    <row r="8633" spans="1:1">
      <c r="A8633" s="5"/>
    </row>
    <row r="8634" spans="1:1">
      <c r="A8634" s="5"/>
    </row>
    <row r="8635" spans="1:1">
      <c r="A8635" s="5"/>
    </row>
    <row r="8636" spans="1:1">
      <c r="A8636" s="5"/>
    </row>
    <row r="8637" spans="1:1">
      <c r="A8637" s="5"/>
    </row>
    <row r="8638" spans="1:1">
      <c r="A8638" s="5"/>
    </row>
    <row r="8639" spans="1:1">
      <c r="A8639" s="5"/>
    </row>
    <row r="8640" spans="1:1">
      <c r="A8640" s="5"/>
    </row>
    <row r="8641" spans="1:1">
      <c r="A8641" s="5"/>
    </row>
    <row r="8642" spans="1:1">
      <c r="A8642" s="5"/>
    </row>
    <row r="8643" spans="1:1">
      <c r="A8643" s="5"/>
    </row>
    <row r="8644" spans="1:1">
      <c r="A8644" s="5"/>
    </row>
    <row r="8645" spans="1:1">
      <c r="A8645" s="5"/>
    </row>
    <row r="8646" spans="1:1">
      <c r="A8646" s="5"/>
    </row>
    <row r="8647" spans="1:1">
      <c r="A8647" s="5"/>
    </row>
    <row r="8648" spans="1:1">
      <c r="A8648" s="5"/>
    </row>
    <row r="8649" spans="1:1">
      <c r="A8649" s="5"/>
    </row>
    <row r="8650" spans="1:1">
      <c r="A8650" s="5"/>
    </row>
    <row r="8651" spans="1:1">
      <c r="A8651" s="5"/>
    </row>
    <row r="8652" spans="1:1">
      <c r="A8652" s="5"/>
    </row>
    <row r="8653" spans="1:1">
      <c r="A8653" s="5"/>
    </row>
    <row r="8654" spans="1:1">
      <c r="A8654" s="5"/>
    </row>
    <row r="8655" spans="1:1">
      <c r="A8655" s="5"/>
    </row>
    <row r="8656" spans="1:1">
      <c r="A8656" s="5"/>
    </row>
    <row r="8657" spans="1:1">
      <c r="A8657" s="5"/>
    </row>
    <row r="8658" spans="1:1">
      <c r="A8658" s="5"/>
    </row>
    <row r="8659" spans="1:1">
      <c r="A8659" s="5"/>
    </row>
    <row r="8660" spans="1:1">
      <c r="A8660" s="5"/>
    </row>
    <row r="8661" spans="1:1">
      <c r="A8661" s="5"/>
    </row>
    <row r="8662" spans="1:1">
      <c r="A8662" s="5"/>
    </row>
    <row r="8663" spans="1:1">
      <c r="A8663" s="5"/>
    </row>
    <row r="8664" spans="1:1">
      <c r="A8664" s="5"/>
    </row>
    <row r="8665" spans="1:1">
      <c r="A8665" s="5"/>
    </row>
    <row r="8666" spans="1:1">
      <c r="A8666" s="5"/>
    </row>
    <row r="8667" spans="1:1">
      <c r="A8667" s="5"/>
    </row>
    <row r="8668" spans="1:1">
      <c r="A8668" s="5"/>
    </row>
    <row r="8669" spans="1:1">
      <c r="A8669" s="5"/>
    </row>
    <row r="8670" spans="1:1">
      <c r="A8670" s="5"/>
    </row>
    <row r="8671" spans="1:1">
      <c r="A8671" s="5"/>
    </row>
    <row r="8672" spans="1:1">
      <c r="A8672" s="5"/>
    </row>
    <row r="8673" spans="1:1">
      <c r="A8673" s="5"/>
    </row>
    <row r="8674" spans="1:1">
      <c r="A8674" s="5"/>
    </row>
    <row r="8675" spans="1:1">
      <c r="A8675" s="5"/>
    </row>
    <row r="8676" spans="1:1">
      <c r="A8676" s="5"/>
    </row>
    <row r="8677" spans="1:1">
      <c r="A8677" s="5"/>
    </row>
    <row r="8678" spans="1:1">
      <c r="A8678" s="5"/>
    </row>
    <row r="8679" spans="1:1">
      <c r="A8679" s="5"/>
    </row>
    <row r="8680" spans="1:1">
      <c r="A8680" s="5"/>
    </row>
    <row r="8681" spans="1:1">
      <c r="A8681" s="5"/>
    </row>
    <row r="8682" spans="1:1">
      <c r="A8682" s="5"/>
    </row>
    <row r="8683" spans="1:1">
      <c r="A8683" s="5"/>
    </row>
    <row r="8684" spans="1:1">
      <c r="A8684" s="5"/>
    </row>
    <row r="8685" spans="1:1">
      <c r="A8685" s="5"/>
    </row>
    <row r="8686" spans="1:1">
      <c r="A8686" s="5"/>
    </row>
    <row r="8687" spans="1:1">
      <c r="A8687" s="5"/>
    </row>
    <row r="8688" spans="1:1">
      <c r="A8688" s="5"/>
    </row>
    <row r="8689" spans="1:1">
      <c r="A8689" s="5"/>
    </row>
    <row r="8690" spans="1:1">
      <c r="A8690" s="5"/>
    </row>
    <row r="8691" spans="1:1">
      <c r="A8691" s="5"/>
    </row>
    <row r="8692" spans="1:1">
      <c r="A8692" s="5"/>
    </row>
    <row r="8693" spans="1:1">
      <c r="A8693" s="5"/>
    </row>
    <row r="8694" spans="1:1">
      <c r="A8694" s="5"/>
    </row>
    <row r="8695" spans="1:1">
      <c r="A8695" s="5"/>
    </row>
    <row r="8696" spans="1:1">
      <c r="A8696" s="5"/>
    </row>
    <row r="8697" spans="1:1">
      <c r="A8697" s="5"/>
    </row>
    <row r="8698" spans="1:1">
      <c r="A8698" s="5"/>
    </row>
    <row r="8699" spans="1:1">
      <c r="A8699" s="5"/>
    </row>
    <row r="8700" spans="1:1">
      <c r="A8700" s="5"/>
    </row>
    <row r="8701" spans="1:1">
      <c r="A8701" s="5"/>
    </row>
    <row r="8702" spans="1:1">
      <c r="A8702" s="5"/>
    </row>
    <row r="8703" spans="1:1">
      <c r="A8703" s="5"/>
    </row>
    <row r="8704" spans="1:1">
      <c r="A8704" s="5"/>
    </row>
    <row r="8705" spans="1:1">
      <c r="A8705" s="5"/>
    </row>
    <row r="8706" spans="1:1">
      <c r="A8706" s="5"/>
    </row>
    <row r="8707" spans="1:1">
      <c r="A8707" s="5"/>
    </row>
    <row r="8708" spans="1:1">
      <c r="A8708" s="5"/>
    </row>
    <row r="8709" spans="1:1">
      <c r="A8709" s="5"/>
    </row>
    <row r="8710" spans="1:1">
      <c r="A8710" s="5"/>
    </row>
    <row r="8711" spans="1:1">
      <c r="A8711" s="5"/>
    </row>
    <row r="8712" spans="1:1">
      <c r="A8712" s="5"/>
    </row>
    <row r="8713" spans="1:1">
      <c r="A8713" s="5"/>
    </row>
    <row r="8714" spans="1:1">
      <c r="A8714" s="5"/>
    </row>
    <row r="8715" spans="1:1">
      <c r="A8715" s="5"/>
    </row>
    <row r="8716" spans="1:1">
      <c r="A8716" s="5"/>
    </row>
    <row r="8717" spans="1:1">
      <c r="A8717" s="5"/>
    </row>
    <row r="8718" spans="1:1">
      <c r="A8718" s="5"/>
    </row>
    <row r="8719" spans="1:1">
      <c r="A8719" s="5"/>
    </row>
    <row r="8720" spans="1:1">
      <c r="A8720" s="5"/>
    </row>
    <row r="8721" spans="1:1">
      <c r="A8721" s="5"/>
    </row>
    <row r="8722" spans="1:1">
      <c r="A8722" s="5"/>
    </row>
    <row r="8723" spans="1:1">
      <c r="A8723" s="5"/>
    </row>
    <row r="8724" spans="1:1">
      <c r="A8724" s="5"/>
    </row>
    <row r="8725" spans="1:1">
      <c r="A8725" s="5"/>
    </row>
    <row r="8726" spans="1:1">
      <c r="A8726" s="5"/>
    </row>
    <row r="8727" spans="1:1">
      <c r="A8727" s="5"/>
    </row>
    <row r="8728" spans="1:1">
      <c r="A8728" s="5"/>
    </row>
    <row r="8729" spans="1:1">
      <c r="A8729" s="5"/>
    </row>
    <row r="8730" spans="1:1">
      <c r="A8730" s="5"/>
    </row>
    <row r="8731" spans="1:1">
      <c r="A8731" s="5"/>
    </row>
    <row r="8732" spans="1:1">
      <c r="A8732" s="5"/>
    </row>
    <row r="8733" spans="1:1">
      <c r="A8733" s="5"/>
    </row>
    <row r="8734" spans="1:1">
      <c r="A8734" s="5"/>
    </row>
    <row r="8735" spans="1:1">
      <c r="A8735" s="5"/>
    </row>
    <row r="8736" spans="1:1">
      <c r="A8736" s="5"/>
    </row>
    <row r="8737" spans="1:1">
      <c r="A8737" s="5"/>
    </row>
    <row r="8738" spans="1:1">
      <c r="A8738" s="5"/>
    </row>
    <row r="8739" spans="1:1">
      <c r="A8739" s="5"/>
    </row>
    <row r="8740" spans="1:1">
      <c r="A8740" s="5"/>
    </row>
    <row r="8741" spans="1:1">
      <c r="A8741" s="5"/>
    </row>
    <row r="8742" spans="1:1">
      <c r="A8742" s="5"/>
    </row>
    <row r="8743" spans="1:1">
      <c r="A8743" s="5"/>
    </row>
    <row r="8744" spans="1:1">
      <c r="A8744" s="5"/>
    </row>
    <row r="8745" spans="1:1">
      <c r="A8745" s="5"/>
    </row>
    <row r="8746" spans="1:1">
      <c r="A8746" s="5"/>
    </row>
    <row r="8747" spans="1:1">
      <c r="A8747" s="5"/>
    </row>
    <row r="8748" spans="1:1">
      <c r="A8748" s="5"/>
    </row>
    <row r="8749" spans="1:1">
      <c r="A8749" s="5"/>
    </row>
    <row r="8750" spans="1:1">
      <c r="A8750" s="5"/>
    </row>
    <row r="8751" spans="1:1">
      <c r="A8751" s="5"/>
    </row>
    <row r="8752" spans="1:1">
      <c r="A8752" s="5"/>
    </row>
    <row r="8753" spans="1:1">
      <c r="A8753" s="5"/>
    </row>
    <row r="8754" spans="1:1">
      <c r="A8754" s="5"/>
    </row>
    <row r="8755" spans="1:1">
      <c r="A8755" s="5"/>
    </row>
    <row r="8756" spans="1:1">
      <c r="A8756" s="5"/>
    </row>
    <row r="8757" spans="1:1">
      <c r="A8757" s="5"/>
    </row>
    <row r="8758" spans="1:1">
      <c r="A8758" s="5"/>
    </row>
    <row r="8759" spans="1:1">
      <c r="A8759" s="5"/>
    </row>
    <row r="8760" spans="1:1">
      <c r="A8760" s="5"/>
    </row>
    <row r="8761" spans="1:1">
      <c r="A8761" s="5"/>
    </row>
    <row r="8762" spans="1:1">
      <c r="A8762" s="5"/>
    </row>
    <row r="8763" spans="1:1">
      <c r="A8763" s="5"/>
    </row>
    <row r="8764" spans="1:1">
      <c r="A8764" s="5"/>
    </row>
    <row r="8765" spans="1:1">
      <c r="A8765" s="5"/>
    </row>
    <row r="8766" spans="1:1">
      <c r="A8766" s="5"/>
    </row>
    <row r="8767" spans="1:1">
      <c r="A8767" s="5"/>
    </row>
    <row r="8768" spans="1:1">
      <c r="A8768" s="5"/>
    </row>
    <row r="8769" spans="1:1">
      <c r="A8769" s="5"/>
    </row>
    <row r="8770" spans="1:1">
      <c r="A8770" s="5"/>
    </row>
    <row r="8771" spans="1:1">
      <c r="A8771" s="5"/>
    </row>
    <row r="8772" spans="1:1">
      <c r="A8772" s="5"/>
    </row>
    <row r="8773" spans="1:1">
      <c r="A8773" s="5"/>
    </row>
    <row r="8774" spans="1:1">
      <c r="A8774" s="5"/>
    </row>
    <row r="8775" spans="1:1">
      <c r="A8775" s="5"/>
    </row>
    <row r="8776" spans="1:1">
      <c r="A8776" s="5"/>
    </row>
    <row r="8777" spans="1:1">
      <c r="A8777" s="5"/>
    </row>
    <row r="8778" spans="1:1">
      <c r="A8778" s="5"/>
    </row>
    <row r="8779" spans="1:1">
      <c r="A8779" s="5"/>
    </row>
    <row r="8780" spans="1:1">
      <c r="A8780" s="5"/>
    </row>
    <row r="8781" spans="1:1">
      <c r="A8781" s="5"/>
    </row>
    <row r="8782" spans="1:1">
      <c r="A8782" s="5"/>
    </row>
    <row r="8783" spans="1:1">
      <c r="A8783" s="5"/>
    </row>
    <row r="8784" spans="1:1">
      <c r="A8784" s="5"/>
    </row>
    <row r="8785" spans="1:1">
      <c r="A8785" s="5"/>
    </row>
    <row r="8786" spans="1:1">
      <c r="A8786" s="5"/>
    </row>
    <row r="8787" spans="1:1">
      <c r="A8787" s="5"/>
    </row>
    <row r="8788" spans="1:1">
      <c r="A8788" s="5"/>
    </row>
    <row r="8789" spans="1:1">
      <c r="A8789" s="5"/>
    </row>
    <row r="8790" spans="1:1">
      <c r="A8790" s="5"/>
    </row>
    <row r="8791" spans="1:1">
      <c r="A8791" s="5"/>
    </row>
    <row r="8792" spans="1:1">
      <c r="A8792" s="5"/>
    </row>
    <row r="8793" spans="1:1">
      <c r="A8793" s="5"/>
    </row>
    <row r="8794" spans="1:1">
      <c r="A8794" s="5"/>
    </row>
    <row r="8795" spans="1:1">
      <c r="A8795" s="5"/>
    </row>
    <row r="8796" spans="1:1">
      <c r="A8796" s="5"/>
    </row>
    <row r="8797" spans="1:1">
      <c r="A8797" s="5"/>
    </row>
    <row r="8798" spans="1:1">
      <c r="A8798" s="5"/>
    </row>
    <row r="8799" spans="1:1">
      <c r="A8799" s="5"/>
    </row>
    <row r="8800" spans="1:1">
      <c r="A8800" s="5"/>
    </row>
    <row r="8801" spans="1:1">
      <c r="A8801" s="5"/>
    </row>
    <row r="8802" spans="1:1">
      <c r="A8802" s="5"/>
    </row>
    <row r="8803" spans="1:1">
      <c r="A8803" s="5"/>
    </row>
    <row r="8804" spans="1:1">
      <c r="A8804" s="5"/>
    </row>
    <row r="8805" spans="1:1">
      <c r="A8805" s="5"/>
    </row>
    <row r="8806" spans="1:1">
      <c r="A8806" s="5"/>
    </row>
    <row r="8807" spans="1:1">
      <c r="A8807" s="5"/>
    </row>
    <row r="8808" spans="1:1">
      <c r="A8808" s="5"/>
    </row>
    <row r="8809" spans="1:1">
      <c r="A8809" s="5"/>
    </row>
    <row r="8810" spans="1:1">
      <c r="A8810" s="5"/>
    </row>
    <row r="8811" spans="1:1">
      <c r="A8811" s="5"/>
    </row>
    <row r="8812" spans="1:1">
      <c r="A8812" s="5"/>
    </row>
    <row r="8813" spans="1:1">
      <c r="A8813" s="5"/>
    </row>
    <row r="8814" spans="1:1">
      <c r="A8814" s="5"/>
    </row>
    <row r="8815" spans="1:1">
      <c r="A8815" s="5"/>
    </row>
    <row r="8816" spans="1:1">
      <c r="A8816" s="5"/>
    </row>
    <row r="8817" spans="1:1">
      <c r="A8817" s="5"/>
    </row>
    <row r="8818" spans="1:1">
      <c r="A8818" s="5"/>
    </row>
    <row r="8819" spans="1:1">
      <c r="A8819" s="5"/>
    </row>
    <row r="8820" spans="1:1">
      <c r="A8820" s="5"/>
    </row>
    <row r="8821" spans="1:1">
      <c r="A8821" s="5"/>
    </row>
    <row r="8822" spans="1:1">
      <c r="A8822" s="5"/>
    </row>
    <row r="8823" spans="1:1">
      <c r="A8823" s="5"/>
    </row>
    <row r="8824" spans="1:1">
      <c r="A8824" s="5"/>
    </row>
    <row r="8825" spans="1:1">
      <c r="A8825" s="5"/>
    </row>
    <row r="8826" spans="1:1">
      <c r="A8826" s="5"/>
    </row>
    <row r="8827" spans="1:1">
      <c r="A8827" s="5"/>
    </row>
    <row r="8828" spans="1:1">
      <c r="A8828" s="5"/>
    </row>
    <row r="8829" spans="1:1">
      <c r="A8829" s="5"/>
    </row>
    <row r="8830" spans="1:1">
      <c r="A8830" s="5"/>
    </row>
    <row r="8831" spans="1:1">
      <c r="A8831" s="5"/>
    </row>
    <row r="8832" spans="1:1">
      <c r="A8832" s="5"/>
    </row>
    <row r="8833" spans="1:1">
      <c r="A8833" s="5"/>
    </row>
    <row r="8834" spans="1:1">
      <c r="A8834" s="5"/>
    </row>
    <row r="8835" spans="1:1">
      <c r="A8835" s="5"/>
    </row>
    <row r="8836" spans="1:1">
      <c r="A8836" s="5"/>
    </row>
    <row r="8837" spans="1:1">
      <c r="A8837" s="5"/>
    </row>
    <row r="8838" spans="1:1">
      <c r="A8838" s="5"/>
    </row>
    <row r="8839" spans="1:1">
      <c r="A8839" s="5"/>
    </row>
    <row r="8840" spans="1:1">
      <c r="A8840" s="5"/>
    </row>
    <row r="8841" spans="1:1">
      <c r="A8841" s="5"/>
    </row>
    <row r="8842" spans="1:1">
      <c r="A8842" s="5"/>
    </row>
    <row r="8843" spans="1:1">
      <c r="A8843" s="5"/>
    </row>
    <row r="8844" spans="1:1">
      <c r="A8844" s="5"/>
    </row>
    <row r="8845" spans="1:1">
      <c r="A8845" s="5"/>
    </row>
    <row r="8846" spans="1:1">
      <c r="A8846" s="5"/>
    </row>
    <row r="8847" spans="1:1">
      <c r="A8847" s="5"/>
    </row>
    <row r="8848" spans="1:1">
      <c r="A8848" s="5"/>
    </row>
    <row r="8849" spans="1:1">
      <c r="A8849" s="5"/>
    </row>
    <row r="8850" spans="1:1">
      <c r="A8850" s="5"/>
    </row>
    <row r="8851" spans="1:1">
      <c r="A8851" s="5"/>
    </row>
    <row r="8852" spans="1:1">
      <c r="A8852" s="5"/>
    </row>
    <row r="8853" spans="1:1">
      <c r="A8853" s="5"/>
    </row>
    <row r="8854" spans="1:1">
      <c r="A8854" s="5"/>
    </row>
    <row r="8855" spans="1:1">
      <c r="A8855" s="5"/>
    </row>
    <row r="8856" spans="1:1">
      <c r="A8856" s="5"/>
    </row>
    <row r="8857" spans="1:1">
      <c r="A8857" s="5"/>
    </row>
    <row r="8858" spans="1:1">
      <c r="A8858" s="5"/>
    </row>
    <row r="8859" spans="1:1">
      <c r="A8859" s="5"/>
    </row>
    <row r="8860" spans="1:1">
      <c r="A8860" s="5"/>
    </row>
    <row r="8861" spans="1:1">
      <c r="A8861" s="5"/>
    </row>
    <row r="8862" spans="1:1">
      <c r="A8862" s="5"/>
    </row>
    <row r="8863" spans="1:1">
      <c r="A8863" s="5"/>
    </row>
    <row r="8864" spans="1:1">
      <c r="A8864" s="5"/>
    </row>
    <row r="8865" spans="1:1">
      <c r="A8865" s="5"/>
    </row>
    <row r="8866" spans="1:1">
      <c r="A8866" s="5"/>
    </row>
    <row r="8867" spans="1:1">
      <c r="A8867" s="5"/>
    </row>
    <row r="8868" spans="1:1">
      <c r="A8868" s="5"/>
    </row>
    <row r="8869" spans="1:1">
      <c r="A8869" s="5"/>
    </row>
    <row r="8870" spans="1:1">
      <c r="A8870" s="5"/>
    </row>
    <row r="8871" spans="1:1">
      <c r="A8871" s="5"/>
    </row>
    <row r="8872" spans="1:1">
      <c r="A8872" s="5"/>
    </row>
    <row r="8873" spans="1:1">
      <c r="A8873" s="5"/>
    </row>
    <row r="8874" spans="1:1">
      <c r="A8874" s="5"/>
    </row>
    <row r="8875" spans="1:1">
      <c r="A8875" s="5"/>
    </row>
    <row r="8876" spans="1:1">
      <c r="A8876" s="5"/>
    </row>
    <row r="8877" spans="1:1">
      <c r="A8877" s="5"/>
    </row>
    <row r="8878" spans="1:1">
      <c r="A8878" s="5"/>
    </row>
    <row r="8879" spans="1:1">
      <c r="A8879" s="5"/>
    </row>
    <row r="8880" spans="1:1">
      <c r="A8880" s="5"/>
    </row>
    <row r="8881" spans="1:1">
      <c r="A8881" s="5"/>
    </row>
    <row r="8882" spans="1:1">
      <c r="A8882" s="5"/>
    </row>
    <row r="8883" spans="1:1">
      <c r="A8883" s="5"/>
    </row>
    <row r="8884" spans="1:1">
      <c r="A8884" s="5"/>
    </row>
    <row r="8885" spans="1:1">
      <c r="A8885" s="5"/>
    </row>
    <row r="8886" spans="1:1">
      <c r="A8886" s="5"/>
    </row>
    <row r="8887" spans="1:1">
      <c r="A8887" s="5"/>
    </row>
    <row r="8888" spans="1:1">
      <c r="A8888" s="5"/>
    </row>
    <row r="8889" spans="1:1">
      <c r="A8889" s="5"/>
    </row>
    <row r="8890" spans="1:1">
      <c r="A8890" s="5"/>
    </row>
    <row r="8891" spans="1:1">
      <c r="A8891" s="5"/>
    </row>
    <row r="8892" spans="1:1">
      <c r="A8892" s="5"/>
    </row>
    <row r="8893" spans="1:1">
      <c r="A8893" s="5"/>
    </row>
    <row r="8894" spans="1:1">
      <c r="A8894" s="5"/>
    </row>
    <row r="8895" spans="1:1">
      <c r="A8895" s="5"/>
    </row>
    <row r="8896" spans="1:1">
      <c r="A8896" s="5"/>
    </row>
    <row r="8897" spans="1:1">
      <c r="A8897" s="5"/>
    </row>
    <row r="8898" spans="1:1">
      <c r="A8898" s="5"/>
    </row>
    <row r="8899" spans="1:1">
      <c r="A8899" s="5"/>
    </row>
    <row r="8900" spans="1:1">
      <c r="A8900" s="5"/>
    </row>
    <row r="8901" spans="1:1">
      <c r="A8901" s="5"/>
    </row>
    <row r="8902" spans="1:1">
      <c r="A8902" s="5"/>
    </row>
    <row r="8903" spans="1:1">
      <c r="A8903" s="5"/>
    </row>
    <row r="8904" spans="1:1">
      <c r="A8904" s="5"/>
    </row>
    <row r="8905" spans="1:1">
      <c r="A8905" s="5"/>
    </row>
    <row r="8906" spans="1:1">
      <c r="A8906" s="5"/>
    </row>
    <row r="8907" spans="1:1">
      <c r="A8907" s="5"/>
    </row>
    <row r="8908" spans="1:1">
      <c r="A8908" s="5"/>
    </row>
    <row r="8909" spans="1:1">
      <c r="A8909" s="5"/>
    </row>
    <row r="8910" spans="1:1">
      <c r="A8910" s="5"/>
    </row>
    <row r="8911" spans="1:1">
      <c r="A8911" s="5"/>
    </row>
    <row r="8912" spans="1:1">
      <c r="A8912" s="5"/>
    </row>
    <row r="8913" spans="1:1">
      <c r="A8913" s="5"/>
    </row>
    <row r="8914" spans="1:1">
      <c r="A8914" s="5"/>
    </row>
    <row r="8915" spans="1:1">
      <c r="A8915" s="5"/>
    </row>
    <row r="8916" spans="1:1">
      <c r="A8916" s="5"/>
    </row>
    <row r="8917" spans="1:1">
      <c r="A8917" s="5"/>
    </row>
    <row r="8918" spans="1:1">
      <c r="A8918" s="5"/>
    </row>
    <row r="8919" spans="1:1">
      <c r="A8919" s="5"/>
    </row>
    <row r="8920" spans="1:1">
      <c r="A8920" s="5"/>
    </row>
    <row r="8921" spans="1:1">
      <c r="A8921" s="5"/>
    </row>
    <row r="8922" spans="1:1">
      <c r="A8922" s="5"/>
    </row>
    <row r="8923" spans="1:1">
      <c r="A8923" s="5"/>
    </row>
    <row r="8924" spans="1:1">
      <c r="A8924" s="5"/>
    </row>
    <row r="8925" spans="1:1">
      <c r="A8925" s="5"/>
    </row>
    <row r="8926" spans="1:1">
      <c r="A8926" s="5"/>
    </row>
    <row r="8927" spans="1:1">
      <c r="A8927" s="5"/>
    </row>
    <row r="8928" spans="1:1">
      <c r="A8928" s="5"/>
    </row>
    <row r="8929" spans="1:1">
      <c r="A8929" s="5"/>
    </row>
    <row r="8930" spans="1:1">
      <c r="A8930" s="5"/>
    </row>
    <row r="8931" spans="1:1">
      <c r="A8931" s="5"/>
    </row>
    <row r="8932" spans="1:1">
      <c r="A8932" s="5"/>
    </row>
    <row r="8933" spans="1:1">
      <c r="A8933" s="5"/>
    </row>
    <row r="8934" spans="1:1">
      <c r="A8934" s="5"/>
    </row>
    <row r="8935" spans="1:1">
      <c r="A8935" s="5"/>
    </row>
    <row r="8936" spans="1:1">
      <c r="A8936" s="5"/>
    </row>
    <row r="8937" spans="1:1">
      <c r="A8937" s="5"/>
    </row>
    <row r="8938" spans="1:1">
      <c r="A8938" s="5"/>
    </row>
    <row r="8939" spans="1:1">
      <c r="A8939" s="5"/>
    </row>
    <row r="8940" spans="1:1">
      <c r="A8940" s="5"/>
    </row>
    <row r="8941" spans="1:1">
      <c r="A8941" s="5"/>
    </row>
    <row r="8942" spans="1:1">
      <c r="A8942" s="5"/>
    </row>
    <row r="8943" spans="1:1">
      <c r="A8943" s="5"/>
    </row>
    <row r="8944" spans="1:1">
      <c r="A8944" s="5"/>
    </row>
    <row r="8945" spans="1:1">
      <c r="A8945" s="5"/>
    </row>
    <row r="8946" spans="1:1">
      <c r="A8946" s="5"/>
    </row>
    <row r="8947" spans="1:1">
      <c r="A8947" s="5"/>
    </row>
    <row r="8948" spans="1:1">
      <c r="A8948" s="5"/>
    </row>
    <row r="8949" spans="1:1">
      <c r="A8949" s="5"/>
    </row>
    <row r="8950" spans="1:1">
      <c r="A8950" s="5"/>
    </row>
    <row r="8951" spans="1:1">
      <c r="A8951" s="5"/>
    </row>
    <row r="8952" spans="1:1">
      <c r="A8952" s="5"/>
    </row>
    <row r="8953" spans="1:1">
      <c r="A8953" s="5"/>
    </row>
    <row r="8954" spans="1:1">
      <c r="A8954" s="5"/>
    </row>
    <row r="8955" spans="1:1">
      <c r="A8955" s="5"/>
    </row>
    <row r="8956" spans="1:1">
      <c r="A8956" s="5"/>
    </row>
    <row r="8957" spans="1:1">
      <c r="A8957" s="5"/>
    </row>
    <row r="8958" spans="1:1">
      <c r="A8958" s="5"/>
    </row>
    <row r="8959" spans="1:1">
      <c r="A8959" s="5"/>
    </row>
    <row r="8960" spans="1:1">
      <c r="A8960" s="5"/>
    </row>
    <row r="8961" spans="1:1">
      <c r="A8961" s="5"/>
    </row>
    <row r="8962" spans="1:1">
      <c r="A8962" s="5"/>
    </row>
    <row r="8963" spans="1:1">
      <c r="A8963" s="5"/>
    </row>
    <row r="8964" spans="1:1">
      <c r="A8964" s="5"/>
    </row>
    <row r="8965" spans="1:1">
      <c r="A8965" s="5"/>
    </row>
    <row r="8966" spans="1:1">
      <c r="A8966" s="5"/>
    </row>
    <row r="8967" spans="1:1">
      <c r="A8967" s="5"/>
    </row>
    <row r="8968" spans="1:1">
      <c r="A8968" s="5"/>
    </row>
    <row r="8969" spans="1:1">
      <c r="A8969" s="5"/>
    </row>
    <row r="8970" spans="1:1">
      <c r="A8970" s="5"/>
    </row>
    <row r="8971" spans="1:1">
      <c r="A8971" s="5"/>
    </row>
    <row r="8972" spans="1:1">
      <c r="A8972" s="5"/>
    </row>
    <row r="8973" spans="1:1">
      <c r="A8973" s="5"/>
    </row>
    <row r="8974" spans="1:1">
      <c r="A8974" s="5"/>
    </row>
    <row r="8975" spans="1:1">
      <c r="A8975" s="5"/>
    </row>
    <row r="8976" spans="1:1">
      <c r="A8976" s="5"/>
    </row>
    <row r="8977" spans="1:1">
      <c r="A8977" s="5"/>
    </row>
    <row r="8978" spans="1:1">
      <c r="A8978" s="5"/>
    </row>
    <row r="8979" spans="1:1">
      <c r="A8979" s="5"/>
    </row>
    <row r="8980" spans="1:1">
      <c r="A8980" s="5"/>
    </row>
    <row r="8981" spans="1:1">
      <c r="A8981" s="5"/>
    </row>
    <row r="8982" spans="1:1">
      <c r="A8982" s="5"/>
    </row>
    <row r="8983" spans="1:1">
      <c r="A8983" s="5"/>
    </row>
    <row r="8984" spans="1:1">
      <c r="A8984" s="5"/>
    </row>
    <row r="8985" spans="1:1">
      <c r="A8985" s="5"/>
    </row>
    <row r="8986" spans="1:1">
      <c r="A8986" s="5"/>
    </row>
    <row r="8987" spans="1:1">
      <c r="A8987" s="5"/>
    </row>
    <row r="8988" spans="1:1">
      <c r="A8988" s="5"/>
    </row>
    <row r="8989" spans="1:1">
      <c r="A8989" s="5"/>
    </row>
    <row r="8990" spans="1:1">
      <c r="A8990" s="5"/>
    </row>
    <row r="8991" spans="1:1">
      <c r="A8991" s="5"/>
    </row>
    <row r="8992" spans="1:1">
      <c r="A8992" s="5"/>
    </row>
    <row r="8993" spans="1:1">
      <c r="A8993" s="5"/>
    </row>
    <row r="8994" spans="1:1">
      <c r="A8994" s="5"/>
    </row>
    <row r="8995" spans="1:1">
      <c r="A8995" s="5"/>
    </row>
    <row r="8996" spans="1:1">
      <c r="A8996" s="5"/>
    </row>
    <row r="8997" spans="1:1">
      <c r="A8997" s="5"/>
    </row>
    <row r="8998" spans="1:1">
      <c r="A8998" s="5"/>
    </row>
    <row r="8999" spans="1:1">
      <c r="A8999" s="5"/>
    </row>
    <row r="9000" spans="1:1">
      <c r="A9000" s="5"/>
    </row>
    <row r="9001" spans="1:1">
      <c r="A9001" s="5"/>
    </row>
    <row r="9002" spans="1:1">
      <c r="A9002" s="5"/>
    </row>
    <row r="9003" spans="1:1">
      <c r="A9003" s="5"/>
    </row>
    <row r="9004" spans="1:1">
      <c r="A9004" s="5"/>
    </row>
    <row r="9005" spans="1:1">
      <c r="A9005" s="5"/>
    </row>
    <row r="9006" spans="1:1">
      <c r="A9006" s="5"/>
    </row>
    <row r="9007" spans="1:1">
      <c r="A9007" s="5"/>
    </row>
    <row r="9008" spans="1:1">
      <c r="A9008" s="5"/>
    </row>
    <row r="9009" spans="1:1">
      <c r="A9009" s="5"/>
    </row>
    <row r="9010" spans="1:1">
      <c r="A9010" s="5"/>
    </row>
    <row r="9011" spans="1:1">
      <c r="A9011" s="5"/>
    </row>
    <row r="9012" spans="1:1">
      <c r="A9012" s="5"/>
    </row>
    <row r="9013" spans="1:1">
      <c r="A9013" s="5"/>
    </row>
    <row r="9014" spans="1:1">
      <c r="A9014" s="5"/>
    </row>
    <row r="9015" spans="1:1">
      <c r="A9015" s="5"/>
    </row>
    <row r="9016" spans="1:1">
      <c r="A9016" s="5"/>
    </row>
    <row r="9017" spans="1:1">
      <c r="A9017" s="5"/>
    </row>
    <row r="9018" spans="1:1">
      <c r="A9018" s="5"/>
    </row>
    <row r="9019" spans="1:1">
      <c r="A9019" s="5"/>
    </row>
    <row r="9020" spans="1:1">
      <c r="A9020" s="5"/>
    </row>
    <row r="9021" spans="1:1">
      <c r="A9021" s="5"/>
    </row>
    <row r="9022" spans="1:1">
      <c r="A9022" s="5"/>
    </row>
    <row r="9023" spans="1:1">
      <c r="A9023" s="5"/>
    </row>
    <row r="9024" spans="1:1">
      <c r="A9024" s="5"/>
    </row>
    <row r="9025" spans="1:1">
      <c r="A9025" s="5"/>
    </row>
    <row r="9026" spans="1:1">
      <c r="A9026" s="5"/>
    </row>
    <row r="9027" spans="1:1">
      <c r="A9027" s="5"/>
    </row>
    <row r="9028" spans="1:1">
      <c r="A9028" s="5"/>
    </row>
    <row r="9029" spans="1:1">
      <c r="A9029" s="5"/>
    </row>
    <row r="9030" spans="1:1">
      <c r="A9030" s="5"/>
    </row>
    <row r="9031" spans="1:1">
      <c r="A9031" s="5"/>
    </row>
    <row r="9032" spans="1:1">
      <c r="A9032" s="5"/>
    </row>
    <row r="9033" spans="1:1">
      <c r="A9033" s="5"/>
    </row>
    <row r="9034" spans="1:1">
      <c r="A9034" s="5"/>
    </row>
    <row r="9035" spans="1:1">
      <c r="A9035" s="5"/>
    </row>
    <row r="9036" spans="1:1">
      <c r="A9036" s="5"/>
    </row>
    <row r="9037" spans="1:1">
      <c r="A9037" s="5"/>
    </row>
    <row r="9038" spans="1:1">
      <c r="A9038" s="5"/>
    </row>
    <row r="9039" spans="1:1">
      <c r="A9039" s="5"/>
    </row>
    <row r="9040" spans="1:1">
      <c r="A9040" s="5"/>
    </row>
    <row r="9041" spans="1:1">
      <c r="A9041" s="5"/>
    </row>
    <row r="9042" spans="1:1">
      <c r="A9042" s="5"/>
    </row>
    <row r="9043" spans="1:1">
      <c r="A9043" s="5"/>
    </row>
    <row r="9044" spans="1:1">
      <c r="A9044" s="5"/>
    </row>
    <row r="9045" spans="1:1">
      <c r="A9045" s="5"/>
    </row>
    <row r="9046" spans="1:1">
      <c r="A9046" s="5"/>
    </row>
    <row r="9047" spans="1:1">
      <c r="A9047" s="5"/>
    </row>
    <row r="9048" spans="1:1">
      <c r="A9048" s="5"/>
    </row>
    <row r="9049" spans="1:1">
      <c r="A9049" s="5"/>
    </row>
    <row r="9050" spans="1:1">
      <c r="A9050" s="5"/>
    </row>
    <row r="9051" spans="1:1">
      <c r="A9051" s="5"/>
    </row>
    <row r="9052" spans="1:1">
      <c r="A9052" s="5"/>
    </row>
    <row r="9053" spans="1:1">
      <c r="A9053" s="5"/>
    </row>
    <row r="9054" spans="1:1">
      <c r="A9054" s="5"/>
    </row>
    <row r="9055" spans="1:1">
      <c r="A9055" s="5"/>
    </row>
    <row r="9056" spans="1:1">
      <c r="A9056" s="5"/>
    </row>
    <row r="9057" spans="1:1">
      <c r="A9057" s="5"/>
    </row>
    <row r="9058" spans="1:1">
      <c r="A9058" s="5"/>
    </row>
    <row r="9059" spans="1:1">
      <c r="A9059" s="5"/>
    </row>
    <row r="9060" spans="1:1">
      <c r="A9060" s="5"/>
    </row>
    <row r="9061" spans="1:1">
      <c r="A9061" s="5"/>
    </row>
    <row r="9062" spans="1:1">
      <c r="A9062" s="5"/>
    </row>
    <row r="9063" spans="1:1">
      <c r="A9063" s="5"/>
    </row>
    <row r="9064" spans="1:1">
      <c r="A9064" s="5"/>
    </row>
    <row r="9065" spans="1:1">
      <c r="A9065" s="5"/>
    </row>
    <row r="9066" spans="1:1">
      <c r="A9066" s="5"/>
    </row>
    <row r="9067" spans="1:1">
      <c r="A9067" s="5"/>
    </row>
    <row r="9068" spans="1:1">
      <c r="A9068" s="5"/>
    </row>
    <row r="9069" spans="1:1">
      <c r="A9069" s="5"/>
    </row>
    <row r="9070" spans="1:1">
      <c r="A9070" s="5"/>
    </row>
    <row r="9071" spans="1:1">
      <c r="A9071" s="5"/>
    </row>
    <row r="9072" spans="1:1">
      <c r="A9072" s="5"/>
    </row>
    <row r="9073" spans="1:1">
      <c r="A9073" s="5"/>
    </row>
    <row r="9074" spans="1:1">
      <c r="A9074" s="5"/>
    </row>
    <row r="9075" spans="1:1">
      <c r="A9075" s="5"/>
    </row>
    <row r="9076" spans="1:1">
      <c r="A9076" s="5"/>
    </row>
    <row r="9077" spans="1:1">
      <c r="A9077" s="5"/>
    </row>
    <row r="9078" spans="1:1">
      <c r="A9078" s="5"/>
    </row>
    <row r="9079" spans="1:1">
      <c r="A9079" s="5"/>
    </row>
    <row r="9080" spans="1:1">
      <c r="A9080" s="5"/>
    </row>
    <row r="9081" spans="1:1">
      <c r="A9081" s="5"/>
    </row>
    <row r="9082" spans="1:1">
      <c r="A9082" s="5"/>
    </row>
    <row r="9083" spans="1:1">
      <c r="A9083" s="5"/>
    </row>
    <row r="9084" spans="1:1">
      <c r="A9084" s="5"/>
    </row>
    <row r="9085" spans="1:1">
      <c r="A9085" s="5"/>
    </row>
    <row r="9086" spans="1:1">
      <c r="A9086" s="5"/>
    </row>
    <row r="9087" spans="1:1">
      <c r="A9087" s="5"/>
    </row>
    <row r="9088" spans="1:1">
      <c r="A9088" s="5"/>
    </row>
    <row r="9089" spans="1:1">
      <c r="A9089" s="5"/>
    </row>
    <row r="9090" spans="1:1">
      <c r="A9090" s="5"/>
    </row>
    <row r="9091" spans="1:1">
      <c r="A9091" s="5"/>
    </row>
    <row r="9092" spans="1:1">
      <c r="A9092" s="5"/>
    </row>
    <row r="9093" spans="1:1">
      <c r="A9093" s="5"/>
    </row>
    <row r="9094" spans="1:1">
      <c r="A9094" s="5"/>
    </row>
    <row r="9095" spans="1:1">
      <c r="A9095" s="5"/>
    </row>
    <row r="9096" spans="1:1">
      <c r="A9096" s="5"/>
    </row>
    <row r="9097" spans="1:1">
      <c r="A9097" s="5"/>
    </row>
    <row r="9098" spans="1:1">
      <c r="A9098" s="5"/>
    </row>
    <row r="9099" spans="1:1">
      <c r="A9099" s="5"/>
    </row>
    <row r="9100" spans="1:1">
      <c r="A9100" s="5"/>
    </row>
    <row r="9101" spans="1:1">
      <c r="A9101" s="5"/>
    </row>
    <row r="9102" spans="1:1">
      <c r="A9102" s="5"/>
    </row>
    <row r="9103" spans="1:1">
      <c r="A9103" s="5"/>
    </row>
    <row r="9104" spans="1:1">
      <c r="A9104" s="5"/>
    </row>
    <row r="9105" spans="1:1">
      <c r="A9105" s="5"/>
    </row>
    <row r="9106" spans="1:1">
      <c r="A9106" s="5"/>
    </row>
    <row r="9107" spans="1:1">
      <c r="A9107" s="5"/>
    </row>
    <row r="9108" spans="1:1">
      <c r="A9108" s="5"/>
    </row>
    <row r="9109" spans="1:1">
      <c r="A9109" s="5"/>
    </row>
    <row r="9110" spans="1:1">
      <c r="A9110" s="5"/>
    </row>
    <row r="9111" spans="1:1">
      <c r="A9111" s="5"/>
    </row>
    <row r="9112" spans="1:1">
      <c r="A9112" s="5"/>
    </row>
    <row r="9113" spans="1:1">
      <c r="A9113" s="5"/>
    </row>
    <row r="9114" spans="1:1">
      <c r="A9114" s="5"/>
    </row>
    <row r="9115" spans="1:1">
      <c r="A9115" s="5"/>
    </row>
    <row r="9116" spans="1:1">
      <c r="A9116" s="5"/>
    </row>
    <row r="9117" spans="1:1">
      <c r="A9117" s="5"/>
    </row>
    <row r="9118" spans="1:1">
      <c r="A9118" s="5"/>
    </row>
    <row r="9119" spans="1:1">
      <c r="A9119" s="5"/>
    </row>
    <row r="9120" spans="1:1">
      <c r="A9120" s="5"/>
    </row>
    <row r="9121" spans="1:1">
      <c r="A9121" s="5"/>
    </row>
    <row r="9122" spans="1:1">
      <c r="A9122" s="5"/>
    </row>
    <row r="9123" spans="1:1">
      <c r="A9123" s="5"/>
    </row>
    <row r="9124" spans="1:1">
      <c r="A9124" s="5"/>
    </row>
    <row r="9125" spans="1:1">
      <c r="A9125" s="5"/>
    </row>
    <row r="9126" spans="1:1">
      <c r="A9126" s="5"/>
    </row>
    <row r="9127" spans="1:1">
      <c r="A9127" s="5"/>
    </row>
    <row r="9128" spans="1:1">
      <c r="A9128" s="5"/>
    </row>
    <row r="9129" spans="1:1">
      <c r="A9129" s="5"/>
    </row>
    <row r="9130" spans="1:1">
      <c r="A9130" s="5"/>
    </row>
    <row r="9131" spans="1:1">
      <c r="A9131" s="5"/>
    </row>
    <row r="9132" spans="1:1">
      <c r="A9132" s="5"/>
    </row>
    <row r="9133" spans="1:1">
      <c r="A9133" s="5"/>
    </row>
    <row r="9134" spans="1:1">
      <c r="A9134" s="5"/>
    </row>
    <row r="9135" spans="1:1">
      <c r="A9135" s="5"/>
    </row>
    <row r="9136" spans="1:1">
      <c r="A9136" s="5"/>
    </row>
    <row r="9137" spans="1:1">
      <c r="A9137" s="5"/>
    </row>
    <row r="9138" spans="1:1">
      <c r="A9138" s="5"/>
    </row>
    <row r="9139" spans="1:1">
      <c r="A9139" s="5"/>
    </row>
    <row r="9140" spans="1:1">
      <c r="A9140" s="5"/>
    </row>
    <row r="9141" spans="1:1">
      <c r="A9141" s="5"/>
    </row>
    <row r="9142" spans="1:1">
      <c r="A9142" s="5"/>
    </row>
    <row r="9143" spans="1:1">
      <c r="A9143" s="5"/>
    </row>
    <row r="9144" spans="1:1">
      <c r="A9144" s="5"/>
    </row>
    <row r="9145" spans="1:1">
      <c r="A9145" s="5"/>
    </row>
    <row r="9146" spans="1:1">
      <c r="A9146" s="5"/>
    </row>
    <row r="9147" spans="1:1">
      <c r="A9147" s="5"/>
    </row>
    <row r="9148" spans="1:1">
      <c r="A9148" s="5"/>
    </row>
    <row r="9149" spans="1:1">
      <c r="A9149" s="5"/>
    </row>
    <row r="9150" spans="1:1">
      <c r="A9150" s="5"/>
    </row>
    <row r="9151" spans="1:1">
      <c r="A9151" s="5"/>
    </row>
    <row r="9152" spans="1:1">
      <c r="A9152" s="5"/>
    </row>
    <row r="9153" spans="1:1">
      <c r="A9153" s="5"/>
    </row>
    <row r="9154" spans="1:1">
      <c r="A9154" s="5"/>
    </row>
    <row r="9155" spans="1:1">
      <c r="A9155" s="5"/>
    </row>
    <row r="9156" spans="1:1">
      <c r="A9156" s="5"/>
    </row>
    <row r="9157" spans="1:1">
      <c r="A9157" s="5"/>
    </row>
    <row r="9158" spans="1:1">
      <c r="A9158" s="5"/>
    </row>
    <row r="9159" spans="1:1">
      <c r="A9159" s="5"/>
    </row>
    <row r="9160" spans="1:1">
      <c r="A9160" s="5"/>
    </row>
    <row r="9161" spans="1:1">
      <c r="A9161" s="5"/>
    </row>
    <row r="9162" spans="1:1">
      <c r="A9162" s="5"/>
    </row>
    <row r="9163" spans="1:1">
      <c r="A9163" s="5"/>
    </row>
    <row r="9164" spans="1:1">
      <c r="A9164" s="5"/>
    </row>
    <row r="9165" spans="1:1">
      <c r="A9165" s="5"/>
    </row>
    <row r="9166" spans="1:1">
      <c r="A9166" s="5"/>
    </row>
    <row r="9167" spans="1:1">
      <c r="A9167" s="5"/>
    </row>
    <row r="9168" spans="1:1">
      <c r="A9168" s="5"/>
    </row>
    <row r="9169" spans="1:1">
      <c r="A9169" s="5"/>
    </row>
    <row r="9170" spans="1:1">
      <c r="A9170" s="5"/>
    </row>
    <row r="9171" spans="1:1">
      <c r="A9171" s="5"/>
    </row>
    <row r="9172" spans="1:1">
      <c r="A9172" s="5"/>
    </row>
    <row r="9173" spans="1:1">
      <c r="A9173" s="5"/>
    </row>
    <row r="9174" spans="1:1">
      <c r="A9174" s="5"/>
    </row>
    <row r="9175" spans="1:1">
      <c r="A9175" s="5"/>
    </row>
    <row r="9176" spans="1:1">
      <c r="A9176" s="5"/>
    </row>
    <row r="9177" spans="1:1">
      <c r="A9177" s="5"/>
    </row>
    <row r="9178" spans="1:1">
      <c r="A9178" s="5"/>
    </row>
    <row r="9179" spans="1:1">
      <c r="A9179" s="5"/>
    </row>
    <row r="9180" spans="1:1">
      <c r="A9180" s="5"/>
    </row>
    <row r="9181" spans="1:1">
      <c r="A9181" s="5"/>
    </row>
    <row r="9182" spans="1:1">
      <c r="A9182" s="5"/>
    </row>
    <row r="9183" spans="1:1">
      <c r="A9183" s="5"/>
    </row>
    <row r="9184" spans="1:1">
      <c r="A9184" s="5"/>
    </row>
    <row r="9185" spans="1:1">
      <c r="A9185" s="5"/>
    </row>
    <row r="9186" spans="1:1">
      <c r="A9186" s="5"/>
    </row>
    <row r="9187" spans="1:1">
      <c r="A9187" s="5"/>
    </row>
    <row r="9188" spans="1:1">
      <c r="A9188" s="5"/>
    </row>
    <row r="9189" spans="1:1">
      <c r="A9189" s="5"/>
    </row>
    <row r="9190" spans="1:1">
      <c r="A9190" s="5"/>
    </row>
    <row r="9191" spans="1:1">
      <c r="A9191" s="5"/>
    </row>
    <row r="9192" spans="1:1">
      <c r="A9192" s="5"/>
    </row>
    <row r="9193" spans="1:1">
      <c r="A9193" s="5"/>
    </row>
    <row r="9194" spans="1:1">
      <c r="A9194" s="5"/>
    </row>
    <row r="9195" spans="1:1">
      <c r="A9195" s="5"/>
    </row>
    <row r="9196" spans="1:1">
      <c r="A9196" s="5"/>
    </row>
    <row r="9197" spans="1:1">
      <c r="A9197" s="5"/>
    </row>
    <row r="9198" spans="1:1">
      <c r="A9198" s="5"/>
    </row>
    <row r="9199" spans="1:1">
      <c r="A9199" s="5"/>
    </row>
    <row r="9200" spans="1:1">
      <c r="A9200" s="5"/>
    </row>
    <row r="9201" spans="1:1">
      <c r="A9201" s="5"/>
    </row>
    <row r="9202" spans="1:1">
      <c r="A9202" s="5"/>
    </row>
    <row r="9203" spans="1:1">
      <c r="A9203" s="5"/>
    </row>
    <row r="9204" spans="1:1">
      <c r="A9204" s="5"/>
    </row>
    <row r="9205" spans="1:1">
      <c r="A9205" s="5"/>
    </row>
    <row r="9206" spans="1:1">
      <c r="A9206" s="5"/>
    </row>
    <row r="9207" spans="1:1">
      <c r="A9207" s="5"/>
    </row>
    <row r="9208" spans="1:1">
      <c r="A9208" s="5"/>
    </row>
    <row r="9209" spans="1:1">
      <c r="A9209" s="5"/>
    </row>
    <row r="9210" spans="1:1">
      <c r="A9210" s="5"/>
    </row>
    <row r="9211" spans="1:1">
      <c r="A9211" s="5"/>
    </row>
    <row r="9212" spans="1:1">
      <c r="A9212" s="5"/>
    </row>
    <row r="9213" spans="1:1">
      <c r="A9213" s="5"/>
    </row>
    <row r="9214" spans="1:1">
      <c r="A9214" s="5"/>
    </row>
    <row r="9215" spans="1:1">
      <c r="A9215" s="5"/>
    </row>
    <row r="9216" spans="1:1">
      <c r="A9216" s="5"/>
    </row>
    <row r="9217" spans="1:1">
      <c r="A9217" s="5"/>
    </row>
    <row r="9218" spans="1:1">
      <c r="A9218" s="5"/>
    </row>
    <row r="9219" spans="1:1">
      <c r="A9219" s="5"/>
    </row>
    <row r="9220" spans="1:1">
      <c r="A9220" s="5"/>
    </row>
    <row r="9221" spans="1:1">
      <c r="A9221" s="5"/>
    </row>
    <row r="9222" spans="1:1">
      <c r="A9222" s="5"/>
    </row>
    <row r="9223" spans="1:1">
      <c r="A9223" s="5"/>
    </row>
    <row r="9224" spans="1:1">
      <c r="A9224" s="5"/>
    </row>
    <row r="9225" spans="1:1">
      <c r="A9225" s="5"/>
    </row>
    <row r="9226" spans="1:1">
      <c r="A9226" s="5"/>
    </row>
    <row r="9227" spans="1:1">
      <c r="A9227" s="5"/>
    </row>
    <row r="9228" spans="1:1">
      <c r="A9228" s="5"/>
    </row>
    <row r="9229" spans="1:1">
      <c r="A9229" s="5"/>
    </row>
    <row r="9230" spans="1:1">
      <c r="A9230" s="5"/>
    </row>
    <row r="9231" spans="1:1">
      <c r="A9231" s="5"/>
    </row>
    <row r="9232" spans="1:1">
      <c r="A9232" s="5"/>
    </row>
    <row r="9233" spans="1:1">
      <c r="A9233" s="5"/>
    </row>
    <row r="9234" spans="1:1">
      <c r="A9234" s="5"/>
    </row>
    <row r="9235" spans="1:1">
      <c r="A9235" s="5"/>
    </row>
    <row r="9236" spans="1:1">
      <c r="A9236" s="5"/>
    </row>
    <row r="9237" spans="1:1">
      <c r="A9237" s="5"/>
    </row>
    <row r="9238" spans="1:1">
      <c r="A9238" s="5"/>
    </row>
    <row r="9239" spans="1:1">
      <c r="A9239" s="5"/>
    </row>
    <row r="9240" spans="1:1">
      <c r="A9240" s="5"/>
    </row>
    <row r="9241" spans="1:1">
      <c r="A9241" s="5"/>
    </row>
    <row r="9242" spans="1:1">
      <c r="A9242" s="5"/>
    </row>
    <row r="9243" spans="1:1">
      <c r="A9243" s="5"/>
    </row>
    <row r="9244" spans="1:1">
      <c r="A9244" s="5"/>
    </row>
    <row r="9245" spans="1:1">
      <c r="A9245" s="5"/>
    </row>
    <row r="9246" spans="1:1">
      <c r="A9246" s="5"/>
    </row>
    <row r="9247" spans="1:1">
      <c r="A9247" s="5"/>
    </row>
    <row r="9248" spans="1:1">
      <c r="A9248" s="5"/>
    </row>
    <row r="9249" spans="1:1">
      <c r="A9249" s="5"/>
    </row>
    <row r="9250" spans="1:1">
      <c r="A9250" s="5"/>
    </row>
    <row r="9251" spans="1:1">
      <c r="A9251" s="5"/>
    </row>
    <row r="9252" spans="1:1">
      <c r="A9252" s="5"/>
    </row>
    <row r="9253" spans="1:1">
      <c r="A9253" s="5"/>
    </row>
    <row r="9254" spans="1:1">
      <c r="A9254" s="5"/>
    </row>
    <row r="9255" spans="1:1">
      <c r="A9255" s="5"/>
    </row>
    <row r="9256" spans="1:1">
      <c r="A9256" s="5"/>
    </row>
    <row r="9257" spans="1:1">
      <c r="A9257" s="5"/>
    </row>
    <row r="9258" spans="1:1">
      <c r="A9258" s="5"/>
    </row>
    <row r="9259" spans="1:1">
      <c r="A9259" s="5"/>
    </row>
    <row r="9260" spans="1:1">
      <c r="A9260" s="5"/>
    </row>
    <row r="9261" spans="1:1">
      <c r="A9261" s="5"/>
    </row>
    <row r="9262" spans="1:1">
      <c r="A9262" s="5"/>
    </row>
    <row r="9263" spans="1:1">
      <c r="A9263" s="5"/>
    </row>
    <row r="9264" spans="1:1">
      <c r="A9264" s="5"/>
    </row>
    <row r="9265" spans="1:1">
      <c r="A9265" s="5"/>
    </row>
    <row r="9266" spans="1:1">
      <c r="A9266" s="5"/>
    </row>
    <row r="9267" spans="1:1">
      <c r="A9267" s="5"/>
    </row>
    <row r="9268" spans="1:1">
      <c r="A9268" s="5"/>
    </row>
    <row r="9269" spans="1:1">
      <c r="A9269" s="5"/>
    </row>
    <row r="9270" spans="1:1">
      <c r="A9270" s="5"/>
    </row>
    <row r="9271" spans="1:1">
      <c r="A9271" s="5"/>
    </row>
    <row r="9272" spans="1:1">
      <c r="A9272" s="5"/>
    </row>
    <row r="9273" spans="1:1">
      <c r="A9273" s="5"/>
    </row>
    <row r="9274" spans="1:1">
      <c r="A9274" s="5"/>
    </row>
    <row r="9275" spans="1:1">
      <c r="A9275" s="5"/>
    </row>
    <row r="9276" spans="1:1">
      <c r="A9276" s="5"/>
    </row>
    <row r="9277" spans="1:1">
      <c r="A9277" s="5"/>
    </row>
    <row r="9278" spans="1:1">
      <c r="A9278" s="5"/>
    </row>
    <row r="9279" spans="1:1">
      <c r="A9279" s="5"/>
    </row>
    <row r="9280" spans="1:1">
      <c r="A9280" s="5"/>
    </row>
    <row r="9281" spans="1:1">
      <c r="A9281" s="5"/>
    </row>
    <row r="9282" spans="1:1">
      <c r="A9282" s="5"/>
    </row>
    <row r="9283" spans="1:1">
      <c r="A9283" s="5"/>
    </row>
    <row r="9284" spans="1:1">
      <c r="A9284" s="5"/>
    </row>
    <row r="9285" spans="1:1">
      <c r="A9285" s="5"/>
    </row>
    <row r="9286" spans="1:1">
      <c r="A9286" s="5"/>
    </row>
    <row r="9287" spans="1:1">
      <c r="A9287" s="5"/>
    </row>
    <row r="9288" spans="1:1">
      <c r="A9288" s="5"/>
    </row>
    <row r="9289" spans="1:1">
      <c r="A9289" s="5"/>
    </row>
    <row r="9290" spans="1:1">
      <c r="A9290" s="5"/>
    </row>
    <row r="9291" spans="1:1">
      <c r="A9291" s="5"/>
    </row>
    <row r="9292" spans="1:1">
      <c r="A9292" s="5"/>
    </row>
    <row r="9293" spans="1:1">
      <c r="A9293" s="5"/>
    </row>
    <row r="9294" spans="1:1">
      <c r="A9294" s="5"/>
    </row>
    <row r="9295" spans="1:1">
      <c r="A9295" s="5"/>
    </row>
    <row r="9296" spans="1:1">
      <c r="A9296" s="5"/>
    </row>
    <row r="9297" spans="1:1">
      <c r="A9297" s="5"/>
    </row>
    <row r="9298" spans="1:1">
      <c r="A9298" s="5"/>
    </row>
    <row r="9299" spans="1:1">
      <c r="A9299" s="5"/>
    </row>
    <row r="9300" spans="1:1">
      <c r="A9300" s="5"/>
    </row>
    <row r="9301" spans="1:1">
      <c r="A9301" s="5"/>
    </row>
    <row r="9302" spans="1:1">
      <c r="A9302" s="5"/>
    </row>
    <row r="9303" spans="1:1">
      <c r="A9303" s="5"/>
    </row>
    <row r="9304" spans="1:1">
      <c r="A9304" s="5"/>
    </row>
    <row r="9305" spans="1:1">
      <c r="A9305" s="5"/>
    </row>
    <row r="9306" spans="1:1">
      <c r="A9306" s="5"/>
    </row>
    <row r="9307" spans="1:1">
      <c r="A9307" s="5"/>
    </row>
    <row r="9308" spans="1:1">
      <c r="A9308" s="5"/>
    </row>
    <row r="9309" spans="1:1">
      <c r="A9309" s="5"/>
    </row>
    <row r="9310" spans="1:1">
      <c r="A9310" s="5"/>
    </row>
    <row r="9311" spans="1:1">
      <c r="A9311" s="5"/>
    </row>
    <row r="9312" spans="1:1">
      <c r="A9312" s="5"/>
    </row>
    <row r="9313" spans="1:1">
      <c r="A9313" s="5"/>
    </row>
    <row r="9314" spans="1:1">
      <c r="A9314" s="5"/>
    </row>
    <row r="9315" spans="1:1">
      <c r="A9315" s="5"/>
    </row>
    <row r="9316" spans="1:1">
      <c r="A9316" s="5"/>
    </row>
    <row r="9317" spans="1:1">
      <c r="A9317" s="5"/>
    </row>
    <row r="9318" spans="1:1">
      <c r="A9318" s="5"/>
    </row>
    <row r="9319" spans="1:1">
      <c r="A9319" s="5"/>
    </row>
    <row r="9320" spans="1:1">
      <c r="A9320" s="5"/>
    </row>
    <row r="9321" spans="1:1">
      <c r="A9321" s="5"/>
    </row>
    <row r="9322" spans="1:1">
      <c r="A9322" s="5"/>
    </row>
    <row r="9323" spans="1:1">
      <c r="A9323" s="5"/>
    </row>
    <row r="9324" spans="1:1">
      <c r="A9324" s="5"/>
    </row>
    <row r="9325" spans="1:1">
      <c r="A9325" s="5"/>
    </row>
    <row r="9326" spans="1:1">
      <c r="A9326" s="5"/>
    </row>
    <row r="9327" spans="1:1">
      <c r="A9327" s="5"/>
    </row>
    <row r="9328" spans="1:1">
      <c r="A9328" s="5"/>
    </row>
    <row r="9329" spans="1:1">
      <c r="A9329" s="5"/>
    </row>
    <row r="9330" spans="1:1">
      <c r="A9330" s="5"/>
    </row>
    <row r="9331" spans="1:1">
      <c r="A9331" s="5"/>
    </row>
    <row r="9332" spans="1:1">
      <c r="A9332" s="5"/>
    </row>
    <row r="9333" spans="1:1">
      <c r="A9333" s="5"/>
    </row>
    <row r="9334" spans="1:1">
      <c r="A9334" s="5"/>
    </row>
    <row r="9335" spans="1:1">
      <c r="A9335" s="5"/>
    </row>
    <row r="9336" spans="1:1">
      <c r="A9336" s="5"/>
    </row>
    <row r="9337" spans="1:1">
      <c r="A9337" s="5"/>
    </row>
    <row r="9338" spans="1:1">
      <c r="A9338" s="5"/>
    </row>
    <row r="9339" spans="1:1">
      <c r="A9339" s="5"/>
    </row>
    <row r="9340" spans="1:1">
      <c r="A9340" s="5"/>
    </row>
    <row r="9341" spans="1:1">
      <c r="A9341" s="5"/>
    </row>
    <row r="9342" spans="1:1">
      <c r="A9342" s="5"/>
    </row>
    <row r="9343" spans="1:1">
      <c r="A9343" s="5"/>
    </row>
    <row r="9344" spans="1:1">
      <c r="A9344" s="5"/>
    </row>
    <row r="9345" spans="1:1">
      <c r="A9345" s="5"/>
    </row>
    <row r="9346" spans="1:1">
      <c r="A9346" s="5"/>
    </row>
    <row r="9347" spans="1:1">
      <c r="A9347" s="5"/>
    </row>
    <row r="9348" spans="1:1">
      <c r="A9348" s="5"/>
    </row>
    <row r="9349" spans="1:1">
      <c r="A9349" s="5"/>
    </row>
    <row r="9350" spans="1:1">
      <c r="A9350" s="5"/>
    </row>
    <row r="9351" spans="1:1">
      <c r="A9351" s="5"/>
    </row>
    <row r="9352" spans="1:1">
      <c r="A9352" s="5"/>
    </row>
    <row r="9353" spans="1:1">
      <c r="A9353" s="5"/>
    </row>
    <row r="9354" spans="1:1">
      <c r="A9354" s="5"/>
    </row>
    <row r="9355" spans="1:1">
      <c r="A9355" s="5"/>
    </row>
    <row r="9356" spans="1:1">
      <c r="A9356" s="5"/>
    </row>
    <row r="9357" spans="1:1">
      <c r="A9357" s="5"/>
    </row>
    <row r="9358" spans="1:1">
      <c r="A9358" s="5"/>
    </row>
    <row r="9359" spans="1:1">
      <c r="A9359" s="5"/>
    </row>
    <row r="9360" spans="1:1">
      <c r="A9360" s="5"/>
    </row>
    <row r="9361" spans="1:1">
      <c r="A9361" s="5"/>
    </row>
    <row r="9362" spans="1:1">
      <c r="A9362" s="5"/>
    </row>
    <row r="9363" spans="1:1">
      <c r="A9363" s="5"/>
    </row>
    <row r="9364" spans="1:1">
      <c r="A9364" s="5"/>
    </row>
    <row r="9365" spans="1:1">
      <c r="A9365" s="5"/>
    </row>
    <row r="9366" spans="1:1">
      <c r="A9366" s="5"/>
    </row>
    <row r="9367" spans="1:1">
      <c r="A9367" s="5"/>
    </row>
    <row r="9368" spans="1:1">
      <c r="A9368" s="5"/>
    </row>
    <row r="9369" spans="1:1">
      <c r="A9369" s="5"/>
    </row>
    <row r="9370" spans="1:1">
      <c r="A9370" s="5"/>
    </row>
    <row r="9371" spans="1:1">
      <c r="A9371" s="5"/>
    </row>
    <row r="9372" spans="1:1">
      <c r="A9372" s="5"/>
    </row>
    <row r="9373" spans="1:1">
      <c r="A9373" s="5"/>
    </row>
    <row r="9374" spans="1:1">
      <c r="A9374" s="5"/>
    </row>
    <row r="9375" spans="1:1">
      <c r="A9375" s="5"/>
    </row>
    <row r="9376" spans="1:1">
      <c r="A9376" s="5"/>
    </row>
    <row r="9377" spans="1:1">
      <c r="A9377" s="5"/>
    </row>
    <row r="9378" spans="1:1">
      <c r="A9378" s="5"/>
    </row>
    <row r="9379" spans="1:1">
      <c r="A9379" s="5"/>
    </row>
    <row r="9380" spans="1:1">
      <c r="A9380" s="5"/>
    </row>
    <row r="9381" spans="1:1">
      <c r="A9381" s="5"/>
    </row>
    <row r="9382" spans="1:1">
      <c r="A9382" s="5"/>
    </row>
    <row r="9383" spans="1:1">
      <c r="A9383" s="5"/>
    </row>
    <row r="9384" spans="1:1">
      <c r="A9384" s="5"/>
    </row>
    <row r="9385" spans="1:1">
      <c r="A9385" s="5"/>
    </row>
    <row r="9386" spans="1:1">
      <c r="A9386" s="5"/>
    </row>
    <row r="9387" spans="1:1">
      <c r="A9387" s="5"/>
    </row>
    <row r="9388" spans="1:1">
      <c r="A9388" s="5"/>
    </row>
    <row r="9389" spans="1:1">
      <c r="A9389" s="5"/>
    </row>
    <row r="9390" spans="1:1">
      <c r="A9390" s="5"/>
    </row>
    <row r="9391" spans="1:1">
      <c r="A9391" s="5"/>
    </row>
    <row r="9392" spans="1:1">
      <c r="A9392" s="5"/>
    </row>
    <row r="9393" spans="1:1">
      <c r="A9393" s="5"/>
    </row>
    <row r="9394" spans="1:1">
      <c r="A9394" s="5"/>
    </row>
    <row r="9395" spans="1:1">
      <c r="A9395" s="5"/>
    </row>
    <row r="9396" spans="1:1">
      <c r="A9396" s="5"/>
    </row>
    <row r="9397" spans="1:1">
      <c r="A9397" s="5"/>
    </row>
    <row r="9398" spans="1:1">
      <c r="A9398" s="5"/>
    </row>
    <row r="9399" spans="1:1">
      <c r="A9399" s="5"/>
    </row>
    <row r="9400" spans="1:1">
      <c r="A9400" s="5"/>
    </row>
    <row r="9401" spans="1:1">
      <c r="A9401" s="5"/>
    </row>
    <row r="9402" spans="1:1">
      <c r="A9402" s="5"/>
    </row>
    <row r="9403" spans="1:1">
      <c r="A9403" s="5"/>
    </row>
    <row r="9404" spans="1:1">
      <c r="A9404" s="5"/>
    </row>
    <row r="9405" spans="1:1">
      <c r="A9405" s="5"/>
    </row>
    <row r="9406" spans="1:1">
      <c r="A9406" s="5"/>
    </row>
    <row r="9407" spans="1:1">
      <c r="A9407" s="5"/>
    </row>
    <row r="9408" spans="1:1">
      <c r="A9408" s="5"/>
    </row>
    <row r="9409" spans="1:1">
      <c r="A9409" s="5"/>
    </row>
    <row r="9410" spans="1:1">
      <c r="A9410" s="5"/>
    </row>
    <row r="9411" spans="1:1">
      <c r="A9411" s="5"/>
    </row>
    <row r="9412" spans="1:1">
      <c r="A9412" s="5"/>
    </row>
    <row r="9413" spans="1:1">
      <c r="A9413" s="5"/>
    </row>
    <row r="9414" spans="1:1">
      <c r="A9414" s="5"/>
    </row>
    <row r="9415" spans="1:1">
      <c r="A9415" s="5"/>
    </row>
    <row r="9416" spans="1:1">
      <c r="A9416" s="5"/>
    </row>
    <row r="9417" spans="1:1">
      <c r="A9417" s="5"/>
    </row>
    <row r="9418" spans="1:1">
      <c r="A9418" s="5"/>
    </row>
    <row r="9419" spans="1:1">
      <c r="A9419" s="5"/>
    </row>
    <row r="9420" spans="1:1">
      <c r="A9420" s="5"/>
    </row>
    <row r="9421" spans="1:1">
      <c r="A9421" s="5"/>
    </row>
    <row r="9422" spans="1:1">
      <c r="A9422" s="5"/>
    </row>
    <row r="9423" spans="1:1">
      <c r="A9423" s="5"/>
    </row>
    <row r="9424" spans="1:1">
      <c r="A9424" s="5"/>
    </row>
    <row r="9425" spans="1:1">
      <c r="A9425" s="5"/>
    </row>
    <row r="9426" spans="1:1">
      <c r="A9426" s="5"/>
    </row>
    <row r="9427" spans="1:1">
      <c r="A9427" s="5"/>
    </row>
    <row r="9428" spans="1:1">
      <c r="A9428" s="5"/>
    </row>
    <row r="9429" spans="1:1">
      <c r="A9429" s="5"/>
    </row>
    <row r="9430" spans="1:1">
      <c r="A9430" s="5"/>
    </row>
    <row r="9431" spans="1:1">
      <c r="A9431" s="5"/>
    </row>
    <row r="9432" spans="1:1">
      <c r="A9432" s="5"/>
    </row>
    <row r="9433" spans="1:1">
      <c r="A9433" s="5"/>
    </row>
    <row r="9434" spans="1:1">
      <c r="A9434" s="5"/>
    </row>
    <row r="9435" spans="1:1">
      <c r="A9435" s="5"/>
    </row>
    <row r="9436" spans="1:1">
      <c r="A9436" s="5"/>
    </row>
    <row r="9437" spans="1:1">
      <c r="A9437" s="5"/>
    </row>
    <row r="9438" spans="1:1">
      <c r="A9438" s="5"/>
    </row>
    <row r="9439" spans="1:1">
      <c r="A9439" s="5"/>
    </row>
    <row r="9440" spans="1:1">
      <c r="A9440" s="5"/>
    </row>
    <row r="9441" spans="1:1">
      <c r="A9441" s="5"/>
    </row>
    <row r="9442" spans="1:1">
      <c r="A9442" s="5"/>
    </row>
    <row r="9443" spans="1:1">
      <c r="A9443" s="5"/>
    </row>
    <row r="9444" spans="1:1">
      <c r="A9444" s="5"/>
    </row>
    <row r="9445" spans="1:1">
      <c r="A9445" s="5"/>
    </row>
    <row r="9446" spans="1:1">
      <c r="A9446" s="5"/>
    </row>
    <row r="9447" spans="1:1">
      <c r="A9447" s="5"/>
    </row>
    <row r="9448" spans="1:1">
      <c r="A9448" s="5"/>
    </row>
    <row r="9449" spans="1:1">
      <c r="A9449" s="5"/>
    </row>
    <row r="9450" spans="1:1">
      <c r="A9450" s="5"/>
    </row>
    <row r="9451" spans="1:1">
      <c r="A9451" s="5"/>
    </row>
    <row r="9452" spans="1:1">
      <c r="A9452" s="5"/>
    </row>
    <row r="9453" spans="1:1">
      <c r="A9453" s="5"/>
    </row>
    <row r="9454" spans="1:1">
      <c r="A9454" s="5"/>
    </row>
    <row r="9455" spans="1:1">
      <c r="A9455" s="5"/>
    </row>
    <row r="9456" spans="1:1">
      <c r="A9456" s="5"/>
    </row>
    <row r="9457" spans="1:1">
      <c r="A9457" s="5"/>
    </row>
    <row r="9458" spans="1:1">
      <c r="A9458" s="5"/>
    </row>
    <row r="9459" spans="1:1">
      <c r="A9459" s="5"/>
    </row>
    <row r="9460" spans="1:1">
      <c r="A9460" s="5"/>
    </row>
    <row r="9461" spans="1:1">
      <c r="A9461" s="5"/>
    </row>
    <row r="9462" spans="1:1">
      <c r="A9462" s="5"/>
    </row>
    <row r="9463" spans="1:1">
      <c r="A9463" s="5"/>
    </row>
    <row r="9464" spans="1:1">
      <c r="A9464" s="5"/>
    </row>
    <row r="9465" spans="1:1">
      <c r="A9465" s="5"/>
    </row>
    <row r="9466" spans="1:1">
      <c r="A9466" s="5"/>
    </row>
    <row r="9467" spans="1:1">
      <c r="A9467" s="5"/>
    </row>
    <row r="9468" spans="1:1">
      <c r="A9468" s="5"/>
    </row>
    <row r="9469" spans="1:1">
      <c r="A9469" s="5"/>
    </row>
    <row r="9470" spans="1:1">
      <c r="A9470" s="5"/>
    </row>
    <row r="9471" spans="1:1">
      <c r="A9471" s="5"/>
    </row>
    <row r="9472" spans="1:1">
      <c r="A9472" s="5"/>
    </row>
    <row r="9473" spans="1:1">
      <c r="A9473" s="5"/>
    </row>
    <row r="9474" spans="1:1">
      <c r="A9474" s="5"/>
    </row>
    <row r="9475" spans="1:1">
      <c r="A9475" s="5"/>
    </row>
    <row r="9476" spans="1:1">
      <c r="A9476" s="5"/>
    </row>
    <row r="9477" spans="1:1">
      <c r="A9477" s="5"/>
    </row>
    <row r="9478" spans="1:1">
      <c r="A9478" s="5"/>
    </row>
    <row r="9479" spans="1:1">
      <c r="A9479" s="5"/>
    </row>
    <row r="9480" spans="1:1">
      <c r="A9480" s="5"/>
    </row>
    <row r="9481" spans="1:1">
      <c r="A9481" s="5"/>
    </row>
    <row r="9482" spans="1:1">
      <c r="A9482" s="5"/>
    </row>
    <row r="9483" spans="1:1">
      <c r="A9483" s="5"/>
    </row>
    <row r="9484" spans="1:1">
      <c r="A9484" s="5"/>
    </row>
    <row r="9485" spans="1:1">
      <c r="A9485" s="5"/>
    </row>
    <row r="9486" spans="1:1">
      <c r="A9486" s="5"/>
    </row>
    <row r="9487" spans="1:1">
      <c r="A9487" s="5"/>
    </row>
    <row r="9488" spans="1:1">
      <c r="A9488" s="5"/>
    </row>
    <row r="9489" spans="1:1">
      <c r="A9489" s="5"/>
    </row>
    <row r="9490" spans="1:1">
      <c r="A9490" s="5"/>
    </row>
    <row r="9491" spans="1:1">
      <c r="A9491" s="5"/>
    </row>
    <row r="9492" spans="1:1">
      <c r="A9492" s="5"/>
    </row>
    <row r="9493" spans="1:1">
      <c r="A9493" s="5"/>
    </row>
    <row r="9494" spans="1:1">
      <c r="A9494" s="5"/>
    </row>
    <row r="9495" spans="1:1">
      <c r="A9495" s="5"/>
    </row>
    <row r="9496" spans="1:1">
      <c r="A9496" s="5"/>
    </row>
    <row r="9497" spans="1:1">
      <c r="A9497" s="5"/>
    </row>
    <row r="9498" spans="1:1">
      <c r="A9498" s="5"/>
    </row>
    <row r="9499" spans="1:1">
      <c r="A9499" s="5"/>
    </row>
    <row r="9500" spans="1:1">
      <c r="A9500" s="5"/>
    </row>
    <row r="9501" spans="1:1">
      <c r="A9501" s="5"/>
    </row>
    <row r="9502" spans="1:1">
      <c r="A9502" s="5"/>
    </row>
    <row r="9503" spans="1:1">
      <c r="A9503" s="5"/>
    </row>
    <row r="9504" spans="1:1">
      <c r="A9504" s="5"/>
    </row>
    <row r="9505" spans="1:1">
      <c r="A9505" s="5"/>
    </row>
    <row r="9506" spans="1:1">
      <c r="A9506" s="5"/>
    </row>
    <row r="9507" spans="1:1">
      <c r="A9507" s="5"/>
    </row>
    <row r="9508" spans="1:1">
      <c r="A9508" s="5"/>
    </row>
    <row r="9509" spans="1:1">
      <c r="A9509" s="5"/>
    </row>
    <row r="9510" spans="1:1">
      <c r="A9510" s="5"/>
    </row>
    <row r="9511" spans="1:1">
      <c r="A9511" s="5"/>
    </row>
    <row r="9512" spans="1:1">
      <c r="A9512" s="5"/>
    </row>
    <row r="9513" spans="1:1">
      <c r="A9513" s="5"/>
    </row>
    <row r="9514" spans="1:1">
      <c r="A9514" s="5"/>
    </row>
    <row r="9515" spans="1:1">
      <c r="A9515" s="5"/>
    </row>
    <row r="9516" spans="1:1">
      <c r="A9516" s="5"/>
    </row>
    <row r="9517" spans="1:1">
      <c r="A9517" s="5"/>
    </row>
    <row r="9518" spans="1:1">
      <c r="A9518" s="5"/>
    </row>
    <row r="9519" spans="1:1">
      <c r="A9519" s="5"/>
    </row>
    <row r="9520" spans="1:1">
      <c r="A9520" s="5"/>
    </row>
    <row r="9521" spans="1:1">
      <c r="A9521" s="5"/>
    </row>
    <row r="9522" spans="1:1">
      <c r="A9522" s="5"/>
    </row>
    <row r="9523" spans="1:1">
      <c r="A9523" s="5"/>
    </row>
    <row r="9524" spans="1:1">
      <c r="A9524" s="5"/>
    </row>
    <row r="9525" spans="1:1">
      <c r="A9525" s="5"/>
    </row>
    <row r="9526" spans="1:1">
      <c r="A9526" s="5"/>
    </row>
    <row r="9527" spans="1:1">
      <c r="A9527" s="5"/>
    </row>
    <row r="9528" spans="1:1">
      <c r="A9528" s="5"/>
    </row>
    <row r="9529" spans="1:1">
      <c r="A9529" s="5"/>
    </row>
    <row r="9530" spans="1:1">
      <c r="A9530" s="5"/>
    </row>
    <row r="9531" spans="1:1">
      <c r="A9531" s="5"/>
    </row>
    <row r="9532" spans="1:1">
      <c r="A9532" s="5"/>
    </row>
    <row r="9533" spans="1:1">
      <c r="A9533" s="5"/>
    </row>
    <row r="9534" spans="1:1">
      <c r="A9534" s="5"/>
    </row>
    <row r="9535" spans="1:1">
      <c r="A9535" s="5"/>
    </row>
    <row r="9536" spans="1:1">
      <c r="A9536" s="5"/>
    </row>
    <row r="9537" spans="1:1">
      <c r="A9537" s="5"/>
    </row>
    <row r="9538" spans="1:1">
      <c r="A9538" s="5"/>
    </row>
    <row r="9539" spans="1:1">
      <c r="A9539" s="5"/>
    </row>
    <row r="9540" spans="1:1">
      <c r="A9540" s="5"/>
    </row>
    <row r="9541" spans="1:1">
      <c r="A9541" s="5"/>
    </row>
    <row r="9542" spans="1:1">
      <c r="A9542" s="5"/>
    </row>
    <row r="9543" spans="1:1">
      <c r="A9543" s="5"/>
    </row>
    <row r="9544" spans="1:1">
      <c r="A9544" s="5"/>
    </row>
    <row r="9545" spans="1:1">
      <c r="A9545" s="5"/>
    </row>
    <row r="9546" spans="1:1">
      <c r="A9546" s="5"/>
    </row>
    <row r="9547" spans="1:1">
      <c r="A9547" s="5"/>
    </row>
    <row r="9548" spans="1:1">
      <c r="A9548" s="5"/>
    </row>
    <row r="9549" spans="1:1">
      <c r="A9549" s="5"/>
    </row>
    <row r="9550" spans="1:1">
      <c r="A9550" s="5"/>
    </row>
    <row r="9551" spans="1:1">
      <c r="A9551" s="5"/>
    </row>
    <row r="9552" spans="1:1">
      <c r="A9552" s="5"/>
    </row>
    <row r="9553" spans="1:1">
      <c r="A9553" s="5"/>
    </row>
    <row r="9554" spans="1:1">
      <c r="A9554" s="5"/>
    </row>
    <row r="9555" spans="1:1">
      <c r="A9555" s="5"/>
    </row>
    <row r="9556" spans="1:1">
      <c r="A9556" s="5"/>
    </row>
    <row r="9557" spans="1:1">
      <c r="A9557" s="5"/>
    </row>
    <row r="9558" spans="1:1">
      <c r="A9558" s="5"/>
    </row>
    <row r="9559" spans="1:1">
      <c r="A9559" s="5"/>
    </row>
    <row r="9560" spans="1:1">
      <c r="A9560" s="5"/>
    </row>
    <row r="9561" spans="1:1">
      <c r="A9561" s="5"/>
    </row>
    <row r="9562" spans="1:1">
      <c r="A9562" s="5"/>
    </row>
    <row r="9563" spans="1:1">
      <c r="A9563" s="5"/>
    </row>
    <row r="9564" spans="1:1">
      <c r="A9564" s="5"/>
    </row>
    <row r="9565" spans="1:1">
      <c r="A9565" s="5"/>
    </row>
    <row r="9566" spans="1:1">
      <c r="A9566" s="5"/>
    </row>
    <row r="9567" spans="1:1">
      <c r="A9567" s="5"/>
    </row>
    <row r="9568" spans="1:1">
      <c r="A9568" s="5"/>
    </row>
    <row r="9569" spans="1:1">
      <c r="A9569" s="5"/>
    </row>
    <row r="9570" spans="1:1">
      <c r="A9570" s="5"/>
    </row>
    <row r="9571" spans="1:1">
      <c r="A9571" s="5"/>
    </row>
    <row r="9572" spans="1:1">
      <c r="A9572" s="5"/>
    </row>
    <row r="9573" spans="1:1">
      <c r="A9573" s="5"/>
    </row>
    <row r="9574" spans="1:1">
      <c r="A9574" s="5"/>
    </row>
    <row r="9575" spans="1:1">
      <c r="A9575" s="5"/>
    </row>
    <row r="9576" spans="1:1">
      <c r="A9576" s="5"/>
    </row>
    <row r="9577" spans="1:1">
      <c r="A9577" s="5"/>
    </row>
    <row r="9578" spans="1:1">
      <c r="A9578" s="5"/>
    </row>
    <row r="9579" spans="1:1">
      <c r="A9579" s="5"/>
    </row>
    <row r="9580" spans="1:1">
      <c r="A9580" s="5"/>
    </row>
    <row r="9581" spans="1:1">
      <c r="A9581" s="5"/>
    </row>
    <row r="9582" spans="1:1">
      <c r="A9582" s="5"/>
    </row>
    <row r="9583" spans="1:1">
      <c r="A9583" s="5"/>
    </row>
    <row r="9584" spans="1:1">
      <c r="A9584" s="5"/>
    </row>
    <row r="9585" spans="1:1">
      <c r="A9585" s="5"/>
    </row>
    <row r="9586" spans="1:1">
      <c r="A9586" s="5"/>
    </row>
    <row r="9587" spans="1:1">
      <c r="A9587" s="5"/>
    </row>
    <row r="9588" spans="1:1">
      <c r="A9588" s="5"/>
    </row>
    <row r="9589" spans="1:1">
      <c r="A9589" s="5"/>
    </row>
    <row r="9590" spans="1:1">
      <c r="A9590" s="5"/>
    </row>
    <row r="9591" spans="1:1">
      <c r="A9591" s="5"/>
    </row>
    <row r="9592" spans="1:1">
      <c r="A9592" s="5"/>
    </row>
    <row r="9593" spans="1:1">
      <c r="A9593" s="5"/>
    </row>
    <row r="9594" spans="1:1">
      <c r="A9594" s="5"/>
    </row>
    <row r="9595" spans="1:1">
      <c r="A9595" s="5"/>
    </row>
    <row r="9596" spans="1:1">
      <c r="A9596" s="5"/>
    </row>
    <row r="9597" spans="1:1">
      <c r="A9597" s="5"/>
    </row>
    <row r="9598" spans="1:1">
      <c r="A9598" s="5"/>
    </row>
    <row r="9599" spans="1:1">
      <c r="A9599" s="5"/>
    </row>
    <row r="9600" spans="1:1">
      <c r="A9600" s="5"/>
    </row>
    <row r="9601" spans="1:1">
      <c r="A9601" s="5"/>
    </row>
    <row r="9602" spans="1:1">
      <c r="A9602" s="5"/>
    </row>
    <row r="9603" spans="1:1">
      <c r="A9603" s="5"/>
    </row>
    <row r="9604" spans="1:1">
      <c r="A9604" s="5"/>
    </row>
    <row r="9605" spans="1:1">
      <c r="A9605" s="5"/>
    </row>
    <row r="9606" spans="1:1">
      <c r="A9606" s="5"/>
    </row>
    <row r="9607" spans="1:1">
      <c r="A9607" s="5"/>
    </row>
    <row r="9608" spans="1:1">
      <c r="A9608" s="5"/>
    </row>
    <row r="9609" spans="1:1">
      <c r="A9609" s="5"/>
    </row>
    <row r="9610" spans="1:1">
      <c r="A9610" s="5"/>
    </row>
    <row r="9611" spans="1:1">
      <c r="A9611" s="5"/>
    </row>
    <row r="9612" spans="1:1">
      <c r="A9612" s="5"/>
    </row>
    <row r="9613" spans="1:1">
      <c r="A9613" s="5"/>
    </row>
    <row r="9614" spans="1:1">
      <c r="A9614" s="5"/>
    </row>
    <row r="9615" spans="1:1">
      <c r="A9615" s="5"/>
    </row>
    <row r="9616" spans="1:1">
      <c r="A9616" s="5"/>
    </row>
    <row r="9617" spans="1:1">
      <c r="A9617" s="5"/>
    </row>
    <row r="9618" spans="1:1">
      <c r="A9618" s="5"/>
    </row>
    <row r="9619" spans="1:1">
      <c r="A9619" s="5"/>
    </row>
    <row r="9620" spans="1:1">
      <c r="A9620" s="5"/>
    </row>
    <row r="9621" spans="1:1">
      <c r="A9621" s="5"/>
    </row>
    <row r="9622" spans="1:1">
      <c r="A9622" s="5"/>
    </row>
    <row r="9623" spans="1:1">
      <c r="A9623" s="5"/>
    </row>
    <row r="9624" spans="1:1">
      <c r="A9624" s="5"/>
    </row>
    <row r="9625" spans="1:1">
      <c r="A9625" s="5"/>
    </row>
    <row r="9626" spans="1:1">
      <c r="A9626" s="5"/>
    </row>
    <row r="9627" spans="1:1">
      <c r="A9627" s="5"/>
    </row>
    <row r="9628" spans="1:1">
      <c r="A9628" s="5"/>
    </row>
    <row r="9629" spans="1:1">
      <c r="A9629" s="5"/>
    </row>
    <row r="9630" spans="1:1">
      <c r="A9630" s="5"/>
    </row>
    <row r="9631" spans="1:1">
      <c r="A9631" s="5"/>
    </row>
    <row r="9632" spans="1:1">
      <c r="A9632" s="5"/>
    </row>
    <row r="9633" spans="1:1">
      <c r="A9633" s="5"/>
    </row>
    <row r="9634" spans="1:1">
      <c r="A9634" s="5"/>
    </row>
    <row r="9635" spans="1:1">
      <c r="A9635" s="5"/>
    </row>
    <row r="9636" spans="1:1">
      <c r="A9636" s="5"/>
    </row>
    <row r="9637" spans="1:1">
      <c r="A9637" s="5"/>
    </row>
    <row r="9638" spans="1:1">
      <c r="A9638" s="5"/>
    </row>
    <row r="9639" spans="1:1">
      <c r="A9639" s="5"/>
    </row>
    <row r="9640" spans="1:1">
      <c r="A9640" s="5"/>
    </row>
    <row r="9641" spans="1:1">
      <c r="A9641" s="5"/>
    </row>
    <row r="9642" spans="1:1">
      <c r="A9642" s="5"/>
    </row>
    <row r="9643" spans="1:1">
      <c r="A9643" s="5"/>
    </row>
    <row r="9644" spans="1:1">
      <c r="A9644" s="5"/>
    </row>
    <row r="9645" spans="1:1">
      <c r="A9645" s="5"/>
    </row>
    <row r="9646" spans="1:1">
      <c r="A9646" s="5"/>
    </row>
    <row r="9647" spans="1:1">
      <c r="A9647" s="5"/>
    </row>
    <row r="9648" spans="1:1">
      <c r="A9648" s="5"/>
    </row>
    <row r="9649" spans="1:1">
      <c r="A9649" s="5"/>
    </row>
    <row r="9650" spans="1:1">
      <c r="A9650" s="5"/>
    </row>
    <row r="9651" spans="1:1">
      <c r="A9651" s="5"/>
    </row>
    <row r="9652" spans="1:1">
      <c r="A9652" s="5"/>
    </row>
    <row r="9653" spans="1:1">
      <c r="A9653" s="5"/>
    </row>
    <row r="9654" spans="1:1">
      <c r="A9654" s="5"/>
    </row>
    <row r="9655" spans="1:1">
      <c r="A9655" s="5"/>
    </row>
    <row r="9656" spans="1:1">
      <c r="A9656" s="5"/>
    </row>
    <row r="9657" spans="1:1">
      <c r="A9657" s="5"/>
    </row>
    <row r="9658" spans="1:1">
      <c r="A9658" s="5"/>
    </row>
    <row r="9659" spans="1:1">
      <c r="A9659" s="5"/>
    </row>
    <row r="9660" spans="1:1">
      <c r="A9660" s="5"/>
    </row>
    <row r="9661" spans="1:1">
      <c r="A9661" s="5"/>
    </row>
    <row r="9662" spans="1:1">
      <c r="A9662" s="5"/>
    </row>
    <row r="9663" spans="1:1">
      <c r="A9663" s="5"/>
    </row>
    <row r="9664" spans="1:1">
      <c r="A9664" s="5"/>
    </row>
    <row r="9665" spans="1:1">
      <c r="A9665" s="5"/>
    </row>
    <row r="9666" spans="1:1">
      <c r="A9666" s="5"/>
    </row>
    <row r="9667" spans="1:1">
      <c r="A9667" s="5"/>
    </row>
    <row r="9668" spans="1:1">
      <c r="A9668" s="5"/>
    </row>
    <row r="9669" spans="1:1">
      <c r="A9669" s="5"/>
    </row>
    <row r="9670" spans="1:1">
      <c r="A9670" s="5"/>
    </row>
    <row r="9671" spans="1:1">
      <c r="A9671" s="5"/>
    </row>
    <row r="9672" spans="1:1">
      <c r="A9672" s="5"/>
    </row>
    <row r="9673" spans="1:1">
      <c r="A9673" s="5"/>
    </row>
    <row r="9674" spans="1:1">
      <c r="A9674" s="5"/>
    </row>
    <row r="9675" spans="1:1">
      <c r="A9675" s="5"/>
    </row>
    <row r="9676" spans="1:1">
      <c r="A9676" s="5"/>
    </row>
    <row r="9677" spans="1:1">
      <c r="A9677" s="5"/>
    </row>
    <row r="9678" spans="1:1">
      <c r="A9678" s="5"/>
    </row>
    <row r="9679" spans="1:1">
      <c r="A9679" s="5"/>
    </row>
    <row r="9680" spans="1:1">
      <c r="A9680" s="5"/>
    </row>
    <row r="9681" spans="1:1">
      <c r="A9681" s="5"/>
    </row>
    <row r="9682" spans="1:1">
      <c r="A9682" s="5"/>
    </row>
    <row r="9683" spans="1:1">
      <c r="A9683" s="5"/>
    </row>
    <row r="9684" spans="1:1">
      <c r="A9684" s="5"/>
    </row>
    <row r="9685" spans="1:1">
      <c r="A9685" s="5"/>
    </row>
    <row r="9686" spans="1:1">
      <c r="A9686" s="5"/>
    </row>
    <row r="9687" spans="1:1">
      <c r="A9687" s="5"/>
    </row>
    <row r="9688" spans="1:1">
      <c r="A9688" s="5"/>
    </row>
    <row r="9689" spans="1:1">
      <c r="A9689" s="5"/>
    </row>
    <row r="9690" spans="1:1">
      <c r="A9690" s="5"/>
    </row>
    <row r="9691" spans="1:1">
      <c r="A9691" s="5"/>
    </row>
    <row r="9692" spans="1:1">
      <c r="A9692" s="5"/>
    </row>
    <row r="9693" spans="1:1">
      <c r="A9693" s="5"/>
    </row>
    <row r="9694" spans="1:1">
      <c r="A9694" s="5"/>
    </row>
    <row r="9695" spans="1:1">
      <c r="A9695" s="5"/>
    </row>
    <row r="9696" spans="1:1">
      <c r="A9696" s="5"/>
    </row>
    <row r="9697" spans="1:1">
      <c r="A9697" s="5"/>
    </row>
    <row r="9698" spans="1:1">
      <c r="A9698" s="5"/>
    </row>
    <row r="9699" spans="1:1">
      <c r="A9699" s="5"/>
    </row>
    <row r="9700" spans="1:1">
      <c r="A9700" s="5"/>
    </row>
    <row r="9701" spans="1:1">
      <c r="A9701" s="5"/>
    </row>
    <row r="9702" spans="1:1">
      <c r="A9702" s="5"/>
    </row>
    <row r="9703" spans="1:1">
      <c r="A9703" s="5"/>
    </row>
    <row r="9704" spans="1:1">
      <c r="A9704" s="5"/>
    </row>
    <row r="9705" spans="1:1">
      <c r="A9705" s="5"/>
    </row>
    <row r="9706" spans="1:1">
      <c r="A9706" s="5"/>
    </row>
    <row r="9707" spans="1:1">
      <c r="A9707" s="5"/>
    </row>
    <row r="9708" spans="1:1">
      <c r="A9708" s="5"/>
    </row>
    <row r="9709" spans="1:1">
      <c r="A9709" s="5"/>
    </row>
    <row r="9710" spans="1:1">
      <c r="A9710" s="5"/>
    </row>
    <row r="9711" spans="1:1">
      <c r="A9711" s="5"/>
    </row>
    <row r="9712" spans="1:1">
      <c r="A9712" s="5"/>
    </row>
    <row r="9713" spans="1:1">
      <c r="A9713" s="5"/>
    </row>
    <row r="9714" spans="1:1">
      <c r="A9714" s="5"/>
    </row>
    <row r="9715" spans="1:1">
      <c r="A9715" s="5"/>
    </row>
    <row r="9716" spans="1:1">
      <c r="A9716" s="5"/>
    </row>
    <row r="9717" spans="1:1">
      <c r="A9717" s="5"/>
    </row>
    <row r="9718" spans="1:1">
      <c r="A9718" s="5"/>
    </row>
    <row r="9719" spans="1:1">
      <c r="A9719" s="5"/>
    </row>
    <row r="9720" spans="1:1">
      <c r="A9720" s="5"/>
    </row>
    <row r="9721" spans="1:1">
      <c r="A9721" s="5"/>
    </row>
    <row r="9722" spans="1:1">
      <c r="A9722" s="5"/>
    </row>
    <row r="9723" spans="1:1">
      <c r="A9723" s="5"/>
    </row>
    <row r="9724" spans="1:1">
      <c r="A9724" s="5"/>
    </row>
    <row r="9725" spans="1:1">
      <c r="A9725" s="5"/>
    </row>
    <row r="9726" spans="1:1">
      <c r="A9726" s="5"/>
    </row>
    <row r="9727" spans="1:1">
      <c r="A9727" s="5"/>
    </row>
    <row r="9728" spans="1:1">
      <c r="A9728" s="5"/>
    </row>
    <row r="9729" spans="1:1">
      <c r="A9729" s="5"/>
    </row>
    <row r="9730" spans="1:1">
      <c r="A9730" s="5"/>
    </row>
    <row r="9731" spans="1:1">
      <c r="A9731" s="5"/>
    </row>
    <row r="9732" spans="1:1">
      <c r="A9732" s="5"/>
    </row>
    <row r="9733" spans="1:1">
      <c r="A9733" s="5"/>
    </row>
    <row r="9734" spans="1:1">
      <c r="A9734" s="5"/>
    </row>
    <row r="9735" spans="1:1">
      <c r="A9735" s="5"/>
    </row>
    <row r="9736" spans="1:1">
      <c r="A9736" s="5"/>
    </row>
    <row r="9737" spans="1:1">
      <c r="A9737" s="5"/>
    </row>
    <row r="9738" spans="1:1">
      <c r="A9738" s="5"/>
    </row>
    <row r="9739" spans="1:1">
      <c r="A9739" s="5"/>
    </row>
    <row r="9740" spans="1:1">
      <c r="A9740" s="5"/>
    </row>
    <row r="9741" spans="1:1">
      <c r="A9741" s="5"/>
    </row>
    <row r="9742" spans="1:1">
      <c r="A9742" s="5"/>
    </row>
    <row r="9743" spans="1:1">
      <c r="A9743" s="5"/>
    </row>
    <row r="9744" spans="1:1">
      <c r="A9744" s="5"/>
    </row>
    <row r="9745" spans="1:1">
      <c r="A9745" s="5"/>
    </row>
    <row r="9746" spans="1:1">
      <c r="A9746" s="5"/>
    </row>
    <row r="9747" spans="1:1">
      <c r="A9747" s="5"/>
    </row>
    <row r="9748" spans="1:1">
      <c r="A9748" s="5"/>
    </row>
    <row r="9749" spans="1:1">
      <c r="A9749" s="5"/>
    </row>
    <row r="9750" spans="1:1">
      <c r="A9750" s="5"/>
    </row>
    <row r="9751" spans="1:1">
      <c r="A9751" s="5"/>
    </row>
    <row r="9752" spans="1:1">
      <c r="A9752" s="5"/>
    </row>
    <row r="9753" spans="1:1">
      <c r="A9753" s="5"/>
    </row>
    <row r="9754" spans="1:1">
      <c r="A9754" s="5"/>
    </row>
    <row r="9755" spans="1:1">
      <c r="A9755" s="5"/>
    </row>
    <row r="9756" spans="1:1">
      <c r="A9756" s="5"/>
    </row>
    <row r="9757" spans="1:1">
      <c r="A9757" s="5"/>
    </row>
    <row r="9758" spans="1:1">
      <c r="A9758" s="5"/>
    </row>
    <row r="9759" spans="1:1">
      <c r="A9759" s="5"/>
    </row>
    <row r="9760" spans="1:1">
      <c r="A9760" s="5"/>
    </row>
    <row r="9761" spans="1:1">
      <c r="A9761" s="5"/>
    </row>
    <row r="9762" spans="1:1">
      <c r="A9762" s="5"/>
    </row>
    <row r="9763" spans="1:1">
      <c r="A9763" s="5"/>
    </row>
    <row r="9764" spans="1:1">
      <c r="A9764" s="5"/>
    </row>
    <row r="9765" spans="1:1">
      <c r="A9765" s="5"/>
    </row>
    <row r="9766" spans="1:1">
      <c r="A9766" s="5"/>
    </row>
    <row r="9767" spans="1:1">
      <c r="A9767" s="5"/>
    </row>
    <row r="9768" spans="1:1">
      <c r="A9768" s="5"/>
    </row>
    <row r="9769" spans="1:1">
      <c r="A9769" s="5"/>
    </row>
    <row r="9770" spans="1:1">
      <c r="A9770" s="5"/>
    </row>
    <row r="9771" spans="1:1">
      <c r="A9771" s="5"/>
    </row>
    <row r="9772" spans="1:1">
      <c r="A9772" s="5"/>
    </row>
    <row r="9773" spans="1:1">
      <c r="A9773" s="5"/>
    </row>
    <row r="9774" spans="1:1">
      <c r="A9774" s="5"/>
    </row>
    <row r="9775" spans="1:1">
      <c r="A9775" s="5"/>
    </row>
    <row r="9776" spans="1:1">
      <c r="A9776" s="5"/>
    </row>
    <row r="9777" spans="1:1">
      <c r="A9777" s="5"/>
    </row>
    <row r="9778" spans="1:1">
      <c r="A9778" s="5"/>
    </row>
    <row r="9779" spans="1:1">
      <c r="A9779" s="5"/>
    </row>
    <row r="9780" spans="1:1">
      <c r="A9780" s="5"/>
    </row>
    <row r="9781" spans="1:1">
      <c r="A9781" s="5"/>
    </row>
    <row r="9782" spans="1:1">
      <c r="A9782" s="5"/>
    </row>
    <row r="9783" spans="1:1">
      <c r="A9783" s="5"/>
    </row>
    <row r="9784" spans="1:1">
      <c r="A9784" s="5"/>
    </row>
    <row r="9785" spans="1:1">
      <c r="A9785" s="5"/>
    </row>
    <row r="9786" spans="1:1">
      <c r="A9786" s="5"/>
    </row>
    <row r="9787" spans="1:1">
      <c r="A9787" s="5"/>
    </row>
    <row r="9788" spans="1:1">
      <c r="A9788" s="5"/>
    </row>
    <row r="9789" spans="1:1">
      <c r="A9789" s="5"/>
    </row>
    <row r="9790" spans="1:1">
      <c r="A9790" s="5"/>
    </row>
    <row r="9791" spans="1:1">
      <c r="A9791" s="5"/>
    </row>
    <row r="9792" spans="1:1">
      <c r="A9792" s="5"/>
    </row>
    <row r="9793" spans="1:1">
      <c r="A9793" s="5"/>
    </row>
    <row r="9794" spans="1:1">
      <c r="A9794" s="5"/>
    </row>
    <row r="9795" spans="1:1">
      <c r="A9795" s="5"/>
    </row>
    <row r="9796" spans="1:1">
      <c r="A9796" s="5"/>
    </row>
    <row r="9797" spans="1:1">
      <c r="A9797" s="5"/>
    </row>
    <row r="9798" spans="1:1">
      <c r="A9798" s="5"/>
    </row>
    <row r="9799" spans="1:1">
      <c r="A9799" s="5"/>
    </row>
    <row r="9800" spans="1:1">
      <c r="A9800" s="5"/>
    </row>
    <row r="9801" spans="1:1">
      <c r="A9801" s="5"/>
    </row>
    <row r="9802" spans="1:1">
      <c r="A9802" s="5"/>
    </row>
    <row r="9803" spans="1:1">
      <c r="A9803" s="5"/>
    </row>
    <row r="9804" spans="1:1">
      <c r="A9804" s="5"/>
    </row>
    <row r="9805" spans="1:1">
      <c r="A9805" s="5"/>
    </row>
    <row r="9806" spans="1:1">
      <c r="A9806" s="5"/>
    </row>
    <row r="9807" spans="1:1">
      <c r="A9807" s="5"/>
    </row>
    <row r="9808" spans="1:1">
      <c r="A9808" s="5"/>
    </row>
    <row r="9809" spans="1:1">
      <c r="A9809" s="5"/>
    </row>
    <row r="9810" spans="1:1">
      <c r="A9810" s="5"/>
    </row>
    <row r="9811" spans="1:1">
      <c r="A9811" s="5"/>
    </row>
    <row r="9812" spans="1:1">
      <c r="A9812" s="5"/>
    </row>
    <row r="9813" spans="1:1">
      <c r="A9813" s="5"/>
    </row>
    <row r="9814" spans="1:1">
      <c r="A9814" s="5"/>
    </row>
    <row r="9815" spans="1:1">
      <c r="A9815" s="5"/>
    </row>
    <row r="9816" spans="1:1">
      <c r="A9816" s="5"/>
    </row>
    <row r="9817" spans="1:1">
      <c r="A9817" s="5"/>
    </row>
    <row r="9818" spans="1:1">
      <c r="A9818" s="5"/>
    </row>
    <row r="9819" spans="1:1">
      <c r="A9819" s="5"/>
    </row>
    <row r="9820" spans="1:1">
      <c r="A9820" s="5"/>
    </row>
    <row r="9821" spans="1:1">
      <c r="A9821" s="5"/>
    </row>
    <row r="9822" spans="1:1">
      <c r="A9822" s="5"/>
    </row>
    <row r="9823" spans="1:1">
      <c r="A9823" s="5"/>
    </row>
    <row r="9824" spans="1:1">
      <c r="A9824" s="5"/>
    </row>
    <row r="9825" spans="1:1">
      <c r="A9825" s="5"/>
    </row>
    <row r="9826" spans="1:1">
      <c r="A9826" s="5"/>
    </row>
    <row r="9827" spans="1:1">
      <c r="A9827" s="5"/>
    </row>
    <row r="9828" spans="1:1">
      <c r="A9828" s="5"/>
    </row>
    <row r="9829" spans="1:1">
      <c r="A9829" s="5"/>
    </row>
    <row r="9830" spans="1:1">
      <c r="A9830" s="5"/>
    </row>
    <row r="9831" spans="1:1">
      <c r="A9831" s="5"/>
    </row>
    <row r="9832" spans="1:1">
      <c r="A9832" s="5"/>
    </row>
    <row r="9833" spans="1:1">
      <c r="A9833" s="5"/>
    </row>
    <row r="9834" spans="1:1">
      <c r="A9834" s="5"/>
    </row>
    <row r="9835" spans="1:1">
      <c r="A9835" s="5"/>
    </row>
    <row r="9836" spans="1:1">
      <c r="A9836" s="5"/>
    </row>
    <row r="9837" spans="1:1">
      <c r="A9837" s="5"/>
    </row>
    <row r="9838" spans="1:1">
      <c r="A9838" s="5"/>
    </row>
    <row r="9839" spans="1:1">
      <c r="A9839" s="5"/>
    </row>
    <row r="9840" spans="1:1">
      <c r="A9840" s="5"/>
    </row>
    <row r="9841" spans="1:1">
      <c r="A9841" s="5"/>
    </row>
    <row r="9842" spans="1:1">
      <c r="A9842" s="5"/>
    </row>
    <row r="9843" spans="1:1">
      <c r="A9843" s="5"/>
    </row>
    <row r="9844" spans="1:1">
      <c r="A9844" s="5"/>
    </row>
    <row r="9845" spans="1:1">
      <c r="A9845" s="5"/>
    </row>
    <row r="9846" spans="1:1">
      <c r="A9846" s="5"/>
    </row>
    <row r="9847" spans="1:1">
      <c r="A9847" s="5"/>
    </row>
    <row r="9848" spans="1:1">
      <c r="A9848" s="5"/>
    </row>
    <row r="9849" spans="1:1">
      <c r="A9849" s="5"/>
    </row>
    <row r="9850" spans="1:1">
      <c r="A9850" s="5"/>
    </row>
    <row r="9851" spans="1:1">
      <c r="A9851" s="5"/>
    </row>
    <row r="9852" spans="1:1">
      <c r="A9852" s="5"/>
    </row>
    <row r="9853" spans="1:1">
      <c r="A9853" s="5"/>
    </row>
    <row r="9854" spans="1:1">
      <c r="A9854" s="5"/>
    </row>
    <row r="9855" spans="1:1">
      <c r="A9855" s="5"/>
    </row>
    <row r="9856" spans="1:1">
      <c r="A9856" s="5"/>
    </row>
    <row r="9857" spans="1:1">
      <c r="A9857" s="5"/>
    </row>
    <row r="9858" spans="1:1">
      <c r="A9858" s="5"/>
    </row>
    <row r="9859" spans="1:1">
      <c r="A9859" s="5"/>
    </row>
    <row r="9860" spans="1:1">
      <c r="A9860" s="5"/>
    </row>
    <row r="9861" spans="1:1">
      <c r="A9861" s="5"/>
    </row>
    <row r="9862" spans="1:1">
      <c r="A9862" s="5"/>
    </row>
    <row r="9863" spans="1:1">
      <c r="A9863" s="5"/>
    </row>
    <row r="9864" spans="1:1">
      <c r="A9864" s="5"/>
    </row>
    <row r="9865" spans="1:1">
      <c r="A9865" s="5"/>
    </row>
    <row r="9866" spans="1:1">
      <c r="A9866" s="5"/>
    </row>
    <row r="9867" spans="1:1">
      <c r="A9867" s="5"/>
    </row>
    <row r="9868" spans="1:1">
      <c r="A9868" s="5"/>
    </row>
    <row r="9869" spans="1:1">
      <c r="A9869" s="5"/>
    </row>
    <row r="9870" spans="1:1">
      <c r="A9870" s="5"/>
    </row>
    <row r="9871" spans="1:1">
      <c r="A9871" s="5"/>
    </row>
    <row r="9872" spans="1:1">
      <c r="A9872" s="5"/>
    </row>
    <row r="9873" spans="1:1">
      <c r="A9873" s="5"/>
    </row>
    <row r="9874" spans="1:1">
      <c r="A9874" s="5"/>
    </row>
    <row r="9875" spans="1:1">
      <c r="A9875" s="5"/>
    </row>
    <row r="9876" spans="1:1">
      <c r="A9876" s="5"/>
    </row>
    <row r="9877" spans="1:1">
      <c r="A9877" s="5"/>
    </row>
    <row r="9878" spans="1:1">
      <c r="A9878" s="5"/>
    </row>
    <row r="9879" spans="1:1">
      <c r="A9879" s="5"/>
    </row>
    <row r="9880" spans="1:1">
      <c r="A9880" s="5"/>
    </row>
    <row r="9881" spans="1:1">
      <c r="A9881" s="5"/>
    </row>
    <row r="9882" spans="1:1">
      <c r="A9882" s="5"/>
    </row>
    <row r="9883" spans="1:1">
      <c r="A9883" s="5"/>
    </row>
    <row r="9884" spans="1:1">
      <c r="A9884" s="5"/>
    </row>
    <row r="9885" spans="1:1">
      <c r="A9885" s="5"/>
    </row>
    <row r="9886" spans="1:1">
      <c r="A9886" s="5"/>
    </row>
    <row r="9887" spans="1:1">
      <c r="A9887" s="5"/>
    </row>
    <row r="9888" spans="1:1">
      <c r="A9888" s="5"/>
    </row>
    <row r="9889" spans="1:1">
      <c r="A9889" s="5"/>
    </row>
    <row r="9890" spans="1:1">
      <c r="A9890" s="5"/>
    </row>
    <row r="9891" spans="1:1">
      <c r="A9891" s="5"/>
    </row>
    <row r="9892" spans="1:1">
      <c r="A9892" s="5"/>
    </row>
    <row r="9893" spans="1:1">
      <c r="A9893" s="5"/>
    </row>
    <row r="9894" spans="1:1">
      <c r="A9894" s="5"/>
    </row>
    <row r="9895" spans="1:1">
      <c r="A9895" s="5"/>
    </row>
    <row r="9896" spans="1:1">
      <c r="A9896" s="5"/>
    </row>
    <row r="9897" spans="1:1">
      <c r="A9897" s="5"/>
    </row>
    <row r="9898" spans="1:1">
      <c r="A9898" s="5"/>
    </row>
    <row r="9899" spans="1:1">
      <c r="A9899" s="5"/>
    </row>
    <row r="9900" spans="1:1">
      <c r="A9900" s="5"/>
    </row>
    <row r="9901" spans="1:1">
      <c r="A9901" s="5"/>
    </row>
    <row r="9902" spans="1:1">
      <c r="A9902" s="5"/>
    </row>
    <row r="9903" spans="1:1">
      <c r="A9903" s="5"/>
    </row>
    <row r="9904" spans="1:1">
      <c r="A9904" s="5"/>
    </row>
    <row r="9905" spans="1:1">
      <c r="A9905" s="5"/>
    </row>
    <row r="9906" spans="1:1">
      <c r="A9906" s="5"/>
    </row>
    <row r="9907" spans="1:1">
      <c r="A9907" s="5"/>
    </row>
    <row r="9908" spans="1:1">
      <c r="A9908" s="5"/>
    </row>
    <row r="9909" spans="1:1">
      <c r="A9909" s="5"/>
    </row>
    <row r="9910" spans="1:1">
      <c r="A9910" s="5"/>
    </row>
    <row r="9911" spans="1:1">
      <c r="A9911" s="5"/>
    </row>
    <row r="9912" spans="1:1">
      <c r="A9912" s="5"/>
    </row>
    <row r="9913" spans="1:1">
      <c r="A9913" s="5"/>
    </row>
    <row r="9914" spans="1:1">
      <c r="A9914" s="5"/>
    </row>
    <row r="9915" spans="1:1">
      <c r="A9915" s="5"/>
    </row>
    <row r="9916" spans="1:1">
      <c r="A9916" s="5"/>
    </row>
    <row r="9917" spans="1:1">
      <c r="A9917" s="5"/>
    </row>
    <row r="9918" spans="1:1">
      <c r="A9918" s="5"/>
    </row>
    <row r="9919" spans="1:1">
      <c r="A9919" s="5"/>
    </row>
    <row r="9920" spans="1:1">
      <c r="A9920" s="5"/>
    </row>
    <row r="9921" spans="1:1">
      <c r="A9921" s="5"/>
    </row>
    <row r="9922" spans="1:1">
      <c r="A9922" s="5"/>
    </row>
    <row r="9923" spans="1:1">
      <c r="A9923" s="5"/>
    </row>
    <row r="9924" spans="1:1">
      <c r="A9924" s="5"/>
    </row>
    <row r="9925" spans="1:1">
      <c r="A9925" s="5"/>
    </row>
    <row r="9926" spans="1:1">
      <c r="A9926" s="5"/>
    </row>
    <row r="9927" spans="1:1">
      <c r="A9927" s="5"/>
    </row>
    <row r="9928" spans="1:1">
      <c r="A9928" s="5"/>
    </row>
    <row r="9929" spans="1:1">
      <c r="A9929" s="5"/>
    </row>
    <row r="9930" spans="1:1">
      <c r="A9930" s="5"/>
    </row>
    <row r="9931" spans="1:1">
      <c r="A9931" s="5"/>
    </row>
    <row r="9932" spans="1:1">
      <c r="A9932" s="5"/>
    </row>
    <row r="9933" spans="1:1">
      <c r="A9933" s="5"/>
    </row>
    <row r="9934" spans="1:1">
      <c r="A9934" s="5"/>
    </row>
    <row r="9935" spans="1:1">
      <c r="A9935" s="5"/>
    </row>
    <row r="9936" spans="1:1">
      <c r="A9936" s="5"/>
    </row>
    <row r="9937" spans="1:1">
      <c r="A9937" s="5"/>
    </row>
    <row r="9938" spans="1:1">
      <c r="A9938" s="5"/>
    </row>
    <row r="9939" spans="1:1">
      <c r="A9939" s="5"/>
    </row>
    <row r="9940" spans="1:1">
      <c r="A9940" s="5"/>
    </row>
    <row r="9941" spans="1:1">
      <c r="A9941" s="5"/>
    </row>
    <row r="9942" spans="1:1">
      <c r="A9942" s="5"/>
    </row>
    <row r="9943" spans="1:1">
      <c r="A9943" s="5"/>
    </row>
    <row r="9944" spans="1:1">
      <c r="A9944" s="5"/>
    </row>
    <row r="9945" spans="1:1">
      <c r="A9945" s="5"/>
    </row>
    <row r="9946" spans="1:1">
      <c r="A9946" s="5"/>
    </row>
    <row r="9947" spans="1:1">
      <c r="A9947" s="5"/>
    </row>
    <row r="9948" spans="1:1">
      <c r="A9948" s="5"/>
    </row>
    <row r="9949" spans="1:1">
      <c r="A9949" s="5"/>
    </row>
    <row r="9950" spans="1:1">
      <c r="A9950" s="5"/>
    </row>
    <row r="9951" spans="1:1">
      <c r="A9951" s="5"/>
    </row>
    <row r="9952" spans="1:1">
      <c r="A9952" s="5"/>
    </row>
    <row r="9953" spans="1:1">
      <c r="A9953" s="5"/>
    </row>
    <row r="9954" spans="1:1">
      <c r="A9954" s="5"/>
    </row>
    <row r="9955" spans="1:1">
      <c r="A9955" s="5"/>
    </row>
    <row r="9956" spans="1:1">
      <c r="A9956" s="5"/>
    </row>
    <row r="9957" spans="1:1">
      <c r="A9957" s="5"/>
    </row>
    <row r="9958" spans="1:1">
      <c r="A9958" s="5"/>
    </row>
    <row r="9959" spans="1:1">
      <c r="A9959" s="5"/>
    </row>
    <row r="9960" spans="1:1">
      <c r="A9960" s="5"/>
    </row>
    <row r="9961" spans="1:1">
      <c r="A9961" s="5"/>
    </row>
    <row r="9962" spans="1:1">
      <c r="A9962" s="5"/>
    </row>
    <row r="9963" spans="1:1">
      <c r="A9963" s="5"/>
    </row>
    <row r="9964" spans="1:1">
      <c r="A9964" s="5"/>
    </row>
    <row r="9965" spans="1:1">
      <c r="A9965" s="5"/>
    </row>
    <row r="9966" spans="1:1">
      <c r="A9966" s="5"/>
    </row>
    <row r="9967" spans="1:1">
      <c r="A9967" s="5"/>
    </row>
    <row r="9968" spans="1:1">
      <c r="A9968" s="5"/>
    </row>
    <row r="9969" spans="1:1">
      <c r="A9969" s="5"/>
    </row>
    <row r="9970" spans="1:1">
      <c r="A9970" s="5"/>
    </row>
    <row r="9971" spans="1:1">
      <c r="A9971" s="5"/>
    </row>
    <row r="9972" spans="1:1">
      <c r="A9972" s="5"/>
    </row>
    <row r="9973" spans="1:1">
      <c r="A9973" s="5"/>
    </row>
    <row r="9974" spans="1:1">
      <c r="A9974" s="5"/>
    </row>
    <row r="9975" spans="1:1">
      <c r="A9975" s="5"/>
    </row>
    <row r="9976" spans="1:1">
      <c r="A9976" s="5"/>
    </row>
    <row r="9977" spans="1:1">
      <c r="A9977" s="5"/>
    </row>
    <row r="9978" spans="1:1">
      <c r="A9978" s="5"/>
    </row>
    <row r="9979" spans="1:1">
      <c r="A9979" s="5"/>
    </row>
    <row r="9980" spans="1:1">
      <c r="A9980" s="5"/>
    </row>
    <row r="9981" spans="1:1">
      <c r="A9981" s="5"/>
    </row>
    <row r="9982" spans="1:1">
      <c r="A9982" s="5"/>
    </row>
    <row r="9983" spans="1:1">
      <c r="A9983" s="5"/>
    </row>
    <row r="9984" spans="1:1">
      <c r="A9984" s="5"/>
    </row>
    <row r="9985" spans="1:1">
      <c r="A9985" s="5"/>
    </row>
    <row r="9986" spans="1:1">
      <c r="A9986" s="5"/>
    </row>
    <row r="9987" spans="1:1">
      <c r="A9987" s="5"/>
    </row>
    <row r="9988" spans="1:1">
      <c r="A9988" s="5"/>
    </row>
    <row r="9989" spans="1:1">
      <c r="A9989" s="5"/>
    </row>
    <row r="9990" spans="1:1">
      <c r="A9990" s="5"/>
    </row>
    <row r="9991" spans="1:1">
      <c r="A9991" s="5"/>
    </row>
    <row r="9992" spans="1:1">
      <c r="A9992" s="5"/>
    </row>
    <row r="9993" spans="1:1">
      <c r="A9993" s="5"/>
    </row>
    <row r="9994" spans="1:1">
      <c r="A9994" s="5"/>
    </row>
    <row r="9995" spans="1:1">
      <c r="A9995" s="5"/>
    </row>
    <row r="9996" spans="1:1">
      <c r="A9996" s="5"/>
    </row>
    <row r="9997" spans="1:1">
      <c r="A9997" s="5"/>
    </row>
    <row r="9998" spans="1:1">
      <c r="A9998" s="5"/>
    </row>
    <row r="9999" spans="1:1">
      <c r="A9999" s="5"/>
    </row>
    <row r="10000" spans="1:1">
      <c r="A10000" s="5"/>
    </row>
    <row r="10001" spans="1:1">
      <c r="A10001" s="5"/>
    </row>
    <row r="10002" spans="1:1">
      <c r="A10002" s="5"/>
    </row>
    <row r="10003" spans="1:1">
      <c r="A10003" s="5"/>
    </row>
    <row r="10004" spans="1:1">
      <c r="A10004" s="5"/>
    </row>
    <row r="10005" spans="1:1">
      <c r="A10005" s="5"/>
    </row>
    <row r="10006" spans="1:1">
      <c r="A10006" s="5"/>
    </row>
    <row r="10007" spans="1:1">
      <c r="A10007" s="5"/>
    </row>
    <row r="10008" spans="1:1">
      <c r="A10008" s="5"/>
    </row>
    <row r="10009" spans="1:1">
      <c r="A10009" s="5"/>
    </row>
    <row r="10010" spans="1:1">
      <c r="A10010" s="5"/>
    </row>
    <row r="10011" spans="1:1">
      <c r="A10011" s="5"/>
    </row>
    <row r="10012" spans="1:1">
      <c r="A10012" s="5"/>
    </row>
    <row r="10013" spans="1:1">
      <c r="A10013" s="5"/>
    </row>
    <row r="10014" spans="1:1">
      <c r="A10014" s="5"/>
    </row>
    <row r="10015" spans="1:1">
      <c r="A10015" s="5"/>
    </row>
    <row r="10016" spans="1:1">
      <c r="A10016" s="5"/>
    </row>
    <row r="10017" spans="1:1">
      <c r="A10017" s="5"/>
    </row>
    <row r="10018" spans="1:1">
      <c r="A10018" s="5"/>
    </row>
    <row r="10019" spans="1:1">
      <c r="A10019" s="5"/>
    </row>
    <row r="10020" spans="1:1">
      <c r="A10020" s="5"/>
    </row>
    <row r="10021" spans="1:1">
      <c r="A10021" s="5"/>
    </row>
    <row r="10022" spans="1:1">
      <c r="A10022" s="5"/>
    </row>
    <row r="10023" spans="1:1">
      <c r="A10023" s="5"/>
    </row>
    <row r="10024" spans="1:1">
      <c r="A10024" s="5"/>
    </row>
    <row r="10025" spans="1:1">
      <c r="A10025" s="5"/>
    </row>
    <row r="10026" spans="1:1">
      <c r="A10026" s="5"/>
    </row>
    <row r="10027" spans="1:1">
      <c r="A10027" s="5"/>
    </row>
    <row r="10028" spans="1:1">
      <c r="A10028" s="5"/>
    </row>
    <row r="10029" spans="1:1">
      <c r="A10029" s="5"/>
    </row>
    <row r="10030" spans="1:1">
      <c r="A10030" s="5"/>
    </row>
    <row r="10031" spans="1:1">
      <c r="A10031" s="5"/>
    </row>
    <row r="10032" spans="1:1">
      <c r="A10032" s="5"/>
    </row>
    <row r="10033" spans="1:1">
      <c r="A10033" s="5"/>
    </row>
    <row r="10034" spans="1:1">
      <c r="A10034" s="5"/>
    </row>
    <row r="10035" spans="1:1">
      <c r="A10035" s="5"/>
    </row>
    <row r="10036" spans="1:1">
      <c r="A10036" s="5"/>
    </row>
    <row r="10037" spans="1:1">
      <c r="A10037" s="5"/>
    </row>
    <row r="10038" spans="1:1">
      <c r="A10038" s="5"/>
    </row>
    <row r="10039" spans="1:1">
      <c r="A10039" s="5"/>
    </row>
    <row r="10040" spans="1:1">
      <c r="A10040" s="5"/>
    </row>
    <row r="10041" spans="1:1">
      <c r="A10041" s="5"/>
    </row>
    <row r="10042" spans="1:1">
      <c r="A10042" s="5"/>
    </row>
    <row r="10043" spans="1:1">
      <c r="A10043" s="5"/>
    </row>
    <row r="10044" spans="1:1">
      <c r="A10044" s="5"/>
    </row>
    <row r="10045" spans="1:1">
      <c r="A10045" s="5"/>
    </row>
    <row r="10046" spans="1:1">
      <c r="A10046" s="5"/>
    </row>
    <row r="10047" spans="1:1">
      <c r="A10047" s="5"/>
    </row>
    <row r="10048" spans="1:1">
      <c r="A10048" s="5"/>
    </row>
    <row r="10049" spans="1:1">
      <c r="A10049" s="5"/>
    </row>
    <row r="10050" spans="1:1">
      <c r="A10050" s="5"/>
    </row>
    <row r="10051" spans="1:1">
      <c r="A10051" s="5"/>
    </row>
    <row r="10052" spans="1:1">
      <c r="A10052" s="5"/>
    </row>
    <row r="10053" spans="1:1">
      <c r="A10053" s="5"/>
    </row>
    <row r="10054" spans="1:1">
      <c r="A10054" s="5"/>
    </row>
    <row r="10055" spans="1:1">
      <c r="A10055" s="5"/>
    </row>
    <row r="10056" spans="1:1">
      <c r="A10056" s="5"/>
    </row>
    <row r="10057" spans="1:1">
      <c r="A10057" s="5"/>
    </row>
    <row r="10058" spans="1:1">
      <c r="A10058" s="5"/>
    </row>
    <row r="10059" spans="1:1">
      <c r="A10059" s="5"/>
    </row>
    <row r="10060" spans="1:1">
      <c r="A10060" s="5"/>
    </row>
    <row r="10061" spans="1:1">
      <c r="A10061" s="5"/>
    </row>
    <row r="10062" spans="1:1">
      <c r="A10062" s="5"/>
    </row>
    <row r="10063" spans="1:1">
      <c r="A10063" s="5"/>
    </row>
    <row r="10064" spans="1:1">
      <c r="A10064" s="5"/>
    </row>
    <row r="10065" spans="1:1">
      <c r="A10065" s="5"/>
    </row>
    <row r="10066" spans="1:1">
      <c r="A10066" s="5"/>
    </row>
    <row r="10067" spans="1:1">
      <c r="A10067" s="5"/>
    </row>
    <row r="10068" spans="1:1">
      <c r="A10068" s="5"/>
    </row>
    <row r="10069" spans="1:1">
      <c r="A10069" s="5"/>
    </row>
    <row r="10070" spans="1:1">
      <c r="A10070" s="5"/>
    </row>
    <row r="10071" spans="1:1">
      <c r="A10071" s="5"/>
    </row>
    <row r="10072" spans="1:1">
      <c r="A10072" s="5"/>
    </row>
    <row r="10073" spans="1:1">
      <c r="A10073" s="5"/>
    </row>
    <row r="10074" spans="1:1">
      <c r="A10074" s="5"/>
    </row>
    <row r="10075" spans="1:1">
      <c r="A10075" s="5"/>
    </row>
    <row r="10076" spans="1:1">
      <c r="A10076" s="5"/>
    </row>
    <row r="10077" spans="1:1">
      <c r="A10077" s="5"/>
    </row>
    <row r="10078" spans="1:1">
      <c r="A10078" s="5"/>
    </row>
    <row r="10079" spans="1:1">
      <c r="A10079" s="5"/>
    </row>
    <row r="10080" spans="1:1">
      <c r="A10080" s="5"/>
    </row>
    <row r="10081" spans="1:1">
      <c r="A10081" s="5"/>
    </row>
    <row r="10082" spans="1:1">
      <c r="A10082" s="5"/>
    </row>
    <row r="10083" spans="1:1">
      <c r="A10083" s="5"/>
    </row>
    <row r="10084" spans="1:1">
      <c r="A10084" s="5"/>
    </row>
    <row r="10085" spans="1:1">
      <c r="A10085" s="5"/>
    </row>
    <row r="10086" spans="1:1">
      <c r="A10086" s="5"/>
    </row>
    <row r="10087" spans="1:1">
      <c r="A10087" s="5"/>
    </row>
    <row r="10088" spans="1:1">
      <c r="A10088" s="5"/>
    </row>
    <row r="10089" spans="1:1">
      <c r="A10089" s="5"/>
    </row>
    <row r="10090" spans="1:1">
      <c r="A10090" s="5"/>
    </row>
    <row r="10091" spans="1:1">
      <c r="A10091" s="5"/>
    </row>
    <row r="10092" spans="1:1">
      <c r="A10092" s="5"/>
    </row>
    <row r="10093" spans="1:1">
      <c r="A10093" s="5"/>
    </row>
    <row r="10094" spans="1:1">
      <c r="A10094" s="5"/>
    </row>
    <row r="10095" spans="1:1">
      <c r="A10095" s="5"/>
    </row>
    <row r="10096" spans="1:1">
      <c r="A10096" s="5"/>
    </row>
    <row r="10097" spans="1:1">
      <c r="A10097" s="5"/>
    </row>
    <row r="10098" spans="1:1">
      <c r="A10098" s="5"/>
    </row>
    <row r="10099" spans="1:1">
      <c r="A10099" s="5"/>
    </row>
    <row r="10100" spans="1:1">
      <c r="A10100" s="5"/>
    </row>
    <row r="10101" spans="1:1">
      <c r="A10101" s="5"/>
    </row>
    <row r="10102" spans="1:1">
      <c r="A10102" s="5"/>
    </row>
    <row r="10103" spans="1:1">
      <c r="A10103" s="5"/>
    </row>
    <row r="10104" spans="1:1">
      <c r="A10104" s="5"/>
    </row>
    <row r="10105" spans="1:1">
      <c r="A10105" s="5"/>
    </row>
    <row r="10106" spans="1:1">
      <c r="A10106" s="5"/>
    </row>
    <row r="10107" spans="1:1">
      <c r="A10107" s="5"/>
    </row>
    <row r="10108" spans="1:1">
      <c r="A10108" s="5"/>
    </row>
    <row r="10109" spans="1:1">
      <c r="A10109" s="5"/>
    </row>
    <row r="10110" spans="1:1">
      <c r="A10110" s="5"/>
    </row>
    <row r="10111" spans="1:1">
      <c r="A10111" s="5"/>
    </row>
    <row r="10112" spans="1:1">
      <c r="A10112" s="5"/>
    </row>
    <row r="10113" spans="1:1">
      <c r="A10113" s="5"/>
    </row>
    <row r="10114" spans="1:1">
      <c r="A10114" s="5"/>
    </row>
    <row r="10115" spans="1:1">
      <c r="A10115" s="5"/>
    </row>
    <row r="10116" spans="1:1">
      <c r="A10116" s="5"/>
    </row>
    <row r="10117" spans="1:1">
      <c r="A10117" s="5"/>
    </row>
    <row r="10118" spans="1:1">
      <c r="A10118" s="5"/>
    </row>
    <row r="10119" spans="1:1">
      <c r="A10119" s="5"/>
    </row>
    <row r="10120" spans="1:1">
      <c r="A10120" s="5"/>
    </row>
    <row r="10121" spans="1:1">
      <c r="A10121" s="5"/>
    </row>
    <row r="10122" spans="1:1">
      <c r="A10122" s="5"/>
    </row>
    <row r="10123" spans="1:1">
      <c r="A10123" s="5"/>
    </row>
    <row r="10124" spans="1:1">
      <c r="A10124" s="5"/>
    </row>
    <row r="10125" spans="1:1">
      <c r="A10125" s="5"/>
    </row>
    <row r="10126" spans="1:1">
      <c r="A10126" s="5"/>
    </row>
    <row r="10127" spans="1:1">
      <c r="A10127" s="5"/>
    </row>
    <row r="10128" spans="1:1">
      <c r="A10128" s="5"/>
    </row>
    <row r="10129" spans="1:1">
      <c r="A10129" s="5"/>
    </row>
    <row r="10130" spans="1:1">
      <c r="A10130" s="5"/>
    </row>
    <row r="10131" spans="1:1">
      <c r="A10131" s="5"/>
    </row>
    <row r="10132" spans="1:1">
      <c r="A10132" s="5"/>
    </row>
    <row r="10133" spans="1:1">
      <c r="A10133" s="5"/>
    </row>
    <row r="10134" spans="1:1">
      <c r="A10134" s="5"/>
    </row>
    <row r="10135" spans="1:1">
      <c r="A10135" s="5"/>
    </row>
    <row r="10136" spans="1:1">
      <c r="A10136" s="5"/>
    </row>
    <row r="10137" spans="1:1">
      <c r="A10137" s="5"/>
    </row>
    <row r="10138" spans="1:1">
      <c r="A10138" s="5"/>
    </row>
    <row r="10139" spans="1:1">
      <c r="A10139" s="5"/>
    </row>
    <row r="10140" spans="1:1">
      <c r="A10140" s="5"/>
    </row>
    <row r="10141" spans="1:1">
      <c r="A10141" s="5"/>
    </row>
    <row r="10142" spans="1:1">
      <c r="A10142" s="5"/>
    </row>
    <row r="10143" spans="1:1">
      <c r="A10143" s="5"/>
    </row>
    <row r="10144" spans="1:1">
      <c r="A10144" s="5"/>
    </row>
    <row r="10145" spans="1:1">
      <c r="A10145" s="5"/>
    </row>
    <row r="10146" spans="1:1">
      <c r="A10146" s="5"/>
    </row>
    <row r="10147" spans="1:1">
      <c r="A10147" s="5"/>
    </row>
    <row r="10148" spans="1:1">
      <c r="A10148" s="5"/>
    </row>
    <row r="10149" spans="1:1">
      <c r="A10149" s="5"/>
    </row>
    <row r="10150" spans="1:1">
      <c r="A10150" s="5"/>
    </row>
    <row r="10151" spans="1:1">
      <c r="A10151" s="5"/>
    </row>
    <row r="10152" spans="1:1">
      <c r="A10152" s="5"/>
    </row>
    <row r="10153" spans="1:1">
      <c r="A10153" s="5"/>
    </row>
    <row r="10154" spans="1:1">
      <c r="A10154" s="5"/>
    </row>
    <row r="10155" spans="1:1">
      <c r="A10155" s="5"/>
    </row>
    <row r="10156" spans="1:1">
      <c r="A10156" s="5"/>
    </row>
    <row r="10157" spans="1:1">
      <c r="A10157" s="5"/>
    </row>
    <row r="10158" spans="1:1">
      <c r="A10158" s="5"/>
    </row>
    <row r="10159" spans="1:1">
      <c r="A10159" s="5"/>
    </row>
    <row r="10160" spans="1:1">
      <c r="A10160" s="5"/>
    </row>
    <row r="10161" spans="1:1">
      <c r="A10161" s="5"/>
    </row>
    <row r="10162" spans="1:1">
      <c r="A10162" s="5"/>
    </row>
    <row r="10163" spans="1:1">
      <c r="A10163" s="5"/>
    </row>
    <row r="10164" spans="1:1">
      <c r="A10164" s="5"/>
    </row>
    <row r="10165" spans="1:1">
      <c r="A10165" s="5"/>
    </row>
    <row r="10166" spans="1:1">
      <c r="A10166" s="5"/>
    </row>
    <row r="10167" spans="1:1">
      <c r="A10167" s="5"/>
    </row>
    <row r="10168" spans="1:1">
      <c r="A10168" s="5"/>
    </row>
    <row r="10169" spans="1:1">
      <c r="A10169" s="5"/>
    </row>
    <row r="10170" spans="1:1">
      <c r="A10170" s="5"/>
    </row>
    <row r="10171" spans="1:1">
      <c r="A10171" s="5"/>
    </row>
    <row r="10172" spans="1:1">
      <c r="A10172" s="5"/>
    </row>
    <row r="10173" spans="1:1">
      <c r="A10173" s="5"/>
    </row>
    <row r="10174" spans="1:1">
      <c r="A10174" s="5"/>
    </row>
    <row r="10175" spans="1:1">
      <c r="A10175" s="5"/>
    </row>
    <row r="10176" spans="1:1">
      <c r="A10176" s="5"/>
    </row>
    <row r="10177" spans="1:1">
      <c r="A10177" s="5"/>
    </row>
    <row r="10178" spans="1:1">
      <c r="A10178" s="5"/>
    </row>
    <row r="10179" spans="1:1">
      <c r="A10179" s="5"/>
    </row>
    <row r="10180" spans="1:1">
      <c r="A10180" s="5"/>
    </row>
    <row r="10181" spans="1:1">
      <c r="A10181" s="5"/>
    </row>
    <row r="10182" spans="1:1">
      <c r="A10182" s="5"/>
    </row>
    <row r="10183" spans="1:1">
      <c r="A10183" s="5"/>
    </row>
    <row r="10184" spans="1:1">
      <c r="A10184" s="5"/>
    </row>
    <row r="10185" spans="1:1">
      <c r="A10185" s="5"/>
    </row>
    <row r="10186" spans="1:1">
      <c r="A10186" s="5"/>
    </row>
    <row r="10187" spans="1:1">
      <c r="A10187" s="5"/>
    </row>
    <row r="10188" spans="1:1">
      <c r="A10188" s="5"/>
    </row>
    <row r="10189" spans="1:1">
      <c r="A10189" s="5"/>
    </row>
    <row r="10190" spans="1:1">
      <c r="A10190" s="5"/>
    </row>
    <row r="10191" spans="1:1">
      <c r="A10191" s="5"/>
    </row>
    <row r="10192" spans="1:1">
      <c r="A10192" s="5"/>
    </row>
    <row r="10193" spans="1:1">
      <c r="A10193" s="5"/>
    </row>
    <row r="10194" spans="1:1">
      <c r="A10194" s="5"/>
    </row>
    <row r="10195" spans="1:1">
      <c r="A10195" s="5"/>
    </row>
    <row r="10196" spans="1:1">
      <c r="A10196" s="5"/>
    </row>
    <row r="10197" spans="1:1">
      <c r="A10197" s="5"/>
    </row>
    <row r="10198" spans="1:1">
      <c r="A10198" s="5"/>
    </row>
    <row r="10199" spans="1:1">
      <c r="A10199" s="5"/>
    </row>
    <row r="10200" spans="1:1">
      <c r="A10200" s="5"/>
    </row>
    <row r="10201" spans="1:1">
      <c r="A10201" s="5"/>
    </row>
    <row r="10202" spans="1:1">
      <c r="A10202" s="5"/>
    </row>
    <row r="10203" spans="1:1">
      <c r="A10203" s="5"/>
    </row>
    <row r="10204" spans="1:1">
      <c r="A10204" s="5"/>
    </row>
    <row r="10205" spans="1:1">
      <c r="A10205" s="5"/>
    </row>
    <row r="10206" spans="1:1">
      <c r="A10206" s="5"/>
    </row>
    <row r="10207" spans="1:1">
      <c r="A10207" s="5"/>
    </row>
    <row r="10208" spans="1:1">
      <c r="A10208" s="5"/>
    </row>
    <row r="10209" spans="1:1">
      <c r="A10209" s="5"/>
    </row>
    <row r="10210" spans="1:1">
      <c r="A10210" s="5"/>
    </row>
    <row r="10211" spans="1:1">
      <c r="A10211" s="5"/>
    </row>
    <row r="10212" spans="1:1">
      <c r="A10212" s="5"/>
    </row>
    <row r="10213" spans="1:1">
      <c r="A10213" s="5"/>
    </row>
    <row r="10214" spans="1:1">
      <c r="A10214" s="5"/>
    </row>
    <row r="10215" spans="1:1">
      <c r="A10215" s="5"/>
    </row>
    <row r="10216" spans="1:1">
      <c r="A10216" s="5"/>
    </row>
    <row r="10217" spans="1:1">
      <c r="A10217" s="5"/>
    </row>
    <row r="10218" spans="1:1">
      <c r="A10218" s="5"/>
    </row>
    <row r="10219" spans="1:1">
      <c r="A10219" s="5"/>
    </row>
    <row r="10220" spans="1:1">
      <c r="A10220" s="5"/>
    </row>
    <row r="10221" spans="1:1">
      <c r="A10221" s="5"/>
    </row>
    <row r="10222" spans="1:1">
      <c r="A10222" s="5"/>
    </row>
    <row r="10223" spans="1:1">
      <c r="A10223" s="5"/>
    </row>
    <row r="10224" spans="1:1">
      <c r="A10224" s="5"/>
    </row>
    <row r="10225" spans="1:1">
      <c r="A10225" s="5"/>
    </row>
    <row r="10226" spans="1:1">
      <c r="A10226" s="5"/>
    </row>
    <row r="10227" spans="1:1">
      <c r="A10227" s="5"/>
    </row>
    <row r="10228" spans="1:1">
      <c r="A10228" s="5"/>
    </row>
    <row r="10229" spans="1:1">
      <c r="A10229" s="5"/>
    </row>
    <row r="10230" spans="1:1">
      <c r="A10230" s="5"/>
    </row>
    <row r="10231" spans="1:1">
      <c r="A10231" s="5"/>
    </row>
    <row r="10232" spans="1:1">
      <c r="A10232" s="5"/>
    </row>
    <row r="10233" spans="1:1">
      <c r="A10233" s="5"/>
    </row>
    <row r="10234" spans="1:1">
      <c r="A10234" s="5"/>
    </row>
    <row r="10235" spans="1:1">
      <c r="A10235" s="5"/>
    </row>
    <row r="10236" spans="1:1">
      <c r="A10236" s="5"/>
    </row>
    <row r="10237" spans="1:1">
      <c r="A10237" s="5"/>
    </row>
    <row r="10238" spans="1:1">
      <c r="A10238" s="5"/>
    </row>
    <row r="10239" spans="1:1">
      <c r="A10239" s="5"/>
    </row>
    <row r="10240" spans="1:1">
      <c r="A10240" s="5"/>
    </row>
    <row r="10241" spans="1:1">
      <c r="A10241" s="5"/>
    </row>
    <row r="10242" spans="1:1">
      <c r="A10242" s="5"/>
    </row>
    <row r="10243" spans="1:1">
      <c r="A10243" s="5"/>
    </row>
    <row r="10244" spans="1:1">
      <c r="A10244" s="5"/>
    </row>
    <row r="10245" spans="1:1">
      <c r="A10245" s="5"/>
    </row>
    <row r="10246" spans="1:1">
      <c r="A10246" s="5"/>
    </row>
    <row r="10247" spans="1:1">
      <c r="A10247" s="5"/>
    </row>
    <row r="10248" spans="1:1">
      <c r="A10248" s="5"/>
    </row>
    <row r="10249" spans="1:1">
      <c r="A10249" s="5"/>
    </row>
    <row r="10250" spans="1:1">
      <c r="A10250" s="5"/>
    </row>
    <row r="10251" spans="1:1">
      <c r="A10251" s="5"/>
    </row>
    <row r="10252" spans="1:1">
      <c r="A10252" s="5"/>
    </row>
    <row r="10253" spans="1:1">
      <c r="A10253" s="5"/>
    </row>
    <row r="10254" spans="1:1">
      <c r="A10254" s="5"/>
    </row>
    <row r="10255" spans="1:1">
      <c r="A10255" s="5"/>
    </row>
    <row r="10256" spans="1:1">
      <c r="A10256" s="5"/>
    </row>
    <row r="10257" spans="1:1">
      <c r="A10257" s="5"/>
    </row>
    <row r="10258" spans="1:1">
      <c r="A10258" s="5"/>
    </row>
    <row r="10259" spans="1:1">
      <c r="A10259" s="5"/>
    </row>
    <row r="10260" spans="1:1">
      <c r="A10260" s="5"/>
    </row>
    <row r="10261" spans="1:1">
      <c r="A10261" s="5"/>
    </row>
    <row r="10262" spans="1:1">
      <c r="A10262" s="5"/>
    </row>
    <row r="10263" spans="1:1">
      <c r="A10263" s="5"/>
    </row>
    <row r="10264" spans="1:1">
      <c r="A10264" s="5"/>
    </row>
    <row r="10265" spans="1:1">
      <c r="A10265" s="5"/>
    </row>
    <row r="10266" spans="1:1">
      <c r="A10266" s="5"/>
    </row>
    <row r="10267" spans="1:1">
      <c r="A10267" s="5"/>
    </row>
    <row r="10268" spans="1:1">
      <c r="A10268" s="5"/>
    </row>
    <row r="10269" spans="1:1">
      <c r="A10269" s="5"/>
    </row>
    <row r="10270" spans="1:1">
      <c r="A10270" s="5"/>
    </row>
    <row r="10271" spans="1:1">
      <c r="A10271" s="5"/>
    </row>
    <row r="10272" spans="1:1">
      <c r="A10272" s="5"/>
    </row>
    <row r="10273" spans="1:1">
      <c r="A10273" s="5"/>
    </row>
    <row r="10274" spans="1:1">
      <c r="A10274" s="5"/>
    </row>
    <row r="10275" spans="1:1">
      <c r="A10275" s="5"/>
    </row>
    <row r="10276" spans="1:1">
      <c r="A10276" s="5"/>
    </row>
    <row r="10277" spans="1:1">
      <c r="A10277" s="5"/>
    </row>
    <row r="10278" spans="1:1">
      <c r="A10278" s="5"/>
    </row>
    <row r="10279" spans="1:1">
      <c r="A10279" s="5"/>
    </row>
    <row r="10280" spans="1:1">
      <c r="A10280" s="5"/>
    </row>
    <row r="10281" spans="1:1">
      <c r="A10281" s="5"/>
    </row>
    <row r="10282" spans="1:1">
      <c r="A10282" s="5"/>
    </row>
    <row r="10283" spans="1:1">
      <c r="A10283" s="5"/>
    </row>
    <row r="10284" spans="1:1">
      <c r="A10284" s="5"/>
    </row>
    <row r="10285" spans="1:1">
      <c r="A10285" s="5"/>
    </row>
    <row r="10286" spans="1:1">
      <c r="A10286" s="5"/>
    </row>
    <row r="10287" spans="1:1">
      <c r="A10287" s="5"/>
    </row>
    <row r="10288" spans="1:1">
      <c r="A10288" s="5"/>
    </row>
    <row r="10289" spans="1:1">
      <c r="A10289" s="5"/>
    </row>
    <row r="10290" spans="1:1">
      <c r="A10290" s="5"/>
    </row>
    <row r="10291" spans="1:1">
      <c r="A10291" s="5"/>
    </row>
    <row r="10292" spans="1:1">
      <c r="A10292" s="5"/>
    </row>
    <row r="10293" spans="1:1">
      <c r="A10293" s="5"/>
    </row>
    <row r="10294" spans="1:1">
      <c r="A10294" s="5"/>
    </row>
    <row r="10295" spans="1:1">
      <c r="A10295" s="5"/>
    </row>
    <row r="10296" spans="1:1">
      <c r="A10296" s="5"/>
    </row>
    <row r="10297" spans="1:1">
      <c r="A10297" s="5"/>
    </row>
    <row r="10298" spans="1:1">
      <c r="A10298" s="5"/>
    </row>
    <row r="10299" spans="1:1">
      <c r="A10299" s="5"/>
    </row>
    <row r="10300" spans="1:1">
      <c r="A10300" s="5"/>
    </row>
    <row r="10301" spans="1:1">
      <c r="A10301" s="5"/>
    </row>
    <row r="10302" spans="1:1">
      <c r="A10302" s="5"/>
    </row>
    <row r="10303" spans="1:1">
      <c r="A10303" s="5"/>
    </row>
    <row r="10304" spans="1:1">
      <c r="A10304" s="5"/>
    </row>
    <row r="10305" spans="1:1">
      <c r="A10305" s="5"/>
    </row>
    <row r="10306" spans="1:1">
      <c r="A10306" s="5"/>
    </row>
    <row r="10307" spans="1:1">
      <c r="A10307" s="5"/>
    </row>
    <row r="10308" spans="1:1">
      <c r="A10308" s="5"/>
    </row>
    <row r="10309" spans="1:1">
      <c r="A10309" s="5"/>
    </row>
    <row r="10310" spans="1:1">
      <c r="A10310" s="5"/>
    </row>
    <row r="10311" spans="1:1">
      <c r="A10311" s="5"/>
    </row>
    <row r="10312" spans="1:1">
      <c r="A10312" s="5"/>
    </row>
    <row r="10313" spans="1:1">
      <c r="A10313" s="5"/>
    </row>
    <row r="10314" spans="1:1">
      <c r="A10314" s="5"/>
    </row>
    <row r="10315" spans="1:1">
      <c r="A10315" s="5"/>
    </row>
    <row r="10316" spans="1:1">
      <c r="A10316" s="5"/>
    </row>
    <row r="10317" spans="1:1">
      <c r="A10317" s="5"/>
    </row>
    <row r="10318" spans="1:1">
      <c r="A10318" s="5"/>
    </row>
    <row r="10319" spans="1:1">
      <c r="A10319" s="5"/>
    </row>
    <row r="10320" spans="1:1">
      <c r="A10320" s="5"/>
    </row>
    <row r="10321" spans="1:1">
      <c r="A10321" s="5"/>
    </row>
    <row r="10322" spans="1:1">
      <c r="A10322" s="5"/>
    </row>
    <row r="10323" spans="1:1">
      <c r="A10323" s="5"/>
    </row>
    <row r="10324" spans="1:1">
      <c r="A10324" s="5"/>
    </row>
    <row r="10325" spans="1:1">
      <c r="A10325" s="5"/>
    </row>
    <row r="10326" spans="1:1">
      <c r="A10326" s="5"/>
    </row>
    <row r="10327" spans="1:1">
      <c r="A10327" s="5"/>
    </row>
    <row r="10328" spans="1:1">
      <c r="A10328" s="5"/>
    </row>
    <row r="10329" spans="1:1">
      <c r="A10329" s="5"/>
    </row>
    <row r="10330" spans="1:1">
      <c r="A10330" s="5"/>
    </row>
    <row r="10331" spans="1:1">
      <c r="A10331" s="5"/>
    </row>
    <row r="10332" spans="1:1">
      <c r="A10332" s="5"/>
    </row>
    <row r="10333" spans="1:1">
      <c r="A10333" s="5"/>
    </row>
    <row r="10334" spans="1:1">
      <c r="A10334" s="5"/>
    </row>
    <row r="10335" spans="1:1">
      <c r="A10335" s="5"/>
    </row>
    <row r="10336" spans="1:1">
      <c r="A10336" s="5"/>
    </row>
    <row r="10337" spans="1:1">
      <c r="A10337" s="5"/>
    </row>
    <row r="10338" spans="1:1">
      <c r="A10338" s="5"/>
    </row>
    <row r="10339" spans="1:1">
      <c r="A10339" s="5"/>
    </row>
    <row r="10340" spans="1:1">
      <c r="A10340" s="5"/>
    </row>
    <row r="10341" spans="1:1">
      <c r="A10341" s="5"/>
    </row>
    <row r="10342" spans="1:1">
      <c r="A10342" s="5"/>
    </row>
    <row r="10343" spans="1:1">
      <c r="A10343" s="5"/>
    </row>
    <row r="10344" spans="1:1">
      <c r="A10344" s="5"/>
    </row>
    <row r="10345" spans="1:1">
      <c r="A10345" s="5"/>
    </row>
    <row r="10346" spans="1:1">
      <c r="A10346" s="5"/>
    </row>
    <row r="10347" spans="1:1">
      <c r="A10347" s="5"/>
    </row>
    <row r="10348" spans="1:1">
      <c r="A10348" s="5"/>
    </row>
    <row r="10349" spans="1:1">
      <c r="A10349" s="5"/>
    </row>
    <row r="10350" spans="1:1">
      <c r="A10350" s="5"/>
    </row>
    <row r="10351" spans="1:1">
      <c r="A10351" s="5"/>
    </row>
    <row r="10352" spans="1:1">
      <c r="A10352" s="5"/>
    </row>
    <row r="10353" spans="1:1">
      <c r="A10353" s="5"/>
    </row>
    <row r="10354" spans="1:1">
      <c r="A10354" s="5"/>
    </row>
    <row r="10355" spans="1:1">
      <c r="A10355" s="5"/>
    </row>
    <row r="10356" spans="1:1">
      <c r="A10356" s="5"/>
    </row>
    <row r="10357" spans="1:1">
      <c r="A10357" s="5"/>
    </row>
    <row r="10358" spans="1:1">
      <c r="A10358" s="5"/>
    </row>
    <row r="10359" spans="1:1">
      <c r="A10359" s="5"/>
    </row>
    <row r="10360" spans="1:1">
      <c r="A10360" s="5"/>
    </row>
    <row r="10361" spans="1:1">
      <c r="A10361" s="5"/>
    </row>
    <row r="10362" spans="1:1">
      <c r="A10362" s="5"/>
    </row>
    <row r="10363" spans="1:1">
      <c r="A10363" s="5"/>
    </row>
    <row r="10364" spans="1:1">
      <c r="A10364" s="5"/>
    </row>
    <row r="10365" spans="1:1">
      <c r="A10365" s="5"/>
    </row>
    <row r="10366" spans="1:1">
      <c r="A10366" s="5"/>
    </row>
    <row r="10367" spans="1:1">
      <c r="A10367" s="5"/>
    </row>
    <row r="10368" spans="1:1">
      <c r="A10368" s="5"/>
    </row>
    <row r="10369" spans="1:1">
      <c r="A10369" s="5"/>
    </row>
    <row r="10370" spans="1:1">
      <c r="A10370" s="5"/>
    </row>
    <row r="10371" spans="1:1">
      <c r="A10371" s="5"/>
    </row>
    <row r="10372" spans="1:1">
      <c r="A10372" s="5"/>
    </row>
    <row r="10373" spans="1:1">
      <c r="A10373" s="5"/>
    </row>
    <row r="10374" spans="1:1">
      <c r="A10374" s="5"/>
    </row>
    <row r="10375" spans="1:1">
      <c r="A10375" s="5"/>
    </row>
    <row r="10376" spans="1:1">
      <c r="A10376" s="5"/>
    </row>
    <row r="10377" spans="1:1">
      <c r="A10377" s="5"/>
    </row>
    <row r="10378" spans="1:1">
      <c r="A10378" s="5"/>
    </row>
    <row r="10379" spans="1:1">
      <c r="A10379" s="5"/>
    </row>
    <row r="10380" spans="1:1">
      <c r="A10380" s="5"/>
    </row>
    <row r="10381" spans="1:1">
      <c r="A10381" s="5"/>
    </row>
    <row r="10382" spans="1:1">
      <c r="A10382" s="5"/>
    </row>
    <row r="10383" spans="1:1">
      <c r="A10383" s="5"/>
    </row>
    <row r="10384" spans="1:1">
      <c r="A10384" s="5"/>
    </row>
    <row r="10385" spans="1:1">
      <c r="A10385" s="5"/>
    </row>
    <row r="10386" spans="1:1">
      <c r="A10386" s="5"/>
    </row>
    <row r="10387" spans="1:1">
      <c r="A10387" s="5"/>
    </row>
    <row r="10388" spans="1:1">
      <c r="A10388" s="5"/>
    </row>
    <row r="10389" spans="1:1">
      <c r="A10389" s="5"/>
    </row>
    <row r="10390" spans="1:1">
      <c r="A10390" s="5"/>
    </row>
    <row r="10391" spans="1:1">
      <c r="A10391" s="5"/>
    </row>
    <row r="10392" spans="1:1">
      <c r="A10392" s="5"/>
    </row>
    <row r="10393" spans="1:1">
      <c r="A10393" s="5"/>
    </row>
    <row r="10394" spans="1:1">
      <c r="A10394" s="5"/>
    </row>
    <row r="10395" spans="1:1">
      <c r="A10395" s="5"/>
    </row>
    <row r="10396" spans="1:1">
      <c r="A10396" s="5"/>
    </row>
    <row r="10397" spans="1:1">
      <c r="A10397" s="5"/>
    </row>
    <row r="10398" spans="1:1">
      <c r="A10398" s="5"/>
    </row>
    <row r="10399" spans="1:1">
      <c r="A10399" s="5"/>
    </row>
    <row r="10400" spans="1:1">
      <c r="A10400" s="5"/>
    </row>
    <row r="10401" spans="1:1">
      <c r="A10401" s="5"/>
    </row>
    <row r="10402" spans="1:1">
      <c r="A10402" s="5"/>
    </row>
    <row r="10403" spans="1:1">
      <c r="A10403" s="5"/>
    </row>
    <row r="10404" spans="1:1">
      <c r="A10404" s="5"/>
    </row>
    <row r="10405" spans="1:1">
      <c r="A10405" s="5"/>
    </row>
    <row r="10406" spans="1:1">
      <c r="A10406" s="5"/>
    </row>
    <row r="10407" spans="1:1">
      <c r="A10407" s="5"/>
    </row>
    <row r="10408" spans="1:1">
      <c r="A10408" s="5"/>
    </row>
    <row r="10409" spans="1:1">
      <c r="A10409" s="5"/>
    </row>
    <row r="10410" spans="1:1">
      <c r="A10410" s="5"/>
    </row>
    <row r="10411" spans="1:1">
      <c r="A10411" s="5"/>
    </row>
    <row r="10412" spans="1:1">
      <c r="A10412" s="5"/>
    </row>
    <row r="10413" spans="1:1">
      <c r="A10413" s="5"/>
    </row>
    <row r="10414" spans="1:1">
      <c r="A10414" s="5"/>
    </row>
    <row r="10415" spans="1:1">
      <c r="A10415" s="5"/>
    </row>
    <row r="10416" spans="1:1">
      <c r="A10416" s="5"/>
    </row>
    <row r="10417" spans="1:1">
      <c r="A10417" s="5"/>
    </row>
    <row r="10418" spans="1:1">
      <c r="A10418" s="5"/>
    </row>
    <row r="10419" spans="1:1">
      <c r="A10419" s="5"/>
    </row>
    <row r="10420" spans="1:1">
      <c r="A10420" s="5"/>
    </row>
    <row r="10421" spans="1:1">
      <c r="A10421" s="5"/>
    </row>
    <row r="10422" spans="1:1">
      <c r="A10422" s="5"/>
    </row>
    <row r="10423" spans="1:1">
      <c r="A10423" s="5"/>
    </row>
    <row r="10424" spans="1:1">
      <c r="A10424" s="5"/>
    </row>
    <row r="10425" spans="1:1">
      <c r="A10425" s="5"/>
    </row>
    <row r="10426" spans="1:1">
      <c r="A10426" s="5"/>
    </row>
    <row r="10427" spans="1:1">
      <c r="A10427" s="5"/>
    </row>
    <row r="10428" spans="1:1">
      <c r="A10428" s="5"/>
    </row>
    <row r="10429" spans="1:1">
      <c r="A10429" s="5"/>
    </row>
    <row r="10430" spans="1:1">
      <c r="A10430" s="5"/>
    </row>
    <row r="10431" spans="1:1">
      <c r="A10431" s="5"/>
    </row>
    <row r="10432" spans="1:1">
      <c r="A10432" s="5"/>
    </row>
    <row r="10433" spans="1:1">
      <c r="A10433" s="5"/>
    </row>
    <row r="10434" spans="1:1">
      <c r="A10434" s="5"/>
    </row>
    <row r="10435" spans="1:1">
      <c r="A10435" s="5"/>
    </row>
    <row r="10436" spans="1:1">
      <c r="A10436" s="5"/>
    </row>
    <row r="10437" spans="1:1">
      <c r="A10437" s="5"/>
    </row>
    <row r="10438" spans="1:1">
      <c r="A10438" s="5"/>
    </row>
    <row r="10439" spans="1:1">
      <c r="A10439" s="5"/>
    </row>
    <row r="10440" spans="1:1">
      <c r="A10440" s="5"/>
    </row>
    <row r="10441" spans="1:1">
      <c r="A10441" s="5"/>
    </row>
    <row r="10442" spans="1:1">
      <c r="A10442" s="5"/>
    </row>
    <row r="10443" spans="1:1">
      <c r="A10443" s="5"/>
    </row>
    <row r="10444" spans="1:1">
      <c r="A10444" s="5"/>
    </row>
    <row r="10445" spans="1:1">
      <c r="A10445" s="5"/>
    </row>
    <row r="10446" spans="1:1">
      <c r="A10446" s="5"/>
    </row>
    <row r="10447" spans="1:1">
      <c r="A10447" s="5"/>
    </row>
    <row r="10448" spans="1:1">
      <c r="A10448" s="5"/>
    </row>
    <row r="10449" spans="1:1">
      <c r="A10449" s="5"/>
    </row>
    <row r="10450" spans="1:1">
      <c r="A10450" s="5"/>
    </row>
    <row r="10451" spans="1:1">
      <c r="A10451" s="5"/>
    </row>
    <row r="10452" spans="1:1">
      <c r="A10452" s="5"/>
    </row>
    <row r="10453" spans="1:1">
      <c r="A10453" s="5"/>
    </row>
    <row r="10454" spans="1:1">
      <c r="A10454" s="5"/>
    </row>
    <row r="10455" spans="1:1">
      <c r="A10455" s="5"/>
    </row>
    <row r="10456" spans="1:1">
      <c r="A10456" s="5"/>
    </row>
    <row r="10457" spans="1:1">
      <c r="A10457" s="5"/>
    </row>
    <row r="10458" spans="1:1">
      <c r="A10458" s="5"/>
    </row>
    <row r="10459" spans="1:1">
      <c r="A10459" s="5"/>
    </row>
    <row r="10460" spans="1:1">
      <c r="A10460" s="5"/>
    </row>
    <row r="10461" spans="1:1">
      <c r="A10461" s="5"/>
    </row>
    <row r="10462" spans="1:1">
      <c r="A10462" s="5"/>
    </row>
    <row r="10463" spans="1:1">
      <c r="A10463" s="5"/>
    </row>
    <row r="10464" spans="1:1">
      <c r="A10464" s="5"/>
    </row>
    <row r="10465" spans="1:1">
      <c r="A10465" s="5"/>
    </row>
    <row r="10466" spans="1:1">
      <c r="A10466" s="5"/>
    </row>
    <row r="10467" spans="1:1">
      <c r="A10467" s="5"/>
    </row>
    <row r="10468" spans="1:1">
      <c r="A10468" s="5"/>
    </row>
    <row r="10469" spans="1:1">
      <c r="A10469" s="5"/>
    </row>
    <row r="10470" spans="1:1">
      <c r="A10470" s="5"/>
    </row>
    <row r="10471" spans="1:1">
      <c r="A10471" s="5"/>
    </row>
    <row r="10472" spans="1:1">
      <c r="A10472" s="5"/>
    </row>
    <row r="10473" spans="1:1">
      <c r="A10473" s="5"/>
    </row>
    <row r="10474" spans="1:1">
      <c r="A10474" s="5"/>
    </row>
    <row r="10475" spans="1:1">
      <c r="A10475" s="5"/>
    </row>
    <row r="10476" spans="1:1">
      <c r="A10476" s="5"/>
    </row>
    <row r="10477" spans="1:1">
      <c r="A10477" s="5"/>
    </row>
    <row r="10478" spans="1:1">
      <c r="A10478" s="5"/>
    </row>
    <row r="10479" spans="1:1">
      <c r="A10479" s="5"/>
    </row>
    <row r="10480" spans="1:1">
      <c r="A10480" s="5"/>
    </row>
    <row r="10481" spans="1:1">
      <c r="A10481" s="5"/>
    </row>
    <row r="10482" spans="1:1">
      <c r="A10482" s="5"/>
    </row>
    <row r="10483" spans="1:1">
      <c r="A10483" s="5"/>
    </row>
    <row r="10484" spans="1:1">
      <c r="A10484" s="5"/>
    </row>
    <row r="10485" spans="1:1">
      <c r="A10485" s="5"/>
    </row>
    <row r="10486" spans="1:1">
      <c r="A10486" s="5"/>
    </row>
    <row r="10487" spans="1:1">
      <c r="A10487" s="5"/>
    </row>
    <row r="10488" spans="1:1">
      <c r="A10488" s="5"/>
    </row>
    <row r="10489" spans="1:1">
      <c r="A10489" s="5"/>
    </row>
    <row r="10490" spans="1:1">
      <c r="A10490" s="5"/>
    </row>
    <row r="10491" spans="1:1">
      <c r="A10491" s="5"/>
    </row>
    <row r="10492" spans="1:1">
      <c r="A10492" s="5"/>
    </row>
    <row r="10493" spans="1:1">
      <c r="A10493" s="5"/>
    </row>
    <row r="10494" spans="1:1">
      <c r="A10494" s="5"/>
    </row>
    <row r="10495" spans="1:1">
      <c r="A10495" s="5"/>
    </row>
    <row r="10496" spans="1:1">
      <c r="A10496" s="5"/>
    </row>
    <row r="10497" spans="1:1">
      <c r="A10497" s="5"/>
    </row>
    <row r="10498" spans="1:1">
      <c r="A10498" s="5"/>
    </row>
    <row r="10499" spans="1:1">
      <c r="A10499" s="5"/>
    </row>
    <row r="10500" spans="1:1">
      <c r="A10500" s="5"/>
    </row>
    <row r="10501" spans="1:1">
      <c r="A10501" s="5"/>
    </row>
    <row r="10502" spans="1:1">
      <c r="A10502" s="5"/>
    </row>
    <row r="10503" spans="1:1">
      <c r="A10503" s="5"/>
    </row>
    <row r="10504" spans="1:1">
      <c r="A10504" s="5"/>
    </row>
    <row r="10505" spans="1:1">
      <c r="A10505" s="5"/>
    </row>
    <row r="10506" spans="1:1">
      <c r="A10506" s="5"/>
    </row>
    <row r="10507" spans="1:1">
      <c r="A10507" s="5"/>
    </row>
    <row r="10508" spans="1:1">
      <c r="A10508" s="5"/>
    </row>
    <row r="10509" spans="1:1">
      <c r="A10509" s="5"/>
    </row>
    <row r="10510" spans="1:1">
      <c r="A10510" s="5"/>
    </row>
    <row r="10511" spans="1:1">
      <c r="A10511" s="5"/>
    </row>
    <row r="10512" spans="1:1">
      <c r="A10512" s="5"/>
    </row>
    <row r="10513" spans="1:1">
      <c r="A10513" s="5"/>
    </row>
    <row r="10514" spans="1:1">
      <c r="A10514" s="5"/>
    </row>
    <row r="10515" spans="1:1">
      <c r="A10515" s="5"/>
    </row>
    <row r="10516" spans="1:1">
      <c r="A10516" s="5"/>
    </row>
    <row r="10517" spans="1:1">
      <c r="A10517" s="5"/>
    </row>
    <row r="10518" spans="1:1">
      <c r="A10518" s="5"/>
    </row>
    <row r="10519" spans="1:1">
      <c r="A10519" s="5"/>
    </row>
    <row r="10520" spans="1:1">
      <c r="A10520" s="5"/>
    </row>
    <row r="10521" spans="1:1">
      <c r="A10521" s="5"/>
    </row>
    <row r="10522" spans="1:1">
      <c r="A10522" s="5"/>
    </row>
    <row r="10523" spans="1:1">
      <c r="A10523" s="5"/>
    </row>
    <row r="10524" spans="1:1">
      <c r="A10524" s="5"/>
    </row>
    <row r="10525" spans="1:1">
      <c r="A10525" s="5"/>
    </row>
    <row r="10526" spans="1:1">
      <c r="A10526" s="5"/>
    </row>
    <row r="10527" spans="1:1">
      <c r="A10527" s="5"/>
    </row>
    <row r="10528" spans="1:1">
      <c r="A10528" s="5"/>
    </row>
    <row r="10529" spans="1:1">
      <c r="A10529" s="5"/>
    </row>
    <row r="10530" spans="1:1">
      <c r="A10530" s="5"/>
    </row>
    <row r="10531" spans="1:1">
      <c r="A10531" s="5"/>
    </row>
    <row r="10532" spans="1:1">
      <c r="A10532" s="5"/>
    </row>
    <row r="10533" spans="1:1">
      <c r="A10533" s="5"/>
    </row>
    <row r="10534" spans="1:1">
      <c r="A10534" s="5"/>
    </row>
    <row r="10535" spans="1:1">
      <c r="A10535" s="5"/>
    </row>
    <row r="10536" spans="1:1">
      <c r="A10536" s="5"/>
    </row>
    <row r="10537" spans="1:1">
      <c r="A10537" s="5"/>
    </row>
    <row r="10538" spans="1:1">
      <c r="A10538" s="5"/>
    </row>
    <row r="10539" spans="1:1">
      <c r="A10539" s="5"/>
    </row>
    <row r="10540" spans="1:1">
      <c r="A10540" s="5"/>
    </row>
    <row r="10541" spans="1:1">
      <c r="A10541" s="5"/>
    </row>
    <row r="10542" spans="1:1">
      <c r="A10542" s="5"/>
    </row>
    <row r="10543" spans="1:1">
      <c r="A10543" s="5"/>
    </row>
    <row r="10544" spans="1:1">
      <c r="A10544" s="5"/>
    </row>
    <row r="10545" spans="1:1">
      <c r="A10545" s="5"/>
    </row>
    <row r="10546" spans="1:1">
      <c r="A10546" s="5"/>
    </row>
    <row r="10547" spans="1:1">
      <c r="A10547" s="5"/>
    </row>
    <row r="10548" spans="1:1">
      <c r="A10548" s="5"/>
    </row>
    <row r="10549" spans="1:1">
      <c r="A10549" s="5"/>
    </row>
    <row r="10550" spans="1:1">
      <c r="A10550" s="5"/>
    </row>
    <row r="10551" spans="1:1">
      <c r="A10551" s="5"/>
    </row>
    <row r="10552" spans="1:1">
      <c r="A10552" s="5"/>
    </row>
    <row r="10553" spans="1:1">
      <c r="A10553" s="5"/>
    </row>
    <row r="10554" spans="1:1">
      <c r="A10554" s="5"/>
    </row>
    <row r="10555" spans="1:1">
      <c r="A10555" s="5"/>
    </row>
    <row r="10556" spans="1:1">
      <c r="A10556" s="5"/>
    </row>
    <row r="10557" spans="1:1">
      <c r="A10557" s="5"/>
    </row>
    <row r="10558" spans="1:1">
      <c r="A10558" s="5"/>
    </row>
    <row r="10559" spans="1:1">
      <c r="A10559" s="5"/>
    </row>
    <row r="10560" spans="1:1">
      <c r="A10560" s="5"/>
    </row>
    <row r="10561" spans="1:1">
      <c r="A10561" s="5"/>
    </row>
    <row r="10562" spans="1:1">
      <c r="A10562" s="5"/>
    </row>
    <row r="10563" spans="1:1">
      <c r="A10563" s="5"/>
    </row>
    <row r="10564" spans="1:1">
      <c r="A10564" s="5"/>
    </row>
    <row r="10565" spans="1:1">
      <c r="A10565" s="5"/>
    </row>
    <row r="10566" spans="1:1">
      <c r="A10566" s="5"/>
    </row>
    <row r="10567" spans="1:1">
      <c r="A10567" s="5"/>
    </row>
    <row r="10568" spans="1:1">
      <c r="A10568" s="5"/>
    </row>
    <row r="10569" spans="1:1">
      <c r="A10569" s="5"/>
    </row>
    <row r="10570" spans="1:1">
      <c r="A10570" s="5"/>
    </row>
    <row r="10571" spans="1:1">
      <c r="A10571" s="5"/>
    </row>
    <row r="10572" spans="1:1">
      <c r="A10572" s="5"/>
    </row>
    <row r="10573" spans="1:1">
      <c r="A10573" s="5"/>
    </row>
    <row r="10574" spans="1:1">
      <c r="A10574" s="5"/>
    </row>
    <row r="10575" spans="1:1">
      <c r="A10575" s="5"/>
    </row>
    <row r="10576" spans="1:1">
      <c r="A10576" s="5"/>
    </row>
    <row r="10577" spans="1:1">
      <c r="A10577" s="5"/>
    </row>
    <row r="10578" spans="1:1">
      <c r="A10578" s="5"/>
    </row>
    <row r="10579" spans="1:1">
      <c r="A10579" s="5"/>
    </row>
    <row r="10580" spans="1:1">
      <c r="A10580" s="5"/>
    </row>
    <row r="10581" spans="1:1">
      <c r="A10581" s="5"/>
    </row>
    <row r="10582" spans="1:1">
      <c r="A10582" s="5"/>
    </row>
    <row r="10583" spans="1:1">
      <c r="A10583" s="5"/>
    </row>
    <row r="10584" spans="1:1">
      <c r="A10584" s="5"/>
    </row>
    <row r="10585" spans="1:1">
      <c r="A10585" s="5"/>
    </row>
    <row r="10586" spans="1:1">
      <c r="A10586" s="5"/>
    </row>
    <row r="10587" spans="1:1">
      <c r="A10587" s="5"/>
    </row>
    <row r="10588" spans="1:1">
      <c r="A10588" s="5"/>
    </row>
    <row r="10589" spans="1:1">
      <c r="A10589" s="5"/>
    </row>
    <row r="10590" spans="1:1">
      <c r="A10590" s="5"/>
    </row>
    <row r="10591" spans="1:1">
      <c r="A10591" s="5"/>
    </row>
    <row r="10592" spans="1:1">
      <c r="A10592" s="5"/>
    </row>
    <row r="10593" spans="1:1">
      <c r="A10593" s="5"/>
    </row>
    <row r="10594" spans="1:1">
      <c r="A10594" s="5"/>
    </row>
    <row r="10595" spans="1:1">
      <c r="A10595" s="5"/>
    </row>
    <row r="10596" spans="1:1">
      <c r="A10596" s="5"/>
    </row>
    <row r="10597" spans="1:1">
      <c r="A10597" s="5"/>
    </row>
    <row r="10598" spans="1:1">
      <c r="A10598" s="5"/>
    </row>
    <row r="10599" spans="1:1">
      <c r="A10599" s="5"/>
    </row>
    <row r="10600" spans="1:1">
      <c r="A10600" s="5"/>
    </row>
    <row r="10601" spans="1:1">
      <c r="A10601" s="5"/>
    </row>
    <row r="10602" spans="1:1">
      <c r="A10602" s="5"/>
    </row>
    <row r="10603" spans="1:1">
      <c r="A10603" s="5"/>
    </row>
    <row r="10604" spans="1:1">
      <c r="A10604" s="5"/>
    </row>
    <row r="10605" spans="1:1">
      <c r="A10605" s="5"/>
    </row>
    <row r="10606" spans="1:1">
      <c r="A10606" s="5"/>
    </row>
    <row r="10607" spans="1:1">
      <c r="A10607" s="5"/>
    </row>
    <row r="10608" spans="1:1">
      <c r="A10608" s="5"/>
    </row>
    <row r="10609" spans="1:1">
      <c r="A10609" s="5"/>
    </row>
    <row r="10610" spans="1:1">
      <c r="A10610" s="5"/>
    </row>
    <row r="10611" spans="1:1">
      <c r="A10611" s="5"/>
    </row>
    <row r="10612" spans="1:1">
      <c r="A10612" s="5"/>
    </row>
    <row r="10613" spans="1:1">
      <c r="A10613" s="5"/>
    </row>
    <row r="10614" spans="1:1">
      <c r="A10614" s="5"/>
    </row>
    <row r="10615" spans="1:1">
      <c r="A10615" s="5"/>
    </row>
    <row r="10616" spans="1:1">
      <c r="A10616" s="5"/>
    </row>
    <row r="10617" spans="1:1">
      <c r="A10617" s="5"/>
    </row>
    <row r="10618" spans="1:1">
      <c r="A10618" s="5"/>
    </row>
    <row r="10619" spans="1:1">
      <c r="A10619" s="5"/>
    </row>
    <row r="10620" spans="1:1">
      <c r="A10620" s="5"/>
    </row>
    <row r="10621" spans="1:1">
      <c r="A10621" s="5"/>
    </row>
    <row r="10622" spans="1:1">
      <c r="A10622" s="5"/>
    </row>
    <row r="10623" spans="1:1">
      <c r="A10623" s="5"/>
    </row>
    <row r="10624" spans="1:1">
      <c r="A10624" s="5"/>
    </row>
    <row r="10625" spans="1:1">
      <c r="A10625" s="5"/>
    </row>
    <row r="10626" spans="1:1">
      <c r="A10626" s="5"/>
    </row>
    <row r="10627" spans="1:1">
      <c r="A10627" s="5"/>
    </row>
    <row r="10628" spans="1:1">
      <c r="A10628" s="5"/>
    </row>
    <row r="10629" spans="1:1">
      <c r="A10629" s="5"/>
    </row>
    <row r="10630" spans="1:1">
      <c r="A10630" s="5"/>
    </row>
    <row r="10631" spans="1:1">
      <c r="A10631" s="5"/>
    </row>
    <row r="10632" spans="1:1">
      <c r="A10632" s="5"/>
    </row>
    <row r="10633" spans="1:1">
      <c r="A10633" s="5"/>
    </row>
    <row r="10634" spans="1:1">
      <c r="A10634" s="5"/>
    </row>
    <row r="10635" spans="1:1">
      <c r="A10635" s="5"/>
    </row>
    <row r="10636" spans="1:1">
      <c r="A10636" s="5"/>
    </row>
    <row r="10637" spans="1:1">
      <c r="A10637" s="5"/>
    </row>
    <row r="10638" spans="1:1">
      <c r="A10638" s="5"/>
    </row>
    <row r="10639" spans="1:1">
      <c r="A10639" s="5"/>
    </row>
    <row r="10640" spans="1:1">
      <c r="A10640" s="5"/>
    </row>
    <row r="10641" spans="1:1">
      <c r="A10641" s="5"/>
    </row>
    <row r="10642" spans="1:1">
      <c r="A10642" s="5"/>
    </row>
    <row r="10643" spans="1:1">
      <c r="A10643" s="5"/>
    </row>
    <row r="10644" spans="1:1">
      <c r="A10644" s="5"/>
    </row>
    <row r="10645" spans="1:1">
      <c r="A10645" s="5"/>
    </row>
    <row r="10646" spans="1:1">
      <c r="A10646" s="5"/>
    </row>
    <row r="10647" spans="1:1">
      <c r="A10647" s="5"/>
    </row>
    <row r="10648" spans="1:1">
      <c r="A10648" s="5"/>
    </row>
    <row r="10649" spans="1:1">
      <c r="A10649" s="5"/>
    </row>
    <row r="10650" spans="1:1">
      <c r="A10650" s="5"/>
    </row>
    <row r="10651" spans="1:1">
      <c r="A10651" s="5"/>
    </row>
    <row r="10652" spans="1:1">
      <c r="A10652" s="5"/>
    </row>
    <row r="10653" spans="1:1">
      <c r="A10653" s="5"/>
    </row>
    <row r="10654" spans="1:1">
      <c r="A10654" s="5"/>
    </row>
    <row r="10655" spans="1:1">
      <c r="A10655" s="5"/>
    </row>
    <row r="10656" spans="1:1">
      <c r="A10656" s="5"/>
    </row>
    <row r="10657" spans="1:1">
      <c r="A10657" s="5"/>
    </row>
    <row r="10658" spans="1:1">
      <c r="A10658" s="5"/>
    </row>
    <row r="10659" spans="1:1">
      <c r="A10659" s="5"/>
    </row>
    <row r="10660" spans="1:1">
      <c r="A10660" s="5"/>
    </row>
    <row r="10661" spans="1:1">
      <c r="A10661" s="5"/>
    </row>
    <row r="10662" spans="1:1">
      <c r="A10662" s="5"/>
    </row>
    <row r="10663" spans="1:1">
      <c r="A10663" s="5"/>
    </row>
    <row r="10664" spans="1:1">
      <c r="A10664" s="5"/>
    </row>
    <row r="10665" spans="1:1">
      <c r="A10665" s="5"/>
    </row>
    <row r="10666" spans="1:1">
      <c r="A10666" s="5"/>
    </row>
    <row r="10667" spans="1:1">
      <c r="A10667" s="5"/>
    </row>
    <row r="10668" spans="1:1">
      <c r="A10668" s="5"/>
    </row>
    <row r="10669" spans="1:1">
      <c r="A10669" s="5"/>
    </row>
    <row r="10670" spans="1:1">
      <c r="A10670" s="5"/>
    </row>
    <row r="10671" spans="1:1">
      <c r="A10671" s="5"/>
    </row>
    <row r="10672" spans="1:1">
      <c r="A10672" s="5"/>
    </row>
    <row r="10673" spans="1:1">
      <c r="A10673" s="5"/>
    </row>
    <row r="10674" spans="1:1">
      <c r="A10674" s="5"/>
    </row>
    <row r="10675" spans="1:1">
      <c r="A10675" s="5"/>
    </row>
    <row r="10676" spans="1:1">
      <c r="A10676" s="5"/>
    </row>
    <row r="10677" spans="1:1">
      <c r="A10677" s="5"/>
    </row>
    <row r="10678" spans="1:1">
      <c r="A10678" s="5"/>
    </row>
    <row r="10679" spans="1:1">
      <c r="A10679" s="5"/>
    </row>
    <row r="10680" spans="1:1">
      <c r="A10680" s="5"/>
    </row>
    <row r="10681" spans="1:1">
      <c r="A10681" s="5"/>
    </row>
    <row r="10682" spans="1:1">
      <c r="A10682" s="5"/>
    </row>
    <row r="10683" spans="1:1">
      <c r="A10683" s="5"/>
    </row>
    <row r="10684" spans="1:1">
      <c r="A10684" s="5"/>
    </row>
    <row r="10685" spans="1:1">
      <c r="A10685" s="5"/>
    </row>
    <row r="10686" spans="1:1">
      <c r="A10686" s="5"/>
    </row>
    <row r="10687" spans="1:1">
      <c r="A10687" s="5"/>
    </row>
    <row r="10688" spans="1:1">
      <c r="A10688" s="5"/>
    </row>
    <row r="10689" spans="1:1">
      <c r="A10689" s="5"/>
    </row>
    <row r="10690" spans="1:1">
      <c r="A10690" s="5"/>
    </row>
    <row r="10691" spans="1:1">
      <c r="A10691" s="5"/>
    </row>
    <row r="10692" spans="1:1">
      <c r="A10692" s="5"/>
    </row>
    <row r="10693" spans="1:1">
      <c r="A10693" s="5"/>
    </row>
    <row r="10694" spans="1:1">
      <c r="A10694" s="5"/>
    </row>
    <row r="10695" spans="1:1">
      <c r="A10695" s="5"/>
    </row>
    <row r="10696" spans="1:1">
      <c r="A10696" s="5"/>
    </row>
    <row r="10697" spans="1:1">
      <c r="A10697" s="5"/>
    </row>
    <row r="10698" spans="1:1">
      <c r="A10698" s="5"/>
    </row>
    <row r="10699" spans="1:1">
      <c r="A10699" s="5"/>
    </row>
    <row r="10700" spans="1:1">
      <c r="A10700" s="5"/>
    </row>
    <row r="10701" spans="1:1">
      <c r="A10701" s="5"/>
    </row>
    <row r="10702" spans="1:1">
      <c r="A10702" s="5"/>
    </row>
    <row r="10703" spans="1:1">
      <c r="A10703" s="5"/>
    </row>
    <row r="10704" spans="1:1">
      <c r="A10704" s="5"/>
    </row>
    <row r="10705" spans="1:1">
      <c r="A10705" s="5"/>
    </row>
    <row r="10706" spans="1:1">
      <c r="A10706" s="5"/>
    </row>
    <row r="10707" spans="1:1">
      <c r="A10707" s="5"/>
    </row>
    <row r="10708" spans="1:1">
      <c r="A10708" s="5"/>
    </row>
    <row r="10709" spans="1:1">
      <c r="A10709" s="5"/>
    </row>
    <row r="10710" spans="1:1">
      <c r="A10710" s="5"/>
    </row>
    <row r="10711" spans="1:1">
      <c r="A10711" s="5"/>
    </row>
    <row r="10712" spans="1:1">
      <c r="A10712" s="5"/>
    </row>
    <row r="10713" spans="1:1">
      <c r="A10713" s="5"/>
    </row>
    <row r="10714" spans="1:1">
      <c r="A10714" s="5"/>
    </row>
    <row r="10715" spans="1:1">
      <c r="A10715" s="5"/>
    </row>
    <row r="10716" spans="1:1">
      <c r="A10716" s="5"/>
    </row>
    <row r="10717" spans="1:1">
      <c r="A10717" s="5"/>
    </row>
    <row r="10718" spans="1:1">
      <c r="A10718" s="5"/>
    </row>
    <row r="10719" spans="1:1">
      <c r="A10719" s="5"/>
    </row>
    <row r="10720" spans="1:1">
      <c r="A10720" s="5"/>
    </row>
    <row r="10721" spans="1:1">
      <c r="A10721" s="5"/>
    </row>
    <row r="10722" spans="1:1">
      <c r="A10722" s="5"/>
    </row>
    <row r="10723" spans="1:1">
      <c r="A10723" s="5"/>
    </row>
    <row r="10724" spans="1:1">
      <c r="A10724" s="5"/>
    </row>
    <row r="10725" spans="1:1">
      <c r="A10725" s="5"/>
    </row>
    <row r="10726" spans="1:1">
      <c r="A10726" s="5"/>
    </row>
    <row r="10727" spans="1:1">
      <c r="A10727" s="5"/>
    </row>
    <row r="10728" spans="1:1">
      <c r="A10728" s="5"/>
    </row>
    <row r="10729" spans="1:1">
      <c r="A10729" s="5"/>
    </row>
    <row r="10730" spans="1:1">
      <c r="A10730" s="5"/>
    </row>
    <row r="10731" spans="1:1">
      <c r="A10731" s="5"/>
    </row>
    <row r="10732" spans="1:1">
      <c r="A10732" s="5"/>
    </row>
    <row r="10733" spans="1:1">
      <c r="A10733" s="5"/>
    </row>
    <row r="10734" spans="1:1">
      <c r="A10734" s="5"/>
    </row>
    <row r="10735" spans="1:1">
      <c r="A10735" s="5"/>
    </row>
    <row r="10736" spans="1:1">
      <c r="A10736" s="5"/>
    </row>
    <row r="10737" spans="1:1">
      <c r="A10737" s="5"/>
    </row>
    <row r="10738" spans="1:1">
      <c r="A10738" s="5"/>
    </row>
    <row r="10739" spans="1:1">
      <c r="A10739" s="5"/>
    </row>
    <row r="10740" spans="1:1">
      <c r="A10740" s="5"/>
    </row>
    <row r="10741" spans="1:1">
      <c r="A10741" s="5"/>
    </row>
    <row r="10742" spans="1:1">
      <c r="A10742" s="5"/>
    </row>
    <row r="10743" spans="1:1">
      <c r="A10743" s="5"/>
    </row>
    <row r="10744" spans="1:1">
      <c r="A10744" s="5"/>
    </row>
    <row r="10745" spans="1:1">
      <c r="A10745" s="5"/>
    </row>
    <row r="10746" spans="1:1">
      <c r="A10746" s="5"/>
    </row>
    <row r="10747" spans="1:1">
      <c r="A10747" s="5"/>
    </row>
    <row r="10748" spans="1:1">
      <c r="A10748" s="5"/>
    </row>
    <row r="10749" spans="1:1">
      <c r="A10749" s="5"/>
    </row>
    <row r="10750" spans="1:1">
      <c r="A10750" s="5"/>
    </row>
    <row r="10751" spans="1:1">
      <c r="A10751" s="5"/>
    </row>
    <row r="10752" spans="1:1">
      <c r="A10752" s="5"/>
    </row>
    <row r="10753" spans="1:1">
      <c r="A10753" s="5"/>
    </row>
    <row r="10754" spans="1:1">
      <c r="A10754" s="5"/>
    </row>
    <row r="10755" spans="1:1">
      <c r="A10755" s="5"/>
    </row>
    <row r="10756" spans="1:1">
      <c r="A10756" s="5"/>
    </row>
    <row r="10757" spans="1:1">
      <c r="A10757" s="5"/>
    </row>
    <row r="10758" spans="1:1">
      <c r="A10758" s="5"/>
    </row>
    <row r="10759" spans="1:1">
      <c r="A10759" s="5"/>
    </row>
    <row r="10760" spans="1:1">
      <c r="A10760" s="5"/>
    </row>
    <row r="10761" spans="1:1">
      <c r="A10761" s="5"/>
    </row>
    <row r="10762" spans="1:1">
      <c r="A10762" s="5"/>
    </row>
    <row r="10763" spans="1:1">
      <c r="A10763" s="5"/>
    </row>
    <row r="10764" spans="1:1">
      <c r="A10764" s="5"/>
    </row>
    <row r="10765" spans="1:1">
      <c r="A10765" s="5"/>
    </row>
    <row r="10766" spans="1:1">
      <c r="A10766" s="5"/>
    </row>
    <row r="10767" spans="1:1">
      <c r="A10767" s="5"/>
    </row>
    <row r="10768" spans="1:1">
      <c r="A10768" s="5"/>
    </row>
    <row r="10769" spans="1:1">
      <c r="A10769" s="5"/>
    </row>
    <row r="10770" spans="1:1">
      <c r="A10770" s="5"/>
    </row>
    <row r="10771" spans="1:1">
      <c r="A10771" s="5"/>
    </row>
    <row r="10772" spans="1:1">
      <c r="A10772" s="5"/>
    </row>
    <row r="10773" spans="1:1">
      <c r="A10773" s="5"/>
    </row>
    <row r="10774" spans="1:1">
      <c r="A10774" s="5"/>
    </row>
    <row r="10775" spans="1:1">
      <c r="A10775" s="5"/>
    </row>
    <row r="10776" spans="1:1">
      <c r="A10776" s="5"/>
    </row>
    <row r="10777" spans="1:1">
      <c r="A10777" s="5"/>
    </row>
    <row r="10778" spans="1:1">
      <c r="A10778" s="5"/>
    </row>
    <row r="10779" spans="1:1">
      <c r="A10779" s="5"/>
    </row>
    <row r="10780" spans="1:1">
      <c r="A10780" s="5"/>
    </row>
    <row r="10781" spans="1:1">
      <c r="A10781" s="5"/>
    </row>
    <row r="10782" spans="1:1">
      <c r="A10782" s="5"/>
    </row>
    <row r="10783" spans="1:1">
      <c r="A10783" s="5"/>
    </row>
    <row r="10784" spans="1:1">
      <c r="A10784" s="5"/>
    </row>
    <row r="10785" spans="1:1">
      <c r="A10785" s="5"/>
    </row>
    <row r="10786" spans="1:1">
      <c r="A10786" s="5"/>
    </row>
    <row r="10787" spans="1:1">
      <c r="A10787" s="5"/>
    </row>
    <row r="10788" spans="1:1">
      <c r="A10788" s="5"/>
    </row>
    <row r="10789" spans="1:1">
      <c r="A10789" s="5"/>
    </row>
    <row r="10790" spans="1:1">
      <c r="A10790" s="5"/>
    </row>
    <row r="10791" spans="1:1">
      <c r="A10791" s="5"/>
    </row>
    <row r="10792" spans="1:1">
      <c r="A10792" s="5"/>
    </row>
    <row r="10793" spans="1:1">
      <c r="A10793" s="5"/>
    </row>
    <row r="10794" spans="1:1">
      <c r="A10794" s="5"/>
    </row>
    <row r="10795" spans="1:1">
      <c r="A10795" s="5"/>
    </row>
    <row r="10796" spans="1:1">
      <c r="A10796" s="5"/>
    </row>
    <row r="10797" spans="1:1">
      <c r="A10797" s="5"/>
    </row>
    <row r="10798" spans="1:1">
      <c r="A10798" s="5"/>
    </row>
    <row r="10799" spans="1:1">
      <c r="A10799" s="5"/>
    </row>
    <row r="10800" spans="1:1">
      <c r="A10800" s="5"/>
    </row>
    <row r="10801" spans="1:1">
      <c r="A10801" s="5"/>
    </row>
    <row r="10802" spans="1:1">
      <c r="A10802" s="5"/>
    </row>
    <row r="10803" spans="1:1">
      <c r="A10803" s="5"/>
    </row>
    <row r="10804" spans="1:1">
      <c r="A10804" s="5"/>
    </row>
    <row r="10805" spans="1:1">
      <c r="A10805" s="5"/>
    </row>
    <row r="10806" spans="1:1">
      <c r="A10806" s="5"/>
    </row>
    <row r="10807" spans="1:1">
      <c r="A10807" s="5"/>
    </row>
    <row r="10808" spans="1:1">
      <c r="A10808" s="5"/>
    </row>
    <row r="10809" spans="1:1">
      <c r="A10809" s="5"/>
    </row>
    <row r="10810" spans="1:1">
      <c r="A10810" s="5"/>
    </row>
    <row r="10811" spans="1:1">
      <c r="A10811" s="5"/>
    </row>
    <row r="10812" spans="1:1">
      <c r="A10812" s="5"/>
    </row>
    <row r="10813" spans="1:1">
      <c r="A10813" s="5"/>
    </row>
    <row r="10814" spans="1:1">
      <c r="A10814" s="5"/>
    </row>
    <row r="10815" spans="1:1">
      <c r="A10815" s="5"/>
    </row>
    <row r="10816" spans="1:1">
      <c r="A10816" s="5"/>
    </row>
    <row r="10817" spans="1:1">
      <c r="A10817" s="5"/>
    </row>
    <row r="10818" spans="1:1">
      <c r="A10818" s="5"/>
    </row>
    <row r="10819" spans="1:1">
      <c r="A10819" s="5"/>
    </row>
    <row r="10820" spans="1:1">
      <c r="A10820" s="5"/>
    </row>
    <row r="10821" spans="1:1">
      <c r="A10821" s="5"/>
    </row>
    <row r="10822" spans="1:1">
      <c r="A10822" s="5"/>
    </row>
    <row r="10823" spans="1:1">
      <c r="A10823" s="5"/>
    </row>
    <row r="10824" spans="1:1">
      <c r="A10824" s="5"/>
    </row>
    <row r="10825" spans="1:1">
      <c r="A10825" s="5"/>
    </row>
    <row r="10826" spans="1:1">
      <c r="A10826" s="5"/>
    </row>
    <row r="10827" spans="1:1">
      <c r="A10827" s="5"/>
    </row>
    <row r="10828" spans="1:1">
      <c r="A10828" s="5"/>
    </row>
    <row r="10829" spans="1:1">
      <c r="A10829" s="5"/>
    </row>
    <row r="10830" spans="1:1">
      <c r="A10830" s="5"/>
    </row>
    <row r="10831" spans="1:1">
      <c r="A10831" s="5"/>
    </row>
    <row r="10832" spans="1:1">
      <c r="A10832" s="5"/>
    </row>
    <row r="10833" spans="1:1">
      <c r="A10833" s="5"/>
    </row>
    <row r="10834" spans="1:1">
      <c r="A10834" s="5"/>
    </row>
    <row r="10835" spans="1:1">
      <c r="A10835" s="5"/>
    </row>
    <row r="10836" spans="1:1">
      <c r="A10836" s="5"/>
    </row>
    <row r="10837" spans="1:1">
      <c r="A10837" s="5"/>
    </row>
    <row r="10838" spans="1:1">
      <c r="A10838" s="5"/>
    </row>
    <row r="10839" spans="1:1">
      <c r="A10839" s="5"/>
    </row>
    <row r="10840" spans="1:1">
      <c r="A10840" s="5"/>
    </row>
    <row r="10841" spans="1:1">
      <c r="A10841" s="5"/>
    </row>
    <row r="10842" spans="1:1">
      <c r="A10842" s="5"/>
    </row>
    <row r="10843" spans="1:1">
      <c r="A10843" s="5"/>
    </row>
    <row r="10844" spans="1:1">
      <c r="A10844" s="5"/>
    </row>
    <row r="10845" spans="1:1">
      <c r="A10845" s="5"/>
    </row>
    <row r="10846" spans="1:1">
      <c r="A10846" s="5"/>
    </row>
    <row r="10847" spans="1:1">
      <c r="A10847" s="5"/>
    </row>
    <row r="10848" spans="1:1">
      <c r="A10848" s="5"/>
    </row>
    <row r="10849" spans="1:1">
      <c r="A10849" s="5"/>
    </row>
    <row r="10850" spans="1:1">
      <c r="A10850" s="5"/>
    </row>
    <row r="10851" spans="1:1">
      <c r="A10851" s="5"/>
    </row>
    <row r="10852" spans="1:1">
      <c r="A10852" s="5"/>
    </row>
    <row r="10853" spans="1:1">
      <c r="A10853" s="5"/>
    </row>
    <row r="10854" spans="1:1">
      <c r="A10854" s="5"/>
    </row>
    <row r="10855" spans="1:1">
      <c r="A10855" s="5"/>
    </row>
    <row r="10856" spans="1:1">
      <c r="A10856" s="5"/>
    </row>
    <row r="10857" spans="1:1">
      <c r="A10857" s="5"/>
    </row>
    <row r="10858" spans="1:1">
      <c r="A10858" s="5"/>
    </row>
    <row r="10859" spans="1:1">
      <c r="A10859" s="5"/>
    </row>
    <row r="10860" spans="1:1">
      <c r="A10860" s="5"/>
    </row>
    <row r="10861" spans="1:1">
      <c r="A10861" s="5"/>
    </row>
    <row r="10862" spans="1:1">
      <c r="A10862" s="5"/>
    </row>
    <row r="10863" spans="1:1">
      <c r="A10863" s="5"/>
    </row>
    <row r="10864" spans="1:1">
      <c r="A10864" s="5"/>
    </row>
    <row r="10865" spans="1:1">
      <c r="A10865" s="5"/>
    </row>
    <row r="10866" spans="1:1">
      <c r="A10866" s="5"/>
    </row>
    <row r="10867" spans="1:1">
      <c r="A10867" s="5"/>
    </row>
    <row r="10868" spans="1:1">
      <c r="A10868" s="5"/>
    </row>
    <row r="10869" spans="1:1">
      <c r="A10869" s="5"/>
    </row>
    <row r="10870" spans="1:1">
      <c r="A10870" s="5"/>
    </row>
    <row r="10871" spans="1:1">
      <c r="A10871" s="5"/>
    </row>
    <row r="10872" spans="1:1">
      <c r="A10872" s="5"/>
    </row>
    <row r="10873" spans="1:1">
      <c r="A10873" s="5"/>
    </row>
    <row r="10874" spans="1:1">
      <c r="A10874" s="5"/>
    </row>
    <row r="10875" spans="1:1">
      <c r="A10875" s="5"/>
    </row>
    <row r="10876" spans="1:1">
      <c r="A10876" s="5"/>
    </row>
    <row r="10877" spans="1:1">
      <c r="A10877" s="5"/>
    </row>
    <row r="10878" spans="1:1">
      <c r="A10878" s="5"/>
    </row>
    <row r="10879" spans="1:1">
      <c r="A10879" s="5"/>
    </row>
    <row r="10880" spans="1:1">
      <c r="A10880" s="5"/>
    </row>
    <row r="10881" spans="1:1">
      <c r="A10881" s="5"/>
    </row>
    <row r="10882" spans="1:1">
      <c r="A10882" s="5"/>
    </row>
    <row r="10883" spans="1:1">
      <c r="A10883" s="5"/>
    </row>
    <row r="10884" spans="1:1">
      <c r="A10884" s="5"/>
    </row>
    <row r="10885" spans="1:1">
      <c r="A10885" s="5"/>
    </row>
    <row r="10886" spans="1:1">
      <c r="A10886" s="5"/>
    </row>
    <row r="10887" spans="1:1">
      <c r="A10887" s="5"/>
    </row>
    <row r="10888" spans="1:1">
      <c r="A10888" s="5"/>
    </row>
    <row r="10889" spans="1:1">
      <c r="A10889" s="5"/>
    </row>
    <row r="10890" spans="1:1">
      <c r="A10890" s="5"/>
    </row>
    <row r="10891" spans="1:1">
      <c r="A10891" s="5"/>
    </row>
    <row r="10892" spans="1:1">
      <c r="A10892" s="5"/>
    </row>
    <row r="10893" spans="1:1">
      <c r="A10893" s="5"/>
    </row>
    <row r="10894" spans="1:1">
      <c r="A10894" s="5"/>
    </row>
    <row r="10895" spans="1:1">
      <c r="A10895" s="5"/>
    </row>
    <row r="10896" spans="1:1">
      <c r="A10896" s="5"/>
    </row>
    <row r="10897" spans="1:1">
      <c r="A10897" s="5"/>
    </row>
    <row r="10898" spans="1:1">
      <c r="A10898" s="5"/>
    </row>
    <row r="10899" spans="1:1">
      <c r="A10899" s="5"/>
    </row>
    <row r="10900" spans="1:1">
      <c r="A10900" s="5"/>
    </row>
    <row r="10901" spans="1:1">
      <c r="A10901" s="5"/>
    </row>
    <row r="10902" spans="1:1">
      <c r="A10902" s="5"/>
    </row>
    <row r="10903" spans="1:1">
      <c r="A10903" s="5"/>
    </row>
    <row r="10904" spans="1:1">
      <c r="A10904" s="5"/>
    </row>
    <row r="10905" spans="1:1">
      <c r="A10905" s="5"/>
    </row>
    <row r="10906" spans="1:1">
      <c r="A10906" s="5"/>
    </row>
    <row r="10907" spans="1:1">
      <c r="A10907" s="5"/>
    </row>
    <row r="10908" spans="1:1">
      <c r="A10908" s="5"/>
    </row>
    <row r="10909" spans="1:1">
      <c r="A10909" s="5"/>
    </row>
    <row r="10910" spans="1:1">
      <c r="A10910" s="5"/>
    </row>
    <row r="10911" spans="1:1">
      <c r="A10911" s="5"/>
    </row>
    <row r="10912" spans="1:1">
      <c r="A10912" s="5"/>
    </row>
    <row r="10913" spans="1:1">
      <c r="A10913" s="5"/>
    </row>
    <row r="10914" spans="1:1">
      <c r="A10914" s="5"/>
    </row>
    <row r="10915" spans="1:1">
      <c r="A10915" s="5"/>
    </row>
    <row r="10916" spans="1:1">
      <c r="A10916" s="5"/>
    </row>
    <row r="10917" spans="1:1">
      <c r="A10917" s="5"/>
    </row>
    <row r="10918" spans="1:1">
      <c r="A10918" s="5"/>
    </row>
    <row r="10919" spans="1:1">
      <c r="A10919" s="5"/>
    </row>
    <row r="10920" spans="1:1">
      <c r="A10920" s="5"/>
    </row>
    <row r="10921" spans="1:1">
      <c r="A10921" s="5"/>
    </row>
    <row r="10922" spans="1:1">
      <c r="A10922" s="5"/>
    </row>
    <row r="10923" spans="1:1">
      <c r="A10923" s="5"/>
    </row>
    <row r="10924" spans="1:1">
      <c r="A10924" s="5"/>
    </row>
    <row r="10925" spans="1:1">
      <c r="A10925" s="5"/>
    </row>
    <row r="10926" spans="1:1">
      <c r="A10926" s="5"/>
    </row>
    <row r="10927" spans="1:1">
      <c r="A10927" s="5"/>
    </row>
    <row r="10928" spans="1:1">
      <c r="A10928" s="5"/>
    </row>
    <row r="10929" spans="1:1">
      <c r="A10929" s="5"/>
    </row>
    <row r="10930" spans="1:1">
      <c r="A10930" s="5"/>
    </row>
    <row r="10931" spans="1:1">
      <c r="A10931" s="5"/>
    </row>
    <row r="10932" spans="1:1">
      <c r="A10932" s="5"/>
    </row>
    <row r="10933" spans="1:1">
      <c r="A10933" s="5"/>
    </row>
    <row r="10934" spans="1:1">
      <c r="A10934" s="5"/>
    </row>
    <row r="10935" spans="1:1">
      <c r="A10935" s="5"/>
    </row>
    <row r="10936" spans="1:1">
      <c r="A10936" s="5"/>
    </row>
    <row r="10937" spans="1:1">
      <c r="A10937" s="5"/>
    </row>
    <row r="10938" spans="1:1">
      <c r="A10938" s="5"/>
    </row>
    <row r="10939" spans="1:1">
      <c r="A10939" s="5"/>
    </row>
    <row r="10940" spans="1:1">
      <c r="A10940" s="5"/>
    </row>
    <row r="10941" spans="1:1">
      <c r="A10941" s="5"/>
    </row>
    <row r="10942" spans="1:1">
      <c r="A10942" s="5"/>
    </row>
    <row r="10943" spans="1:1">
      <c r="A10943" s="5"/>
    </row>
    <row r="10944" spans="1:1">
      <c r="A10944" s="5"/>
    </row>
    <row r="10945" spans="1:1">
      <c r="A10945" s="5"/>
    </row>
    <row r="10946" spans="1:1">
      <c r="A10946" s="5"/>
    </row>
    <row r="10947" spans="1:1">
      <c r="A10947" s="5"/>
    </row>
    <row r="10948" spans="1:1">
      <c r="A10948" s="5"/>
    </row>
    <row r="10949" spans="1:1">
      <c r="A10949" s="5"/>
    </row>
    <row r="10950" spans="1:1">
      <c r="A10950" s="5"/>
    </row>
    <row r="10951" spans="1:1">
      <c r="A10951" s="5"/>
    </row>
    <row r="10952" spans="1:1">
      <c r="A10952" s="5"/>
    </row>
    <row r="10953" spans="1:1">
      <c r="A10953" s="5"/>
    </row>
    <row r="10954" spans="1:1">
      <c r="A10954" s="5"/>
    </row>
    <row r="10955" spans="1:1">
      <c r="A10955" s="5"/>
    </row>
    <row r="10956" spans="1:1">
      <c r="A10956" s="5"/>
    </row>
    <row r="10957" spans="1:1">
      <c r="A10957" s="5"/>
    </row>
    <row r="10958" spans="1:1">
      <c r="A10958" s="5"/>
    </row>
    <row r="10959" spans="1:1">
      <c r="A10959" s="5"/>
    </row>
    <row r="10960" spans="1:1">
      <c r="A10960" s="5"/>
    </row>
    <row r="10961" spans="1:1">
      <c r="A10961" s="5"/>
    </row>
    <row r="10962" spans="1:1">
      <c r="A10962" s="5"/>
    </row>
    <row r="10963" spans="1:1">
      <c r="A10963" s="5"/>
    </row>
    <row r="10964" spans="1:1">
      <c r="A10964" s="5"/>
    </row>
    <row r="10965" spans="1:1">
      <c r="A10965" s="5"/>
    </row>
    <row r="10966" spans="1:1">
      <c r="A10966" s="5"/>
    </row>
    <row r="10967" spans="1:1">
      <c r="A10967" s="5"/>
    </row>
    <row r="10968" spans="1:1">
      <c r="A10968" s="5"/>
    </row>
    <row r="10969" spans="1:1">
      <c r="A10969" s="5"/>
    </row>
    <row r="10970" spans="1:1">
      <c r="A10970" s="5"/>
    </row>
    <row r="10971" spans="1:1">
      <c r="A10971" s="5"/>
    </row>
    <row r="10972" spans="1:1">
      <c r="A10972" s="5"/>
    </row>
    <row r="10973" spans="1:1">
      <c r="A10973" s="5"/>
    </row>
    <row r="10974" spans="1:1">
      <c r="A10974" s="5"/>
    </row>
    <row r="10975" spans="1:1">
      <c r="A10975" s="5"/>
    </row>
    <row r="10976" spans="1:1">
      <c r="A10976" s="5"/>
    </row>
    <row r="10977" spans="1:1">
      <c r="A10977" s="5"/>
    </row>
    <row r="10978" spans="1:1">
      <c r="A10978" s="5"/>
    </row>
    <row r="10979" spans="1:1">
      <c r="A10979" s="5"/>
    </row>
    <row r="10980" spans="1:1">
      <c r="A10980" s="5"/>
    </row>
    <row r="10981" spans="1:1">
      <c r="A10981" s="5"/>
    </row>
    <row r="10982" spans="1:1">
      <c r="A10982" s="5"/>
    </row>
    <row r="10983" spans="1:1">
      <c r="A10983" s="5"/>
    </row>
    <row r="10984" spans="1:1">
      <c r="A10984" s="5"/>
    </row>
    <row r="10985" spans="1:1">
      <c r="A10985" s="5"/>
    </row>
    <row r="10986" spans="1:1">
      <c r="A10986" s="5"/>
    </row>
    <row r="10987" spans="1:1">
      <c r="A10987" s="5"/>
    </row>
    <row r="10988" spans="1:1">
      <c r="A10988" s="5"/>
    </row>
    <row r="10989" spans="1:1">
      <c r="A10989" s="5"/>
    </row>
    <row r="10990" spans="1:1">
      <c r="A10990" s="5"/>
    </row>
    <row r="10991" spans="1:1">
      <c r="A10991" s="5"/>
    </row>
    <row r="10992" spans="1:1">
      <c r="A10992" s="5"/>
    </row>
    <row r="10993" spans="1:1">
      <c r="A10993" s="5"/>
    </row>
    <row r="10994" spans="1:1">
      <c r="A10994" s="5"/>
    </row>
    <row r="10995" spans="1:1">
      <c r="A10995" s="5"/>
    </row>
    <row r="10996" spans="1:1">
      <c r="A10996" s="5"/>
    </row>
    <row r="10997" spans="1:1">
      <c r="A10997" s="5"/>
    </row>
    <row r="10998" spans="1:1">
      <c r="A10998" s="5"/>
    </row>
    <row r="10999" spans="1:1">
      <c r="A10999" s="5"/>
    </row>
    <row r="11000" spans="1:1">
      <c r="A11000" s="5"/>
    </row>
    <row r="11001" spans="1:1">
      <c r="A11001" s="5"/>
    </row>
    <row r="11002" spans="1:1">
      <c r="A11002" s="5"/>
    </row>
    <row r="11003" spans="1:1">
      <c r="A11003" s="5"/>
    </row>
    <row r="11004" spans="1:1">
      <c r="A11004" s="5"/>
    </row>
    <row r="11005" spans="1:1">
      <c r="A11005" s="5"/>
    </row>
    <row r="11006" spans="1:1">
      <c r="A11006" s="5"/>
    </row>
    <row r="11007" spans="1:1">
      <c r="A11007" s="5"/>
    </row>
    <row r="11008" spans="1:1">
      <c r="A11008" s="5"/>
    </row>
    <row r="11009" spans="1:1">
      <c r="A11009" s="5"/>
    </row>
    <row r="11010" spans="1:1">
      <c r="A11010" s="5"/>
    </row>
    <row r="11011" spans="1:1">
      <c r="A11011" s="5"/>
    </row>
    <row r="11012" spans="1:1">
      <c r="A11012" s="5"/>
    </row>
    <row r="11013" spans="1:1">
      <c r="A11013" s="5"/>
    </row>
    <row r="11014" spans="1:1">
      <c r="A11014" s="5"/>
    </row>
    <row r="11015" spans="1:1">
      <c r="A11015" s="5"/>
    </row>
    <row r="11016" spans="1:1">
      <c r="A11016" s="5"/>
    </row>
    <row r="11017" spans="1:1">
      <c r="A11017" s="5"/>
    </row>
    <row r="11018" spans="1:1">
      <c r="A11018" s="5"/>
    </row>
    <row r="11019" spans="1:1">
      <c r="A11019" s="5"/>
    </row>
    <row r="11020" spans="1:1">
      <c r="A11020" s="5"/>
    </row>
    <row r="11021" spans="1:1">
      <c r="A11021" s="5"/>
    </row>
    <row r="11022" spans="1:1">
      <c r="A11022" s="5"/>
    </row>
    <row r="11023" spans="1:1">
      <c r="A11023" s="5"/>
    </row>
    <row r="11024" spans="1:1">
      <c r="A11024" s="5"/>
    </row>
    <row r="11025" spans="1:1">
      <c r="A11025" s="5"/>
    </row>
    <row r="11026" spans="1:1">
      <c r="A11026" s="5"/>
    </row>
    <row r="11027" spans="1:1">
      <c r="A11027" s="5"/>
    </row>
    <row r="11028" spans="1:1">
      <c r="A11028" s="5"/>
    </row>
    <row r="11029" spans="1:1">
      <c r="A11029" s="5"/>
    </row>
    <row r="11030" spans="1:1">
      <c r="A11030" s="5"/>
    </row>
    <row r="11031" spans="1:1">
      <c r="A11031" s="5"/>
    </row>
    <row r="11032" spans="1:1">
      <c r="A11032" s="5"/>
    </row>
    <row r="11033" spans="1:1">
      <c r="A11033" s="5"/>
    </row>
    <row r="11034" spans="1:1">
      <c r="A11034" s="5"/>
    </row>
    <row r="11035" spans="1:1">
      <c r="A11035" s="5"/>
    </row>
    <row r="11036" spans="1:1">
      <c r="A11036" s="5"/>
    </row>
    <row r="11037" spans="1:1">
      <c r="A11037" s="5"/>
    </row>
    <row r="11038" spans="1:1">
      <c r="A11038" s="5"/>
    </row>
    <row r="11039" spans="1:1">
      <c r="A11039" s="5"/>
    </row>
    <row r="11040" spans="1:1">
      <c r="A11040" s="5"/>
    </row>
    <row r="11041" spans="1:1">
      <c r="A11041" s="5"/>
    </row>
    <row r="11042" spans="1:1">
      <c r="A11042" s="5"/>
    </row>
    <row r="11043" spans="1:1">
      <c r="A11043" s="5"/>
    </row>
    <row r="11044" spans="1:1">
      <c r="A11044" s="5"/>
    </row>
    <row r="11045" spans="1:1">
      <c r="A11045" s="5"/>
    </row>
    <row r="11046" spans="1:1">
      <c r="A11046" s="5"/>
    </row>
    <row r="11047" spans="1:1">
      <c r="A11047" s="5"/>
    </row>
    <row r="11048" spans="1:1">
      <c r="A11048" s="5"/>
    </row>
    <row r="11049" spans="1:1">
      <c r="A11049" s="5"/>
    </row>
    <row r="11050" spans="1:1">
      <c r="A11050" s="5"/>
    </row>
    <row r="11051" spans="1:1">
      <c r="A11051" s="5"/>
    </row>
    <row r="11052" spans="1:1">
      <c r="A11052" s="5"/>
    </row>
    <row r="11053" spans="1:1">
      <c r="A11053" s="5"/>
    </row>
    <row r="11054" spans="1:1">
      <c r="A11054" s="5"/>
    </row>
    <row r="11055" spans="1:1">
      <c r="A11055" s="5"/>
    </row>
    <row r="11056" spans="1:1">
      <c r="A11056" s="5"/>
    </row>
    <row r="11057" spans="1:1">
      <c r="A11057" s="5"/>
    </row>
    <row r="11058" spans="1:1">
      <c r="A11058" s="5"/>
    </row>
    <row r="11059" spans="1:1">
      <c r="A11059" s="5"/>
    </row>
    <row r="11060" spans="1:1">
      <c r="A11060" s="5"/>
    </row>
    <row r="11061" spans="1:1">
      <c r="A11061" s="5"/>
    </row>
    <row r="11062" spans="1:1">
      <c r="A11062" s="5"/>
    </row>
    <row r="11063" spans="1:1">
      <c r="A11063" s="5"/>
    </row>
    <row r="11064" spans="1:1">
      <c r="A11064" s="5"/>
    </row>
    <row r="11065" spans="1:1">
      <c r="A11065" s="5"/>
    </row>
    <row r="11066" spans="1:1">
      <c r="A11066" s="5"/>
    </row>
    <row r="11067" spans="1:1">
      <c r="A11067" s="5"/>
    </row>
    <row r="11068" spans="1:1">
      <c r="A11068" s="5"/>
    </row>
    <row r="11069" spans="1:1">
      <c r="A11069" s="5"/>
    </row>
    <row r="11070" spans="1:1">
      <c r="A11070" s="5"/>
    </row>
    <row r="11071" spans="1:1">
      <c r="A11071" s="5"/>
    </row>
    <row r="11072" spans="1:1">
      <c r="A11072" s="5"/>
    </row>
    <row r="11073" spans="1:1">
      <c r="A11073" s="5"/>
    </row>
    <row r="11074" spans="1:1">
      <c r="A11074" s="5"/>
    </row>
    <row r="11075" spans="1:1">
      <c r="A11075" s="5"/>
    </row>
    <row r="11076" spans="1:1">
      <c r="A11076" s="5"/>
    </row>
    <row r="11077" spans="1:1">
      <c r="A11077" s="5"/>
    </row>
    <row r="11078" spans="1:1">
      <c r="A11078" s="5"/>
    </row>
    <row r="11079" spans="1:1">
      <c r="A11079" s="5"/>
    </row>
    <row r="11080" spans="1:1">
      <c r="A11080" s="5"/>
    </row>
    <row r="11081" spans="1:1">
      <c r="A11081" s="5"/>
    </row>
    <row r="11082" spans="1:1">
      <c r="A11082" s="5"/>
    </row>
    <row r="11083" spans="1:1">
      <c r="A11083" s="5"/>
    </row>
    <row r="11084" spans="1:1">
      <c r="A11084" s="5"/>
    </row>
    <row r="11085" spans="1:1">
      <c r="A11085" s="5"/>
    </row>
    <row r="11086" spans="1:1">
      <c r="A11086" s="5"/>
    </row>
    <row r="11087" spans="1:1">
      <c r="A11087" s="5"/>
    </row>
    <row r="11088" spans="1:1">
      <c r="A11088" s="5"/>
    </row>
    <row r="11089" spans="1:1">
      <c r="A11089" s="5"/>
    </row>
    <row r="11090" spans="1:1">
      <c r="A11090" s="5"/>
    </row>
    <row r="11091" spans="1:1">
      <c r="A11091" s="5"/>
    </row>
    <row r="11092" spans="1:1">
      <c r="A11092" s="5"/>
    </row>
    <row r="11093" spans="1:1">
      <c r="A11093" s="5"/>
    </row>
    <row r="11094" spans="1:1">
      <c r="A11094" s="5"/>
    </row>
    <row r="11095" spans="1:1">
      <c r="A11095" s="5"/>
    </row>
    <row r="11096" spans="1:1">
      <c r="A11096" s="5"/>
    </row>
    <row r="11097" spans="1:1">
      <c r="A11097" s="5"/>
    </row>
    <row r="11098" spans="1:1">
      <c r="A11098" s="5"/>
    </row>
    <row r="11099" spans="1:1">
      <c r="A11099" s="5"/>
    </row>
    <row r="11100" spans="1:1">
      <c r="A11100" s="5"/>
    </row>
    <row r="11101" spans="1:1">
      <c r="A11101" s="5"/>
    </row>
    <row r="11102" spans="1:1">
      <c r="A11102" s="5"/>
    </row>
    <row r="11103" spans="1:1">
      <c r="A11103" s="5"/>
    </row>
    <row r="11104" spans="1:1">
      <c r="A11104" s="5"/>
    </row>
    <row r="11105" spans="1:1">
      <c r="A11105" s="5"/>
    </row>
    <row r="11106" spans="1:1">
      <c r="A11106" s="5"/>
    </row>
    <row r="11107" spans="1:1">
      <c r="A11107" s="5"/>
    </row>
    <row r="11108" spans="1:1">
      <c r="A11108" s="5"/>
    </row>
    <row r="11109" spans="1:1">
      <c r="A11109" s="5"/>
    </row>
    <row r="11110" spans="1:1">
      <c r="A11110" s="5"/>
    </row>
    <row r="11111" spans="1:1">
      <c r="A11111" s="5"/>
    </row>
    <row r="11112" spans="1:1">
      <c r="A11112" s="5"/>
    </row>
    <row r="11113" spans="1:1">
      <c r="A11113" s="5"/>
    </row>
    <row r="11114" spans="1:1">
      <c r="A11114" s="5"/>
    </row>
    <row r="11115" spans="1:1">
      <c r="A11115" s="5"/>
    </row>
    <row r="11116" spans="1:1">
      <c r="A11116" s="5"/>
    </row>
    <row r="11117" spans="1:1">
      <c r="A11117" s="5"/>
    </row>
    <row r="11118" spans="1:1">
      <c r="A11118" s="5"/>
    </row>
    <row r="11119" spans="1:1">
      <c r="A11119" s="5"/>
    </row>
    <row r="11120" spans="1:1">
      <c r="A11120" s="5"/>
    </row>
    <row r="11121" spans="1:1">
      <c r="A11121" s="5"/>
    </row>
    <row r="11122" spans="1:1">
      <c r="A11122" s="5"/>
    </row>
    <row r="11123" spans="1:1">
      <c r="A11123" s="5"/>
    </row>
    <row r="11124" spans="1:1">
      <c r="A11124" s="5"/>
    </row>
    <row r="11125" spans="1:1">
      <c r="A11125" s="5"/>
    </row>
    <row r="11126" spans="1:1">
      <c r="A11126" s="5"/>
    </row>
    <row r="11127" spans="1:1">
      <c r="A11127" s="5"/>
    </row>
    <row r="11128" spans="1:1">
      <c r="A11128" s="5"/>
    </row>
    <row r="11129" spans="1:1">
      <c r="A11129" s="5"/>
    </row>
    <row r="11130" spans="1:1">
      <c r="A11130" s="5"/>
    </row>
    <row r="11131" spans="1:1">
      <c r="A11131" s="5"/>
    </row>
    <row r="11132" spans="1:1">
      <c r="A11132" s="5"/>
    </row>
    <row r="11133" spans="1:1">
      <c r="A11133" s="5"/>
    </row>
    <row r="11134" spans="1:1">
      <c r="A11134" s="5"/>
    </row>
    <row r="11135" spans="1:1">
      <c r="A11135" s="5"/>
    </row>
    <row r="11136" spans="1:1">
      <c r="A11136" s="5"/>
    </row>
    <row r="11137" spans="1:1">
      <c r="A11137" s="5"/>
    </row>
    <row r="11138" spans="1:1">
      <c r="A11138" s="5"/>
    </row>
    <row r="11139" spans="1:1">
      <c r="A11139" s="5"/>
    </row>
    <row r="11140" spans="1:1">
      <c r="A11140" s="5"/>
    </row>
    <row r="11141" spans="1:1">
      <c r="A11141" s="5"/>
    </row>
    <row r="11142" spans="1:1">
      <c r="A11142" s="5"/>
    </row>
    <row r="11143" spans="1:1">
      <c r="A11143" s="5"/>
    </row>
    <row r="11144" spans="1:1">
      <c r="A11144" s="5"/>
    </row>
    <row r="11145" spans="1:1">
      <c r="A11145" s="5"/>
    </row>
    <row r="11146" spans="1:1">
      <c r="A11146" s="5"/>
    </row>
    <row r="11147" spans="1:1">
      <c r="A11147" s="5"/>
    </row>
    <row r="11148" spans="1:1">
      <c r="A11148" s="5"/>
    </row>
    <row r="11149" spans="1:1">
      <c r="A11149" s="5"/>
    </row>
    <row r="11150" spans="1:1">
      <c r="A11150" s="5"/>
    </row>
    <row r="11151" spans="1:1">
      <c r="A11151" s="5"/>
    </row>
    <row r="11152" spans="1:1">
      <c r="A11152" s="5"/>
    </row>
    <row r="11153" spans="1:1">
      <c r="A11153" s="5"/>
    </row>
    <row r="11154" spans="1:1">
      <c r="A11154" s="5"/>
    </row>
    <row r="11155" spans="1:1">
      <c r="A11155" s="5"/>
    </row>
    <row r="11156" spans="1:1">
      <c r="A11156" s="5"/>
    </row>
    <row r="11157" spans="1:1">
      <c r="A11157" s="5"/>
    </row>
    <row r="11158" spans="1:1">
      <c r="A11158" s="5"/>
    </row>
    <row r="11159" spans="1:1">
      <c r="A11159" s="5"/>
    </row>
    <row r="11160" spans="1:1">
      <c r="A11160" s="5"/>
    </row>
    <row r="11161" spans="1:1">
      <c r="A11161" s="5"/>
    </row>
    <row r="11162" spans="1:1">
      <c r="A11162" s="5"/>
    </row>
    <row r="11163" spans="1:1">
      <c r="A11163" s="5"/>
    </row>
    <row r="11164" spans="1:1">
      <c r="A11164" s="5"/>
    </row>
    <row r="11165" spans="1:1">
      <c r="A11165" s="5"/>
    </row>
    <row r="11166" spans="1:1">
      <c r="A11166" s="5"/>
    </row>
    <row r="11167" spans="1:1">
      <c r="A11167" s="5"/>
    </row>
    <row r="11168" spans="1:1">
      <c r="A11168" s="5"/>
    </row>
    <row r="11169" spans="1:1">
      <c r="A11169" s="5"/>
    </row>
    <row r="11170" spans="1:1">
      <c r="A11170" s="5"/>
    </row>
    <row r="11171" spans="1:1">
      <c r="A11171" s="5"/>
    </row>
    <row r="11172" spans="1:1">
      <c r="A11172" s="5"/>
    </row>
    <row r="11173" spans="1:1">
      <c r="A11173" s="5"/>
    </row>
    <row r="11174" spans="1:1">
      <c r="A11174" s="5"/>
    </row>
    <row r="11175" spans="1:1">
      <c r="A11175" s="5"/>
    </row>
    <row r="11176" spans="1:1">
      <c r="A11176" s="5"/>
    </row>
    <row r="11177" spans="1:1">
      <c r="A11177" s="5"/>
    </row>
    <row r="11178" spans="1:1">
      <c r="A11178" s="5"/>
    </row>
    <row r="11179" spans="1:1">
      <c r="A11179" s="5"/>
    </row>
    <row r="11180" spans="1:1">
      <c r="A11180" s="5"/>
    </row>
    <row r="11181" spans="1:1">
      <c r="A11181" s="5"/>
    </row>
    <row r="11182" spans="1:1">
      <c r="A11182" s="5"/>
    </row>
    <row r="11183" spans="1:1">
      <c r="A11183" s="5"/>
    </row>
    <row r="11184" spans="1:1">
      <c r="A11184" s="5"/>
    </row>
    <row r="11185" spans="1:1">
      <c r="A11185" s="5"/>
    </row>
    <row r="11186" spans="1:1">
      <c r="A11186" s="5"/>
    </row>
    <row r="11187" spans="1:1">
      <c r="A11187" s="5"/>
    </row>
    <row r="11188" spans="1:1">
      <c r="A11188" s="5"/>
    </row>
    <row r="11189" spans="1:1">
      <c r="A11189" s="5"/>
    </row>
    <row r="11190" spans="1:1">
      <c r="A11190" s="5"/>
    </row>
    <row r="11191" spans="1:1">
      <c r="A11191" s="5"/>
    </row>
    <row r="11192" spans="1:1">
      <c r="A11192" s="5"/>
    </row>
    <row r="11193" spans="1:1">
      <c r="A11193" s="5"/>
    </row>
    <row r="11194" spans="1:1">
      <c r="A11194" s="5"/>
    </row>
    <row r="11195" spans="1:1">
      <c r="A11195" s="5"/>
    </row>
    <row r="11196" spans="1:1">
      <c r="A11196" s="5"/>
    </row>
    <row r="11197" spans="1:1">
      <c r="A11197" s="5"/>
    </row>
    <row r="11198" spans="1:1">
      <c r="A11198" s="5"/>
    </row>
    <row r="11199" spans="1:1">
      <c r="A11199" s="5"/>
    </row>
    <row r="11200" spans="1:1">
      <c r="A11200" s="5"/>
    </row>
    <row r="11201" spans="1:1">
      <c r="A11201" s="5"/>
    </row>
    <row r="11202" spans="1:1">
      <c r="A11202" s="5"/>
    </row>
    <row r="11203" spans="1:1">
      <c r="A11203" s="5"/>
    </row>
    <row r="11204" spans="1:1">
      <c r="A11204" s="5"/>
    </row>
    <row r="11205" spans="1:1">
      <c r="A11205" s="5"/>
    </row>
    <row r="11206" spans="1:1">
      <c r="A11206" s="5"/>
    </row>
    <row r="11207" spans="1:1">
      <c r="A11207" s="5"/>
    </row>
    <row r="11208" spans="1:1">
      <c r="A11208" s="5"/>
    </row>
    <row r="11209" spans="1:1">
      <c r="A11209" s="5"/>
    </row>
    <row r="11210" spans="1:1">
      <c r="A11210" s="5"/>
    </row>
    <row r="11211" spans="1:1">
      <c r="A11211" s="5"/>
    </row>
    <row r="11212" spans="1:1">
      <c r="A11212" s="5"/>
    </row>
    <row r="11213" spans="1:1">
      <c r="A11213" s="5"/>
    </row>
    <row r="11214" spans="1:1">
      <c r="A11214" s="5"/>
    </row>
    <row r="11215" spans="1:1">
      <c r="A11215" s="5"/>
    </row>
    <row r="11216" spans="1:1">
      <c r="A11216" s="5"/>
    </row>
    <row r="11217" spans="1:1">
      <c r="A11217" s="5"/>
    </row>
    <row r="11218" spans="1:1">
      <c r="A11218" s="5"/>
    </row>
    <row r="11219" spans="1:1">
      <c r="A11219" s="5"/>
    </row>
    <row r="11220" spans="1:1">
      <c r="A11220" s="5"/>
    </row>
    <row r="11221" spans="1:1">
      <c r="A11221" s="5"/>
    </row>
    <row r="11222" spans="1:1">
      <c r="A11222" s="5"/>
    </row>
    <row r="11223" spans="1:1">
      <c r="A11223" s="5"/>
    </row>
    <row r="11224" spans="1:1">
      <c r="A11224" s="5"/>
    </row>
    <row r="11225" spans="1:1">
      <c r="A11225" s="5"/>
    </row>
    <row r="11226" spans="1:1">
      <c r="A11226" s="5"/>
    </row>
    <row r="11227" spans="1:1">
      <c r="A11227" s="5"/>
    </row>
    <row r="11228" spans="1:1">
      <c r="A11228" s="5"/>
    </row>
    <row r="11229" spans="1:1">
      <c r="A11229" s="5"/>
    </row>
    <row r="11230" spans="1:1">
      <c r="A11230" s="5"/>
    </row>
    <row r="11231" spans="1:1">
      <c r="A11231" s="5"/>
    </row>
    <row r="11232" spans="1:1">
      <c r="A11232" s="5"/>
    </row>
    <row r="11233" spans="1:1">
      <c r="A11233" s="5"/>
    </row>
    <row r="11234" spans="1:1">
      <c r="A11234" s="5"/>
    </row>
    <row r="11235" spans="1:1">
      <c r="A11235" s="5"/>
    </row>
    <row r="11236" spans="1:1">
      <c r="A11236" s="5"/>
    </row>
    <row r="11237" spans="1:1">
      <c r="A11237" s="5"/>
    </row>
    <row r="11238" spans="1:1">
      <c r="A11238" s="5"/>
    </row>
    <row r="11239" spans="1:1">
      <c r="A11239" s="5"/>
    </row>
    <row r="11240" spans="1:1">
      <c r="A11240" s="5"/>
    </row>
    <row r="11241" spans="1:1">
      <c r="A11241" s="5"/>
    </row>
    <row r="11242" spans="1:1">
      <c r="A11242" s="5"/>
    </row>
    <row r="11243" spans="1:1">
      <c r="A11243" s="5"/>
    </row>
    <row r="11244" spans="1:1">
      <c r="A11244" s="5"/>
    </row>
    <row r="11245" spans="1:1">
      <c r="A11245" s="5"/>
    </row>
    <row r="11246" spans="1:1">
      <c r="A11246" s="5"/>
    </row>
    <row r="11247" spans="1:1">
      <c r="A11247" s="5"/>
    </row>
    <row r="11248" spans="1:1">
      <c r="A11248" s="5"/>
    </row>
    <row r="11249" spans="1:1">
      <c r="A11249" s="5"/>
    </row>
    <row r="11250" spans="1:1">
      <c r="A11250" s="5"/>
    </row>
    <row r="11251" spans="1:1">
      <c r="A11251" s="5"/>
    </row>
    <row r="11252" spans="1:1">
      <c r="A11252" s="5"/>
    </row>
    <row r="11253" spans="1:1">
      <c r="A11253" s="5"/>
    </row>
    <row r="11254" spans="1:1">
      <c r="A11254" s="5"/>
    </row>
    <row r="11255" spans="1:1">
      <c r="A11255" s="5"/>
    </row>
    <row r="11256" spans="1:1">
      <c r="A11256" s="5"/>
    </row>
    <row r="11257" spans="1:1">
      <c r="A11257" s="5"/>
    </row>
    <row r="11258" spans="1:1">
      <c r="A11258" s="5"/>
    </row>
    <row r="11259" spans="1:1">
      <c r="A11259" s="5"/>
    </row>
    <row r="11260" spans="1:1">
      <c r="A11260" s="5"/>
    </row>
    <row r="11261" spans="1:1">
      <c r="A11261" s="5"/>
    </row>
    <row r="11262" spans="1:1">
      <c r="A11262" s="5"/>
    </row>
    <row r="11263" spans="1:1">
      <c r="A11263" s="5"/>
    </row>
    <row r="11264" spans="1:1">
      <c r="A11264" s="5"/>
    </row>
    <row r="11265" spans="1:1">
      <c r="A11265" s="5"/>
    </row>
    <row r="11266" spans="1:1">
      <c r="A11266" s="5"/>
    </row>
    <row r="11267" spans="1:1">
      <c r="A11267" s="5"/>
    </row>
    <row r="11268" spans="1:1">
      <c r="A11268" s="5"/>
    </row>
    <row r="11269" spans="1:1">
      <c r="A11269" s="5"/>
    </row>
    <row r="11270" spans="1:1">
      <c r="A11270" s="5"/>
    </row>
    <row r="11271" spans="1:1">
      <c r="A11271" s="5"/>
    </row>
    <row r="11272" spans="1:1">
      <c r="A11272" s="5"/>
    </row>
    <row r="11273" spans="1:1">
      <c r="A11273" s="5"/>
    </row>
    <row r="11274" spans="1:1">
      <c r="A11274" s="5"/>
    </row>
    <row r="11275" spans="1:1">
      <c r="A11275" s="5"/>
    </row>
    <row r="11276" spans="1:1">
      <c r="A11276" s="5"/>
    </row>
    <row r="11277" spans="1:1">
      <c r="A11277" s="5"/>
    </row>
    <row r="11278" spans="1:1">
      <c r="A11278" s="5"/>
    </row>
    <row r="11279" spans="1:1">
      <c r="A11279" s="5"/>
    </row>
    <row r="11280" spans="1:1">
      <c r="A11280" s="5"/>
    </row>
    <row r="11281" spans="1:1">
      <c r="A11281" s="5"/>
    </row>
    <row r="11282" spans="1:1">
      <c r="A11282" s="5"/>
    </row>
    <row r="11283" spans="1:1">
      <c r="A11283" s="5"/>
    </row>
    <row r="11284" spans="1:1">
      <c r="A11284" s="5"/>
    </row>
    <row r="11285" spans="1:1">
      <c r="A11285" s="5"/>
    </row>
    <row r="11286" spans="1:1">
      <c r="A11286" s="5"/>
    </row>
    <row r="11287" spans="1:1">
      <c r="A11287" s="5"/>
    </row>
    <row r="11288" spans="1:1">
      <c r="A11288" s="5"/>
    </row>
    <row r="11289" spans="1:1">
      <c r="A11289" s="5"/>
    </row>
    <row r="11290" spans="1:1">
      <c r="A11290" s="5"/>
    </row>
    <row r="11291" spans="1:1">
      <c r="A11291" s="5"/>
    </row>
    <row r="11292" spans="1:1">
      <c r="A11292" s="5"/>
    </row>
    <row r="11293" spans="1:1">
      <c r="A11293" s="5"/>
    </row>
    <row r="11294" spans="1:1">
      <c r="A11294" s="5"/>
    </row>
    <row r="11295" spans="1:1">
      <c r="A11295" s="5"/>
    </row>
    <row r="11296" spans="1:1">
      <c r="A11296" s="5"/>
    </row>
    <row r="11297" spans="1:1">
      <c r="A11297" s="5"/>
    </row>
    <row r="11298" spans="1:1">
      <c r="A11298" s="5"/>
    </row>
    <row r="11299" spans="1:1">
      <c r="A11299" s="5"/>
    </row>
    <row r="11300" spans="1:1">
      <c r="A11300" s="5"/>
    </row>
    <row r="11301" spans="1:1">
      <c r="A11301" s="5"/>
    </row>
    <row r="11302" spans="1:1">
      <c r="A11302" s="5"/>
    </row>
    <row r="11303" spans="1:1">
      <c r="A11303" s="5"/>
    </row>
    <row r="11304" spans="1:1">
      <c r="A11304" s="5"/>
    </row>
    <row r="11305" spans="1:1">
      <c r="A11305" s="5"/>
    </row>
    <row r="11306" spans="1:1">
      <c r="A11306" s="5"/>
    </row>
    <row r="11307" spans="1:1">
      <c r="A11307" s="5"/>
    </row>
    <row r="11308" spans="1:1">
      <c r="A11308" s="5"/>
    </row>
    <row r="11309" spans="1:1">
      <c r="A11309" s="5"/>
    </row>
    <row r="11310" spans="1:1">
      <c r="A11310" s="5"/>
    </row>
    <row r="11311" spans="1:1">
      <c r="A11311" s="5"/>
    </row>
    <row r="11312" spans="1:1">
      <c r="A11312" s="5"/>
    </row>
    <row r="11313" spans="1:1">
      <c r="A11313" s="5"/>
    </row>
    <row r="11314" spans="1:1">
      <c r="A11314" s="5"/>
    </row>
    <row r="11315" spans="1:1">
      <c r="A11315" s="5"/>
    </row>
    <row r="11316" spans="1:1">
      <c r="A11316" s="5"/>
    </row>
    <row r="11317" spans="1:1">
      <c r="A11317" s="5"/>
    </row>
    <row r="11318" spans="1:1">
      <c r="A11318" s="5"/>
    </row>
    <row r="11319" spans="1:1">
      <c r="A11319" s="5"/>
    </row>
    <row r="11320" spans="1:1">
      <c r="A11320" s="5"/>
    </row>
    <row r="11321" spans="1:1">
      <c r="A11321" s="5"/>
    </row>
    <row r="11322" spans="1:1">
      <c r="A11322" s="5"/>
    </row>
    <row r="11323" spans="1:1">
      <c r="A11323" s="5"/>
    </row>
    <row r="11324" spans="1:1">
      <c r="A11324" s="5"/>
    </row>
    <row r="11325" spans="1:1">
      <c r="A11325" s="5"/>
    </row>
    <row r="11326" spans="1:1">
      <c r="A11326" s="5"/>
    </row>
    <row r="11327" spans="1:1">
      <c r="A11327" s="5"/>
    </row>
    <row r="11328" spans="1:1">
      <c r="A11328" s="5"/>
    </row>
    <row r="11329" spans="1:1">
      <c r="A11329" s="5"/>
    </row>
    <row r="11330" spans="1:1">
      <c r="A11330" s="5"/>
    </row>
    <row r="11331" spans="1:1">
      <c r="A11331" s="5"/>
    </row>
    <row r="11332" spans="1:1">
      <c r="A11332" s="5"/>
    </row>
    <row r="11333" spans="1:1">
      <c r="A11333" s="5"/>
    </row>
    <row r="11334" spans="1:1">
      <c r="A11334" s="5"/>
    </row>
    <row r="11335" spans="1:1">
      <c r="A11335" s="5"/>
    </row>
    <row r="11336" spans="1:1">
      <c r="A11336" s="5"/>
    </row>
    <row r="11337" spans="1:1">
      <c r="A11337" s="5"/>
    </row>
    <row r="11338" spans="1:1">
      <c r="A11338" s="5"/>
    </row>
    <row r="11339" spans="1:1">
      <c r="A11339" s="5"/>
    </row>
    <row r="11340" spans="1:1">
      <c r="A11340" s="5"/>
    </row>
    <row r="11341" spans="1:1">
      <c r="A11341" s="5"/>
    </row>
    <row r="11342" spans="1:1">
      <c r="A11342" s="5"/>
    </row>
    <row r="11343" spans="1:1">
      <c r="A11343" s="5"/>
    </row>
    <row r="11344" spans="1:1">
      <c r="A11344" s="5"/>
    </row>
    <row r="11345" spans="1:1">
      <c r="A11345" s="5"/>
    </row>
    <row r="11346" spans="1:1">
      <c r="A11346" s="5"/>
    </row>
    <row r="11347" spans="1:1">
      <c r="A11347" s="5"/>
    </row>
    <row r="11348" spans="1:1">
      <c r="A11348" s="5"/>
    </row>
    <row r="11349" spans="1:1">
      <c r="A11349" s="5"/>
    </row>
    <row r="11350" spans="1:1">
      <c r="A11350" s="5"/>
    </row>
    <row r="11351" spans="1:1">
      <c r="A11351" s="5"/>
    </row>
    <row r="11352" spans="1:1">
      <c r="A11352" s="5"/>
    </row>
    <row r="11353" spans="1:1">
      <c r="A11353" s="5"/>
    </row>
    <row r="11354" spans="1:1">
      <c r="A11354" s="5"/>
    </row>
    <row r="11355" spans="1:1">
      <c r="A11355" s="5"/>
    </row>
    <row r="11356" spans="1:1">
      <c r="A11356" s="5"/>
    </row>
    <row r="11357" spans="1:1">
      <c r="A11357" s="5"/>
    </row>
    <row r="11358" spans="1:1">
      <c r="A11358" s="5"/>
    </row>
    <row r="11359" spans="1:1">
      <c r="A11359" s="5"/>
    </row>
    <row r="11360" spans="1:1">
      <c r="A11360" s="5"/>
    </row>
    <row r="11361" spans="1:1">
      <c r="A11361" s="5"/>
    </row>
    <row r="11362" spans="1:1">
      <c r="A11362" s="5"/>
    </row>
    <row r="11363" spans="1:1">
      <c r="A11363" s="5"/>
    </row>
    <row r="11364" spans="1:1">
      <c r="A11364" s="5"/>
    </row>
    <row r="11365" spans="1:1">
      <c r="A11365" s="5"/>
    </row>
    <row r="11366" spans="1:1">
      <c r="A11366" s="5"/>
    </row>
    <row r="11367" spans="1:1">
      <c r="A11367" s="5"/>
    </row>
    <row r="11368" spans="1:1">
      <c r="A11368" s="5"/>
    </row>
    <row r="11369" spans="1:1">
      <c r="A11369" s="5"/>
    </row>
    <row r="11370" spans="1:1">
      <c r="A11370" s="5"/>
    </row>
    <row r="11371" spans="1:1">
      <c r="A11371" s="5"/>
    </row>
    <row r="11372" spans="1:1">
      <c r="A11372" s="5"/>
    </row>
    <row r="11373" spans="1:1">
      <c r="A11373" s="5"/>
    </row>
    <row r="11374" spans="1:1">
      <c r="A11374" s="5"/>
    </row>
    <row r="11375" spans="1:1">
      <c r="A11375" s="5"/>
    </row>
    <row r="11376" spans="1:1">
      <c r="A11376" s="5"/>
    </row>
    <row r="11377" spans="1:1">
      <c r="A11377" s="5"/>
    </row>
    <row r="11378" spans="1:1">
      <c r="A11378" s="5"/>
    </row>
    <row r="11379" spans="1:1">
      <c r="A11379" s="5"/>
    </row>
    <row r="11380" spans="1:1">
      <c r="A11380" s="5"/>
    </row>
    <row r="11381" spans="1:1">
      <c r="A11381" s="5"/>
    </row>
    <row r="11382" spans="1:1">
      <c r="A11382" s="5"/>
    </row>
    <row r="11383" spans="1:1">
      <c r="A11383" s="5"/>
    </row>
    <row r="11384" spans="1:1">
      <c r="A11384" s="5"/>
    </row>
    <row r="11385" spans="1:1">
      <c r="A11385" s="5"/>
    </row>
    <row r="11386" spans="1:1">
      <c r="A11386" s="5"/>
    </row>
    <row r="11387" spans="1:1">
      <c r="A11387" s="5"/>
    </row>
    <row r="11388" spans="1:1">
      <c r="A11388" s="5"/>
    </row>
    <row r="11389" spans="1:1">
      <c r="A11389" s="5"/>
    </row>
    <row r="11390" spans="1:1">
      <c r="A11390" s="5"/>
    </row>
    <row r="11391" spans="1:1">
      <c r="A11391" s="5"/>
    </row>
    <row r="11392" spans="1:1">
      <c r="A11392" s="5"/>
    </row>
    <row r="11393" spans="1:1">
      <c r="A11393" s="5"/>
    </row>
    <row r="11394" spans="1:1">
      <c r="A11394" s="5"/>
    </row>
    <row r="11395" spans="1:1">
      <c r="A11395" s="5"/>
    </row>
    <row r="11396" spans="1:1">
      <c r="A11396" s="5"/>
    </row>
    <row r="11397" spans="1:1">
      <c r="A11397" s="5"/>
    </row>
    <row r="11398" spans="1:1">
      <c r="A11398" s="5"/>
    </row>
    <row r="11399" spans="1:1">
      <c r="A11399" s="5"/>
    </row>
    <row r="11400" spans="1:1">
      <c r="A11400" s="5"/>
    </row>
    <row r="11401" spans="1:1">
      <c r="A11401" s="5"/>
    </row>
    <row r="11402" spans="1:1">
      <c r="A11402" s="5"/>
    </row>
    <row r="11403" spans="1:1">
      <c r="A11403" s="5"/>
    </row>
    <row r="11404" spans="1:1">
      <c r="A11404" s="5"/>
    </row>
    <row r="11405" spans="1:1">
      <c r="A11405" s="5"/>
    </row>
    <row r="11406" spans="1:1">
      <c r="A11406" s="5"/>
    </row>
    <row r="11407" spans="1:1">
      <c r="A11407" s="5"/>
    </row>
    <row r="11408" spans="1:1">
      <c r="A11408" s="5"/>
    </row>
    <row r="11409" spans="1:1">
      <c r="A11409" s="5"/>
    </row>
    <row r="11410" spans="1:1">
      <c r="A11410" s="5"/>
    </row>
    <row r="11411" spans="1:1">
      <c r="A11411" s="5"/>
    </row>
    <row r="11412" spans="1:1">
      <c r="A11412" s="5"/>
    </row>
    <row r="11413" spans="1:1">
      <c r="A11413" s="5"/>
    </row>
    <row r="11414" spans="1:1">
      <c r="A11414" s="5"/>
    </row>
    <row r="11415" spans="1:1">
      <c r="A11415" s="5"/>
    </row>
    <row r="11416" spans="1:1">
      <c r="A11416" s="5"/>
    </row>
    <row r="11417" spans="1:1">
      <c r="A11417" s="5"/>
    </row>
    <row r="11418" spans="1:1">
      <c r="A11418" s="5"/>
    </row>
    <row r="11419" spans="1:1">
      <c r="A11419" s="5"/>
    </row>
    <row r="11420" spans="1:1">
      <c r="A11420" s="5"/>
    </row>
    <row r="11421" spans="1:1">
      <c r="A11421" s="5"/>
    </row>
    <row r="11422" spans="1:1">
      <c r="A11422" s="5"/>
    </row>
    <row r="11423" spans="1:1">
      <c r="A11423" s="5"/>
    </row>
    <row r="11424" spans="1:1">
      <c r="A11424" s="5"/>
    </row>
    <row r="11425" spans="1:1">
      <c r="A11425" s="5"/>
    </row>
    <row r="11426" spans="1:1">
      <c r="A11426" s="5"/>
    </row>
    <row r="11427" spans="1:1">
      <c r="A11427" s="5"/>
    </row>
    <row r="11428" spans="1:1">
      <c r="A11428" s="5"/>
    </row>
    <row r="11429" spans="1:1">
      <c r="A11429" s="5"/>
    </row>
    <row r="11430" spans="1:1">
      <c r="A11430" s="5"/>
    </row>
    <row r="11431" spans="1:1">
      <c r="A11431" s="5"/>
    </row>
    <row r="11432" spans="1:1">
      <c r="A11432" s="5"/>
    </row>
    <row r="11433" spans="1:1">
      <c r="A11433" s="5"/>
    </row>
    <row r="11434" spans="1:1">
      <c r="A11434" s="5"/>
    </row>
    <row r="11435" spans="1:1">
      <c r="A11435" s="5"/>
    </row>
    <row r="11436" spans="1:1">
      <c r="A11436" s="5"/>
    </row>
    <row r="11437" spans="1:1">
      <c r="A11437" s="5"/>
    </row>
    <row r="11438" spans="1:1">
      <c r="A11438" s="5"/>
    </row>
    <row r="11439" spans="1:1">
      <c r="A11439" s="5"/>
    </row>
    <row r="11440" spans="1:1">
      <c r="A11440" s="5"/>
    </row>
    <row r="11441" spans="1:1">
      <c r="A11441" s="5"/>
    </row>
    <row r="11442" spans="1:1">
      <c r="A11442" s="5"/>
    </row>
    <row r="11443" spans="1:1">
      <c r="A11443" s="5"/>
    </row>
    <row r="11444" spans="1:1">
      <c r="A11444" s="5"/>
    </row>
    <row r="11445" spans="1:1">
      <c r="A11445" s="5"/>
    </row>
    <row r="11446" spans="1:1">
      <c r="A11446" s="5"/>
    </row>
    <row r="11447" spans="1:1">
      <c r="A11447" s="5"/>
    </row>
    <row r="11448" spans="1:1">
      <c r="A11448" s="5"/>
    </row>
    <row r="11449" spans="1:1">
      <c r="A11449" s="5"/>
    </row>
    <row r="11450" spans="1:1">
      <c r="A11450" s="5"/>
    </row>
    <row r="11451" spans="1:1">
      <c r="A11451" s="5"/>
    </row>
    <row r="11452" spans="1:1">
      <c r="A11452" s="5"/>
    </row>
    <row r="11453" spans="1:1">
      <c r="A11453" s="5"/>
    </row>
    <row r="11454" spans="1:1">
      <c r="A11454" s="5"/>
    </row>
    <row r="11455" spans="1:1">
      <c r="A11455" s="5"/>
    </row>
    <row r="11456" spans="1:1">
      <c r="A11456" s="5"/>
    </row>
    <row r="11457" spans="1:1">
      <c r="A11457" s="5"/>
    </row>
    <row r="11458" spans="1:1">
      <c r="A11458" s="5"/>
    </row>
    <row r="11459" spans="1:1">
      <c r="A11459" s="5"/>
    </row>
    <row r="11460" spans="1:1">
      <c r="A11460" s="5"/>
    </row>
    <row r="11461" spans="1:1">
      <c r="A11461" s="5"/>
    </row>
    <row r="11462" spans="1:1">
      <c r="A11462" s="5"/>
    </row>
    <row r="11463" spans="1:1">
      <c r="A11463" s="5"/>
    </row>
    <row r="11464" spans="1:1">
      <c r="A11464" s="5"/>
    </row>
    <row r="11465" spans="1:1">
      <c r="A11465" s="5"/>
    </row>
    <row r="11466" spans="1:1">
      <c r="A11466" s="5"/>
    </row>
    <row r="11467" spans="1:1">
      <c r="A11467" s="5"/>
    </row>
    <row r="11468" spans="1:1">
      <c r="A11468" s="5"/>
    </row>
    <row r="11469" spans="1:1">
      <c r="A11469" s="5"/>
    </row>
    <row r="11470" spans="1:1">
      <c r="A11470" s="5"/>
    </row>
    <row r="11471" spans="1:1">
      <c r="A11471" s="5"/>
    </row>
    <row r="11472" spans="1:1">
      <c r="A11472" s="5"/>
    </row>
    <row r="11473" spans="1:1">
      <c r="A11473" s="5"/>
    </row>
    <row r="11474" spans="1:1">
      <c r="A11474" s="5"/>
    </row>
    <row r="11475" spans="1:1">
      <c r="A11475" s="5"/>
    </row>
    <row r="11476" spans="1:1">
      <c r="A11476" s="5"/>
    </row>
    <row r="11477" spans="1:1">
      <c r="A11477" s="5"/>
    </row>
    <row r="11478" spans="1:1">
      <c r="A11478" s="5"/>
    </row>
    <row r="11479" spans="1:1">
      <c r="A11479" s="5"/>
    </row>
    <row r="11480" spans="1:1">
      <c r="A11480" s="5"/>
    </row>
    <row r="11481" spans="1:1">
      <c r="A11481" s="5"/>
    </row>
    <row r="11482" spans="1:1">
      <c r="A11482" s="5"/>
    </row>
    <row r="11483" spans="1:1">
      <c r="A11483" s="5"/>
    </row>
    <row r="11484" spans="1:1">
      <c r="A11484" s="5"/>
    </row>
    <row r="11485" spans="1:1">
      <c r="A11485" s="5"/>
    </row>
    <row r="11486" spans="1:1">
      <c r="A11486" s="5"/>
    </row>
    <row r="11487" spans="1:1">
      <c r="A11487" s="5"/>
    </row>
    <row r="11488" spans="1:1">
      <c r="A11488" s="5"/>
    </row>
    <row r="11489" spans="1:1">
      <c r="A11489" s="5"/>
    </row>
    <row r="11490" spans="1:1">
      <c r="A11490" s="5"/>
    </row>
    <row r="11491" spans="1:1">
      <c r="A11491" s="5"/>
    </row>
    <row r="11492" spans="1:1">
      <c r="A11492" s="5"/>
    </row>
    <row r="11493" spans="1:1">
      <c r="A11493" s="5"/>
    </row>
    <row r="11494" spans="1:1">
      <c r="A11494" s="5"/>
    </row>
    <row r="11495" spans="1:1">
      <c r="A11495" s="5"/>
    </row>
    <row r="11496" spans="1:1">
      <c r="A11496" s="5"/>
    </row>
    <row r="11497" spans="1:1">
      <c r="A11497" s="5"/>
    </row>
    <row r="11498" spans="1:1">
      <c r="A11498" s="5"/>
    </row>
    <row r="11499" spans="1:1">
      <c r="A11499" s="5"/>
    </row>
    <row r="11500" spans="1:1">
      <c r="A11500" s="5"/>
    </row>
    <row r="11501" spans="1:1">
      <c r="A11501" s="5"/>
    </row>
    <row r="11502" spans="1:1">
      <c r="A11502" s="5"/>
    </row>
    <row r="11503" spans="1:1">
      <c r="A11503" s="5"/>
    </row>
    <row r="11504" spans="1:1">
      <c r="A11504" s="5"/>
    </row>
    <row r="11505" spans="1:1">
      <c r="A11505" s="5"/>
    </row>
    <row r="11506" spans="1:1">
      <c r="A11506" s="5"/>
    </row>
    <row r="11507" spans="1:1">
      <c r="A11507" s="5"/>
    </row>
    <row r="11508" spans="1:1">
      <c r="A11508" s="5"/>
    </row>
    <row r="11509" spans="1:1">
      <c r="A11509" s="5"/>
    </row>
    <row r="11510" spans="1:1">
      <c r="A11510" s="5"/>
    </row>
    <row r="11511" spans="1:1">
      <c r="A11511" s="5"/>
    </row>
    <row r="11512" spans="1:1">
      <c r="A11512" s="5"/>
    </row>
    <row r="11513" spans="1:1">
      <c r="A11513" s="5"/>
    </row>
    <row r="11514" spans="1:1">
      <c r="A11514" s="5"/>
    </row>
    <row r="11515" spans="1:1">
      <c r="A11515" s="5"/>
    </row>
    <row r="11516" spans="1:1">
      <c r="A11516" s="5"/>
    </row>
    <row r="11517" spans="1:1">
      <c r="A11517" s="5"/>
    </row>
    <row r="11518" spans="1:1">
      <c r="A11518" s="5"/>
    </row>
    <row r="11519" spans="1:1">
      <c r="A11519" s="5"/>
    </row>
    <row r="11520" spans="1:1">
      <c r="A11520" s="5"/>
    </row>
    <row r="11521" spans="1:1">
      <c r="A11521" s="5"/>
    </row>
    <row r="11522" spans="1:1">
      <c r="A11522" s="5"/>
    </row>
    <row r="11523" spans="1:1">
      <c r="A11523" s="5"/>
    </row>
    <row r="11524" spans="1:1">
      <c r="A11524" s="5"/>
    </row>
    <row r="11525" spans="1:1">
      <c r="A11525" s="5"/>
    </row>
    <row r="11526" spans="1:1">
      <c r="A11526" s="5"/>
    </row>
    <row r="11527" spans="1:1">
      <c r="A11527" s="5"/>
    </row>
    <row r="11528" spans="1:1">
      <c r="A11528" s="5"/>
    </row>
    <row r="11529" spans="1:1">
      <c r="A11529" s="5"/>
    </row>
    <row r="11530" spans="1:1">
      <c r="A11530" s="5"/>
    </row>
    <row r="11531" spans="1:1">
      <c r="A11531" s="5"/>
    </row>
    <row r="11532" spans="1:1">
      <c r="A11532" s="5"/>
    </row>
    <row r="11533" spans="1:1">
      <c r="A11533" s="5"/>
    </row>
    <row r="11534" spans="1:1">
      <c r="A11534" s="5"/>
    </row>
    <row r="11535" spans="1:1">
      <c r="A11535" s="5"/>
    </row>
    <row r="11536" spans="1:1">
      <c r="A11536" s="5"/>
    </row>
    <row r="11537" spans="1:1">
      <c r="A11537" s="5"/>
    </row>
    <row r="11538" spans="1:1">
      <c r="A11538" s="5"/>
    </row>
    <row r="11539" spans="1:1">
      <c r="A11539" s="5"/>
    </row>
    <row r="11540" spans="1:1">
      <c r="A11540" s="5"/>
    </row>
    <row r="11541" spans="1:1">
      <c r="A11541" s="5"/>
    </row>
    <row r="11542" spans="1:1">
      <c r="A11542" s="5"/>
    </row>
    <row r="11543" spans="1:1">
      <c r="A11543" s="5"/>
    </row>
    <row r="11544" spans="1:1">
      <c r="A11544" s="5"/>
    </row>
    <row r="11545" spans="1:1">
      <c r="A11545" s="5"/>
    </row>
    <row r="11546" spans="1:1">
      <c r="A11546" s="5"/>
    </row>
    <row r="11547" spans="1:1">
      <c r="A11547" s="5"/>
    </row>
    <row r="11548" spans="1:1">
      <c r="A11548" s="5"/>
    </row>
    <row r="11549" spans="1:1">
      <c r="A11549" s="5"/>
    </row>
    <row r="11550" spans="1:1">
      <c r="A11550" s="5"/>
    </row>
    <row r="11551" spans="1:1">
      <c r="A11551" s="5"/>
    </row>
    <row r="11552" spans="1:1">
      <c r="A11552" s="5"/>
    </row>
    <row r="11553" spans="1:1">
      <c r="A11553" s="5"/>
    </row>
    <row r="11554" spans="1:1">
      <c r="A11554" s="5"/>
    </row>
    <row r="11555" spans="1:1">
      <c r="A11555" s="5"/>
    </row>
    <row r="11556" spans="1:1">
      <c r="A11556" s="5"/>
    </row>
    <row r="11557" spans="1:1">
      <c r="A11557" s="5"/>
    </row>
    <row r="11558" spans="1:1">
      <c r="A11558" s="5"/>
    </row>
    <row r="11559" spans="1:1">
      <c r="A11559" s="5"/>
    </row>
    <row r="11560" spans="1:1">
      <c r="A11560" s="5"/>
    </row>
    <row r="11561" spans="1:1">
      <c r="A11561" s="5"/>
    </row>
    <row r="11562" spans="1:1">
      <c r="A11562" s="5"/>
    </row>
    <row r="11563" spans="1:1">
      <c r="A11563" s="5"/>
    </row>
    <row r="11564" spans="1:1">
      <c r="A11564" s="5"/>
    </row>
    <row r="11565" spans="1:1">
      <c r="A11565" s="5"/>
    </row>
    <row r="11566" spans="1:1">
      <c r="A11566" s="5"/>
    </row>
    <row r="11567" spans="1:1">
      <c r="A11567" s="5"/>
    </row>
    <row r="11568" spans="1:1">
      <c r="A11568" s="5"/>
    </row>
    <row r="11569" spans="1:1">
      <c r="A11569" s="5"/>
    </row>
    <row r="11570" spans="1:1">
      <c r="A11570" s="5"/>
    </row>
    <row r="11571" spans="1:1">
      <c r="A11571" s="5"/>
    </row>
    <row r="11572" spans="1:1">
      <c r="A11572" s="5"/>
    </row>
    <row r="11573" spans="1:1">
      <c r="A11573" s="5"/>
    </row>
    <row r="11574" spans="1:1">
      <c r="A11574" s="5"/>
    </row>
    <row r="11575" spans="1:1">
      <c r="A11575" s="5"/>
    </row>
    <row r="11576" spans="1:1">
      <c r="A11576" s="5"/>
    </row>
    <row r="11577" spans="1:1">
      <c r="A11577" s="5"/>
    </row>
    <row r="11578" spans="1:1">
      <c r="A11578" s="5"/>
    </row>
    <row r="11579" spans="1:1">
      <c r="A11579" s="5"/>
    </row>
    <row r="11580" spans="1:1">
      <c r="A11580" s="5"/>
    </row>
    <row r="11581" spans="1:1">
      <c r="A11581" s="5"/>
    </row>
    <row r="11582" spans="1:1">
      <c r="A11582" s="5"/>
    </row>
    <row r="11583" spans="1:1">
      <c r="A11583" s="5"/>
    </row>
    <row r="11584" spans="1:1">
      <c r="A11584" s="5"/>
    </row>
    <row r="11585" spans="1:1">
      <c r="A11585" s="5"/>
    </row>
    <row r="11586" spans="1:1">
      <c r="A11586" s="5"/>
    </row>
    <row r="11587" spans="1:1">
      <c r="A11587" s="5"/>
    </row>
    <row r="11588" spans="1:1">
      <c r="A11588" s="5"/>
    </row>
    <row r="11589" spans="1:1">
      <c r="A11589" s="5"/>
    </row>
    <row r="11590" spans="1:1">
      <c r="A11590" s="5"/>
    </row>
    <row r="11591" spans="1:1">
      <c r="A11591" s="5"/>
    </row>
    <row r="11592" spans="1:1">
      <c r="A11592" s="5"/>
    </row>
    <row r="11593" spans="1:1">
      <c r="A11593" s="5"/>
    </row>
    <row r="11594" spans="1:1">
      <c r="A11594" s="5"/>
    </row>
    <row r="11595" spans="1:1">
      <c r="A11595" s="5"/>
    </row>
    <row r="11596" spans="1:1">
      <c r="A11596" s="5"/>
    </row>
    <row r="11597" spans="1:1">
      <c r="A11597" s="5"/>
    </row>
    <row r="11598" spans="1:1">
      <c r="A11598" s="5"/>
    </row>
    <row r="11599" spans="1:1">
      <c r="A11599" s="5"/>
    </row>
    <row r="11600" spans="1:1">
      <c r="A11600" s="5"/>
    </row>
    <row r="11601" spans="1:1">
      <c r="A11601" s="5"/>
    </row>
    <row r="11602" spans="1:1">
      <c r="A11602" s="5"/>
    </row>
    <row r="11603" spans="1:1">
      <c r="A11603" s="5"/>
    </row>
    <row r="11604" spans="1:1">
      <c r="A11604" s="5"/>
    </row>
    <row r="11605" spans="1:1">
      <c r="A11605" s="5"/>
    </row>
    <row r="11606" spans="1:1">
      <c r="A11606" s="5"/>
    </row>
    <row r="11607" spans="1:1">
      <c r="A11607" s="5"/>
    </row>
    <row r="11608" spans="1:1">
      <c r="A11608" s="5"/>
    </row>
    <row r="11609" spans="1:1">
      <c r="A11609" s="5"/>
    </row>
    <row r="11610" spans="1:1">
      <c r="A11610" s="5"/>
    </row>
    <row r="11611" spans="1:1">
      <c r="A11611" s="5"/>
    </row>
    <row r="11612" spans="1:1">
      <c r="A11612" s="5"/>
    </row>
    <row r="11613" spans="1:1">
      <c r="A11613" s="5"/>
    </row>
    <row r="11614" spans="1:1">
      <c r="A11614" s="5"/>
    </row>
    <row r="11615" spans="1:1">
      <c r="A11615" s="5"/>
    </row>
    <row r="11616" spans="1:1">
      <c r="A11616" s="5"/>
    </row>
    <row r="11617" spans="1:1">
      <c r="A11617" s="5"/>
    </row>
    <row r="11618" spans="1:1">
      <c r="A11618" s="5"/>
    </row>
    <row r="11619" spans="1:1">
      <c r="A11619" s="5"/>
    </row>
    <row r="11620" spans="1:1">
      <c r="A11620" s="5"/>
    </row>
    <row r="11621" spans="1:1">
      <c r="A11621" s="5"/>
    </row>
    <row r="11622" spans="1:1">
      <c r="A11622" s="5"/>
    </row>
    <row r="11623" spans="1:1">
      <c r="A11623" s="5"/>
    </row>
    <row r="11624" spans="1:1">
      <c r="A11624" s="5"/>
    </row>
    <row r="11625" spans="1:1">
      <c r="A11625" s="5"/>
    </row>
    <row r="11626" spans="1:1">
      <c r="A11626" s="5"/>
    </row>
    <row r="11627" spans="1:1">
      <c r="A11627" s="5"/>
    </row>
    <row r="11628" spans="1:1">
      <c r="A11628" s="5"/>
    </row>
    <row r="11629" spans="1:1">
      <c r="A11629" s="5"/>
    </row>
    <row r="11630" spans="1:1">
      <c r="A11630" s="5"/>
    </row>
    <row r="11631" spans="1:1">
      <c r="A11631" s="5"/>
    </row>
    <row r="11632" spans="1:1">
      <c r="A11632" s="5"/>
    </row>
    <row r="11633" spans="1:1">
      <c r="A11633" s="5"/>
    </row>
    <row r="11634" spans="1:1">
      <c r="A11634" s="5"/>
    </row>
    <row r="11635" spans="1:1">
      <c r="A11635" s="5"/>
    </row>
    <row r="11636" spans="1:1">
      <c r="A11636" s="5"/>
    </row>
    <row r="11637" spans="1:1">
      <c r="A11637" s="5"/>
    </row>
    <row r="11638" spans="1:1">
      <c r="A11638" s="5"/>
    </row>
    <row r="11639" spans="1:1">
      <c r="A11639" s="5"/>
    </row>
    <row r="11640" spans="1:1">
      <c r="A11640" s="5"/>
    </row>
    <row r="11641" spans="1:1">
      <c r="A11641" s="5"/>
    </row>
    <row r="11642" spans="1:1">
      <c r="A11642" s="5"/>
    </row>
    <row r="11643" spans="1:1">
      <c r="A11643" s="5"/>
    </row>
    <row r="11644" spans="1:1">
      <c r="A11644" s="5"/>
    </row>
    <row r="11645" spans="1:1">
      <c r="A11645" s="5"/>
    </row>
    <row r="11646" spans="1:1">
      <c r="A11646" s="5"/>
    </row>
    <row r="11647" spans="1:1">
      <c r="A11647" s="5"/>
    </row>
    <row r="11648" spans="1:1">
      <c r="A11648" s="5"/>
    </row>
    <row r="11649" spans="1:1">
      <c r="A11649" s="5"/>
    </row>
    <row r="11650" spans="1:1">
      <c r="A11650" s="5"/>
    </row>
    <row r="11651" spans="1:1">
      <c r="A11651" s="5"/>
    </row>
    <row r="11652" spans="1:1">
      <c r="A11652" s="5"/>
    </row>
    <row r="11653" spans="1:1">
      <c r="A11653" s="5"/>
    </row>
    <row r="11654" spans="1:1">
      <c r="A11654" s="5"/>
    </row>
    <row r="11655" spans="1:1">
      <c r="A11655" s="5"/>
    </row>
    <row r="11656" spans="1:1">
      <c r="A11656" s="5"/>
    </row>
    <row r="11657" spans="1:1">
      <c r="A11657" s="5"/>
    </row>
    <row r="11658" spans="1:1">
      <c r="A11658" s="5"/>
    </row>
    <row r="11659" spans="1:1">
      <c r="A11659" s="5"/>
    </row>
    <row r="11660" spans="1:1">
      <c r="A11660" s="5"/>
    </row>
    <row r="11661" spans="1:1">
      <c r="A11661" s="5"/>
    </row>
    <row r="11662" spans="1:1">
      <c r="A11662" s="5"/>
    </row>
    <row r="11663" spans="1:1">
      <c r="A11663" s="5"/>
    </row>
    <row r="11664" spans="1:1">
      <c r="A11664" s="5"/>
    </row>
    <row r="11665" spans="1:1">
      <c r="A11665" s="5"/>
    </row>
    <row r="11666" spans="1:1">
      <c r="A11666" s="5"/>
    </row>
    <row r="11667" spans="1:1">
      <c r="A11667" s="5"/>
    </row>
    <row r="11668" spans="1:1">
      <c r="A11668" s="5"/>
    </row>
    <row r="11669" spans="1:1">
      <c r="A11669" s="5"/>
    </row>
    <row r="11670" spans="1:1">
      <c r="A11670" s="5"/>
    </row>
    <row r="11671" spans="1:1">
      <c r="A11671" s="5"/>
    </row>
    <row r="11672" spans="1:1">
      <c r="A11672" s="5"/>
    </row>
    <row r="11673" spans="1:1">
      <c r="A11673" s="5"/>
    </row>
    <row r="11674" spans="1:1">
      <c r="A11674" s="5"/>
    </row>
    <row r="11675" spans="1:1">
      <c r="A11675" s="5"/>
    </row>
    <row r="11676" spans="1:1">
      <c r="A11676" s="5"/>
    </row>
    <row r="11677" spans="1:1">
      <c r="A11677" s="5"/>
    </row>
    <row r="11678" spans="1:1">
      <c r="A11678" s="5"/>
    </row>
    <row r="11679" spans="1:1">
      <c r="A11679" s="5"/>
    </row>
    <row r="11680" spans="1:1">
      <c r="A11680" s="5"/>
    </row>
    <row r="11681" spans="1:1">
      <c r="A11681" s="5"/>
    </row>
    <row r="11682" spans="1:1">
      <c r="A11682" s="5"/>
    </row>
    <row r="11683" spans="1:1">
      <c r="A11683" s="5"/>
    </row>
    <row r="11684" spans="1:1">
      <c r="A11684" s="5"/>
    </row>
    <row r="11685" spans="1:1">
      <c r="A11685" s="5"/>
    </row>
    <row r="11686" spans="1:1">
      <c r="A11686" s="5"/>
    </row>
    <row r="11687" spans="1:1">
      <c r="A11687" s="5"/>
    </row>
    <row r="11688" spans="1:1">
      <c r="A11688" s="5"/>
    </row>
    <row r="11689" spans="1:1">
      <c r="A11689" s="5"/>
    </row>
    <row r="11690" spans="1:1">
      <c r="A11690" s="5"/>
    </row>
    <row r="11691" spans="1:1">
      <c r="A11691" s="5"/>
    </row>
    <row r="11692" spans="1:1">
      <c r="A11692" s="5"/>
    </row>
    <row r="11693" spans="1:1">
      <c r="A11693" s="5"/>
    </row>
    <row r="11694" spans="1:1">
      <c r="A11694" s="5"/>
    </row>
    <row r="11695" spans="1:1">
      <c r="A11695" s="5"/>
    </row>
    <row r="11696" spans="1:1">
      <c r="A11696" s="5"/>
    </row>
    <row r="11697" spans="1:1">
      <c r="A11697" s="5"/>
    </row>
    <row r="11698" spans="1:1">
      <c r="A11698" s="5"/>
    </row>
    <row r="11699" spans="1:1">
      <c r="A11699" s="5"/>
    </row>
    <row r="11700" spans="1:1">
      <c r="A11700" s="5"/>
    </row>
    <row r="11701" spans="1:1">
      <c r="A11701" s="5"/>
    </row>
    <row r="11702" spans="1:1">
      <c r="A11702" s="5"/>
    </row>
    <row r="11703" spans="1:1">
      <c r="A11703" s="5"/>
    </row>
    <row r="11704" spans="1:1">
      <c r="A11704" s="5"/>
    </row>
    <row r="11705" spans="1:1">
      <c r="A11705" s="5"/>
    </row>
    <row r="11706" spans="1:1">
      <c r="A11706" s="5"/>
    </row>
    <row r="11707" spans="1:1">
      <c r="A11707" s="5"/>
    </row>
    <row r="11708" spans="1:1">
      <c r="A11708" s="5"/>
    </row>
    <row r="11709" spans="1:1">
      <c r="A11709" s="5"/>
    </row>
    <row r="11710" spans="1:1">
      <c r="A11710" s="5"/>
    </row>
    <row r="11711" spans="1:1">
      <c r="A11711" s="5"/>
    </row>
    <row r="11712" spans="1:1">
      <c r="A11712" s="5"/>
    </row>
    <row r="11713" spans="1:1">
      <c r="A11713" s="5"/>
    </row>
    <row r="11714" spans="1:1">
      <c r="A11714" s="5"/>
    </row>
    <row r="11715" spans="1:1">
      <c r="A11715" s="5"/>
    </row>
    <row r="11716" spans="1:1">
      <c r="A11716" s="5"/>
    </row>
    <row r="11717" spans="1:1">
      <c r="A11717" s="5"/>
    </row>
    <row r="11718" spans="1:1">
      <c r="A11718" s="5"/>
    </row>
    <row r="11719" spans="1:1">
      <c r="A11719" s="5"/>
    </row>
    <row r="11720" spans="1:1">
      <c r="A11720" s="5"/>
    </row>
    <row r="11721" spans="1:1">
      <c r="A11721" s="5"/>
    </row>
    <row r="11722" spans="1:1">
      <c r="A11722" s="5"/>
    </row>
    <row r="11723" spans="1:1">
      <c r="A11723" s="5"/>
    </row>
    <row r="11724" spans="1:1">
      <c r="A11724" s="5"/>
    </row>
    <row r="11725" spans="1:1">
      <c r="A11725" s="5"/>
    </row>
    <row r="11726" spans="1:1">
      <c r="A11726" s="5"/>
    </row>
    <row r="11727" spans="1:1">
      <c r="A11727" s="5"/>
    </row>
    <row r="11728" spans="1:1">
      <c r="A11728" s="5"/>
    </row>
    <row r="11729" spans="1:1">
      <c r="A11729" s="5"/>
    </row>
    <row r="11730" spans="1:1">
      <c r="A11730" s="5"/>
    </row>
    <row r="11731" spans="1:1">
      <c r="A11731" s="5"/>
    </row>
    <row r="11732" spans="1:1">
      <c r="A11732" s="5"/>
    </row>
    <row r="11733" spans="1:1">
      <c r="A11733" s="5"/>
    </row>
    <row r="11734" spans="1:1">
      <c r="A11734" s="5"/>
    </row>
    <row r="11735" spans="1:1">
      <c r="A11735" s="5"/>
    </row>
    <row r="11736" spans="1:1">
      <c r="A11736" s="5"/>
    </row>
    <row r="11737" spans="1:1">
      <c r="A11737" s="5"/>
    </row>
    <row r="11738" spans="1:1">
      <c r="A11738" s="5"/>
    </row>
    <row r="11739" spans="1:1">
      <c r="A11739" s="5"/>
    </row>
    <row r="11740" spans="1:1">
      <c r="A11740" s="5"/>
    </row>
    <row r="11741" spans="1:1">
      <c r="A11741" s="5"/>
    </row>
    <row r="11742" spans="1:1">
      <c r="A11742" s="5"/>
    </row>
    <row r="11743" spans="1:1">
      <c r="A11743" s="5"/>
    </row>
    <row r="11744" spans="1:1">
      <c r="A11744" s="5"/>
    </row>
    <row r="11745" spans="1:1">
      <c r="A11745" s="5"/>
    </row>
    <row r="11746" spans="1:1">
      <c r="A11746" s="5"/>
    </row>
    <row r="11747" spans="1:1">
      <c r="A11747" s="5"/>
    </row>
    <row r="11748" spans="1:1">
      <c r="A11748" s="5"/>
    </row>
    <row r="11749" spans="1:1">
      <c r="A11749" s="5"/>
    </row>
    <row r="11750" spans="1:1">
      <c r="A11750" s="5"/>
    </row>
    <row r="11751" spans="1:1">
      <c r="A11751" s="5"/>
    </row>
    <row r="11752" spans="1:1">
      <c r="A11752" s="5"/>
    </row>
    <row r="11753" spans="1:1">
      <c r="A11753" s="5"/>
    </row>
    <row r="11754" spans="1:1">
      <c r="A11754" s="5"/>
    </row>
    <row r="11755" spans="1:1">
      <c r="A11755" s="5"/>
    </row>
    <row r="11756" spans="1:1">
      <c r="A11756" s="5"/>
    </row>
    <row r="11757" spans="1:1">
      <c r="A11757" s="5"/>
    </row>
    <row r="11758" spans="1:1">
      <c r="A11758" s="5"/>
    </row>
    <row r="11759" spans="1:1">
      <c r="A11759" s="5"/>
    </row>
    <row r="11760" spans="1:1">
      <c r="A11760" s="5"/>
    </row>
    <row r="11761" spans="1:1">
      <c r="A11761" s="5"/>
    </row>
    <row r="11762" spans="1:1">
      <c r="A11762" s="5"/>
    </row>
    <row r="11763" spans="1:1">
      <c r="A11763" s="5"/>
    </row>
    <row r="11764" spans="1:1">
      <c r="A11764" s="5"/>
    </row>
    <row r="11765" spans="1:1">
      <c r="A11765" s="5"/>
    </row>
    <row r="11766" spans="1:1">
      <c r="A11766" s="5"/>
    </row>
    <row r="11767" spans="1:1">
      <c r="A11767" s="5"/>
    </row>
    <row r="11768" spans="1:1">
      <c r="A11768" s="5"/>
    </row>
    <row r="11769" spans="1:1">
      <c r="A11769" s="5"/>
    </row>
    <row r="11770" spans="1:1">
      <c r="A11770" s="5"/>
    </row>
    <row r="11771" spans="1:1">
      <c r="A11771" s="5"/>
    </row>
    <row r="11772" spans="1:1">
      <c r="A11772" s="5"/>
    </row>
    <row r="11773" spans="1:1">
      <c r="A11773" s="5"/>
    </row>
    <row r="11774" spans="1:1">
      <c r="A11774" s="5"/>
    </row>
    <row r="11775" spans="1:1">
      <c r="A11775" s="5"/>
    </row>
    <row r="11776" spans="1:1">
      <c r="A11776" s="5"/>
    </row>
    <row r="11777" spans="1:1">
      <c r="A11777" s="5"/>
    </row>
    <row r="11778" spans="1:1">
      <c r="A11778" s="5"/>
    </row>
    <row r="11779" spans="1:1">
      <c r="A11779" s="5"/>
    </row>
    <row r="11780" spans="1:1">
      <c r="A11780" s="5"/>
    </row>
    <row r="11781" spans="1:1">
      <c r="A11781" s="5"/>
    </row>
    <row r="11782" spans="1:1">
      <c r="A11782" s="5"/>
    </row>
    <row r="11783" spans="1:1">
      <c r="A11783" s="5"/>
    </row>
    <row r="11784" spans="1:1">
      <c r="A11784" s="5"/>
    </row>
    <row r="11785" spans="1:1">
      <c r="A11785" s="5"/>
    </row>
    <row r="11786" spans="1:1">
      <c r="A11786" s="5"/>
    </row>
    <row r="11787" spans="1:1">
      <c r="A11787" s="5"/>
    </row>
    <row r="11788" spans="1:1">
      <c r="A11788" s="5"/>
    </row>
    <row r="11789" spans="1:1">
      <c r="A11789" s="5"/>
    </row>
    <row r="11790" spans="1:1">
      <c r="A11790" s="5"/>
    </row>
    <row r="11791" spans="1:1">
      <c r="A11791" s="5"/>
    </row>
    <row r="11792" spans="1:1">
      <c r="A11792" s="5"/>
    </row>
    <row r="11793" spans="1:1">
      <c r="A11793" s="5"/>
    </row>
    <row r="11794" spans="1:1">
      <c r="A11794" s="5"/>
    </row>
    <row r="11795" spans="1:1">
      <c r="A11795" s="5"/>
    </row>
    <row r="11796" spans="1:1">
      <c r="A11796" s="5"/>
    </row>
    <row r="11797" spans="1:1">
      <c r="A11797" s="5"/>
    </row>
    <row r="11798" spans="1:1">
      <c r="A11798" s="5"/>
    </row>
    <row r="11799" spans="1:1">
      <c r="A11799" s="5"/>
    </row>
    <row r="11800" spans="1:1">
      <c r="A11800" s="5"/>
    </row>
    <row r="11801" spans="1:1">
      <c r="A11801" s="5"/>
    </row>
    <row r="11802" spans="1:1">
      <c r="A11802" s="5"/>
    </row>
    <row r="11803" spans="1:1">
      <c r="A11803" s="5"/>
    </row>
    <row r="11804" spans="1:1">
      <c r="A11804" s="5"/>
    </row>
    <row r="11805" spans="1:1">
      <c r="A11805" s="5"/>
    </row>
    <row r="11806" spans="1:1">
      <c r="A11806" s="5"/>
    </row>
    <row r="11807" spans="1:1">
      <c r="A11807" s="5"/>
    </row>
    <row r="11808" spans="1:1">
      <c r="A11808" s="5"/>
    </row>
    <row r="11809" spans="1:1">
      <c r="A11809" s="5"/>
    </row>
    <row r="11810" spans="1:1">
      <c r="A11810" s="5"/>
    </row>
    <row r="11811" spans="1:1">
      <c r="A11811" s="5"/>
    </row>
    <row r="11812" spans="1:1">
      <c r="A11812" s="5"/>
    </row>
    <row r="11813" spans="1:1">
      <c r="A11813" s="5"/>
    </row>
    <row r="11814" spans="1:1">
      <c r="A11814" s="5"/>
    </row>
    <row r="11815" spans="1:1">
      <c r="A11815" s="5"/>
    </row>
    <row r="11816" spans="1:1">
      <c r="A11816" s="5"/>
    </row>
    <row r="11817" spans="1:1">
      <c r="A11817" s="5"/>
    </row>
    <row r="11818" spans="1:1">
      <c r="A11818" s="5"/>
    </row>
    <row r="11819" spans="1:1">
      <c r="A11819" s="5"/>
    </row>
    <row r="11820" spans="1:1">
      <c r="A11820" s="5"/>
    </row>
    <row r="11821" spans="1:1">
      <c r="A11821" s="5"/>
    </row>
    <row r="11822" spans="1:1">
      <c r="A11822" s="5"/>
    </row>
    <row r="11823" spans="1:1">
      <c r="A11823" s="5"/>
    </row>
    <row r="11824" spans="1:1">
      <c r="A11824" s="5"/>
    </row>
    <row r="11825" spans="1:1">
      <c r="A11825" s="5"/>
    </row>
    <row r="11826" spans="1:1">
      <c r="A11826" s="5"/>
    </row>
    <row r="11827" spans="1:1">
      <c r="A11827" s="5"/>
    </row>
    <row r="11828" spans="1:1">
      <c r="A11828" s="5"/>
    </row>
    <row r="11829" spans="1:1">
      <c r="A11829" s="5"/>
    </row>
    <row r="11830" spans="1:1">
      <c r="A11830" s="5"/>
    </row>
    <row r="11831" spans="1:1">
      <c r="A11831" s="5"/>
    </row>
    <row r="11832" spans="1:1">
      <c r="A11832" s="5"/>
    </row>
    <row r="11833" spans="1:1">
      <c r="A11833" s="5"/>
    </row>
    <row r="11834" spans="1:1">
      <c r="A11834" s="5"/>
    </row>
    <row r="11835" spans="1:1">
      <c r="A11835" s="5"/>
    </row>
    <row r="11836" spans="1:1">
      <c r="A11836" s="5"/>
    </row>
    <row r="11837" spans="1:1">
      <c r="A11837" s="5"/>
    </row>
    <row r="11838" spans="1:1">
      <c r="A11838" s="5"/>
    </row>
    <row r="11839" spans="1:1">
      <c r="A11839" s="5"/>
    </row>
    <row r="11840" spans="1:1">
      <c r="A11840" s="5"/>
    </row>
    <row r="11841" spans="1:1">
      <c r="A11841" s="5"/>
    </row>
    <row r="11842" spans="1:1">
      <c r="A11842" s="5"/>
    </row>
    <row r="11843" spans="1:1">
      <c r="A11843" s="5"/>
    </row>
    <row r="11844" spans="1:1">
      <c r="A11844" s="5"/>
    </row>
    <row r="11845" spans="1:1">
      <c r="A11845" s="5"/>
    </row>
    <row r="11846" spans="1:1">
      <c r="A11846" s="5"/>
    </row>
    <row r="11847" spans="1:1">
      <c r="A11847" s="5"/>
    </row>
    <row r="11848" spans="1:1">
      <c r="A11848" s="5"/>
    </row>
    <row r="11849" spans="1:1">
      <c r="A11849" s="5"/>
    </row>
    <row r="11850" spans="1:1">
      <c r="A11850" s="5"/>
    </row>
    <row r="11851" spans="1:1">
      <c r="A11851" s="5"/>
    </row>
    <row r="11852" spans="1:1">
      <c r="A11852" s="5"/>
    </row>
    <row r="11853" spans="1:1">
      <c r="A11853" s="5"/>
    </row>
    <row r="11854" spans="1:1">
      <c r="A11854" s="5"/>
    </row>
    <row r="11855" spans="1:1">
      <c r="A11855" s="5"/>
    </row>
    <row r="11856" spans="1:1">
      <c r="A11856" s="5"/>
    </row>
    <row r="11857" spans="1:1">
      <c r="A11857" s="5"/>
    </row>
    <row r="11858" spans="1:1">
      <c r="A11858" s="5"/>
    </row>
    <row r="11859" spans="1:1">
      <c r="A11859" s="5"/>
    </row>
    <row r="11860" spans="1:1">
      <c r="A11860" s="5"/>
    </row>
    <row r="11861" spans="1:1">
      <c r="A11861" s="5"/>
    </row>
    <row r="11862" spans="1:1">
      <c r="A11862" s="5"/>
    </row>
    <row r="11863" spans="1:1">
      <c r="A11863" s="5"/>
    </row>
    <row r="11864" spans="1:1">
      <c r="A11864" s="5"/>
    </row>
    <row r="11865" spans="1:1">
      <c r="A11865" s="5"/>
    </row>
    <row r="11866" spans="1:1">
      <c r="A11866" s="5"/>
    </row>
    <row r="11867" spans="1:1">
      <c r="A11867" s="5"/>
    </row>
    <row r="11868" spans="1:1">
      <c r="A11868" s="5"/>
    </row>
    <row r="11869" spans="1:1">
      <c r="A11869" s="5"/>
    </row>
    <row r="11870" spans="1:1">
      <c r="A11870" s="5"/>
    </row>
    <row r="11871" spans="1:1">
      <c r="A11871" s="5"/>
    </row>
    <row r="11872" spans="1:1">
      <c r="A11872" s="5"/>
    </row>
    <row r="11873" spans="1:1">
      <c r="A11873" s="5"/>
    </row>
    <row r="11874" spans="1:1">
      <c r="A11874" s="5"/>
    </row>
    <row r="11875" spans="1:1">
      <c r="A11875" s="5"/>
    </row>
    <row r="11876" spans="1:1">
      <c r="A11876" s="5"/>
    </row>
    <row r="11877" spans="1:1">
      <c r="A11877" s="5"/>
    </row>
    <row r="11878" spans="1:1">
      <c r="A11878" s="5"/>
    </row>
    <row r="11879" spans="1:1">
      <c r="A11879" s="5"/>
    </row>
    <row r="11880" spans="1:1">
      <c r="A11880" s="5"/>
    </row>
    <row r="11881" spans="1:1">
      <c r="A11881" s="5"/>
    </row>
    <row r="11882" spans="1:1">
      <c r="A11882" s="5"/>
    </row>
    <row r="11883" spans="1:1">
      <c r="A11883" s="5"/>
    </row>
    <row r="11884" spans="1:1">
      <c r="A11884" s="5"/>
    </row>
    <row r="11885" spans="1:1">
      <c r="A11885" s="5"/>
    </row>
    <row r="11886" spans="1:1">
      <c r="A11886" s="5"/>
    </row>
    <row r="11887" spans="1:1">
      <c r="A11887" s="5"/>
    </row>
    <row r="11888" spans="1:1">
      <c r="A11888" s="5"/>
    </row>
    <row r="11889" spans="1:1">
      <c r="A11889" s="5"/>
    </row>
    <row r="11890" spans="1:1">
      <c r="A11890" s="5"/>
    </row>
    <row r="11891" spans="1:1">
      <c r="A11891" s="5"/>
    </row>
    <row r="11892" spans="1:1">
      <c r="A11892" s="5"/>
    </row>
    <row r="11893" spans="1:1">
      <c r="A11893" s="5"/>
    </row>
    <row r="11894" spans="1:1">
      <c r="A11894" s="5"/>
    </row>
    <row r="11895" spans="1:1">
      <c r="A11895" s="5"/>
    </row>
    <row r="11896" spans="1:1">
      <c r="A11896" s="5"/>
    </row>
    <row r="11897" spans="1:1">
      <c r="A11897" s="5"/>
    </row>
    <row r="11898" spans="1:1">
      <c r="A11898" s="5"/>
    </row>
    <row r="11899" spans="1:1">
      <c r="A11899" s="5"/>
    </row>
    <row r="11900" spans="1:1">
      <c r="A11900" s="5"/>
    </row>
    <row r="11901" spans="1:1">
      <c r="A11901" s="5"/>
    </row>
    <row r="11902" spans="1:1">
      <c r="A11902" s="5"/>
    </row>
    <row r="11903" spans="1:1">
      <c r="A11903" s="5"/>
    </row>
    <row r="11904" spans="1:1">
      <c r="A11904" s="5"/>
    </row>
    <row r="11905" spans="1:1">
      <c r="A11905" s="5"/>
    </row>
    <row r="11906" spans="1:1">
      <c r="A11906" s="5"/>
    </row>
    <row r="11907" spans="1:1">
      <c r="A11907" s="5"/>
    </row>
    <row r="11908" spans="1:1">
      <c r="A11908" s="5"/>
    </row>
    <row r="11909" spans="1:1">
      <c r="A11909" s="5"/>
    </row>
    <row r="11910" spans="1:1">
      <c r="A11910" s="5"/>
    </row>
    <row r="11911" spans="1:1">
      <c r="A11911" s="5"/>
    </row>
    <row r="11912" spans="1:1">
      <c r="A11912" s="5"/>
    </row>
    <row r="11913" spans="1:1">
      <c r="A11913" s="5"/>
    </row>
    <row r="11914" spans="1:1">
      <c r="A11914" s="5"/>
    </row>
    <row r="11915" spans="1:1">
      <c r="A11915" s="5"/>
    </row>
    <row r="11916" spans="1:1">
      <c r="A11916" s="5"/>
    </row>
    <row r="11917" spans="1:1">
      <c r="A11917" s="5"/>
    </row>
    <row r="11918" spans="1:1">
      <c r="A11918" s="5"/>
    </row>
    <row r="11919" spans="1:1">
      <c r="A11919" s="5"/>
    </row>
    <row r="11920" spans="1:1">
      <c r="A11920" s="5"/>
    </row>
    <row r="11921" spans="1:1">
      <c r="A11921" s="5"/>
    </row>
    <row r="11922" spans="1:1">
      <c r="A11922" s="5"/>
    </row>
    <row r="11923" spans="1:1">
      <c r="A11923" s="5"/>
    </row>
    <row r="11924" spans="1:1">
      <c r="A11924" s="5"/>
    </row>
    <row r="11925" spans="1:1">
      <c r="A11925" s="5"/>
    </row>
    <row r="11926" spans="1:1">
      <c r="A11926" s="5"/>
    </row>
    <row r="11927" spans="1:1">
      <c r="A11927" s="5"/>
    </row>
    <row r="11928" spans="1:1">
      <c r="A11928" s="5"/>
    </row>
    <row r="11929" spans="1:1">
      <c r="A11929" s="5"/>
    </row>
    <row r="11930" spans="1:1">
      <c r="A11930" s="5"/>
    </row>
    <row r="11931" spans="1:1">
      <c r="A11931" s="5"/>
    </row>
    <row r="11932" spans="1:1">
      <c r="A11932" s="5"/>
    </row>
    <row r="11933" spans="1:1">
      <c r="A11933" s="5"/>
    </row>
    <row r="11934" spans="1:1">
      <c r="A11934" s="5"/>
    </row>
    <row r="11935" spans="1:1">
      <c r="A11935" s="5"/>
    </row>
    <row r="11936" spans="1:1">
      <c r="A11936" s="5"/>
    </row>
    <row r="11937" spans="1:1">
      <c r="A11937" s="5"/>
    </row>
    <row r="11938" spans="1:1">
      <c r="A11938" s="5"/>
    </row>
    <row r="11939" spans="1:1">
      <c r="A11939" s="5"/>
    </row>
    <row r="11940" spans="1:1">
      <c r="A11940" s="5"/>
    </row>
    <row r="11941" spans="1:1">
      <c r="A11941" s="5"/>
    </row>
    <row r="11942" spans="1:1">
      <c r="A11942" s="5"/>
    </row>
    <row r="11943" spans="1:1">
      <c r="A11943" s="5"/>
    </row>
    <row r="11944" spans="1:1">
      <c r="A11944" s="5"/>
    </row>
    <row r="11945" spans="1:1">
      <c r="A11945" s="5"/>
    </row>
    <row r="11946" spans="1:1">
      <c r="A11946" s="5"/>
    </row>
    <row r="11947" spans="1:1">
      <c r="A11947" s="5"/>
    </row>
    <row r="11948" spans="1:1">
      <c r="A11948" s="5"/>
    </row>
    <row r="11949" spans="1:1">
      <c r="A11949" s="5"/>
    </row>
    <row r="11950" spans="1:1">
      <c r="A11950" s="5"/>
    </row>
    <row r="11951" spans="1:1">
      <c r="A11951" s="5"/>
    </row>
    <row r="11952" spans="1:1">
      <c r="A11952" s="5"/>
    </row>
    <row r="11953" spans="1:1">
      <c r="A11953" s="5"/>
    </row>
    <row r="11954" spans="1:1">
      <c r="A11954" s="5"/>
    </row>
    <row r="11955" spans="1:1">
      <c r="A11955" s="5"/>
    </row>
    <row r="11956" spans="1:1">
      <c r="A11956" s="5"/>
    </row>
    <row r="11957" spans="1:1">
      <c r="A11957" s="5"/>
    </row>
    <row r="11958" spans="1:1">
      <c r="A11958" s="5"/>
    </row>
    <row r="11959" spans="1:1">
      <c r="A11959" s="5"/>
    </row>
    <row r="11960" spans="1:1">
      <c r="A11960" s="5"/>
    </row>
    <row r="11961" spans="1:1">
      <c r="A11961" s="5"/>
    </row>
    <row r="11962" spans="1:1">
      <c r="A11962" s="5"/>
    </row>
    <row r="11963" spans="1:1">
      <c r="A11963" s="5"/>
    </row>
    <row r="11964" spans="1:1">
      <c r="A11964" s="5"/>
    </row>
    <row r="11965" spans="1:1">
      <c r="A11965" s="5"/>
    </row>
    <row r="11966" spans="1:1">
      <c r="A11966" s="5"/>
    </row>
    <row r="11967" spans="1:1">
      <c r="A11967" s="5"/>
    </row>
    <row r="11968" spans="1:1">
      <c r="A11968" s="5"/>
    </row>
    <row r="11969" spans="1:1">
      <c r="A11969" s="5"/>
    </row>
    <row r="11970" spans="1:1">
      <c r="A11970" s="5"/>
    </row>
    <row r="11971" spans="1:1">
      <c r="A11971" s="5"/>
    </row>
    <row r="11972" spans="1:1">
      <c r="A11972" s="5"/>
    </row>
    <row r="11973" spans="1:1">
      <c r="A11973" s="5"/>
    </row>
    <row r="11974" spans="1:1">
      <c r="A11974" s="5"/>
    </row>
    <row r="11975" spans="1:1">
      <c r="A11975" s="5"/>
    </row>
    <row r="11976" spans="1:1">
      <c r="A11976" s="5"/>
    </row>
    <row r="11977" spans="1:1">
      <c r="A11977" s="5"/>
    </row>
    <row r="11978" spans="1:1">
      <c r="A11978" s="5"/>
    </row>
    <row r="11979" spans="1:1">
      <c r="A11979" s="5"/>
    </row>
    <row r="11980" spans="1:1">
      <c r="A11980" s="5"/>
    </row>
    <row r="11981" spans="1:1">
      <c r="A11981" s="5"/>
    </row>
    <row r="11982" spans="1:1">
      <c r="A11982" s="5"/>
    </row>
    <row r="11983" spans="1:1">
      <c r="A11983" s="5"/>
    </row>
    <row r="11984" spans="1:1">
      <c r="A11984" s="5"/>
    </row>
    <row r="11985" spans="1:1">
      <c r="A11985" s="5"/>
    </row>
    <row r="11986" spans="1:1">
      <c r="A11986" s="5"/>
    </row>
    <row r="11987" spans="1:1">
      <c r="A11987" s="5"/>
    </row>
    <row r="11988" spans="1:1">
      <c r="A11988" s="5"/>
    </row>
    <row r="11989" spans="1:1">
      <c r="A11989" s="5"/>
    </row>
    <row r="11990" spans="1:1">
      <c r="A11990" s="5"/>
    </row>
    <row r="11991" spans="1:1">
      <c r="A11991" s="5"/>
    </row>
    <row r="11992" spans="1:1">
      <c r="A11992" s="5"/>
    </row>
    <row r="11993" spans="1:1">
      <c r="A11993" s="5"/>
    </row>
    <row r="11994" spans="1:1">
      <c r="A11994" s="5"/>
    </row>
    <row r="11995" spans="1:1">
      <c r="A11995" s="5"/>
    </row>
    <row r="11996" spans="1:1">
      <c r="A11996" s="5"/>
    </row>
    <row r="11997" spans="1:1">
      <c r="A11997" s="5"/>
    </row>
    <row r="11998" spans="1:1">
      <c r="A11998" s="5"/>
    </row>
    <row r="11999" spans="1:1">
      <c r="A11999" s="5"/>
    </row>
    <row r="12000" spans="1:1">
      <c r="A12000" s="5"/>
    </row>
    <row r="12001" spans="1:1">
      <c r="A12001" s="5"/>
    </row>
    <row r="12002" spans="1:1">
      <c r="A12002" s="5"/>
    </row>
    <row r="12003" spans="1:1">
      <c r="A12003" s="5"/>
    </row>
    <row r="12004" spans="1:1">
      <c r="A12004" s="5"/>
    </row>
    <row r="12005" spans="1:1">
      <c r="A12005" s="5"/>
    </row>
    <row r="12006" spans="1:1">
      <c r="A12006" s="5"/>
    </row>
    <row r="12007" spans="1:1">
      <c r="A12007" s="5"/>
    </row>
    <row r="12008" spans="1:1">
      <c r="A12008" s="5"/>
    </row>
    <row r="12009" spans="1:1">
      <c r="A12009" s="5"/>
    </row>
    <row r="12010" spans="1:1">
      <c r="A12010" s="5"/>
    </row>
    <row r="12011" spans="1:1">
      <c r="A12011" s="5"/>
    </row>
    <row r="12012" spans="1:1">
      <c r="A12012" s="5"/>
    </row>
    <row r="12013" spans="1:1">
      <c r="A12013" s="5"/>
    </row>
    <row r="12014" spans="1:1">
      <c r="A12014" s="5"/>
    </row>
    <row r="12015" spans="1:1">
      <c r="A12015" s="5"/>
    </row>
    <row r="12016" spans="1:1">
      <c r="A12016" s="5"/>
    </row>
    <row r="12017" spans="1:1">
      <c r="A12017" s="5"/>
    </row>
    <row r="12018" spans="1:1">
      <c r="A12018" s="5"/>
    </row>
    <row r="12019" spans="1:1">
      <c r="A12019" s="5"/>
    </row>
    <row r="12020" spans="1:1">
      <c r="A12020" s="5"/>
    </row>
    <row r="12021" spans="1:1">
      <c r="A12021" s="5"/>
    </row>
    <row r="12022" spans="1:1">
      <c r="A12022" s="5"/>
    </row>
    <row r="12023" spans="1:1">
      <c r="A12023" s="5"/>
    </row>
    <row r="12024" spans="1:1">
      <c r="A12024" s="5"/>
    </row>
    <row r="12025" spans="1:1">
      <c r="A12025" s="5"/>
    </row>
    <row r="12026" spans="1:1">
      <c r="A12026" s="5"/>
    </row>
    <row r="12027" spans="1:1">
      <c r="A12027" s="5"/>
    </row>
    <row r="12028" spans="1:1">
      <c r="A12028" s="5"/>
    </row>
    <row r="12029" spans="1:1">
      <c r="A12029" s="5"/>
    </row>
    <row r="12030" spans="1:1">
      <c r="A12030" s="5"/>
    </row>
    <row r="12031" spans="1:1">
      <c r="A12031" s="5"/>
    </row>
    <row r="12032" spans="1:1">
      <c r="A12032" s="5"/>
    </row>
    <row r="12033" spans="1:1">
      <c r="A12033" s="5"/>
    </row>
    <row r="12034" spans="1:1">
      <c r="A12034" s="5"/>
    </row>
    <row r="12035" spans="1:1">
      <c r="A12035" s="5"/>
    </row>
    <row r="12036" spans="1:1">
      <c r="A12036" s="5"/>
    </row>
    <row r="12037" spans="1:1">
      <c r="A12037" s="5"/>
    </row>
    <row r="12038" spans="1:1">
      <c r="A12038" s="5"/>
    </row>
    <row r="12039" spans="1:1">
      <c r="A12039" s="5"/>
    </row>
    <row r="12040" spans="1:1">
      <c r="A12040" s="5"/>
    </row>
    <row r="12041" spans="1:1">
      <c r="A12041" s="5"/>
    </row>
    <row r="12042" spans="1:1">
      <c r="A12042" s="5"/>
    </row>
    <row r="12043" spans="1:1">
      <c r="A12043" s="5"/>
    </row>
    <row r="12044" spans="1:1">
      <c r="A12044" s="5"/>
    </row>
    <row r="12045" spans="1:1">
      <c r="A12045" s="5"/>
    </row>
    <row r="12046" spans="1:1">
      <c r="A12046" s="5"/>
    </row>
    <row r="12047" spans="1:1">
      <c r="A12047" s="5"/>
    </row>
    <row r="12048" spans="1:1">
      <c r="A12048" s="5"/>
    </row>
    <row r="12049" spans="1:1">
      <c r="A12049" s="5"/>
    </row>
    <row r="12050" spans="1:1">
      <c r="A12050" s="5"/>
    </row>
    <row r="12051" spans="1:1">
      <c r="A12051" s="5"/>
    </row>
    <row r="12052" spans="1:1">
      <c r="A12052" s="5"/>
    </row>
    <row r="12053" spans="1:1">
      <c r="A12053" s="5"/>
    </row>
    <row r="12054" spans="1:1">
      <c r="A12054" s="5"/>
    </row>
    <row r="12055" spans="1:1">
      <c r="A12055" s="5"/>
    </row>
    <row r="12056" spans="1:1">
      <c r="A12056" s="5"/>
    </row>
    <row r="12057" spans="1:1">
      <c r="A12057" s="5"/>
    </row>
    <row r="12058" spans="1:1">
      <c r="A12058" s="5"/>
    </row>
    <row r="12059" spans="1:1">
      <c r="A12059" s="5"/>
    </row>
    <row r="12060" spans="1:1">
      <c r="A12060" s="5"/>
    </row>
    <row r="12061" spans="1:1">
      <c r="A12061" s="5"/>
    </row>
    <row r="12062" spans="1:1">
      <c r="A12062" s="5"/>
    </row>
    <row r="12063" spans="1:1">
      <c r="A12063" s="5"/>
    </row>
    <row r="12064" spans="1:1">
      <c r="A12064" s="5"/>
    </row>
    <row r="12065" spans="1:1">
      <c r="A12065" s="5"/>
    </row>
    <row r="12066" spans="1:1">
      <c r="A12066" s="5"/>
    </row>
    <row r="12067" spans="1:1">
      <c r="A12067" s="5"/>
    </row>
    <row r="12068" spans="1:1">
      <c r="A12068" s="5"/>
    </row>
    <row r="12069" spans="1:1">
      <c r="A12069" s="5"/>
    </row>
    <row r="12070" spans="1:1">
      <c r="A12070" s="5"/>
    </row>
    <row r="12071" spans="1:1">
      <c r="A12071" s="5"/>
    </row>
    <row r="12072" spans="1:1">
      <c r="A12072" s="5"/>
    </row>
    <row r="12073" spans="1:1">
      <c r="A12073" s="5"/>
    </row>
    <row r="12074" spans="1:1">
      <c r="A12074" s="5"/>
    </row>
    <row r="12075" spans="1:1">
      <c r="A12075" s="5"/>
    </row>
    <row r="12076" spans="1:1">
      <c r="A12076" s="5"/>
    </row>
    <row r="12077" spans="1:1">
      <c r="A12077" s="5"/>
    </row>
    <row r="12078" spans="1:1">
      <c r="A12078" s="5"/>
    </row>
    <row r="12079" spans="1:1">
      <c r="A12079" s="5"/>
    </row>
    <row r="12080" spans="1:1">
      <c r="A12080" s="5"/>
    </row>
    <row r="12081" spans="1:1">
      <c r="A12081" s="5"/>
    </row>
    <row r="12082" spans="1:1">
      <c r="A12082" s="5"/>
    </row>
    <row r="12083" spans="1:1">
      <c r="A12083" s="5"/>
    </row>
    <row r="12084" spans="1:1">
      <c r="A12084" s="5"/>
    </row>
    <row r="12085" spans="1:1">
      <c r="A12085" s="5"/>
    </row>
    <row r="12086" spans="1:1">
      <c r="A12086" s="5"/>
    </row>
    <row r="12087" spans="1:1">
      <c r="A12087" s="5"/>
    </row>
    <row r="12088" spans="1:1">
      <c r="A12088" s="5"/>
    </row>
    <row r="12089" spans="1:1">
      <c r="A12089" s="5"/>
    </row>
    <row r="12090" spans="1:1">
      <c r="A12090" s="5"/>
    </row>
    <row r="12091" spans="1:1">
      <c r="A12091" s="5"/>
    </row>
    <row r="12092" spans="1:1">
      <c r="A12092" s="5"/>
    </row>
    <row r="12093" spans="1:1">
      <c r="A12093" s="5"/>
    </row>
    <row r="12094" spans="1:1">
      <c r="A12094" s="5"/>
    </row>
    <row r="12095" spans="1:1">
      <c r="A12095" s="5"/>
    </row>
    <row r="12096" spans="1:1">
      <c r="A12096" s="5"/>
    </row>
    <row r="12097" spans="1:1">
      <c r="A12097" s="5"/>
    </row>
    <row r="12098" spans="1:1">
      <c r="A12098" s="5"/>
    </row>
    <row r="12099" spans="1:1">
      <c r="A12099" s="5"/>
    </row>
    <row r="12100" spans="1:1">
      <c r="A12100" s="5"/>
    </row>
    <row r="12101" spans="1:1">
      <c r="A12101" s="5"/>
    </row>
    <row r="12102" spans="1:1">
      <c r="A12102" s="5"/>
    </row>
    <row r="12103" spans="1:1">
      <c r="A12103" s="5"/>
    </row>
    <row r="12104" spans="1:1">
      <c r="A12104" s="5"/>
    </row>
    <row r="12105" spans="1:1">
      <c r="A12105" s="5"/>
    </row>
    <row r="12106" spans="1:1">
      <c r="A12106" s="5"/>
    </row>
    <row r="12107" spans="1:1">
      <c r="A12107" s="5"/>
    </row>
    <row r="12108" spans="1:1">
      <c r="A12108" s="5"/>
    </row>
    <row r="12109" spans="1:1">
      <c r="A12109" s="5"/>
    </row>
    <row r="12110" spans="1:1">
      <c r="A12110" s="5"/>
    </row>
    <row r="12111" spans="1:1">
      <c r="A12111" s="5"/>
    </row>
    <row r="12112" spans="1:1">
      <c r="A12112" s="5"/>
    </row>
    <row r="12113" spans="1:1">
      <c r="A12113" s="5"/>
    </row>
    <row r="12114" spans="1:1">
      <c r="A12114" s="5"/>
    </row>
    <row r="12115" spans="1:1">
      <c r="A12115" s="5"/>
    </row>
    <row r="12116" spans="1:1">
      <c r="A12116" s="5"/>
    </row>
    <row r="12117" spans="1:1">
      <c r="A12117" s="5"/>
    </row>
    <row r="12118" spans="1:1">
      <c r="A12118" s="5"/>
    </row>
    <row r="12119" spans="1:1">
      <c r="A12119" s="5"/>
    </row>
    <row r="12120" spans="1:1">
      <c r="A12120" s="5"/>
    </row>
    <row r="12121" spans="1:1">
      <c r="A12121" s="5"/>
    </row>
    <row r="12122" spans="1:1">
      <c r="A12122" s="5"/>
    </row>
    <row r="12123" spans="1:1">
      <c r="A12123" s="5"/>
    </row>
    <row r="12124" spans="1:1">
      <c r="A12124" s="5"/>
    </row>
    <row r="12125" spans="1:1">
      <c r="A12125" s="5"/>
    </row>
    <row r="12126" spans="1:1">
      <c r="A12126" s="5"/>
    </row>
    <row r="12127" spans="1:1">
      <c r="A12127" s="5"/>
    </row>
    <row r="12128" spans="1:1">
      <c r="A12128" s="5"/>
    </row>
    <row r="12129" spans="1:1">
      <c r="A12129" s="5"/>
    </row>
    <row r="12130" spans="1:1">
      <c r="A12130" s="5"/>
    </row>
    <row r="12131" spans="1:1">
      <c r="A12131" s="5"/>
    </row>
    <row r="12132" spans="1:1">
      <c r="A12132" s="5"/>
    </row>
    <row r="12133" spans="1:1">
      <c r="A12133" s="5"/>
    </row>
    <row r="12134" spans="1:1">
      <c r="A12134" s="5"/>
    </row>
    <row r="12135" spans="1:1">
      <c r="A12135" s="5"/>
    </row>
    <row r="12136" spans="1:1">
      <c r="A12136" s="5"/>
    </row>
    <row r="12137" spans="1:1">
      <c r="A12137" s="5"/>
    </row>
    <row r="12138" spans="1:1">
      <c r="A12138" s="5"/>
    </row>
    <row r="12139" spans="1:1">
      <c r="A12139" s="5"/>
    </row>
    <row r="12140" spans="1:1">
      <c r="A12140" s="5"/>
    </row>
    <row r="12141" spans="1:1">
      <c r="A12141" s="5"/>
    </row>
    <row r="12142" spans="1:1">
      <c r="A12142" s="5"/>
    </row>
    <row r="12143" spans="1:1">
      <c r="A12143" s="5"/>
    </row>
    <row r="12144" spans="1:1">
      <c r="A12144" s="5"/>
    </row>
    <row r="12145" spans="1:1">
      <c r="A12145" s="5"/>
    </row>
    <row r="12146" spans="1:1">
      <c r="A12146" s="5"/>
    </row>
    <row r="12147" spans="1:1">
      <c r="A12147" s="5"/>
    </row>
    <row r="12148" spans="1:1">
      <c r="A12148" s="5"/>
    </row>
    <row r="12149" spans="1:1">
      <c r="A12149" s="5"/>
    </row>
    <row r="12150" spans="1:1">
      <c r="A12150" s="5"/>
    </row>
    <row r="12151" spans="1:1">
      <c r="A12151" s="5"/>
    </row>
    <row r="12152" spans="1:1">
      <c r="A12152" s="5"/>
    </row>
    <row r="12153" spans="1:1">
      <c r="A12153" s="5"/>
    </row>
    <row r="12154" spans="1:1">
      <c r="A12154" s="5"/>
    </row>
    <row r="12155" spans="1:1">
      <c r="A12155" s="5"/>
    </row>
    <row r="12156" spans="1:1">
      <c r="A12156" s="5"/>
    </row>
    <row r="12157" spans="1:1">
      <c r="A12157" s="5"/>
    </row>
    <row r="12158" spans="1:1">
      <c r="A12158" s="5"/>
    </row>
    <row r="12159" spans="1:1">
      <c r="A12159" s="5"/>
    </row>
    <row r="12160" spans="1:1">
      <c r="A12160" s="5"/>
    </row>
    <row r="12161" spans="1:1">
      <c r="A12161" s="5"/>
    </row>
    <row r="12162" spans="1:1">
      <c r="A12162" s="5"/>
    </row>
    <row r="12163" spans="1:1">
      <c r="A12163" s="5"/>
    </row>
    <row r="12164" spans="1:1">
      <c r="A12164" s="5"/>
    </row>
    <row r="12165" spans="1:1">
      <c r="A12165" s="5"/>
    </row>
    <row r="12166" spans="1:1">
      <c r="A12166" s="5"/>
    </row>
    <row r="12167" spans="1:1">
      <c r="A12167" s="5"/>
    </row>
    <row r="12168" spans="1:1">
      <c r="A12168" s="5"/>
    </row>
    <row r="12169" spans="1:1">
      <c r="A12169" s="5"/>
    </row>
    <row r="12170" spans="1:1">
      <c r="A12170" s="5"/>
    </row>
    <row r="12171" spans="1:1">
      <c r="A12171" s="5"/>
    </row>
    <row r="12172" spans="1:1">
      <c r="A12172" s="5"/>
    </row>
    <row r="12173" spans="1:1">
      <c r="A12173" s="5"/>
    </row>
    <row r="12174" spans="1:1">
      <c r="A12174" s="5"/>
    </row>
    <row r="12175" spans="1:1">
      <c r="A12175" s="5"/>
    </row>
    <row r="12176" spans="1:1">
      <c r="A12176" s="5"/>
    </row>
    <row r="12177" spans="1:1">
      <c r="A12177" s="5"/>
    </row>
    <row r="12178" spans="1:1">
      <c r="A12178" s="5"/>
    </row>
    <row r="12179" spans="1:1">
      <c r="A12179" s="5"/>
    </row>
    <row r="12180" spans="1:1">
      <c r="A12180" s="5"/>
    </row>
    <row r="12181" spans="1:1">
      <c r="A12181" s="5"/>
    </row>
    <row r="12182" spans="1:1">
      <c r="A12182" s="5"/>
    </row>
    <row r="12183" spans="1:1">
      <c r="A12183" s="5"/>
    </row>
    <row r="12184" spans="1:1">
      <c r="A12184" s="5"/>
    </row>
    <row r="12185" spans="1:1">
      <c r="A12185" s="5"/>
    </row>
    <row r="12186" spans="1:1">
      <c r="A12186" s="5"/>
    </row>
    <row r="12187" spans="1:1">
      <c r="A12187" s="5"/>
    </row>
    <row r="12188" spans="1:1">
      <c r="A12188" s="5"/>
    </row>
    <row r="12189" spans="1:1">
      <c r="A12189" s="5"/>
    </row>
    <row r="12190" spans="1:1">
      <c r="A12190" s="5"/>
    </row>
    <row r="12191" spans="1:1">
      <c r="A12191" s="5"/>
    </row>
    <row r="12192" spans="1:1">
      <c r="A12192" s="5"/>
    </row>
    <row r="12193" spans="1:1">
      <c r="A12193" s="5"/>
    </row>
    <row r="12194" spans="1:1">
      <c r="A12194" s="5"/>
    </row>
    <row r="12195" spans="1:1">
      <c r="A12195" s="5"/>
    </row>
    <row r="12196" spans="1:1">
      <c r="A12196" s="5"/>
    </row>
    <row r="12197" spans="1:1">
      <c r="A12197" s="5"/>
    </row>
    <row r="12198" spans="1:1">
      <c r="A12198" s="5"/>
    </row>
    <row r="12199" spans="1:1">
      <c r="A12199" s="5"/>
    </row>
    <row r="12200" spans="1:1">
      <c r="A12200" s="5"/>
    </row>
    <row r="12201" spans="1:1">
      <c r="A12201" s="5"/>
    </row>
    <row r="12202" spans="1:1">
      <c r="A12202" s="5"/>
    </row>
    <row r="12203" spans="1:1">
      <c r="A12203" s="5"/>
    </row>
    <row r="12204" spans="1:1">
      <c r="A12204" s="5"/>
    </row>
    <row r="12205" spans="1:1">
      <c r="A12205" s="5"/>
    </row>
    <row r="12206" spans="1:1">
      <c r="A12206" s="5"/>
    </row>
    <row r="12207" spans="1:1">
      <c r="A12207" s="5"/>
    </row>
    <row r="12208" spans="1:1">
      <c r="A12208" s="5"/>
    </row>
    <row r="12209" spans="1:1">
      <c r="A12209" s="5"/>
    </row>
    <row r="12210" spans="1:1">
      <c r="A12210" s="5"/>
    </row>
    <row r="12211" spans="1:1">
      <c r="A12211" s="5"/>
    </row>
    <row r="12212" spans="1:1">
      <c r="A12212" s="5"/>
    </row>
    <row r="12213" spans="1:1">
      <c r="A12213" s="5"/>
    </row>
    <row r="12214" spans="1:1">
      <c r="A12214" s="5"/>
    </row>
    <row r="12215" spans="1:1">
      <c r="A12215" s="5"/>
    </row>
    <row r="12216" spans="1:1">
      <c r="A12216" s="5"/>
    </row>
    <row r="12217" spans="1:1">
      <c r="A12217" s="5"/>
    </row>
    <row r="12218" spans="1:1">
      <c r="A12218" s="5"/>
    </row>
    <row r="12219" spans="1:1">
      <c r="A12219" s="5"/>
    </row>
    <row r="12220" spans="1:1">
      <c r="A12220" s="5"/>
    </row>
    <row r="12221" spans="1:1">
      <c r="A12221" s="5"/>
    </row>
    <row r="12222" spans="1:1">
      <c r="A12222" s="5"/>
    </row>
    <row r="12223" spans="1:1">
      <c r="A12223" s="5"/>
    </row>
    <row r="12224" spans="1:1">
      <c r="A12224" s="5"/>
    </row>
    <row r="12225" spans="1:1">
      <c r="A12225" s="5"/>
    </row>
    <row r="12226" spans="1:1">
      <c r="A12226" s="5"/>
    </row>
    <row r="12227" spans="1:1">
      <c r="A12227" s="5"/>
    </row>
    <row r="12228" spans="1:1">
      <c r="A12228" s="5"/>
    </row>
    <row r="12229" spans="1:1">
      <c r="A12229" s="5"/>
    </row>
    <row r="12230" spans="1:1">
      <c r="A12230" s="5"/>
    </row>
    <row r="12231" spans="1:1">
      <c r="A12231" s="5"/>
    </row>
    <row r="12232" spans="1:1">
      <c r="A12232" s="5"/>
    </row>
    <row r="12233" spans="1:1">
      <c r="A12233" s="5"/>
    </row>
    <row r="12234" spans="1:1">
      <c r="A12234" s="5"/>
    </row>
    <row r="12235" spans="1:1">
      <c r="A12235" s="5"/>
    </row>
    <row r="12236" spans="1:1">
      <c r="A12236" s="5"/>
    </row>
    <row r="12237" spans="1:1">
      <c r="A12237" s="5"/>
    </row>
    <row r="12238" spans="1:1">
      <c r="A12238" s="5"/>
    </row>
    <row r="12239" spans="1:1">
      <c r="A12239" s="5"/>
    </row>
    <row r="12240" spans="1:1">
      <c r="A12240" s="5"/>
    </row>
    <row r="12241" spans="1:1">
      <c r="A12241" s="5"/>
    </row>
    <row r="12242" spans="1:1">
      <c r="A12242" s="5"/>
    </row>
    <row r="12243" spans="1:1">
      <c r="A12243" s="5"/>
    </row>
    <row r="12244" spans="1:1">
      <c r="A12244" s="5"/>
    </row>
    <row r="12245" spans="1:1">
      <c r="A12245" s="5"/>
    </row>
    <row r="12246" spans="1:1">
      <c r="A12246" s="5"/>
    </row>
    <row r="12247" spans="1:1">
      <c r="A12247" s="5"/>
    </row>
    <row r="12248" spans="1:1">
      <c r="A12248" s="5"/>
    </row>
    <row r="12249" spans="1:1">
      <c r="A12249" s="5"/>
    </row>
    <row r="12250" spans="1:1">
      <c r="A12250" s="5"/>
    </row>
    <row r="12251" spans="1:1">
      <c r="A12251" s="5"/>
    </row>
    <row r="12252" spans="1:1">
      <c r="A12252" s="5"/>
    </row>
    <row r="12253" spans="1:1">
      <c r="A12253" s="5"/>
    </row>
    <row r="12254" spans="1:1">
      <c r="A12254" s="5"/>
    </row>
    <row r="12255" spans="1:1">
      <c r="A12255" s="5"/>
    </row>
    <row r="12256" spans="1:1">
      <c r="A12256" s="5"/>
    </row>
    <row r="12257" spans="1:1">
      <c r="A12257" s="5"/>
    </row>
    <row r="12258" spans="1:1">
      <c r="A12258" s="5"/>
    </row>
    <row r="12259" spans="1:1">
      <c r="A12259" s="5"/>
    </row>
    <row r="12260" spans="1:1">
      <c r="A12260" s="5"/>
    </row>
    <row r="12261" spans="1:1">
      <c r="A12261" s="5"/>
    </row>
    <row r="12262" spans="1:1">
      <c r="A12262" s="5"/>
    </row>
    <row r="12263" spans="1:1">
      <c r="A12263" s="5"/>
    </row>
    <row r="12264" spans="1:1">
      <c r="A12264" s="5"/>
    </row>
    <row r="12265" spans="1:1">
      <c r="A12265" s="5"/>
    </row>
    <row r="12266" spans="1:1">
      <c r="A12266" s="5"/>
    </row>
    <row r="12267" spans="1:1">
      <c r="A12267" s="5"/>
    </row>
    <row r="12268" spans="1:1">
      <c r="A12268" s="5"/>
    </row>
    <row r="12269" spans="1:1">
      <c r="A12269" s="5"/>
    </row>
    <row r="12270" spans="1:1">
      <c r="A12270" s="5"/>
    </row>
    <row r="12271" spans="1:1">
      <c r="A12271" s="5"/>
    </row>
    <row r="12272" spans="1:1">
      <c r="A12272" s="5"/>
    </row>
    <row r="12273" spans="1:1">
      <c r="A12273" s="5"/>
    </row>
    <row r="12274" spans="1:1">
      <c r="A12274" s="5"/>
    </row>
    <row r="12275" spans="1:1">
      <c r="A12275" s="5"/>
    </row>
    <row r="12276" spans="1:1">
      <c r="A12276" s="5"/>
    </row>
    <row r="12277" spans="1:1">
      <c r="A12277" s="5"/>
    </row>
    <row r="12278" spans="1:1">
      <c r="A12278" s="5"/>
    </row>
    <row r="12279" spans="1:1">
      <c r="A12279" s="5"/>
    </row>
    <row r="12280" spans="1:1">
      <c r="A12280" s="5"/>
    </row>
    <row r="12281" spans="1:1">
      <c r="A12281" s="5"/>
    </row>
    <row r="12282" spans="1:1">
      <c r="A12282" s="5"/>
    </row>
    <row r="12283" spans="1:1">
      <c r="A12283" s="5"/>
    </row>
    <row r="12284" spans="1:1">
      <c r="A12284" s="5"/>
    </row>
    <row r="12285" spans="1:1">
      <c r="A12285" s="5"/>
    </row>
    <row r="12286" spans="1:1">
      <c r="A12286" s="5"/>
    </row>
    <row r="12287" spans="1:1">
      <c r="A12287" s="5"/>
    </row>
    <row r="12288" spans="1:1">
      <c r="A12288" s="5"/>
    </row>
    <row r="12289" spans="1:1">
      <c r="A12289" s="5"/>
    </row>
    <row r="12290" spans="1:1">
      <c r="A12290" s="5"/>
    </row>
    <row r="12291" spans="1:1">
      <c r="A12291" s="5"/>
    </row>
    <row r="12292" spans="1:1">
      <c r="A12292" s="5"/>
    </row>
    <row r="12293" spans="1:1">
      <c r="A12293" s="5"/>
    </row>
    <row r="12294" spans="1:1">
      <c r="A12294" s="5"/>
    </row>
    <row r="12295" spans="1:1">
      <c r="A12295" s="5"/>
    </row>
    <row r="12296" spans="1:1">
      <c r="A12296" s="5"/>
    </row>
    <row r="12297" spans="1:1">
      <c r="A12297" s="5"/>
    </row>
    <row r="12298" spans="1:1">
      <c r="A12298" s="5"/>
    </row>
    <row r="12299" spans="1:1">
      <c r="A12299" s="5"/>
    </row>
    <row r="12300" spans="1:1">
      <c r="A12300" s="5"/>
    </row>
    <row r="12301" spans="1:1">
      <c r="A12301" s="5"/>
    </row>
    <row r="12302" spans="1:1">
      <c r="A12302" s="5"/>
    </row>
    <row r="12303" spans="1:1">
      <c r="A12303" s="5"/>
    </row>
    <row r="12304" spans="1:1">
      <c r="A12304" s="5"/>
    </row>
    <row r="12305" spans="1:1">
      <c r="A12305" s="5"/>
    </row>
    <row r="12306" spans="1:1">
      <c r="A12306" s="5"/>
    </row>
    <row r="12307" spans="1:1">
      <c r="A12307" s="5"/>
    </row>
    <row r="12308" spans="1:1">
      <c r="A12308" s="5"/>
    </row>
    <row r="12309" spans="1:1">
      <c r="A12309" s="5"/>
    </row>
    <row r="12310" spans="1:1">
      <c r="A12310" s="5"/>
    </row>
    <row r="12311" spans="1:1">
      <c r="A12311" s="5"/>
    </row>
    <row r="12312" spans="1:1">
      <c r="A12312" s="5"/>
    </row>
    <row r="12313" spans="1:1">
      <c r="A12313" s="5"/>
    </row>
    <row r="12314" spans="1:1">
      <c r="A12314" s="5"/>
    </row>
    <row r="12315" spans="1:1">
      <c r="A12315" s="5"/>
    </row>
    <row r="12316" spans="1:1">
      <c r="A12316" s="5"/>
    </row>
    <row r="12317" spans="1:1">
      <c r="A12317" s="5"/>
    </row>
    <row r="12318" spans="1:1">
      <c r="A12318" s="5"/>
    </row>
    <row r="12319" spans="1:1">
      <c r="A12319" s="5"/>
    </row>
    <row r="12320" spans="1:1">
      <c r="A12320" s="5"/>
    </row>
    <row r="12321" spans="1:1">
      <c r="A12321" s="5"/>
    </row>
    <row r="12322" spans="1:1">
      <c r="A12322" s="5"/>
    </row>
    <row r="12323" spans="1:1">
      <c r="A12323" s="5"/>
    </row>
    <row r="12324" spans="1:1">
      <c r="A12324" s="5"/>
    </row>
    <row r="12325" spans="1:1">
      <c r="A12325" s="5"/>
    </row>
    <row r="12326" spans="1:1">
      <c r="A12326" s="5"/>
    </row>
    <row r="12327" spans="1:1">
      <c r="A12327" s="5"/>
    </row>
    <row r="12328" spans="1:1">
      <c r="A12328" s="5"/>
    </row>
    <row r="12329" spans="1:1">
      <c r="A12329" s="5"/>
    </row>
    <row r="12330" spans="1:1">
      <c r="A12330" s="5"/>
    </row>
    <row r="12331" spans="1:1">
      <c r="A12331" s="5"/>
    </row>
    <row r="12332" spans="1:1">
      <c r="A12332" s="5"/>
    </row>
    <row r="12333" spans="1:1">
      <c r="A12333" s="5"/>
    </row>
    <row r="12334" spans="1:1">
      <c r="A12334" s="5"/>
    </row>
    <row r="12335" spans="1:1">
      <c r="A12335" s="5"/>
    </row>
    <row r="12336" spans="1:1">
      <c r="A12336" s="5"/>
    </row>
    <row r="12337" spans="1:1">
      <c r="A12337" s="5"/>
    </row>
    <row r="12338" spans="1:1">
      <c r="A12338" s="5"/>
    </row>
    <row r="12339" spans="1:1">
      <c r="A12339" s="5"/>
    </row>
    <row r="12340" spans="1:1">
      <c r="A12340" s="5"/>
    </row>
    <row r="12341" spans="1:1">
      <c r="A12341" s="5"/>
    </row>
    <row r="12342" spans="1:1">
      <c r="A12342" s="5"/>
    </row>
    <row r="12343" spans="1:1">
      <c r="A12343" s="5"/>
    </row>
    <row r="12344" spans="1:1">
      <c r="A12344" s="5"/>
    </row>
    <row r="12345" spans="1:1">
      <c r="A12345" s="5"/>
    </row>
    <row r="12346" spans="1:1">
      <c r="A12346" s="5"/>
    </row>
    <row r="12347" spans="1:1">
      <c r="A12347" s="5"/>
    </row>
    <row r="12348" spans="1:1">
      <c r="A12348" s="5"/>
    </row>
    <row r="12349" spans="1:1">
      <c r="A12349" s="5"/>
    </row>
    <row r="12350" spans="1:1">
      <c r="A12350" s="5"/>
    </row>
    <row r="12351" spans="1:1">
      <c r="A12351" s="5"/>
    </row>
    <row r="12352" spans="1:1">
      <c r="A12352" s="5"/>
    </row>
    <row r="12353" spans="1:1">
      <c r="A12353" s="5"/>
    </row>
    <row r="12354" spans="1:1">
      <c r="A12354" s="5"/>
    </row>
    <row r="12355" spans="1:1">
      <c r="A12355" s="5"/>
    </row>
    <row r="12356" spans="1:1">
      <c r="A12356" s="5"/>
    </row>
    <row r="12357" spans="1:1">
      <c r="A12357" s="5"/>
    </row>
    <row r="12358" spans="1:1">
      <c r="A12358" s="5"/>
    </row>
    <row r="12359" spans="1:1">
      <c r="A12359" s="5"/>
    </row>
    <row r="12360" spans="1:1">
      <c r="A12360" s="5"/>
    </row>
    <row r="12361" spans="1:1">
      <c r="A12361" s="5"/>
    </row>
    <row r="12362" spans="1:1">
      <c r="A12362" s="5"/>
    </row>
    <row r="12363" spans="1:1">
      <c r="A12363" s="5"/>
    </row>
    <row r="12364" spans="1:1">
      <c r="A12364" s="5"/>
    </row>
    <row r="12365" spans="1:1">
      <c r="A12365" s="5"/>
    </row>
    <row r="12366" spans="1:1">
      <c r="A12366" s="5"/>
    </row>
    <row r="12367" spans="1:1">
      <c r="A12367" s="5"/>
    </row>
    <row r="12368" spans="1:1">
      <c r="A12368" s="5"/>
    </row>
    <row r="12369" spans="1:1">
      <c r="A12369" s="5"/>
    </row>
    <row r="12370" spans="1:1">
      <c r="A12370" s="5"/>
    </row>
    <row r="12371" spans="1:1">
      <c r="A12371" s="5"/>
    </row>
    <row r="12372" spans="1:1">
      <c r="A12372" s="5"/>
    </row>
    <row r="12373" spans="1:1">
      <c r="A12373" s="5"/>
    </row>
    <row r="12374" spans="1:1">
      <c r="A12374" s="5"/>
    </row>
    <row r="12375" spans="1:1">
      <c r="A12375" s="5"/>
    </row>
    <row r="12376" spans="1:1">
      <c r="A12376" s="5"/>
    </row>
    <row r="12377" spans="1:1">
      <c r="A12377" s="5"/>
    </row>
    <row r="12378" spans="1:1">
      <c r="A12378" s="5"/>
    </row>
    <row r="12379" spans="1:1">
      <c r="A12379" s="5"/>
    </row>
    <row r="12380" spans="1:1">
      <c r="A12380" s="5"/>
    </row>
    <row r="12381" spans="1:1">
      <c r="A12381" s="5"/>
    </row>
    <row r="12382" spans="1:1">
      <c r="A12382" s="5"/>
    </row>
    <row r="12383" spans="1:1">
      <c r="A12383" s="5"/>
    </row>
    <row r="12384" spans="1:1">
      <c r="A12384" s="5"/>
    </row>
    <row r="12385" spans="1:1">
      <c r="A12385" s="5"/>
    </row>
    <row r="12386" spans="1:1">
      <c r="A12386" s="5"/>
    </row>
    <row r="12387" spans="1:1">
      <c r="A12387" s="5"/>
    </row>
    <row r="12388" spans="1:1">
      <c r="A12388" s="5"/>
    </row>
    <row r="12389" spans="1:1">
      <c r="A12389" s="5"/>
    </row>
    <row r="12390" spans="1:1">
      <c r="A12390" s="5"/>
    </row>
    <row r="12391" spans="1:1">
      <c r="A12391" s="5"/>
    </row>
    <row r="12392" spans="1:1">
      <c r="A12392" s="5"/>
    </row>
    <row r="12393" spans="1:1">
      <c r="A12393" s="5"/>
    </row>
    <row r="12394" spans="1:1">
      <c r="A12394" s="5"/>
    </row>
    <row r="12395" spans="1:1">
      <c r="A12395" s="5"/>
    </row>
    <row r="12396" spans="1:1">
      <c r="A12396" s="5"/>
    </row>
    <row r="12397" spans="1:1">
      <c r="A12397" s="5"/>
    </row>
    <row r="12398" spans="1:1">
      <c r="A12398" s="5"/>
    </row>
    <row r="12399" spans="1:1">
      <c r="A12399" s="5"/>
    </row>
    <row r="12400" spans="1:1">
      <c r="A12400" s="5"/>
    </row>
    <row r="12401" spans="1:1">
      <c r="A12401" s="5"/>
    </row>
    <row r="12402" spans="1:1">
      <c r="A12402" s="5"/>
    </row>
    <row r="12403" spans="1:1">
      <c r="A12403" s="5"/>
    </row>
    <row r="12404" spans="1:1">
      <c r="A12404" s="5"/>
    </row>
    <row r="12405" spans="1:1">
      <c r="A12405" s="5"/>
    </row>
    <row r="12406" spans="1:1">
      <c r="A12406" s="5"/>
    </row>
    <row r="12407" spans="1:1">
      <c r="A12407" s="5"/>
    </row>
    <row r="12408" spans="1:1">
      <c r="A12408" s="5"/>
    </row>
    <row r="12409" spans="1:1">
      <c r="A12409" s="5"/>
    </row>
    <row r="12410" spans="1:1">
      <c r="A12410" s="5"/>
    </row>
    <row r="12411" spans="1:1">
      <c r="A12411" s="5"/>
    </row>
    <row r="12412" spans="1:1">
      <c r="A12412" s="5"/>
    </row>
    <row r="12413" spans="1:1">
      <c r="A12413" s="5"/>
    </row>
    <row r="12414" spans="1:1">
      <c r="A12414" s="5"/>
    </row>
    <row r="12415" spans="1:1">
      <c r="A12415" s="5"/>
    </row>
    <row r="12416" spans="1:1">
      <c r="A12416" s="5"/>
    </row>
    <row r="12417" spans="1:1">
      <c r="A12417" s="5"/>
    </row>
    <row r="12418" spans="1:1">
      <c r="A12418" s="5"/>
    </row>
    <row r="12419" spans="1:1">
      <c r="A12419" s="5"/>
    </row>
    <row r="12420" spans="1:1">
      <c r="A12420" s="5"/>
    </row>
    <row r="12421" spans="1:1">
      <c r="A12421" s="5"/>
    </row>
    <row r="12422" spans="1:1">
      <c r="A12422" s="5"/>
    </row>
    <row r="12423" spans="1:1">
      <c r="A12423" s="5"/>
    </row>
    <row r="12424" spans="1:1">
      <c r="A12424" s="5"/>
    </row>
    <row r="12425" spans="1:1">
      <c r="A12425" s="5"/>
    </row>
    <row r="12426" spans="1:1">
      <c r="A12426" s="5"/>
    </row>
    <row r="12427" spans="1:1">
      <c r="A12427" s="5"/>
    </row>
    <row r="12428" spans="1:1">
      <c r="A12428" s="5"/>
    </row>
    <row r="12429" spans="1:1">
      <c r="A12429" s="5"/>
    </row>
    <row r="12430" spans="1:1">
      <c r="A12430" s="5"/>
    </row>
    <row r="12431" spans="1:1">
      <c r="A12431" s="5"/>
    </row>
    <row r="12432" spans="1:1">
      <c r="A12432" s="5"/>
    </row>
    <row r="12433" spans="1:1">
      <c r="A12433" s="5"/>
    </row>
    <row r="12434" spans="1:1">
      <c r="A12434" s="5"/>
    </row>
    <row r="12435" spans="1:1">
      <c r="A12435" s="5"/>
    </row>
    <row r="12436" spans="1:1">
      <c r="A12436" s="5"/>
    </row>
    <row r="12437" spans="1:1">
      <c r="A12437" s="5"/>
    </row>
    <row r="12438" spans="1:1">
      <c r="A12438" s="5"/>
    </row>
    <row r="12439" spans="1:1">
      <c r="A12439" s="5"/>
    </row>
    <row r="12440" spans="1:1">
      <c r="A12440" s="5"/>
    </row>
    <row r="12441" spans="1:1">
      <c r="A12441" s="5"/>
    </row>
    <row r="12442" spans="1:1">
      <c r="A12442" s="5"/>
    </row>
    <row r="12443" spans="1:1">
      <c r="A12443" s="5"/>
    </row>
    <row r="12444" spans="1:1">
      <c r="A12444" s="5"/>
    </row>
    <row r="12445" spans="1:1">
      <c r="A12445" s="5"/>
    </row>
    <row r="12446" spans="1:1">
      <c r="A12446" s="5"/>
    </row>
    <row r="12447" spans="1:1">
      <c r="A12447" s="5"/>
    </row>
    <row r="12448" spans="1:1">
      <c r="A12448" s="5"/>
    </row>
    <row r="12449" spans="1:1">
      <c r="A12449" s="5"/>
    </row>
    <row r="12450" spans="1:1">
      <c r="A12450" s="5"/>
    </row>
    <row r="12451" spans="1:1">
      <c r="A12451" s="5"/>
    </row>
    <row r="12452" spans="1:1">
      <c r="A12452" s="5"/>
    </row>
    <row r="12453" spans="1:1">
      <c r="A12453" s="5"/>
    </row>
    <row r="12454" spans="1:1">
      <c r="A12454" s="5"/>
    </row>
    <row r="12455" spans="1:1">
      <c r="A12455" s="5"/>
    </row>
    <row r="12456" spans="1:1">
      <c r="A12456" s="5"/>
    </row>
    <row r="12457" spans="1:1">
      <c r="A12457" s="5"/>
    </row>
    <row r="12458" spans="1:1">
      <c r="A12458" s="5"/>
    </row>
    <row r="12459" spans="1:1">
      <c r="A12459" s="5"/>
    </row>
    <row r="12460" spans="1:1">
      <c r="A12460" s="5"/>
    </row>
    <row r="12461" spans="1:1">
      <c r="A12461" s="5"/>
    </row>
    <row r="12462" spans="1:1">
      <c r="A12462" s="5"/>
    </row>
    <row r="12463" spans="1:1">
      <c r="A12463" s="5"/>
    </row>
    <row r="12464" spans="1:1">
      <c r="A12464" s="5"/>
    </row>
    <row r="12465" spans="1:1">
      <c r="A12465" s="5"/>
    </row>
    <row r="12466" spans="1:1">
      <c r="A12466" s="5"/>
    </row>
    <row r="12467" spans="1:1">
      <c r="A12467" s="5"/>
    </row>
    <row r="12468" spans="1:1">
      <c r="A12468" s="5"/>
    </row>
    <row r="12469" spans="1:1">
      <c r="A12469" s="5"/>
    </row>
    <row r="12470" spans="1:1">
      <c r="A12470" s="5"/>
    </row>
    <row r="12471" spans="1:1">
      <c r="A12471" s="5"/>
    </row>
    <row r="12472" spans="1:1">
      <c r="A12472" s="5"/>
    </row>
    <row r="12473" spans="1:1">
      <c r="A12473" s="5"/>
    </row>
    <row r="12474" spans="1:1">
      <c r="A12474" s="5"/>
    </row>
    <row r="12475" spans="1:1">
      <c r="A12475" s="5"/>
    </row>
    <row r="12476" spans="1:1">
      <c r="A12476" s="5"/>
    </row>
    <row r="12477" spans="1:1">
      <c r="A12477" s="5"/>
    </row>
    <row r="12478" spans="1:1">
      <c r="A12478" s="5"/>
    </row>
    <row r="12479" spans="1:1">
      <c r="A12479" s="5"/>
    </row>
    <row r="12480" spans="1:1">
      <c r="A12480" s="5"/>
    </row>
    <row r="12481" spans="1:1">
      <c r="A12481" s="5"/>
    </row>
    <row r="12482" spans="1:1">
      <c r="A12482" s="5"/>
    </row>
    <row r="12483" spans="1:1">
      <c r="A12483" s="5"/>
    </row>
    <row r="12484" spans="1:1">
      <c r="A12484" s="5"/>
    </row>
    <row r="12485" spans="1:1">
      <c r="A12485" s="5"/>
    </row>
    <row r="12486" spans="1:1">
      <c r="A12486" s="5"/>
    </row>
    <row r="12487" spans="1:1">
      <c r="A12487" s="5"/>
    </row>
    <row r="12488" spans="1:1">
      <c r="A12488" s="5"/>
    </row>
    <row r="12489" spans="1:1">
      <c r="A12489" s="5"/>
    </row>
    <row r="12490" spans="1:1">
      <c r="A12490" s="5"/>
    </row>
    <row r="12491" spans="1:1">
      <c r="A12491" s="5"/>
    </row>
    <row r="12492" spans="1:1">
      <c r="A12492" s="5"/>
    </row>
    <row r="12493" spans="1:1">
      <c r="A12493" s="5"/>
    </row>
    <row r="12494" spans="1:1">
      <c r="A12494" s="5"/>
    </row>
    <row r="12495" spans="1:1">
      <c r="A12495" s="5"/>
    </row>
    <row r="12496" spans="1:1">
      <c r="A12496" s="5"/>
    </row>
    <row r="12497" spans="1:1">
      <c r="A12497" s="5"/>
    </row>
    <row r="12498" spans="1:1">
      <c r="A12498" s="5"/>
    </row>
    <row r="12499" spans="1:1">
      <c r="A12499" s="5"/>
    </row>
    <row r="12500" spans="1:1">
      <c r="A12500" s="5"/>
    </row>
    <row r="12501" spans="1:1">
      <c r="A12501" s="5"/>
    </row>
    <row r="12502" spans="1:1">
      <c r="A12502" s="5"/>
    </row>
    <row r="12503" spans="1:1">
      <c r="A12503" s="5"/>
    </row>
    <row r="12504" spans="1:1">
      <c r="A12504" s="5"/>
    </row>
    <row r="12505" spans="1:1">
      <c r="A12505" s="5"/>
    </row>
    <row r="12506" spans="1:1">
      <c r="A12506" s="5"/>
    </row>
    <row r="12507" spans="1:1">
      <c r="A12507" s="5"/>
    </row>
    <row r="12508" spans="1:1">
      <c r="A12508" s="5"/>
    </row>
    <row r="12509" spans="1:1">
      <c r="A12509" s="5"/>
    </row>
    <row r="12510" spans="1:1">
      <c r="A12510" s="5"/>
    </row>
    <row r="12511" spans="1:1">
      <c r="A12511" s="5"/>
    </row>
    <row r="12512" spans="1:1">
      <c r="A12512" s="5"/>
    </row>
    <row r="12513" spans="1:1">
      <c r="A12513" s="5"/>
    </row>
    <row r="12514" spans="1:1">
      <c r="A12514" s="5"/>
    </row>
    <row r="12515" spans="1:1">
      <c r="A12515" s="5"/>
    </row>
    <row r="12516" spans="1:1">
      <c r="A12516" s="5"/>
    </row>
    <row r="12517" spans="1:1">
      <c r="A12517" s="5"/>
    </row>
    <row r="12518" spans="1:1">
      <c r="A12518" s="5"/>
    </row>
    <row r="12519" spans="1:1">
      <c r="A12519" s="5"/>
    </row>
    <row r="12520" spans="1:1">
      <c r="A12520" s="5"/>
    </row>
    <row r="12521" spans="1:1">
      <c r="A12521" s="5"/>
    </row>
    <row r="12522" spans="1:1">
      <c r="A12522" s="5"/>
    </row>
    <row r="12523" spans="1:1">
      <c r="A12523" s="5"/>
    </row>
    <row r="12524" spans="1:1">
      <c r="A12524" s="5"/>
    </row>
    <row r="12525" spans="1:1">
      <c r="A12525" s="5"/>
    </row>
    <row r="12526" spans="1:1">
      <c r="A12526" s="5"/>
    </row>
    <row r="12527" spans="1:1">
      <c r="A12527" s="5"/>
    </row>
    <row r="12528" spans="1:1">
      <c r="A12528" s="5"/>
    </row>
    <row r="12529" spans="1:1">
      <c r="A12529" s="5"/>
    </row>
    <row r="12530" spans="1:1">
      <c r="A12530" s="5"/>
    </row>
    <row r="12531" spans="1:1">
      <c r="A12531" s="5"/>
    </row>
    <row r="12532" spans="1:1">
      <c r="A12532" s="5"/>
    </row>
    <row r="12533" spans="1:1">
      <c r="A12533" s="5"/>
    </row>
    <row r="12534" spans="1:1">
      <c r="A12534" s="5"/>
    </row>
    <row r="12535" spans="1:1">
      <c r="A12535" s="5"/>
    </row>
    <row r="12536" spans="1:1">
      <c r="A12536" s="5"/>
    </row>
    <row r="12537" spans="1:1">
      <c r="A12537" s="5"/>
    </row>
    <row r="12538" spans="1:1">
      <c r="A12538" s="5"/>
    </row>
    <row r="12539" spans="1:1">
      <c r="A12539" s="5"/>
    </row>
    <row r="12540" spans="1:1">
      <c r="A12540" s="5"/>
    </row>
    <row r="12541" spans="1:1">
      <c r="A12541" s="5"/>
    </row>
    <row r="12542" spans="1:1">
      <c r="A12542" s="5"/>
    </row>
    <row r="12543" spans="1:1">
      <c r="A12543" s="5"/>
    </row>
    <row r="12544" spans="1:1">
      <c r="A12544" s="5"/>
    </row>
    <row r="12545" spans="1:1">
      <c r="A12545" s="5"/>
    </row>
    <row r="12546" spans="1:1">
      <c r="A12546" s="5"/>
    </row>
    <row r="12547" spans="1:1">
      <c r="A12547" s="5"/>
    </row>
    <row r="12548" spans="1:1">
      <c r="A12548" s="5"/>
    </row>
    <row r="12549" spans="1:1">
      <c r="A12549" s="5"/>
    </row>
    <row r="12550" spans="1:1">
      <c r="A12550" s="5"/>
    </row>
    <row r="12551" spans="1:1">
      <c r="A12551" s="5"/>
    </row>
    <row r="12552" spans="1:1">
      <c r="A12552" s="5"/>
    </row>
    <row r="12553" spans="1:1">
      <c r="A12553" s="5"/>
    </row>
    <row r="12554" spans="1:1">
      <c r="A12554" s="5"/>
    </row>
    <row r="12555" spans="1:1">
      <c r="A12555" s="5"/>
    </row>
    <row r="12556" spans="1:1">
      <c r="A12556" s="5"/>
    </row>
    <row r="12557" spans="1:1">
      <c r="A12557" s="5"/>
    </row>
    <row r="12558" spans="1:1">
      <c r="A12558" s="5"/>
    </row>
    <row r="12559" spans="1:1">
      <c r="A12559" s="5"/>
    </row>
    <row r="12560" spans="1:1">
      <c r="A12560" s="5"/>
    </row>
    <row r="12561" spans="1:1">
      <c r="A12561" s="5"/>
    </row>
    <row r="12562" spans="1:1">
      <c r="A12562" s="5"/>
    </row>
    <row r="12563" spans="1:1">
      <c r="A12563" s="5"/>
    </row>
    <row r="12564" spans="1:1">
      <c r="A12564" s="5"/>
    </row>
    <row r="12565" spans="1:1">
      <c r="A12565" s="5"/>
    </row>
    <row r="12566" spans="1:1">
      <c r="A12566" s="5"/>
    </row>
    <row r="12567" spans="1:1">
      <c r="A12567" s="5"/>
    </row>
    <row r="12568" spans="1:1">
      <c r="A12568" s="5"/>
    </row>
    <row r="12569" spans="1:1">
      <c r="A12569" s="5"/>
    </row>
    <row r="12570" spans="1:1">
      <c r="A12570" s="5"/>
    </row>
    <row r="12571" spans="1:1">
      <c r="A12571" s="5"/>
    </row>
    <row r="12572" spans="1:1">
      <c r="A12572" s="5"/>
    </row>
    <row r="12573" spans="1:1">
      <c r="A12573" s="5"/>
    </row>
    <row r="12574" spans="1:1">
      <c r="A12574" s="5"/>
    </row>
    <row r="12575" spans="1:1">
      <c r="A12575" s="5"/>
    </row>
    <row r="12576" spans="1:1">
      <c r="A12576" s="5"/>
    </row>
    <row r="12577" spans="1:1">
      <c r="A12577" s="5"/>
    </row>
    <row r="12578" spans="1:1">
      <c r="A12578" s="5"/>
    </row>
    <row r="12579" spans="1:1">
      <c r="A12579" s="5"/>
    </row>
    <row r="12580" spans="1:1">
      <c r="A12580" s="5"/>
    </row>
    <row r="12581" spans="1:1">
      <c r="A12581" s="5"/>
    </row>
    <row r="12582" spans="1:1">
      <c r="A12582" s="5"/>
    </row>
    <row r="12583" spans="1:1">
      <c r="A12583" s="5"/>
    </row>
    <row r="12584" spans="1:1">
      <c r="A12584" s="5"/>
    </row>
    <row r="12585" spans="1:1">
      <c r="A12585" s="5"/>
    </row>
    <row r="12586" spans="1:1">
      <c r="A12586" s="5"/>
    </row>
    <row r="12587" spans="1:1">
      <c r="A12587" s="5"/>
    </row>
    <row r="12588" spans="1:1">
      <c r="A12588" s="5"/>
    </row>
    <row r="12589" spans="1:1">
      <c r="A12589" s="5"/>
    </row>
    <row r="12590" spans="1:1">
      <c r="A12590" s="5"/>
    </row>
    <row r="12591" spans="1:1">
      <c r="A12591" s="5"/>
    </row>
    <row r="12592" spans="1:1">
      <c r="A12592" s="5"/>
    </row>
    <row r="12593" spans="1:1">
      <c r="A12593" s="5"/>
    </row>
    <row r="12594" spans="1:1">
      <c r="A12594" s="5"/>
    </row>
    <row r="12595" spans="1:1">
      <c r="A12595" s="5"/>
    </row>
    <row r="12596" spans="1:1">
      <c r="A12596" s="5"/>
    </row>
    <row r="12597" spans="1:1">
      <c r="A12597" s="5"/>
    </row>
    <row r="12598" spans="1:1">
      <c r="A12598" s="5"/>
    </row>
    <row r="12599" spans="1:1">
      <c r="A12599" s="5"/>
    </row>
    <row r="12600" spans="1:1">
      <c r="A12600" s="5"/>
    </row>
    <row r="12601" spans="1:1">
      <c r="A12601" s="5"/>
    </row>
    <row r="12602" spans="1:1">
      <c r="A12602" s="5"/>
    </row>
    <row r="12603" spans="1:1">
      <c r="A12603" s="5"/>
    </row>
    <row r="12604" spans="1:1">
      <c r="A12604" s="5"/>
    </row>
    <row r="12605" spans="1:1">
      <c r="A12605" s="5"/>
    </row>
    <row r="12606" spans="1:1">
      <c r="A12606" s="5"/>
    </row>
    <row r="12607" spans="1:1">
      <c r="A12607" s="5"/>
    </row>
    <row r="12608" spans="1:1">
      <c r="A12608" s="5"/>
    </row>
    <row r="12609" spans="1:1">
      <c r="A12609" s="5"/>
    </row>
    <row r="12610" spans="1:1">
      <c r="A12610" s="5"/>
    </row>
    <row r="12611" spans="1:1">
      <c r="A12611" s="5"/>
    </row>
    <row r="12612" spans="1:1">
      <c r="A12612" s="5"/>
    </row>
    <row r="12613" spans="1:1">
      <c r="A12613" s="5"/>
    </row>
    <row r="12614" spans="1:1">
      <c r="A12614" s="5"/>
    </row>
    <row r="12615" spans="1:1">
      <c r="A12615" s="5"/>
    </row>
    <row r="12616" spans="1:1">
      <c r="A12616" s="5"/>
    </row>
    <row r="12617" spans="1:1">
      <c r="A12617" s="5"/>
    </row>
    <row r="12618" spans="1:1">
      <c r="A12618" s="5"/>
    </row>
    <row r="12619" spans="1:1">
      <c r="A12619" s="5"/>
    </row>
    <row r="12620" spans="1:1">
      <c r="A12620" s="5"/>
    </row>
    <row r="12621" spans="1:1">
      <c r="A12621" s="5"/>
    </row>
    <row r="12622" spans="1:1">
      <c r="A12622" s="5"/>
    </row>
    <row r="12623" spans="1:1">
      <c r="A12623" s="5"/>
    </row>
    <row r="12624" spans="1:1">
      <c r="A12624" s="5"/>
    </row>
    <row r="12625" spans="1:1">
      <c r="A12625" s="5"/>
    </row>
    <row r="12626" spans="1:1">
      <c r="A12626" s="5"/>
    </row>
    <row r="12627" spans="1:1">
      <c r="A12627" s="5"/>
    </row>
    <row r="12628" spans="1:1">
      <c r="A12628" s="5"/>
    </row>
    <row r="12629" spans="1:1">
      <c r="A12629" s="5"/>
    </row>
    <row r="12630" spans="1:1">
      <c r="A12630" s="5"/>
    </row>
    <row r="12631" spans="1:1">
      <c r="A12631" s="5"/>
    </row>
    <row r="12632" spans="1:1">
      <c r="A12632" s="5"/>
    </row>
    <row r="12633" spans="1:1">
      <c r="A12633" s="5"/>
    </row>
    <row r="12634" spans="1:1">
      <c r="A12634" s="5"/>
    </row>
    <row r="12635" spans="1:1">
      <c r="A12635" s="5"/>
    </row>
    <row r="12636" spans="1:1">
      <c r="A12636" s="5"/>
    </row>
    <row r="12637" spans="1:1">
      <c r="A12637" s="5"/>
    </row>
    <row r="12638" spans="1:1">
      <c r="A12638" s="5"/>
    </row>
    <row r="12639" spans="1:1">
      <c r="A12639" s="5"/>
    </row>
    <row r="12640" spans="1:1">
      <c r="A12640" s="5"/>
    </row>
    <row r="12641" spans="1:1">
      <c r="A12641" s="5"/>
    </row>
    <row r="12642" spans="1:1">
      <c r="A12642" s="5"/>
    </row>
    <row r="12643" spans="1:1">
      <c r="A12643" s="5"/>
    </row>
    <row r="12644" spans="1:1">
      <c r="A12644" s="5"/>
    </row>
    <row r="12645" spans="1:1">
      <c r="A12645" s="5"/>
    </row>
    <row r="12646" spans="1:1">
      <c r="A12646" s="5"/>
    </row>
    <row r="12647" spans="1:1">
      <c r="A12647" s="5"/>
    </row>
    <row r="12648" spans="1:1">
      <c r="A12648" s="5"/>
    </row>
    <row r="12649" spans="1:1">
      <c r="A12649" s="5"/>
    </row>
    <row r="12650" spans="1:1">
      <c r="A12650" s="5"/>
    </row>
    <row r="12651" spans="1:1">
      <c r="A12651" s="5"/>
    </row>
    <row r="12652" spans="1:1">
      <c r="A12652" s="5"/>
    </row>
    <row r="12653" spans="1:1">
      <c r="A12653" s="5"/>
    </row>
    <row r="12654" spans="1:1">
      <c r="A12654" s="5"/>
    </row>
    <row r="12655" spans="1:1">
      <c r="A12655" s="5"/>
    </row>
    <row r="12656" spans="1:1">
      <c r="A12656" s="5"/>
    </row>
    <row r="12657" spans="1:1">
      <c r="A12657" s="5"/>
    </row>
    <row r="12658" spans="1:1">
      <c r="A12658" s="5"/>
    </row>
    <row r="12659" spans="1:1">
      <c r="A12659" s="5"/>
    </row>
    <row r="12660" spans="1:1">
      <c r="A12660" s="5"/>
    </row>
    <row r="12661" spans="1:1">
      <c r="A12661" s="5"/>
    </row>
    <row r="12662" spans="1:1">
      <c r="A12662" s="5"/>
    </row>
    <row r="12663" spans="1:1">
      <c r="A12663" s="5"/>
    </row>
    <row r="12664" spans="1:1">
      <c r="A12664" s="5"/>
    </row>
    <row r="12665" spans="1:1">
      <c r="A12665" s="5"/>
    </row>
    <row r="12666" spans="1:1">
      <c r="A12666" s="5"/>
    </row>
    <row r="12667" spans="1:1">
      <c r="A12667" s="5"/>
    </row>
    <row r="12668" spans="1:1">
      <c r="A12668" s="5"/>
    </row>
    <row r="12669" spans="1:1">
      <c r="A12669" s="5"/>
    </row>
    <row r="12670" spans="1:1">
      <c r="A12670" s="5"/>
    </row>
    <row r="12671" spans="1:1">
      <c r="A12671" s="5"/>
    </row>
    <row r="12672" spans="1:1">
      <c r="A12672" s="5"/>
    </row>
    <row r="12673" spans="1:1">
      <c r="A12673" s="5"/>
    </row>
    <row r="12674" spans="1:1">
      <c r="A12674" s="5"/>
    </row>
    <row r="12675" spans="1:1">
      <c r="A12675" s="5"/>
    </row>
    <row r="12676" spans="1:1">
      <c r="A12676" s="5"/>
    </row>
    <row r="12677" spans="1:1">
      <c r="A12677" s="5"/>
    </row>
    <row r="12678" spans="1:1">
      <c r="A12678" s="5"/>
    </row>
    <row r="12679" spans="1:1">
      <c r="A12679" s="5"/>
    </row>
    <row r="12680" spans="1:1">
      <c r="A12680" s="5"/>
    </row>
    <row r="12681" spans="1:1">
      <c r="A12681" s="5"/>
    </row>
    <row r="12682" spans="1:1">
      <c r="A12682" s="5"/>
    </row>
    <row r="12683" spans="1:1">
      <c r="A12683" s="5"/>
    </row>
    <row r="12684" spans="1:1">
      <c r="A12684" s="5"/>
    </row>
    <row r="12685" spans="1:1">
      <c r="A12685" s="5"/>
    </row>
    <row r="12686" spans="1:1">
      <c r="A12686" s="5"/>
    </row>
    <row r="12687" spans="1:1">
      <c r="A12687" s="5"/>
    </row>
    <row r="12688" spans="1:1">
      <c r="A12688" s="5"/>
    </row>
    <row r="12689" spans="1:1">
      <c r="A12689" s="5"/>
    </row>
    <row r="12690" spans="1:1">
      <c r="A12690" s="5"/>
    </row>
    <row r="12691" spans="1:1">
      <c r="A12691" s="5"/>
    </row>
    <row r="12692" spans="1:1">
      <c r="A12692" s="5"/>
    </row>
    <row r="12693" spans="1:1">
      <c r="A12693" s="5"/>
    </row>
    <row r="12694" spans="1:1">
      <c r="A12694" s="5"/>
    </row>
    <row r="12695" spans="1:1">
      <c r="A12695" s="5"/>
    </row>
    <row r="12696" spans="1:1">
      <c r="A12696" s="5"/>
    </row>
    <row r="12697" spans="1:1">
      <c r="A12697" s="5"/>
    </row>
    <row r="12698" spans="1:1">
      <c r="A12698" s="5"/>
    </row>
    <row r="12699" spans="1:1">
      <c r="A12699" s="5"/>
    </row>
    <row r="12700" spans="1:1">
      <c r="A12700" s="5"/>
    </row>
    <row r="12701" spans="1:1">
      <c r="A12701" s="5"/>
    </row>
    <row r="12702" spans="1:1">
      <c r="A12702" s="5"/>
    </row>
    <row r="12703" spans="1:1">
      <c r="A12703" s="5"/>
    </row>
    <row r="12704" spans="1:1">
      <c r="A12704" s="5"/>
    </row>
    <row r="12705" spans="1:1">
      <c r="A12705" s="5"/>
    </row>
    <row r="12706" spans="1:1">
      <c r="A12706" s="5"/>
    </row>
    <row r="12707" spans="1:1">
      <c r="A12707" s="5"/>
    </row>
    <row r="12708" spans="1:1">
      <c r="A12708" s="5"/>
    </row>
    <row r="12709" spans="1:1">
      <c r="A12709" s="5"/>
    </row>
    <row r="12710" spans="1:1">
      <c r="A12710" s="5"/>
    </row>
    <row r="12711" spans="1:1">
      <c r="A12711" s="5"/>
    </row>
    <row r="12712" spans="1:1">
      <c r="A12712" s="5"/>
    </row>
    <row r="12713" spans="1:1">
      <c r="A12713" s="5"/>
    </row>
    <row r="12714" spans="1:1">
      <c r="A12714" s="5"/>
    </row>
    <row r="12715" spans="1:1">
      <c r="A12715" s="5"/>
    </row>
    <row r="12716" spans="1:1">
      <c r="A12716" s="5"/>
    </row>
    <row r="12717" spans="1:1">
      <c r="A12717" s="5"/>
    </row>
    <row r="12718" spans="1:1">
      <c r="A12718" s="5"/>
    </row>
    <row r="12719" spans="1:1">
      <c r="A12719" s="5"/>
    </row>
    <row r="12720" spans="1:1">
      <c r="A12720" s="5"/>
    </row>
    <row r="12721" spans="1:1">
      <c r="A12721" s="5"/>
    </row>
    <row r="12722" spans="1:1">
      <c r="A12722" s="5"/>
    </row>
    <row r="12723" spans="1:1">
      <c r="A12723" s="5"/>
    </row>
    <row r="12724" spans="1:1">
      <c r="A12724" s="5"/>
    </row>
    <row r="12725" spans="1:1">
      <c r="A12725" s="5"/>
    </row>
    <row r="12726" spans="1:1">
      <c r="A12726" s="5"/>
    </row>
    <row r="12727" spans="1:1">
      <c r="A12727" s="5"/>
    </row>
    <row r="12728" spans="1:1">
      <c r="A12728" s="5"/>
    </row>
    <row r="12729" spans="1:1">
      <c r="A12729" s="5"/>
    </row>
    <row r="12730" spans="1:1">
      <c r="A12730" s="5"/>
    </row>
    <row r="12731" spans="1:1">
      <c r="A12731" s="5"/>
    </row>
    <row r="12732" spans="1:1">
      <c r="A12732" s="5"/>
    </row>
    <row r="12733" spans="1:1">
      <c r="A12733" s="5"/>
    </row>
    <row r="12734" spans="1:1">
      <c r="A12734" s="5"/>
    </row>
    <row r="12735" spans="1:1">
      <c r="A12735" s="5"/>
    </row>
    <row r="12736" spans="1:1">
      <c r="A12736" s="5"/>
    </row>
    <row r="12737" spans="1:1">
      <c r="A12737" s="5"/>
    </row>
    <row r="12738" spans="1:1">
      <c r="A12738" s="5"/>
    </row>
    <row r="12739" spans="1:1">
      <c r="A12739" s="5"/>
    </row>
    <row r="12740" spans="1:1">
      <c r="A12740" s="5"/>
    </row>
    <row r="12741" spans="1:1">
      <c r="A12741" s="5"/>
    </row>
    <row r="12742" spans="1:1">
      <c r="A12742" s="5"/>
    </row>
    <row r="12743" spans="1:1">
      <c r="A12743" s="5"/>
    </row>
    <row r="12744" spans="1:1">
      <c r="A12744" s="5"/>
    </row>
    <row r="12745" spans="1:1">
      <c r="A12745" s="5"/>
    </row>
    <row r="12746" spans="1:1">
      <c r="A12746" s="5"/>
    </row>
    <row r="12747" spans="1:1">
      <c r="A12747" s="5"/>
    </row>
    <row r="12748" spans="1:1">
      <c r="A12748" s="5"/>
    </row>
    <row r="12749" spans="1:1">
      <c r="A12749" s="5"/>
    </row>
    <row r="12750" spans="1:1">
      <c r="A12750" s="5"/>
    </row>
    <row r="12751" spans="1:1">
      <c r="A12751" s="5"/>
    </row>
    <row r="12752" spans="1:1">
      <c r="A12752" s="5"/>
    </row>
    <row r="12753" spans="1:1">
      <c r="A12753" s="5"/>
    </row>
    <row r="12754" spans="1:1">
      <c r="A12754" s="5"/>
    </row>
    <row r="12755" spans="1:1">
      <c r="A12755" s="5"/>
    </row>
    <row r="12756" spans="1:1">
      <c r="A12756" s="5"/>
    </row>
    <row r="12757" spans="1:1">
      <c r="A12757" s="5"/>
    </row>
    <row r="12758" spans="1:1">
      <c r="A12758" s="5"/>
    </row>
    <row r="12759" spans="1:1">
      <c r="A12759" s="5"/>
    </row>
    <row r="12760" spans="1:1">
      <c r="A12760" s="5"/>
    </row>
    <row r="12761" spans="1:1">
      <c r="A12761" s="5"/>
    </row>
    <row r="12762" spans="1:1">
      <c r="A12762" s="5"/>
    </row>
    <row r="12763" spans="1:1">
      <c r="A12763" s="5"/>
    </row>
    <row r="12764" spans="1:1">
      <c r="A12764" s="5"/>
    </row>
    <row r="12765" spans="1:1">
      <c r="A12765" s="5"/>
    </row>
    <row r="12766" spans="1:1">
      <c r="A12766" s="5"/>
    </row>
    <row r="12767" spans="1:1">
      <c r="A12767" s="5"/>
    </row>
    <row r="12768" spans="1:1">
      <c r="A12768" s="5"/>
    </row>
    <row r="12769" spans="1:1">
      <c r="A12769" s="5"/>
    </row>
    <row r="12770" spans="1:1">
      <c r="A12770" s="5"/>
    </row>
    <row r="12771" spans="1:1">
      <c r="A12771" s="5"/>
    </row>
    <row r="12772" spans="1:1">
      <c r="A12772" s="5"/>
    </row>
    <row r="12773" spans="1:1">
      <c r="A12773" s="5"/>
    </row>
    <row r="12774" spans="1:1">
      <c r="A12774" s="5"/>
    </row>
    <row r="12775" spans="1:1">
      <c r="A12775" s="5"/>
    </row>
    <row r="12776" spans="1:1">
      <c r="A12776" s="5"/>
    </row>
    <row r="12777" spans="1:1">
      <c r="A12777" s="5"/>
    </row>
    <row r="12778" spans="1:1">
      <c r="A12778" s="5"/>
    </row>
    <row r="12779" spans="1:1">
      <c r="A12779" s="5"/>
    </row>
    <row r="12780" spans="1:1">
      <c r="A12780" s="5"/>
    </row>
    <row r="12781" spans="1:1">
      <c r="A12781" s="5"/>
    </row>
    <row r="12782" spans="1:1">
      <c r="A12782" s="5"/>
    </row>
    <row r="12783" spans="1:1">
      <c r="A12783" s="5"/>
    </row>
    <row r="12784" spans="1:1">
      <c r="A12784" s="5"/>
    </row>
    <row r="12785" spans="1:1">
      <c r="A12785" s="5"/>
    </row>
    <row r="12786" spans="1:1">
      <c r="A12786" s="5"/>
    </row>
    <row r="12787" spans="1:1">
      <c r="A12787" s="5"/>
    </row>
    <row r="12788" spans="1:1">
      <c r="A12788" s="5"/>
    </row>
    <row r="12789" spans="1:1">
      <c r="A12789" s="5"/>
    </row>
    <row r="12790" spans="1:1">
      <c r="A12790" s="5"/>
    </row>
    <row r="12791" spans="1:1">
      <c r="A12791" s="5"/>
    </row>
    <row r="12792" spans="1:1">
      <c r="A12792" s="5"/>
    </row>
    <row r="12793" spans="1:1">
      <c r="A12793" s="5"/>
    </row>
    <row r="12794" spans="1:1">
      <c r="A12794" s="5"/>
    </row>
    <row r="12795" spans="1:1">
      <c r="A12795" s="5"/>
    </row>
    <row r="12796" spans="1:1">
      <c r="A12796" s="5"/>
    </row>
    <row r="12797" spans="1:1">
      <c r="A12797" s="5"/>
    </row>
    <row r="12798" spans="1:1">
      <c r="A12798" s="5"/>
    </row>
    <row r="12799" spans="1:1">
      <c r="A12799" s="5"/>
    </row>
    <row r="12800" spans="1:1">
      <c r="A12800" s="5"/>
    </row>
    <row r="12801" spans="1:1">
      <c r="A12801" s="5"/>
    </row>
    <row r="12802" spans="1:1">
      <c r="A12802" s="5"/>
    </row>
    <row r="12803" spans="1:1">
      <c r="A12803" s="5"/>
    </row>
    <row r="12804" spans="1:1">
      <c r="A12804" s="5"/>
    </row>
    <row r="12805" spans="1:1">
      <c r="A12805" s="5"/>
    </row>
    <row r="12806" spans="1:1">
      <c r="A12806" s="5"/>
    </row>
    <row r="12807" spans="1:1">
      <c r="A12807" s="5"/>
    </row>
    <row r="12808" spans="1:1">
      <c r="A12808" s="5"/>
    </row>
    <row r="12809" spans="1:1">
      <c r="A12809" s="5"/>
    </row>
    <row r="12810" spans="1:1">
      <c r="A12810" s="5"/>
    </row>
    <row r="12811" spans="1:1">
      <c r="A12811" s="5"/>
    </row>
    <row r="12812" spans="1:1">
      <c r="A12812" s="5"/>
    </row>
    <row r="12813" spans="1:1">
      <c r="A12813" s="5"/>
    </row>
    <row r="12814" spans="1:1">
      <c r="A12814" s="5"/>
    </row>
    <row r="12815" spans="1:1">
      <c r="A12815" s="5"/>
    </row>
    <row r="12816" spans="1:1">
      <c r="A12816" s="5"/>
    </row>
    <row r="12817" spans="1:1">
      <c r="A12817" s="5"/>
    </row>
    <row r="12818" spans="1:1">
      <c r="A12818" s="5"/>
    </row>
    <row r="12819" spans="1:1">
      <c r="A12819" s="5"/>
    </row>
    <row r="12820" spans="1:1">
      <c r="A12820" s="5"/>
    </row>
    <row r="12821" spans="1:1">
      <c r="A12821" s="5"/>
    </row>
    <row r="12822" spans="1:1">
      <c r="A12822" s="5"/>
    </row>
    <row r="12823" spans="1:1">
      <c r="A12823" s="5"/>
    </row>
    <row r="12824" spans="1:1">
      <c r="A12824" s="5"/>
    </row>
    <row r="12825" spans="1:1">
      <c r="A12825" s="5"/>
    </row>
    <row r="12826" spans="1:1">
      <c r="A12826" s="5"/>
    </row>
    <row r="12827" spans="1:1">
      <c r="A12827" s="5"/>
    </row>
    <row r="12828" spans="1:1">
      <c r="A12828" s="5"/>
    </row>
    <row r="12829" spans="1:1">
      <c r="A12829" s="5"/>
    </row>
    <row r="12830" spans="1:1">
      <c r="A12830" s="5"/>
    </row>
    <row r="12831" spans="1:1">
      <c r="A12831" s="5"/>
    </row>
    <row r="12832" spans="1:1">
      <c r="A12832" s="5"/>
    </row>
    <row r="12833" spans="1:1">
      <c r="A12833" s="5"/>
    </row>
    <row r="12834" spans="1:1">
      <c r="A12834" s="5"/>
    </row>
    <row r="12835" spans="1:1">
      <c r="A12835" s="5"/>
    </row>
    <row r="12836" spans="1:1">
      <c r="A12836" s="5"/>
    </row>
    <row r="12837" spans="1:1">
      <c r="A12837" s="5"/>
    </row>
    <row r="12838" spans="1:1">
      <c r="A12838" s="5"/>
    </row>
    <row r="12839" spans="1:1">
      <c r="A12839" s="5"/>
    </row>
    <row r="12840" spans="1:1">
      <c r="A12840" s="5"/>
    </row>
    <row r="12841" spans="1:1">
      <c r="A12841" s="5"/>
    </row>
    <row r="12842" spans="1:1">
      <c r="A12842" s="5"/>
    </row>
    <row r="12843" spans="1:1">
      <c r="A12843" s="5"/>
    </row>
    <row r="12844" spans="1:1">
      <c r="A12844" s="5"/>
    </row>
    <row r="12845" spans="1:1">
      <c r="A12845" s="5"/>
    </row>
    <row r="12846" spans="1:1">
      <c r="A12846" s="5"/>
    </row>
    <row r="12847" spans="1:1">
      <c r="A12847" s="5"/>
    </row>
    <row r="12848" spans="1:1">
      <c r="A12848" s="5"/>
    </row>
    <row r="12849" spans="1:1">
      <c r="A12849" s="5"/>
    </row>
    <row r="12850" spans="1:1">
      <c r="A12850" s="5"/>
    </row>
    <row r="12851" spans="1:1">
      <c r="A12851" s="5"/>
    </row>
    <row r="12852" spans="1:1">
      <c r="A12852" s="5"/>
    </row>
    <row r="12853" spans="1:1">
      <c r="A12853" s="5"/>
    </row>
    <row r="12854" spans="1:1">
      <c r="A12854" s="5"/>
    </row>
    <row r="12855" spans="1:1">
      <c r="A12855" s="5"/>
    </row>
    <row r="12856" spans="1:1">
      <c r="A12856" s="5"/>
    </row>
    <row r="12857" spans="1:1">
      <c r="A12857" s="5"/>
    </row>
    <row r="12858" spans="1:1">
      <c r="A12858" s="5"/>
    </row>
    <row r="12859" spans="1:1">
      <c r="A12859" s="5"/>
    </row>
    <row r="12860" spans="1:1">
      <c r="A12860" s="5"/>
    </row>
    <row r="12861" spans="1:1">
      <c r="A12861" s="5"/>
    </row>
    <row r="12862" spans="1:1">
      <c r="A12862" s="5"/>
    </row>
    <row r="12863" spans="1:1">
      <c r="A12863" s="5"/>
    </row>
    <row r="12864" spans="1:1">
      <c r="A12864" s="5"/>
    </row>
    <row r="12865" spans="1:1">
      <c r="A12865" s="5"/>
    </row>
    <row r="12866" spans="1:1">
      <c r="A12866" s="5"/>
    </row>
    <row r="12867" spans="1:1">
      <c r="A12867" s="5"/>
    </row>
    <row r="12868" spans="1:1">
      <c r="A12868" s="5"/>
    </row>
    <row r="12869" spans="1:1">
      <c r="A12869" s="5"/>
    </row>
    <row r="12870" spans="1:1">
      <c r="A12870" s="5"/>
    </row>
    <row r="12871" spans="1:1">
      <c r="A12871" s="5"/>
    </row>
    <row r="12872" spans="1:1">
      <c r="A12872" s="5"/>
    </row>
    <row r="12873" spans="1:1">
      <c r="A12873" s="5"/>
    </row>
    <row r="12874" spans="1:1">
      <c r="A12874" s="5"/>
    </row>
    <row r="12875" spans="1:1">
      <c r="A12875" s="5"/>
    </row>
    <row r="12876" spans="1:1">
      <c r="A12876" s="5"/>
    </row>
    <row r="12877" spans="1:1">
      <c r="A12877" s="5"/>
    </row>
    <row r="12878" spans="1:1">
      <c r="A12878" s="5"/>
    </row>
    <row r="12879" spans="1:1">
      <c r="A12879" s="5"/>
    </row>
    <row r="12880" spans="1:1">
      <c r="A12880" s="5"/>
    </row>
    <row r="12881" spans="1:1">
      <c r="A12881" s="5"/>
    </row>
    <row r="12882" spans="1:1">
      <c r="A12882" s="5"/>
    </row>
    <row r="12883" spans="1:1">
      <c r="A12883" s="5"/>
    </row>
    <row r="12884" spans="1:1">
      <c r="A12884" s="5"/>
    </row>
    <row r="12885" spans="1:1">
      <c r="A12885" s="5"/>
    </row>
    <row r="12886" spans="1:1">
      <c r="A12886" s="5"/>
    </row>
    <row r="12887" spans="1:1">
      <c r="A12887" s="5"/>
    </row>
    <row r="12888" spans="1:1">
      <c r="A12888" s="5"/>
    </row>
    <row r="12889" spans="1:1">
      <c r="A12889" s="5"/>
    </row>
    <row r="12890" spans="1:1">
      <c r="A12890" s="5"/>
    </row>
    <row r="12891" spans="1:1">
      <c r="A12891" s="5"/>
    </row>
    <row r="12892" spans="1:1">
      <c r="A12892" s="5"/>
    </row>
    <row r="12893" spans="1:1">
      <c r="A12893" s="5"/>
    </row>
    <row r="12894" spans="1:1">
      <c r="A12894" s="5"/>
    </row>
    <row r="12895" spans="1:1">
      <c r="A12895" s="5"/>
    </row>
    <row r="12896" spans="1:1">
      <c r="A12896" s="5"/>
    </row>
    <row r="12897" spans="1:1">
      <c r="A12897" s="5"/>
    </row>
    <row r="12898" spans="1:1">
      <c r="A12898" s="5"/>
    </row>
    <row r="12899" spans="1:1">
      <c r="A12899" s="5"/>
    </row>
    <row r="12900" spans="1:1">
      <c r="A12900" s="5"/>
    </row>
    <row r="12901" spans="1:1">
      <c r="A12901" s="5"/>
    </row>
    <row r="12902" spans="1:1">
      <c r="A12902" s="5"/>
    </row>
    <row r="12903" spans="1:1">
      <c r="A12903" s="5"/>
    </row>
    <row r="12904" spans="1:1">
      <c r="A12904" s="5"/>
    </row>
    <row r="12905" spans="1:1">
      <c r="A12905" s="5"/>
    </row>
    <row r="12906" spans="1:1">
      <c r="A12906" s="5"/>
    </row>
    <row r="12907" spans="1:1">
      <c r="A12907" s="5"/>
    </row>
    <row r="12908" spans="1:1">
      <c r="A12908" s="5"/>
    </row>
    <row r="12909" spans="1:1">
      <c r="A12909" s="5"/>
    </row>
    <row r="12910" spans="1:1">
      <c r="A12910" s="5"/>
    </row>
    <row r="12911" spans="1:1">
      <c r="A12911" s="5"/>
    </row>
    <row r="12912" spans="1:1">
      <c r="A12912" s="5"/>
    </row>
    <row r="12913" spans="1:1">
      <c r="A12913" s="5"/>
    </row>
    <row r="12914" spans="1:1">
      <c r="A12914" s="5"/>
    </row>
    <row r="12915" spans="1:1">
      <c r="A12915" s="5"/>
    </row>
    <row r="12916" spans="1:1">
      <c r="A12916" s="5"/>
    </row>
    <row r="12917" spans="1:1">
      <c r="A12917" s="5"/>
    </row>
    <row r="12918" spans="1:1">
      <c r="A12918" s="5"/>
    </row>
    <row r="12919" spans="1:1">
      <c r="A12919" s="5"/>
    </row>
    <row r="12920" spans="1:1">
      <c r="A12920" s="5"/>
    </row>
    <row r="12921" spans="1:1">
      <c r="A12921" s="5"/>
    </row>
    <row r="12922" spans="1:1">
      <c r="A12922" s="5"/>
    </row>
    <row r="12923" spans="1:1">
      <c r="A12923" s="5"/>
    </row>
    <row r="12924" spans="1:1">
      <c r="A12924" s="5"/>
    </row>
    <row r="12925" spans="1:1">
      <c r="A12925" s="5"/>
    </row>
    <row r="12926" spans="1:1">
      <c r="A12926" s="5"/>
    </row>
    <row r="12927" spans="1:1">
      <c r="A12927" s="5"/>
    </row>
    <row r="12928" spans="1:1">
      <c r="A12928" s="5"/>
    </row>
    <row r="12929" spans="1:1">
      <c r="A12929" s="5"/>
    </row>
    <row r="12930" spans="1:1">
      <c r="A12930" s="5"/>
    </row>
    <row r="12931" spans="1:1">
      <c r="A12931" s="5"/>
    </row>
    <row r="12932" spans="1:1">
      <c r="A12932" s="5"/>
    </row>
    <row r="12933" spans="1:1">
      <c r="A12933" s="5"/>
    </row>
    <row r="12934" spans="1:1">
      <c r="A12934" s="5"/>
    </row>
    <row r="12935" spans="1:1">
      <c r="A12935" s="5"/>
    </row>
    <row r="12936" spans="1:1">
      <c r="A12936" s="5"/>
    </row>
    <row r="12937" spans="1:1">
      <c r="A12937" s="5"/>
    </row>
    <row r="12938" spans="1:1">
      <c r="A12938" s="5"/>
    </row>
    <row r="12939" spans="1:1">
      <c r="A12939" s="5"/>
    </row>
    <row r="12940" spans="1:1">
      <c r="A12940" s="5"/>
    </row>
    <row r="12941" spans="1:1">
      <c r="A12941" s="5"/>
    </row>
    <row r="12942" spans="1:1">
      <c r="A12942" s="5"/>
    </row>
    <row r="12943" spans="1:1">
      <c r="A12943" s="5"/>
    </row>
    <row r="12944" spans="1:1">
      <c r="A12944" s="5"/>
    </row>
    <row r="12945" spans="1:1">
      <c r="A12945" s="5"/>
    </row>
    <row r="12946" spans="1:1">
      <c r="A12946" s="5"/>
    </row>
    <row r="12947" spans="1:1">
      <c r="A12947" s="5"/>
    </row>
    <row r="12948" spans="1:1">
      <c r="A12948" s="5"/>
    </row>
    <row r="12949" spans="1:1">
      <c r="A12949" s="5"/>
    </row>
    <row r="12950" spans="1:1">
      <c r="A12950" s="5"/>
    </row>
    <row r="12951" spans="1:1">
      <c r="A12951" s="5"/>
    </row>
    <row r="12952" spans="1:1">
      <c r="A12952" s="5"/>
    </row>
    <row r="12953" spans="1:1">
      <c r="A12953" s="5"/>
    </row>
    <row r="12954" spans="1:1">
      <c r="A12954" s="5"/>
    </row>
    <row r="12955" spans="1:1">
      <c r="A12955" s="5"/>
    </row>
    <row r="12956" spans="1:1">
      <c r="A12956" s="5"/>
    </row>
    <row r="12957" spans="1:1">
      <c r="A12957" s="5"/>
    </row>
    <row r="12958" spans="1:1">
      <c r="A12958" s="5"/>
    </row>
    <row r="12959" spans="1:1">
      <c r="A12959" s="5"/>
    </row>
    <row r="12960" spans="1:1">
      <c r="A12960" s="5"/>
    </row>
    <row r="12961" spans="1:1">
      <c r="A12961" s="5"/>
    </row>
    <row r="12962" spans="1:1">
      <c r="A12962" s="5"/>
    </row>
    <row r="12963" spans="1:1">
      <c r="A12963" s="5"/>
    </row>
    <row r="12964" spans="1:1">
      <c r="A12964" s="5"/>
    </row>
    <row r="12965" spans="1:1">
      <c r="A12965" s="5"/>
    </row>
    <row r="12966" spans="1:1">
      <c r="A12966" s="5"/>
    </row>
    <row r="12967" spans="1:1">
      <c r="A12967" s="5"/>
    </row>
    <row r="12968" spans="1:1">
      <c r="A12968" s="5"/>
    </row>
    <row r="12969" spans="1:1">
      <c r="A12969" s="5"/>
    </row>
    <row r="12970" spans="1:1">
      <c r="A12970" s="5"/>
    </row>
    <row r="12971" spans="1:1">
      <c r="A12971" s="5"/>
    </row>
    <row r="12972" spans="1:1">
      <c r="A12972" s="5"/>
    </row>
    <row r="12973" spans="1:1">
      <c r="A12973" s="5"/>
    </row>
    <row r="12974" spans="1:1">
      <c r="A12974" s="5"/>
    </row>
    <row r="12975" spans="1:1">
      <c r="A12975" s="5"/>
    </row>
    <row r="12976" spans="1:1">
      <c r="A12976" s="5"/>
    </row>
    <row r="12977" spans="1:1">
      <c r="A12977" s="5"/>
    </row>
    <row r="12978" spans="1:1">
      <c r="A12978" s="5"/>
    </row>
    <row r="12979" spans="1:1">
      <c r="A12979" s="5"/>
    </row>
    <row r="12980" spans="1:1">
      <c r="A12980" s="5"/>
    </row>
    <row r="12981" spans="1:1">
      <c r="A12981" s="5"/>
    </row>
    <row r="12982" spans="1:1">
      <c r="A12982" s="5"/>
    </row>
    <row r="12983" spans="1:1">
      <c r="A12983" s="5"/>
    </row>
    <row r="12984" spans="1:1">
      <c r="A12984" s="5"/>
    </row>
    <row r="12985" spans="1:1">
      <c r="A12985" s="5"/>
    </row>
    <row r="12986" spans="1:1">
      <c r="A12986" s="5"/>
    </row>
    <row r="12987" spans="1:1">
      <c r="A12987" s="5"/>
    </row>
    <row r="12988" spans="1:1">
      <c r="A12988" s="5"/>
    </row>
    <row r="12989" spans="1:1">
      <c r="A12989" s="5"/>
    </row>
    <row r="12990" spans="1:1">
      <c r="A12990" s="5"/>
    </row>
    <row r="12991" spans="1:1">
      <c r="A12991" s="5"/>
    </row>
    <row r="12992" spans="1:1">
      <c r="A12992" s="5"/>
    </row>
    <row r="12993" spans="1:1">
      <c r="A12993" s="5"/>
    </row>
    <row r="12994" spans="1:1">
      <c r="A12994" s="5"/>
    </row>
    <row r="12995" spans="1:1">
      <c r="A12995" s="5"/>
    </row>
    <row r="12996" spans="1:1">
      <c r="A12996" s="5"/>
    </row>
    <row r="12997" spans="1:1">
      <c r="A12997" s="5"/>
    </row>
    <row r="12998" spans="1:1">
      <c r="A12998" s="5"/>
    </row>
    <row r="12999" spans="1:1">
      <c r="A12999" s="5"/>
    </row>
    <row r="13000" spans="1:1">
      <c r="A13000" s="5"/>
    </row>
    <row r="13001" spans="1:1">
      <c r="A13001" s="5"/>
    </row>
    <row r="13002" spans="1:1">
      <c r="A13002" s="5"/>
    </row>
    <row r="13003" spans="1:1">
      <c r="A13003" s="5"/>
    </row>
    <row r="13004" spans="1:1">
      <c r="A13004" s="5"/>
    </row>
    <row r="13005" spans="1:1">
      <c r="A13005" s="5"/>
    </row>
    <row r="13006" spans="1:1">
      <c r="A13006" s="5"/>
    </row>
    <row r="13007" spans="1:1">
      <c r="A13007" s="5"/>
    </row>
    <row r="13008" spans="1:1">
      <c r="A13008" s="5"/>
    </row>
    <row r="13009" spans="1:1">
      <c r="A13009" s="5"/>
    </row>
    <row r="13010" spans="1:1">
      <c r="A13010" s="5"/>
    </row>
    <row r="13011" spans="1:1">
      <c r="A13011" s="5"/>
    </row>
    <row r="13012" spans="1:1">
      <c r="A13012" s="5"/>
    </row>
    <row r="13013" spans="1:1">
      <c r="A13013" s="5"/>
    </row>
    <row r="13014" spans="1:1">
      <c r="A13014" s="5"/>
    </row>
    <row r="13015" spans="1:1">
      <c r="A13015" s="5"/>
    </row>
    <row r="13016" spans="1:1">
      <c r="A13016" s="5"/>
    </row>
    <row r="13017" spans="1:1">
      <c r="A13017" s="5"/>
    </row>
    <row r="13018" spans="1:1">
      <c r="A13018" s="5"/>
    </row>
    <row r="13019" spans="1:1">
      <c r="A13019" s="5"/>
    </row>
    <row r="13020" spans="1:1">
      <c r="A13020" s="5"/>
    </row>
    <row r="13021" spans="1:1">
      <c r="A13021" s="5"/>
    </row>
    <row r="13022" spans="1:1">
      <c r="A13022" s="5"/>
    </row>
    <row r="13023" spans="1:1">
      <c r="A13023" s="5"/>
    </row>
    <row r="13024" spans="1:1">
      <c r="A13024" s="5"/>
    </row>
    <row r="13025" spans="1:1">
      <c r="A13025" s="5"/>
    </row>
    <row r="13026" spans="1:1">
      <c r="A13026" s="5"/>
    </row>
    <row r="13027" spans="1:1">
      <c r="A13027" s="5"/>
    </row>
    <row r="13028" spans="1:1">
      <c r="A13028" s="5"/>
    </row>
    <row r="13029" spans="1:1">
      <c r="A13029" s="5"/>
    </row>
    <row r="13030" spans="1:1">
      <c r="A13030" s="5"/>
    </row>
    <row r="13031" spans="1:1">
      <c r="A13031" s="5"/>
    </row>
    <row r="13032" spans="1:1">
      <c r="A13032" s="5"/>
    </row>
    <row r="13033" spans="1:1">
      <c r="A13033" s="5"/>
    </row>
    <row r="13034" spans="1:1">
      <c r="A13034" s="5"/>
    </row>
    <row r="13035" spans="1:1">
      <c r="A13035" s="5"/>
    </row>
    <row r="13036" spans="1:1">
      <c r="A13036" s="5"/>
    </row>
    <row r="13037" spans="1:1">
      <c r="A13037" s="5"/>
    </row>
    <row r="13038" spans="1:1">
      <c r="A13038" s="5"/>
    </row>
    <row r="13039" spans="1:1">
      <c r="A13039" s="5"/>
    </row>
    <row r="13040" spans="1:1">
      <c r="A13040" s="5"/>
    </row>
    <row r="13041" spans="1:1">
      <c r="A13041" s="5"/>
    </row>
    <row r="13042" spans="1:1">
      <c r="A13042" s="5"/>
    </row>
    <row r="13043" spans="1:1">
      <c r="A13043" s="5"/>
    </row>
    <row r="13044" spans="1:1">
      <c r="A13044" s="5"/>
    </row>
    <row r="13045" spans="1:1">
      <c r="A13045" s="5"/>
    </row>
    <row r="13046" spans="1:1">
      <c r="A13046" s="5"/>
    </row>
    <row r="13047" spans="1:1">
      <c r="A13047" s="5"/>
    </row>
    <row r="13048" spans="1:1">
      <c r="A13048" s="5"/>
    </row>
    <row r="13049" spans="1:1">
      <c r="A13049" s="5"/>
    </row>
    <row r="13050" spans="1:1">
      <c r="A13050" s="5"/>
    </row>
    <row r="13051" spans="1:1">
      <c r="A13051" s="5"/>
    </row>
    <row r="13052" spans="1:1">
      <c r="A13052" s="5"/>
    </row>
    <row r="13053" spans="1:1">
      <c r="A13053" s="5"/>
    </row>
    <row r="13054" spans="1:1">
      <c r="A13054" s="5"/>
    </row>
    <row r="13055" spans="1:1">
      <c r="A13055" s="5"/>
    </row>
    <row r="13056" spans="1:1">
      <c r="A13056" s="5"/>
    </row>
    <row r="13057" spans="1:1">
      <c r="A13057" s="5"/>
    </row>
    <row r="13058" spans="1:1">
      <c r="A13058" s="5"/>
    </row>
    <row r="13059" spans="1:1">
      <c r="A13059" s="5"/>
    </row>
    <row r="13060" spans="1:1">
      <c r="A13060" s="5"/>
    </row>
    <row r="13061" spans="1:1">
      <c r="A13061" s="5"/>
    </row>
    <row r="13062" spans="1:1">
      <c r="A13062" s="5"/>
    </row>
    <row r="13063" spans="1:1">
      <c r="A13063" s="5"/>
    </row>
    <row r="13064" spans="1:1">
      <c r="A13064" s="5"/>
    </row>
    <row r="13065" spans="1:1">
      <c r="A13065" s="5"/>
    </row>
    <row r="13066" spans="1:1">
      <c r="A13066" s="5"/>
    </row>
    <row r="13067" spans="1:1">
      <c r="A13067" s="5"/>
    </row>
    <row r="13068" spans="1:1">
      <c r="A13068" s="5"/>
    </row>
    <row r="13069" spans="1:1">
      <c r="A13069" s="5"/>
    </row>
    <row r="13070" spans="1:1">
      <c r="A13070" s="5"/>
    </row>
    <row r="13071" spans="1:1">
      <c r="A13071" s="5"/>
    </row>
    <row r="13072" spans="1:1">
      <c r="A13072" s="5"/>
    </row>
    <row r="13073" spans="1:1">
      <c r="A13073" s="5"/>
    </row>
    <row r="13074" spans="1:1">
      <c r="A13074" s="5"/>
    </row>
    <row r="13075" spans="1:1">
      <c r="A13075" s="5"/>
    </row>
    <row r="13076" spans="1:1">
      <c r="A13076" s="5"/>
    </row>
    <row r="13077" spans="1:1">
      <c r="A13077" s="5"/>
    </row>
    <row r="13078" spans="1:1">
      <c r="A13078" s="5"/>
    </row>
    <row r="13079" spans="1:1">
      <c r="A13079" s="5"/>
    </row>
    <row r="13080" spans="1:1">
      <c r="A13080" s="5"/>
    </row>
    <row r="13081" spans="1:1">
      <c r="A13081" s="5"/>
    </row>
    <row r="13082" spans="1:1">
      <c r="A13082" s="5"/>
    </row>
    <row r="13083" spans="1:1">
      <c r="A13083" s="5"/>
    </row>
    <row r="13084" spans="1:1">
      <c r="A13084" s="5"/>
    </row>
    <row r="13085" spans="1:1">
      <c r="A13085" s="5"/>
    </row>
    <row r="13086" spans="1:1">
      <c r="A13086" s="5"/>
    </row>
    <row r="13087" spans="1:1">
      <c r="A13087" s="5"/>
    </row>
    <row r="13088" spans="1:1">
      <c r="A13088" s="5"/>
    </row>
    <row r="13089" spans="1:1">
      <c r="A13089" s="5"/>
    </row>
    <row r="13090" spans="1:1">
      <c r="A13090" s="5"/>
    </row>
    <row r="13091" spans="1:1">
      <c r="A13091" s="5"/>
    </row>
    <row r="13092" spans="1:1">
      <c r="A13092" s="5"/>
    </row>
    <row r="13093" spans="1:1">
      <c r="A13093" s="5"/>
    </row>
    <row r="13094" spans="1:1">
      <c r="A13094" s="5"/>
    </row>
    <row r="13095" spans="1:1">
      <c r="A13095" s="5"/>
    </row>
    <row r="13096" spans="1:1">
      <c r="A13096" s="5"/>
    </row>
    <row r="13097" spans="1:1">
      <c r="A13097" s="5"/>
    </row>
    <row r="13098" spans="1:1">
      <c r="A13098" s="5"/>
    </row>
    <row r="13099" spans="1:1">
      <c r="A13099" s="5"/>
    </row>
    <row r="13100" spans="1:1">
      <c r="A13100" s="5"/>
    </row>
    <row r="13101" spans="1:1">
      <c r="A13101" s="5"/>
    </row>
    <row r="13102" spans="1:1">
      <c r="A13102" s="5"/>
    </row>
    <row r="13103" spans="1:1">
      <c r="A13103" s="5"/>
    </row>
    <row r="13104" spans="1:1">
      <c r="A13104" s="5"/>
    </row>
    <row r="13105" spans="1:1">
      <c r="A13105" s="5"/>
    </row>
    <row r="13106" spans="1:1">
      <c r="A13106" s="5"/>
    </row>
    <row r="13107" spans="1:1">
      <c r="A13107" s="5"/>
    </row>
    <row r="13108" spans="1:1">
      <c r="A13108" s="5"/>
    </row>
    <row r="13109" spans="1:1">
      <c r="A13109" s="5"/>
    </row>
    <row r="13110" spans="1:1">
      <c r="A13110" s="5"/>
    </row>
    <row r="13111" spans="1:1">
      <c r="A13111" s="5"/>
    </row>
    <row r="13112" spans="1:1">
      <c r="A13112" s="5"/>
    </row>
    <row r="13113" spans="1:1">
      <c r="A13113" s="5"/>
    </row>
    <row r="13114" spans="1:1">
      <c r="A13114" s="5"/>
    </row>
    <row r="13115" spans="1:1">
      <c r="A13115" s="5"/>
    </row>
    <row r="13116" spans="1:1">
      <c r="A13116" s="5"/>
    </row>
    <row r="13117" spans="1:1">
      <c r="A13117" s="5"/>
    </row>
    <row r="13118" spans="1:1">
      <c r="A13118" s="5"/>
    </row>
    <row r="13119" spans="1:1">
      <c r="A13119" s="5"/>
    </row>
    <row r="13120" spans="1:1">
      <c r="A13120" s="5"/>
    </row>
    <row r="13121" spans="1:1">
      <c r="A13121" s="5"/>
    </row>
    <row r="13122" spans="1:1">
      <c r="A13122" s="5"/>
    </row>
    <row r="13123" spans="1:1">
      <c r="A13123" s="5"/>
    </row>
    <row r="13124" spans="1:1">
      <c r="A13124" s="5"/>
    </row>
    <row r="13125" spans="1:1">
      <c r="A13125" s="5"/>
    </row>
    <row r="13126" spans="1:1">
      <c r="A13126" s="5"/>
    </row>
    <row r="13127" spans="1:1">
      <c r="A13127" s="5"/>
    </row>
    <row r="13128" spans="1:1">
      <c r="A13128" s="5"/>
    </row>
    <row r="13129" spans="1:1">
      <c r="A13129" s="5"/>
    </row>
    <row r="13130" spans="1:1">
      <c r="A13130" s="5"/>
    </row>
    <row r="13131" spans="1:1">
      <c r="A13131" s="5"/>
    </row>
    <row r="13132" spans="1:1">
      <c r="A13132" s="5"/>
    </row>
    <row r="13133" spans="1:1">
      <c r="A13133" s="5"/>
    </row>
    <row r="13134" spans="1:1">
      <c r="A13134" s="5"/>
    </row>
    <row r="13135" spans="1:1">
      <c r="A13135" s="5"/>
    </row>
    <row r="13136" spans="1:1">
      <c r="A13136" s="5"/>
    </row>
    <row r="13137" spans="1:1">
      <c r="A13137" s="5"/>
    </row>
    <row r="13138" spans="1:1">
      <c r="A13138" s="5"/>
    </row>
    <row r="13139" spans="1:1">
      <c r="A13139" s="5"/>
    </row>
    <row r="13140" spans="1:1">
      <c r="A13140" s="5"/>
    </row>
    <row r="13141" spans="1:1">
      <c r="A13141" s="5"/>
    </row>
    <row r="13142" spans="1:1">
      <c r="A13142" s="5"/>
    </row>
    <row r="13143" spans="1:1">
      <c r="A13143" s="5"/>
    </row>
    <row r="13144" spans="1:1">
      <c r="A13144" s="5"/>
    </row>
    <row r="13145" spans="1:1">
      <c r="A13145" s="5"/>
    </row>
    <row r="13146" spans="1:1">
      <c r="A13146" s="5"/>
    </row>
    <row r="13147" spans="1:1">
      <c r="A13147" s="5"/>
    </row>
    <row r="13148" spans="1:1">
      <c r="A13148" s="5"/>
    </row>
    <row r="13149" spans="1:1">
      <c r="A13149" s="5"/>
    </row>
    <row r="13150" spans="1:1">
      <c r="A13150" s="5"/>
    </row>
    <row r="13151" spans="1:1">
      <c r="A13151" s="5"/>
    </row>
    <row r="13152" spans="1:1">
      <c r="A13152" s="5"/>
    </row>
    <row r="13153" spans="1:1">
      <c r="A13153" s="5"/>
    </row>
    <row r="13154" spans="1:1">
      <c r="A13154" s="5"/>
    </row>
    <row r="13155" spans="1:1">
      <c r="A13155" s="5"/>
    </row>
    <row r="13156" spans="1:1">
      <c r="A13156" s="5"/>
    </row>
    <row r="13157" spans="1:1">
      <c r="A13157" s="5"/>
    </row>
    <row r="13158" spans="1:1">
      <c r="A13158" s="5"/>
    </row>
    <row r="13159" spans="1:1">
      <c r="A13159" s="5"/>
    </row>
    <row r="13160" spans="1:1">
      <c r="A13160" s="5"/>
    </row>
    <row r="13161" spans="1:1">
      <c r="A13161" s="5"/>
    </row>
    <row r="13162" spans="1:1">
      <c r="A13162" s="5"/>
    </row>
    <row r="13163" spans="1:1">
      <c r="A13163" s="5"/>
    </row>
    <row r="13164" spans="1:1">
      <c r="A13164" s="5"/>
    </row>
    <row r="13165" spans="1:1">
      <c r="A13165" s="5"/>
    </row>
    <row r="13166" spans="1:1">
      <c r="A13166" s="5"/>
    </row>
    <row r="13167" spans="1:1">
      <c r="A13167" s="5"/>
    </row>
    <row r="13168" spans="1:1">
      <c r="A13168" s="5"/>
    </row>
    <row r="13169" spans="1:1">
      <c r="A13169" s="5"/>
    </row>
    <row r="13170" spans="1:1">
      <c r="A13170" s="5"/>
    </row>
    <row r="13171" spans="1:1">
      <c r="A13171" s="5"/>
    </row>
    <row r="13172" spans="1:1">
      <c r="A13172" s="5"/>
    </row>
    <row r="13173" spans="1:1">
      <c r="A13173" s="5"/>
    </row>
    <row r="13174" spans="1:1">
      <c r="A13174" s="5"/>
    </row>
    <row r="13175" spans="1:1">
      <c r="A13175" s="5"/>
    </row>
    <row r="13176" spans="1:1">
      <c r="A13176" s="5"/>
    </row>
    <row r="13177" spans="1:1">
      <c r="A13177" s="5"/>
    </row>
    <row r="13178" spans="1:1">
      <c r="A13178" s="5"/>
    </row>
    <row r="13179" spans="1:1">
      <c r="A13179" s="5"/>
    </row>
    <row r="13180" spans="1:1">
      <c r="A13180" s="5"/>
    </row>
    <row r="13181" spans="1:1">
      <c r="A13181" s="5"/>
    </row>
    <row r="13182" spans="1:1">
      <c r="A13182" s="5"/>
    </row>
    <row r="13183" spans="1:1">
      <c r="A13183" s="5"/>
    </row>
    <row r="13184" spans="1:1">
      <c r="A13184" s="5"/>
    </row>
    <row r="13185" spans="1:1">
      <c r="A13185" s="5"/>
    </row>
    <row r="13186" spans="1:1">
      <c r="A13186" s="5"/>
    </row>
    <row r="13187" spans="1:1">
      <c r="A13187" s="5"/>
    </row>
    <row r="13188" spans="1:1">
      <c r="A13188" s="5"/>
    </row>
    <row r="13189" spans="1:1">
      <c r="A13189" s="5"/>
    </row>
    <row r="13190" spans="1:1">
      <c r="A13190" s="5"/>
    </row>
    <row r="13191" spans="1:1">
      <c r="A13191" s="5"/>
    </row>
    <row r="13192" spans="1:1">
      <c r="A13192" s="5"/>
    </row>
    <row r="13193" spans="1:1">
      <c r="A13193" s="5"/>
    </row>
    <row r="13194" spans="1:1">
      <c r="A13194" s="5"/>
    </row>
    <row r="13195" spans="1:1">
      <c r="A13195" s="5"/>
    </row>
    <row r="13196" spans="1:1">
      <c r="A13196" s="5"/>
    </row>
    <row r="13197" spans="1:1">
      <c r="A13197" s="5"/>
    </row>
    <row r="13198" spans="1:1">
      <c r="A13198" s="5"/>
    </row>
    <row r="13199" spans="1:1">
      <c r="A13199" s="5"/>
    </row>
    <row r="13200" spans="1:1">
      <c r="A13200" s="5"/>
    </row>
    <row r="13201" spans="1:1">
      <c r="A13201" s="5"/>
    </row>
    <row r="13202" spans="1:1">
      <c r="A13202" s="5"/>
    </row>
    <row r="13203" spans="1:1">
      <c r="A13203" s="5"/>
    </row>
    <row r="13204" spans="1:1">
      <c r="A13204" s="5"/>
    </row>
    <row r="13205" spans="1:1">
      <c r="A13205" s="5"/>
    </row>
    <row r="13206" spans="1:1">
      <c r="A13206" s="5"/>
    </row>
    <row r="13207" spans="1:1">
      <c r="A13207" s="5"/>
    </row>
    <row r="13208" spans="1:1">
      <c r="A13208" s="5"/>
    </row>
    <row r="13209" spans="1:1">
      <c r="A13209" s="5"/>
    </row>
    <row r="13210" spans="1:1">
      <c r="A13210" s="5"/>
    </row>
    <row r="13211" spans="1:1">
      <c r="A13211" s="5"/>
    </row>
    <row r="13212" spans="1:1">
      <c r="A13212" s="5"/>
    </row>
    <row r="13213" spans="1:1">
      <c r="A13213" s="5"/>
    </row>
    <row r="13214" spans="1:1">
      <c r="A13214" s="5"/>
    </row>
    <row r="13215" spans="1:1">
      <c r="A13215" s="5"/>
    </row>
    <row r="13216" spans="1:1">
      <c r="A13216" s="5"/>
    </row>
    <row r="13217" spans="1:1">
      <c r="A13217" s="5"/>
    </row>
    <row r="13218" spans="1:1">
      <c r="A13218" s="5"/>
    </row>
    <row r="13219" spans="1:1">
      <c r="A13219" s="5"/>
    </row>
    <row r="13220" spans="1:1">
      <c r="A13220" s="5"/>
    </row>
    <row r="13221" spans="1:1">
      <c r="A13221" s="5"/>
    </row>
    <row r="13222" spans="1:1">
      <c r="A13222" s="5"/>
    </row>
    <row r="13223" spans="1:1">
      <c r="A13223" s="5"/>
    </row>
    <row r="13224" spans="1:1">
      <c r="A13224" s="5"/>
    </row>
    <row r="13225" spans="1:1">
      <c r="A13225" s="5"/>
    </row>
    <row r="13226" spans="1:1">
      <c r="A13226" s="5"/>
    </row>
    <row r="13227" spans="1:1">
      <c r="A13227" s="5"/>
    </row>
    <row r="13228" spans="1:1">
      <c r="A13228" s="5"/>
    </row>
    <row r="13229" spans="1:1">
      <c r="A13229" s="5"/>
    </row>
    <row r="13230" spans="1:1">
      <c r="A13230" s="5"/>
    </row>
    <row r="13231" spans="1:1">
      <c r="A13231" s="5"/>
    </row>
    <row r="13232" spans="1:1">
      <c r="A13232" s="5"/>
    </row>
    <row r="13233" spans="1:1">
      <c r="A13233" s="5"/>
    </row>
    <row r="13234" spans="1:1">
      <c r="A13234" s="5"/>
    </row>
    <row r="13235" spans="1:1">
      <c r="A13235" s="5"/>
    </row>
    <row r="13236" spans="1:1">
      <c r="A13236" s="5"/>
    </row>
    <row r="13237" spans="1:1">
      <c r="A13237" s="5"/>
    </row>
    <row r="13238" spans="1:1">
      <c r="A13238" s="5"/>
    </row>
    <row r="13239" spans="1:1">
      <c r="A13239" s="5"/>
    </row>
    <row r="13240" spans="1:1">
      <c r="A13240" s="5"/>
    </row>
    <row r="13241" spans="1:1">
      <c r="A13241" s="5"/>
    </row>
    <row r="13242" spans="1:1">
      <c r="A13242" s="5"/>
    </row>
    <row r="13243" spans="1:1">
      <c r="A13243" s="5"/>
    </row>
    <row r="13244" spans="1:1">
      <c r="A13244" s="5"/>
    </row>
    <row r="13245" spans="1:1">
      <c r="A13245" s="5"/>
    </row>
    <row r="13246" spans="1:1">
      <c r="A13246" s="5"/>
    </row>
    <row r="13247" spans="1:1">
      <c r="A13247" s="5"/>
    </row>
    <row r="13248" spans="1:1">
      <c r="A13248" s="5"/>
    </row>
    <row r="13249" spans="1:1">
      <c r="A13249" s="5"/>
    </row>
    <row r="13250" spans="1:1">
      <c r="A13250" s="5"/>
    </row>
    <row r="13251" spans="1:1">
      <c r="A13251" s="5"/>
    </row>
    <row r="13252" spans="1:1">
      <c r="A13252" s="5"/>
    </row>
    <row r="13253" spans="1:1">
      <c r="A13253" s="5"/>
    </row>
    <row r="13254" spans="1:1">
      <c r="A13254" s="5"/>
    </row>
    <row r="13255" spans="1:1">
      <c r="A13255" s="5"/>
    </row>
    <row r="13256" spans="1:1">
      <c r="A13256" s="5"/>
    </row>
    <row r="13257" spans="1:1">
      <c r="A13257" s="5"/>
    </row>
    <row r="13258" spans="1:1">
      <c r="A13258" s="5"/>
    </row>
    <row r="13259" spans="1:1">
      <c r="A13259" s="5"/>
    </row>
    <row r="13260" spans="1:1">
      <c r="A13260" s="5"/>
    </row>
    <row r="13261" spans="1:1">
      <c r="A13261" s="5"/>
    </row>
    <row r="13262" spans="1:1">
      <c r="A13262" s="5"/>
    </row>
    <row r="13263" spans="1:1">
      <c r="A13263" s="5"/>
    </row>
    <row r="13264" spans="1:1">
      <c r="A13264" s="5"/>
    </row>
    <row r="13265" spans="1:1">
      <c r="A13265" s="5"/>
    </row>
    <row r="13266" spans="1:1">
      <c r="A13266" s="5"/>
    </row>
    <row r="13267" spans="1:1">
      <c r="A13267" s="5"/>
    </row>
    <row r="13268" spans="1:1">
      <c r="A13268" s="5"/>
    </row>
    <row r="13269" spans="1:1">
      <c r="A13269" s="5"/>
    </row>
    <row r="13270" spans="1:1">
      <c r="A13270" s="5"/>
    </row>
    <row r="13271" spans="1:1">
      <c r="A13271" s="5"/>
    </row>
    <row r="13272" spans="1:1">
      <c r="A13272" s="5"/>
    </row>
    <row r="13273" spans="1:1">
      <c r="A13273" s="5"/>
    </row>
    <row r="13274" spans="1:1">
      <c r="A13274" s="5"/>
    </row>
    <row r="13275" spans="1:1">
      <c r="A13275" s="5"/>
    </row>
    <row r="13276" spans="1:1">
      <c r="A13276" s="5"/>
    </row>
    <row r="13277" spans="1:1">
      <c r="A13277" s="5"/>
    </row>
    <row r="13278" spans="1:1">
      <c r="A13278" s="5"/>
    </row>
    <row r="13279" spans="1:1">
      <c r="A13279" s="5"/>
    </row>
    <row r="13280" spans="1:1">
      <c r="A13280" s="5"/>
    </row>
    <row r="13281" spans="1:1">
      <c r="A13281" s="5"/>
    </row>
    <row r="13282" spans="1:1">
      <c r="A13282" s="5"/>
    </row>
    <row r="13283" spans="1:1">
      <c r="A13283" s="5"/>
    </row>
    <row r="13284" spans="1:1">
      <c r="A13284" s="5"/>
    </row>
    <row r="13285" spans="1:1">
      <c r="A13285" s="5"/>
    </row>
    <row r="13286" spans="1:1">
      <c r="A13286" s="5"/>
    </row>
    <row r="13287" spans="1:1">
      <c r="A13287" s="5"/>
    </row>
    <row r="13288" spans="1:1">
      <c r="A13288" s="5"/>
    </row>
    <row r="13289" spans="1:1">
      <c r="A13289" s="5"/>
    </row>
    <row r="13290" spans="1:1">
      <c r="A13290" s="5"/>
    </row>
    <row r="13291" spans="1:1">
      <c r="A13291" s="5"/>
    </row>
    <row r="13292" spans="1:1">
      <c r="A13292" s="5"/>
    </row>
    <row r="13293" spans="1:1">
      <c r="A13293" s="5"/>
    </row>
    <row r="13294" spans="1:1">
      <c r="A13294" s="5"/>
    </row>
    <row r="13295" spans="1:1">
      <c r="A13295" s="5"/>
    </row>
    <row r="13296" spans="1:1">
      <c r="A13296" s="5"/>
    </row>
    <row r="13297" spans="1:1">
      <c r="A13297" s="5"/>
    </row>
    <row r="13298" spans="1:1">
      <c r="A13298" s="5"/>
    </row>
    <row r="13299" spans="1:1">
      <c r="A13299" s="5"/>
    </row>
    <row r="13300" spans="1:1">
      <c r="A13300" s="5"/>
    </row>
    <row r="13301" spans="1:1">
      <c r="A13301" s="5"/>
    </row>
    <row r="13302" spans="1:1">
      <c r="A13302" s="5"/>
    </row>
    <row r="13303" spans="1:1">
      <c r="A13303" s="5"/>
    </row>
    <row r="13304" spans="1:1">
      <c r="A13304" s="5"/>
    </row>
    <row r="13305" spans="1:1">
      <c r="A13305" s="5"/>
    </row>
    <row r="13306" spans="1:1">
      <c r="A13306" s="5"/>
    </row>
    <row r="13307" spans="1:1">
      <c r="A13307" s="5"/>
    </row>
    <row r="13308" spans="1:1">
      <c r="A13308" s="5"/>
    </row>
    <row r="13309" spans="1:1">
      <c r="A13309" s="5"/>
    </row>
    <row r="13310" spans="1:1">
      <c r="A13310" s="5"/>
    </row>
    <row r="13311" spans="1:1">
      <c r="A13311" s="5"/>
    </row>
    <row r="13312" spans="1:1">
      <c r="A13312" s="5"/>
    </row>
    <row r="13313" spans="1:1">
      <c r="A13313" s="5"/>
    </row>
    <row r="13314" spans="1:1">
      <c r="A13314" s="5"/>
    </row>
    <row r="13315" spans="1:1">
      <c r="A13315" s="5"/>
    </row>
    <row r="13316" spans="1:1">
      <c r="A13316" s="5"/>
    </row>
    <row r="13317" spans="1:1">
      <c r="A13317" s="5"/>
    </row>
    <row r="13318" spans="1:1">
      <c r="A13318" s="5"/>
    </row>
    <row r="13319" spans="1:1">
      <c r="A13319" s="5"/>
    </row>
    <row r="13320" spans="1:1">
      <c r="A13320" s="5"/>
    </row>
    <row r="13321" spans="1:1">
      <c r="A13321" s="5"/>
    </row>
    <row r="13322" spans="1:1">
      <c r="A13322" s="5"/>
    </row>
    <row r="13323" spans="1:1">
      <c r="A13323" s="5"/>
    </row>
    <row r="13324" spans="1:1">
      <c r="A13324" s="5"/>
    </row>
    <row r="13325" spans="1:1">
      <c r="A13325" s="5"/>
    </row>
    <row r="13326" spans="1:1">
      <c r="A13326" s="5"/>
    </row>
    <row r="13327" spans="1:1">
      <c r="A13327" s="5"/>
    </row>
    <row r="13328" spans="1:1">
      <c r="A13328" s="5"/>
    </row>
    <row r="13329" spans="1:1">
      <c r="A13329" s="5"/>
    </row>
    <row r="13330" spans="1:1">
      <c r="A13330" s="5"/>
    </row>
    <row r="13331" spans="1:1">
      <c r="A13331" s="5"/>
    </row>
    <row r="13332" spans="1:1">
      <c r="A13332" s="5"/>
    </row>
    <row r="13333" spans="1:1">
      <c r="A13333" s="5"/>
    </row>
    <row r="13334" spans="1:1">
      <c r="A13334" s="5"/>
    </row>
    <row r="13335" spans="1:1">
      <c r="A13335" s="5"/>
    </row>
    <row r="13336" spans="1:1">
      <c r="A13336" s="5"/>
    </row>
    <row r="13337" spans="1:1">
      <c r="A13337" s="5"/>
    </row>
    <row r="13338" spans="1:1">
      <c r="A13338" s="5"/>
    </row>
    <row r="13339" spans="1:1">
      <c r="A13339" s="5"/>
    </row>
    <row r="13340" spans="1:1">
      <c r="A13340" s="5"/>
    </row>
    <row r="13341" spans="1:1">
      <c r="A13341" s="5"/>
    </row>
    <row r="13342" spans="1:1">
      <c r="A13342" s="5"/>
    </row>
    <row r="13343" spans="1:1">
      <c r="A13343" s="5"/>
    </row>
    <row r="13344" spans="1:1">
      <c r="A13344" s="5"/>
    </row>
    <row r="13345" spans="1:1">
      <c r="A13345" s="5"/>
    </row>
    <row r="13346" spans="1:1">
      <c r="A13346" s="5"/>
    </row>
    <row r="13347" spans="1:1">
      <c r="A13347" s="5"/>
    </row>
    <row r="13348" spans="1:1">
      <c r="A13348" s="5"/>
    </row>
    <row r="13349" spans="1:1">
      <c r="A13349" s="5"/>
    </row>
    <row r="13350" spans="1:1">
      <c r="A13350" s="5"/>
    </row>
    <row r="13351" spans="1:1">
      <c r="A13351" s="5"/>
    </row>
    <row r="13352" spans="1:1">
      <c r="A13352" s="5"/>
    </row>
    <row r="13353" spans="1:1">
      <c r="A13353" s="5"/>
    </row>
    <row r="13354" spans="1:1">
      <c r="A13354" s="5"/>
    </row>
    <row r="13355" spans="1:1">
      <c r="A13355" s="5"/>
    </row>
    <row r="13356" spans="1:1">
      <c r="A13356" s="5"/>
    </row>
    <row r="13357" spans="1:1">
      <c r="A13357" s="5"/>
    </row>
    <row r="13358" spans="1:1">
      <c r="A13358" s="5"/>
    </row>
    <row r="13359" spans="1:1">
      <c r="A13359" s="5"/>
    </row>
    <row r="13360" spans="1:1">
      <c r="A13360" s="5"/>
    </row>
    <row r="13361" spans="1:1">
      <c r="A13361" s="5"/>
    </row>
    <row r="13362" spans="1:1">
      <c r="A13362" s="5"/>
    </row>
    <row r="13363" spans="1:1">
      <c r="A13363" s="5"/>
    </row>
    <row r="13364" spans="1:1">
      <c r="A13364" s="5"/>
    </row>
    <row r="13365" spans="1:1">
      <c r="A13365" s="5"/>
    </row>
    <row r="13366" spans="1:1">
      <c r="A13366" s="5"/>
    </row>
    <row r="13367" spans="1:1">
      <c r="A13367" s="5"/>
    </row>
    <row r="13368" spans="1:1">
      <c r="A13368" s="5"/>
    </row>
    <row r="13369" spans="1:1">
      <c r="A13369" s="5"/>
    </row>
    <row r="13370" spans="1:1">
      <c r="A13370" s="5"/>
    </row>
    <row r="13371" spans="1:1">
      <c r="A13371" s="5"/>
    </row>
    <row r="13372" spans="1:1">
      <c r="A13372" s="5"/>
    </row>
    <row r="13373" spans="1:1">
      <c r="A13373" s="5"/>
    </row>
    <row r="13374" spans="1:1">
      <c r="A13374" s="5"/>
    </row>
    <row r="13375" spans="1:1">
      <c r="A13375" s="5"/>
    </row>
    <row r="13376" spans="1:1">
      <c r="A13376" s="5"/>
    </row>
    <row r="13377" spans="1:1">
      <c r="A13377" s="5"/>
    </row>
    <row r="13378" spans="1:1">
      <c r="A13378" s="5"/>
    </row>
    <row r="13379" spans="1:1">
      <c r="A13379" s="5"/>
    </row>
    <row r="13380" spans="1:1">
      <c r="A13380" s="5"/>
    </row>
    <row r="13381" spans="1:1">
      <c r="A13381" s="5"/>
    </row>
    <row r="13382" spans="1:1">
      <c r="A13382" s="5"/>
    </row>
    <row r="13383" spans="1:1">
      <c r="A13383" s="5"/>
    </row>
    <row r="13384" spans="1:1">
      <c r="A13384" s="5"/>
    </row>
    <row r="13385" spans="1:1">
      <c r="A13385" s="5"/>
    </row>
    <row r="13386" spans="1:1">
      <c r="A13386" s="5"/>
    </row>
    <row r="13387" spans="1:1">
      <c r="A13387" s="5"/>
    </row>
    <row r="13388" spans="1:1">
      <c r="A13388" s="5"/>
    </row>
    <row r="13389" spans="1:1">
      <c r="A13389" s="5"/>
    </row>
    <row r="13390" spans="1:1">
      <c r="A13390" s="5"/>
    </row>
    <row r="13391" spans="1:1">
      <c r="A13391" s="5"/>
    </row>
    <row r="13392" spans="1:1">
      <c r="A13392" s="5"/>
    </row>
    <row r="13393" spans="1:1">
      <c r="A13393" s="5"/>
    </row>
    <row r="13394" spans="1:1">
      <c r="A13394" s="5"/>
    </row>
    <row r="13395" spans="1:1">
      <c r="A13395" s="5"/>
    </row>
    <row r="13396" spans="1:1">
      <c r="A13396" s="5"/>
    </row>
    <row r="13397" spans="1:1">
      <c r="A13397" s="5"/>
    </row>
    <row r="13398" spans="1:1">
      <c r="A13398" s="5"/>
    </row>
    <row r="13399" spans="1:1">
      <c r="A13399" s="5"/>
    </row>
    <row r="13400" spans="1:1">
      <c r="A13400" s="5"/>
    </row>
    <row r="13401" spans="1:1">
      <c r="A13401" s="5"/>
    </row>
    <row r="13402" spans="1:1">
      <c r="A13402" s="5"/>
    </row>
    <row r="13403" spans="1:1">
      <c r="A13403" s="5"/>
    </row>
    <row r="13404" spans="1:1">
      <c r="A13404" s="5"/>
    </row>
    <row r="13405" spans="1:1">
      <c r="A13405" s="5"/>
    </row>
    <row r="13406" spans="1:1">
      <c r="A13406" s="5"/>
    </row>
    <row r="13407" spans="1:1">
      <c r="A13407" s="5"/>
    </row>
    <row r="13408" spans="1:1">
      <c r="A13408" s="5"/>
    </row>
    <row r="13409" spans="1:1">
      <c r="A13409" s="5"/>
    </row>
    <row r="13410" spans="1:1">
      <c r="A13410" s="5"/>
    </row>
    <row r="13411" spans="1:1">
      <c r="A13411" s="5"/>
    </row>
    <row r="13412" spans="1:1">
      <c r="A13412" s="5"/>
    </row>
    <row r="13413" spans="1:1">
      <c r="A13413" s="5"/>
    </row>
    <row r="13414" spans="1:1">
      <c r="A13414" s="5"/>
    </row>
    <row r="13415" spans="1:1">
      <c r="A13415" s="5"/>
    </row>
    <row r="13416" spans="1:1">
      <c r="A13416" s="5"/>
    </row>
    <row r="13417" spans="1:1">
      <c r="A13417" s="5"/>
    </row>
    <row r="13418" spans="1:1">
      <c r="A13418" s="5"/>
    </row>
    <row r="13419" spans="1:1">
      <c r="A13419" s="5"/>
    </row>
    <row r="13420" spans="1:1">
      <c r="A13420" s="5"/>
    </row>
    <row r="13421" spans="1:1">
      <c r="A13421" s="5"/>
    </row>
    <row r="13422" spans="1:1">
      <c r="A13422" s="5"/>
    </row>
    <row r="13423" spans="1:1">
      <c r="A13423" s="5"/>
    </row>
    <row r="13424" spans="1:1">
      <c r="A13424" s="5"/>
    </row>
    <row r="13425" spans="1:1">
      <c r="A13425" s="5"/>
    </row>
    <row r="13426" spans="1:1">
      <c r="A13426" s="5"/>
    </row>
    <row r="13427" spans="1:1">
      <c r="A13427" s="5"/>
    </row>
    <row r="13428" spans="1:1">
      <c r="A13428" s="5"/>
    </row>
    <row r="13429" spans="1:1">
      <c r="A13429" s="5"/>
    </row>
    <row r="13430" spans="1:1">
      <c r="A13430" s="5"/>
    </row>
    <row r="13431" spans="1:1">
      <c r="A13431" s="5"/>
    </row>
    <row r="13432" spans="1:1">
      <c r="A13432" s="5"/>
    </row>
    <row r="13433" spans="1:1">
      <c r="A13433" s="5"/>
    </row>
    <row r="13434" spans="1:1">
      <c r="A13434" s="5"/>
    </row>
    <row r="13435" spans="1:1">
      <c r="A13435" s="5"/>
    </row>
    <row r="13436" spans="1:1">
      <c r="A13436" s="5"/>
    </row>
    <row r="13437" spans="1:1">
      <c r="A13437" s="5"/>
    </row>
    <row r="13438" spans="1:1">
      <c r="A13438" s="5"/>
    </row>
    <row r="13439" spans="1:1">
      <c r="A13439" s="5"/>
    </row>
    <row r="13440" spans="1:1">
      <c r="A13440" s="5"/>
    </row>
    <row r="13441" spans="1:1">
      <c r="A13441" s="5"/>
    </row>
    <row r="13442" spans="1:1">
      <c r="A13442" s="5"/>
    </row>
    <row r="13443" spans="1:1">
      <c r="A13443" s="5"/>
    </row>
    <row r="13444" spans="1:1">
      <c r="A13444" s="5"/>
    </row>
    <row r="13445" spans="1:1">
      <c r="A13445" s="5"/>
    </row>
    <row r="13446" spans="1:1">
      <c r="A13446" s="5"/>
    </row>
    <row r="13447" spans="1:1">
      <c r="A13447" s="5"/>
    </row>
    <row r="13448" spans="1:1">
      <c r="A13448" s="5"/>
    </row>
    <row r="13449" spans="1:1">
      <c r="A13449" s="5"/>
    </row>
    <row r="13450" spans="1:1">
      <c r="A13450" s="5"/>
    </row>
    <row r="13451" spans="1:1">
      <c r="A13451" s="5"/>
    </row>
    <row r="13452" spans="1:1">
      <c r="A13452" s="5"/>
    </row>
    <row r="13453" spans="1:1">
      <c r="A13453" s="5"/>
    </row>
    <row r="13454" spans="1:1">
      <c r="A13454" s="5"/>
    </row>
    <row r="13455" spans="1:1">
      <c r="A13455" s="5"/>
    </row>
    <row r="13456" spans="1:1">
      <c r="A13456" s="5"/>
    </row>
    <row r="13457" spans="1:1">
      <c r="A13457" s="5"/>
    </row>
    <row r="13458" spans="1:1">
      <c r="A13458" s="5"/>
    </row>
    <row r="13459" spans="1:1">
      <c r="A13459" s="5"/>
    </row>
    <row r="13460" spans="1:1">
      <c r="A13460" s="5"/>
    </row>
    <row r="13461" spans="1:1">
      <c r="A13461" s="5"/>
    </row>
    <row r="13462" spans="1:1">
      <c r="A13462" s="5"/>
    </row>
    <row r="13463" spans="1:1">
      <c r="A13463" s="5"/>
    </row>
    <row r="13464" spans="1:1">
      <c r="A13464" s="5"/>
    </row>
    <row r="13465" spans="1:1">
      <c r="A13465" s="5"/>
    </row>
    <row r="13466" spans="1:1">
      <c r="A13466" s="5"/>
    </row>
    <row r="13467" spans="1:1">
      <c r="A13467" s="5"/>
    </row>
    <row r="13468" spans="1:1">
      <c r="A13468" s="5"/>
    </row>
    <row r="13469" spans="1:1">
      <c r="A13469" s="5"/>
    </row>
    <row r="13470" spans="1:1">
      <c r="A13470" s="5"/>
    </row>
    <row r="13471" spans="1:1">
      <c r="A13471" s="5"/>
    </row>
    <row r="13472" spans="1:1">
      <c r="A13472" s="5"/>
    </row>
    <row r="13473" spans="1:1">
      <c r="A13473" s="5"/>
    </row>
    <row r="13474" spans="1:1">
      <c r="A13474" s="5"/>
    </row>
    <row r="13475" spans="1:1">
      <c r="A13475" s="5"/>
    </row>
    <row r="13476" spans="1:1">
      <c r="A13476" s="5"/>
    </row>
    <row r="13477" spans="1:1">
      <c r="A13477" s="5"/>
    </row>
    <row r="13478" spans="1:1">
      <c r="A13478" s="5"/>
    </row>
    <row r="13479" spans="1:1">
      <c r="A13479" s="5"/>
    </row>
    <row r="13480" spans="1:1">
      <c r="A13480" s="5"/>
    </row>
    <row r="13481" spans="1:1">
      <c r="A13481" s="5"/>
    </row>
    <row r="13482" spans="1:1">
      <c r="A13482" s="5"/>
    </row>
    <row r="13483" spans="1:1">
      <c r="A13483" s="5"/>
    </row>
    <row r="13484" spans="1:1">
      <c r="A13484" s="5"/>
    </row>
    <row r="13485" spans="1:1">
      <c r="A13485" s="5"/>
    </row>
    <row r="13486" spans="1:1">
      <c r="A13486" s="5"/>
    </row>
    <row r="13487" spans="1:1">
      <c r="A13487" s="5"/>
    </row>
    <row r="13488" spans="1:1">
      <c r="A13488" s="5"/>
    </row>
    <row r="13489" spans="1:1">
      <c r="A13489" s="5"/>
    </row>
    <row r="13490" spans="1:1">
      <c r="A13490" s="5"/>
    </row>
    <row r="13491" spans="1:1">
      <c r="A13491" s="5"/>
    </row>
    <row r="13492" spans="1:1">
      <c r="A13492" s="5"/>
    </row>
    <row r="13493" spans="1:1">
      <c r="A13493" s="5"/>
    </row>
    <row r="13494" spans="1:1">
      <c r="A13494" s="5"/>
    </row>
    <row r="13495" spans="1:1">
      <c r="A13495" s="5"/>
    </row>
    <row r="13496" spans="1:1">
      <c r="A13496" s="5"/>
    </row>
    <row r="13497" spans="1:1">
      <c r="A13497" s="5"/>
    </row>
    <row r="13498" spans="1:1">
      <c r="A13498" s="5"/>
    </row>
    <row r="13499" spans="1:1">
      <c r="A13499" s="5"/>
    </row>
    <row r="13500" spans="1:1">
      <c r="A13500" s="5"/>
    </row>
    <row r="13501" spans="1:1">
      <c r="A13501" s="5"/>
    </row>
    <row r="13502" spans="1:1">
      <c r="A13502" s="5"/>
    </row>
    <row r="13503" spans="1:1">
      <c r="A13503" s="5"/>
    </row>
    <row r="13504" spans="1:1">
      <c r="A13504" s="5"/>
    </row>
    <row r="13505" spans="1:1">
      <c r="A13505" s="5"/>
    </row>
    <row r="13506" spans="1:1">
      <c r="A13506" s="5"/>
    </row>
    <row r="13507" spans="1:1">
      <c r="A13507" s="5"/>
    </row>
    <row r="13508" spans="1:1">
      <c r="A13508" s="5"/>
    </row>
    <row r="13509" spans="1:1">
      <c r="A13509" s="5"/>
    </row>
    <row r="13510" spans="1:1">
      <c r="A13510" s="5"/>
    </row>
    <row r="13511" spans="1:1">
      <c r="A13511" s="5"/>
    </row>
    <row r="13512" spans="1:1">
      <c r="A13512" s="5"/>
    </row>
    <row r="13513" spans="1:1">
      <c r="A13513" s="5"/>
    </row>
    <row r="13514" spans="1:1">
      <c r="A13514" s="5"/>
    </row>
    <row r="13515" spans="1:1">
      <c r="A13515" s="5"/>
    </row>
    <row r="13516" spans="1:1">
      <c r="A13516" s="5"/>
    </row>
    <row r="13517" spans="1:1">
      <c r="A13517" s="5"/>
    </row>
    <row r="13518" spans="1:1">
      <c r="A13518" s="5"/>
    </row>
    <row r="13519" spans="1:1">
      <c r="A13519" s="5"/>
    </row>
    <row r="13520" spans="1:1">
      <c r="A13520" s="5"/>
    </row>
    <row r="13521" spans="1:1">
      <c r="A13521" s="5"/>
    </row>
    <row r="13522" spans="1:1">
      <c r="A13522" s="5"/>
    </row>
    <row r="13523" spans="1:1">
      <c r="A13523" s="5"/>
    </row>
    <row r="13524" spans="1:1">
      <c r="A13524" s="5"/>
    </row>
    <row r="13525" spans="1:1">
      <c r="A13525" s="5"/>
    </row>
    <row r="13526" spans="1:1">
      <c r="A13526" s="5"/>
    </row>
    <row r="13527" spans="1:1">
      <c r="A13527" s="5"/>
    </row>
    <row r="13528" spans="1:1">
      <c r="A13528" s="5"/>
    </row>
    <row r="13529" spans="1:1">
      <c r="A13529" s="5"/>
    </row>
    <row r="13530" spans="1:1">
      <c r="A13530" s="5"/>
    </row>
    <row r="13531" spans="1:1">
      <c r="A13531" s="5"/>
    </row>
    <row r="13532" spans="1:1">
      <c r="A13532" s="5"/>
    </row>
    <row r="13533" spans="1:1">
      <c r="A13533" s="5"/>
    </row>
    <row r="13534" spans="1:1">
      <c r="A13534" s="5"/>
    </row>
    <row r="13535" spans="1:1">
      <c r="A13535" s="5"/>
    </row>
    <row r="13536" spans="1:1">
      <c r="A13536" s="5"/>
    </row>
    <row r="13537" spans="1:1">
      <c r="A13537" s="5"/>
    </row>
    <row r="13538" spans="1:1">
      <c r="A13538" s="5"/>
    </row>
    <row r="13539" spans="1:1">
      <c r="A13539" s="5"/>
    </row>
    <row r="13540" spans="1:1">
      <c r="A13540" s="5"/>
    </row>
    <row r="13541" spans="1:1">
      <c r="A13541" s="5"/>
    </row>
    <row r="13542" spans="1:1">
      <c r="A13542" s="5"/>
    </row>
    <row r="13543" spans="1:1">
      <c r="A13543" s="5"/>
    </row>
    <row r="13544" spans="1:1">
      <c r="A13544" s="5"/>
    </row>
    <row r="13545" spans="1:1">
      <c r="A13545" s="5"/>
    </row>
    <row r="13546" spans="1:1">
      <c r="A13546" s="5"/>
    </row>
    <row r="13547" spans="1:1">
      <c r="A13547" s="5"/>
    </row>
    <row r="13548" spans="1:1">
      <c r="A13548" s="5"/>
    </row>
    <row r="13549" spans="1:1">
      <c r="A13549" s="5"/>
    </row>
    <row r="13550" spans="1:1">
      <c r="A13550" s="5"/>
    </row>
    <row r="13551" spans="1:1">
      <c r="A13551" s="5"/>
    </row>
    <row r="13552" spans="1:1">
      <c r="A13552" s="5"/>
    </row>
    <row r="13553" spans="1:1">
      <c r="A13553" s="5"/>
    </row>
    <row r="13554" spans="1:1">
      <c r="A13554" s="5"/>
    </row>
    <row r="13555" spans="1:1">
      <c r="A13555" s="5"/>
    </row>
    <row r="13556" spans="1:1">
      <c r="A13556" s="5"/>
    </row>
    <row r="13557" spans="1:1">
      <c r="A13557" s="5"/>
    </row>
    <row r="13558" spans="1:1">
      <c r="A13558" s="5"/>
    </row>
    <row r="13559" spans="1:1">
      <c r="A13559" s="5"/>
    </row>
    <row r="13560" spans="1:1">
      <c r="A13560" s="5"/>
    </row>
    <row r="13561" spans="1:1">
      <c r="A13561" s="5"/>
    </row>
    <row r="13562" spans="1:1">
      <c r="A13562" s="5"/>
    </row>
    <row r="13563" spans="1:1">
      <c r="A13563" s="5"/>
    </row>
    <row r="13564" spans="1:1">
      <c r="A13564" s="5"/>
    </row>
    <row r="13565" spans="1:1">
      <c r="A13565" s="5"/>
    </row>
    <row r="13566" spans="1:1">
      <c r="A13566" s="5"/>
    </row>
    <row r="13567" spans="1:1">
      <c r="A13567" s="5"/>
    </row>
    <row r="13568" spans="1:1">
      <c r="A13568" s="5"/>
    </row>
    <row r="13569" spans="1:1">
      <c r="A13569" s="5"/>
    </row>
    <row r="13570" spans="1:1">
      <c r="A13570" s="5"/>
    </row>
    <row r="13571" spans="1:1">
      <c r="A13571" s="5"/>
    </row>
    <row r="13572" spans="1:1">
      <c r="A13572" s="5"/>
    </row>
    <row r="13573" spans="1:1">
      <c r="A13573" s="5"/>
    </row>
    <row r="13574" spans="1:1">
      <c r="A13574" s="5"/>
    </row>
    <row r="13575" spans="1:1">
      <c r="A13575" s="5"/>
    </row>
    <row r="13576" spans="1:1">
      <c r="A13576" s="5"/>
    </row>
    <row r="13577" spans="1:1">
      <c r="A13577" s="5"/>
    </row>
    <row r="13578" spans="1:1">
      <c r="A13578" s="5"/>
    </row>
    <row r="13579" spans="1:1">
      <c r="A13579" s="5"/>
    </row>
    <row r="13580" spans="1:1">
      <c r="A13580" s="5"/>
    </row>
    <row r="13581" spans="1:1">
      <c r="A13581" s="5"/>
    </row>
    <row r="13582" spans="1:1">
      <c r="A13582" s="5"/>
    </row>
    <row r="13583" spans="1:1">
      <c r="A13583" s="5"/>
    </row>
    <row r="13584" spans="1:1">
      <c r="A13584" s="5"/>
    </row>
    <row r="13585" spans="1:1">
      <c r="A13585" s="5"/>
    </row>
    <row r="13586" spans="1:1">
      <c r="A13586" s="5"/>
    </row>
    <row r="13587" spans="1:1">
      <c r="A13587" s="5"/>
    </row>
    <row r="13588" spans="1:1">
      <c r="A13588" s="5"/>
    </row>
    <row r="13589" spans="1:1">
      <c r="A13589" s="5"/>
    </row>
    <row r="13590" spans="1:1">
      <c r="A13590" s="5"/>
    </row>
    <row r="13591" spans="1:1">
      <c r="A13591" s="5"/>
    </row>
    <row r="13592" spans="1:1">
      <c r="A13592" s="5"/>
    </row>
    <row r="13593" spans="1:1">
      <c r="A13593" s="5"/>
    </row>
    <row r="13594" spans="1:1">
      <c r="A13594" s="5"/>
    </row>
    <row r="13595" spans="1:1">
      <c r="A13595" s="5"/>
    </row>
    <row r="13596" spans="1:1">
      <c r="A13596" s="5"/>
    </row>
    <row r="13597" spans="1:1">
      <c r="A13597" s="5"/>
    </row>
    <row r="13598" spans="1:1">
      <c r="A13598" s="5"/>
    </row>
    <row r="13599" spans="1:1">
      <c r="A13599" s="5"/>
    </row>
    <row r="13600" spans="1:1">
      <c r="A13600" s="5"/>
    </row>
    <row r="13601" spans="1:1">
      <c r="A13601" s="5"/>
    </row>
    <row r="13602" spans="1:1">
      <c r="A13602" s="5"/>
    </row>
    <row r="13603" spans="1:1">
      <c r="A13603" s="5"/>
    </row>
    <row r="13604" spans="1:1">
      <c r="A13604" s="5"/>
    </row>
    <row r="13605" spans="1:1">
      <c r="A13605" s="5"/>
    </row>
    <row r="13606" spans="1:1">
      <c r="A13606" s="5"/>
    </row>
    <row r="13607" spans="1:1">
      <c r="A13607" s="5"/>
    </row>
    <row r="13608" spans="1:1">
      <c r="A13608" s="5"/>
    </row>
    <row r="13609" spans="1:1">
      <c r="A13609" s="5"/>
    </row>
    <row r="13610" spans="1:1">
      <c r="A13610" s="5"/>
    </row>
    <row r="13611" spans="1:1">
      <c r="A13611" s="5"/>
    </row>
    <row r="13612" spans="1:1">
      <c r="A13612" s="5"/>
    </row>
    <row r="13613" spans="1:1">
      <c r="A13613" s="5"/>
    </row>
    <row r="13614" spans="1:1">
      <c r="A13614" s="5"/>
    </row>
    <row r="13615" spans="1:1">
      <c r="A13615" s="5"/>
    </row>
    <row r="13616" spans="1:1">
      <c r="A13616" s="5"/>
    </row>
    <row r="13617" spans="1:1">
      <c r="A13617" s="5"/>
    </row>
    <row r="13618" spans="1:1">
      <c r="A13618" s="5"/>
    </row>
    <row r="13619" spans="1:1">
      <c r="A13619" s="5"/>
    </row>
    <row r="13620" spans="1:1">
      <c r="A13620" s="5"/>
    </row>
    <row r="13621" spans="1:1">
      <c r="A13621" s="5"/>
    </row>
    <row r="13622" spans="1:1">
      <c r="A13622" s="5"/>
    </row>
    <row r="13623" spans="1:1">
      <c r="A13623" s="5"/>
    </row>
    <row r="13624" spans="1:1">
      <c r="A13624" s="5"/>
    </row>
    <row r="13625" spans="1:1">
      <c r="A13625" s="5"/>
    </row>
    <row r="13626" spans="1:1">
      <c r="A13626" s="5"/>
    </row>
    <row r="13627" spans="1:1">
      <c r="A13627" s="5"/>
    </row>
    <row r="13628" spans="1:1">
      <c r="A13628" s="5"/>
    </row>
    <row r="13629" spans="1:1">
      <c r="A13629" s="5"/>
    </row>
    <row r="13630" spans="1:1">
      <c r="A13630" s="5"/>
    </row>
    <row r="13631" spans="1:1">
      <c r="A13631" s="5"/>
    </row>
    <row r="13632" spans="1:1">
      <c r="A13632" s="5"/>
    </row>
    <row r="13633" spans="1:1">
      <c r="A13633" s="5"/>
    </row>
    <row r="13634" spans="1:1">
      <c r="A13634" s="5"/>
    </row>
    <row r="13635" spans="1:1">
      <c r="A13635" s="5"/>
    </row>
    <row r="13636" spans="1:1">
      <c r="A13636" s="5"/>
    </row>
    <row r="13637" spans="1:1">
      <c r="A13637" s="5"/>
    </row>
    <row r="13638" spans="1:1">
      <c r="A13638" s="5"/>
    </row>
    <row r="13639" spans="1:1">
      <c r="A13639" s="5"/>
    </row>
    <row r="13640" spans="1:1">
      <c r="A13640" s="5"/>
    </row>
    <row r="13641" spans="1:1">
      <c r="A13641" s="5"/>
    </row>
    <row r="13642" spans="1:1">
      <c r="A13642" s="5"/>
    </row>
    <row r="13643" spans="1:1">
      <c r="A13643" s="5"/>
    </row>
    <row r="13644" spans="1:1">
      <c r="A13644" s="5"/>
    </row>
    <row r="13645" spans="1:1">
      <c r="A13645" s="5"/>
    </row>
    <row r="13646" spans="1:1">
      <c r="A13646" s="5"/>
    </row>
    <row r="13647" spans="1:1">
      <c r="A13647" s="5"/>
    </row>
    <row r="13648" spans="1:1">
      <c r="A13648" s="5"/>
    </row>
    <row r="13649" spans="1:1">
      <c r="A13649" s="5"/>
    </row>
    <row r="13650" spans="1:1">
      <c r="A13650" s="5"/>
    </row>
    <row r="13651" spans="1:1">
      <c r="A13651" s="5"/>
    </row>
    <row r="13652" spans="1:1">
      <c r="A13652" s="5"/>
    </row>
    <row r="13653" spans="1:1">
      <c r="A13653" s="5"/>
    </row>
    <row r="13654" spans="1:1">
      <c r="A13654" s="5"/>
    </row>
    <row r="13655" spans="1:1">
      <c r="A13655" s="5"/>
    </row>
    <row r="13656" spans="1:1">
      <c r="A13656" s="5"/>
    </row>
    <row r="13657" spans="1:1">
      <c r="A13657" s="5"/>
    </row>
    <row r="13658" spans="1:1">
      <c r="A13658" s="5"/>
    </row>
    <row r="13659" spans="1:1">
      <c r="A13659" s="5"/>
    </row>
    <row r="13660" spans="1:1">
      <c r="A13660" s="5"/>
    </row>
    <row r="13661" spans="1:1">
      <c r="A13661" s="5"/>
    </row>
    <row r="13662" spans="1:1">
      <c r="A13662" s="5"/>
    </row>
    <row r="13663" spans="1:1">
      <c r="A13663" s="5"/>
    </row>
    <row r="13664" spans="1:1">
      <c r="A13664" s="5"/>
    </row>
    <row r="13665" spans="1:1">
      <c r="A13665" s="5"/>
    </row>
    <row r="13666" spans="1:1">
      <c r="A13666" s="5"/>
    </row>
    <row r="13667" spans="1:1">
      <c r="A13667" s="5"/>
    </row>
    <row r="13668" spans="1:1">
      <c r="A13668" s="5"/>
    </row>
    <row r="13669" spans="1:1">
      <c r="A13669" s="5"/>
    </row>
    <row r="13670" spans="1:1">
      <c r="A13670" s="5"/>
    </row>
    <row r="13671" spans="1:1">
      <c r="A13671" s="5"/>
    </row>
    <row r="13672" spans="1:1">
      <c r="A13672" s="5"/>
    </row>
    <row r="13673" spans="1:1">
      <c r="A13673" s="5"/>
    </row>
    <row r="13674" spans="1:1">
      <c r="A13674" s="5"/>
    </row>
    <row r="13675" spans="1:1">
      <c r="A13675" s="5"/>
    </row>
    <row r="13676" spans="1:1">
      <c r="A13676" s="5"/>
    </row>
    <row r="13677" spans="1:1">
      <c r="A13677" s="5"/>
    </row>
    <row r="13678" spans="1:1">
      <c r="A13678" s="5"/>
    </row>
    <row r="13679" spans="1:1">
      <c r="A13679" s="5"/>
    </row>
    <row r="13680" spans="1:1">
      <c r="A13680" s="5"/>
    </row>
    <row r="13681" spans="1:1">
      <c r="A13681" s="5"/>
    </row>
    <row r="13682" spans="1:1">
      <c r="A13682" s="5"/>
    </row>
    <row r="13683" spans="1:1">
      <c r="A13683" s="5"/>
    </row>
    <row r="13684" spans="1:1">
      <c r="A13684" s="5"/>
    </row>
    <row r="13685" spans="1:1">
      <c r="A13685" s="5"/>
    </row>
    <row r="13686" spans="1:1">
      <c r="A13686" s="5"/>
    </row>
    <row r="13687" spans="1:1">
      <c r="A13687" s="5"/>
    </row>
    <row r="13688" spans="1:1">
      <c r="A13688" s="5"/>
    </row>
    <row r="13689" spans="1:1">
      <c r="A13689" s="5"/>
    </row>
    <row r="13690" spans="1:1">
      <c r="A13690" s="5"/>
    </row>
    <row r="13691" spans="1:1">
      <c r="A13691" s="5"/>
    </row>
    <row r="13692" spans="1:1">
      <c r="A13692" s="5"/>
    </row>
    <row r="13693" spans="1:1">
      <c r="A13693" s="5"/>
    </row>
    <row r="13694" spans="1:1">
      <c r="A13694" s="5"/>
    </row>
    <row r="13695" spans="1:1">
      <c r="A13695" s="5"/>
    </row>
    <row r="13696" spans="1:1">
      <c r="A13696" s="5"/>
    </row>
    <row r="13697" spans="1:1">
      <c r="A13697" s="5"/>
    </row>
    <row r="13698" spans="1:1">
      <c r="A13698" s="5"/>
    </row>
    <row r="13699" spans="1:1">
      <c r="A13699" s="5"/>
    </row>
    <row r="13700" spans="1:1">
      <c r="A13700" s="5"/>
    </row>
    <row r="13701" spans="1:1">
      <c r="A13701" s="5"/>
    </row>
    <row r="13702" spans="1:1">
      <c r="A13702" s="5"/>
    </row>
    <row r="13703" spans="1:1">
      <c r="A13703" s="5"/>
    </row>
    <row r="13704" spans="1:1">
      <c r="A13704" s="5"/>
    </row>
    <row r="13705" spans="1:1">
      <c r="A13705" s="5"/>
    </row>
    <row r="13706" spans="1:1">
      <c r="A13706" s="5"/>
    </row>
    <row r="13707" spans="1:1">
      <c r="A13707" s="5"/>
    </row>
    <row r="13708" spans="1:1">
      <c r="A13708" s="5"/>
    </row>
    <row r="13709" spans="1:1">
      <c r="A13709" s="5"/>
    </row>
    <row r="13710" spans="1:1">
      <c r="A13710" s="5"/>
    </row>
    <row r="13711" spans="1:1">
      <c r="A13711" s="5"/>
    </row>
    <row r="13712" spans="1:1">
      <c r="A13712" s="5"/>
    </row>
    <row r="13713" spans="1:1">
      <c r="A13713" s="5"/>
    </row>
    <row r="13714" spans="1:1">
      <c r="A13714" s="5"/>
    </row>
    <row r="13715" spans="1:1">
      <c r="A13715" s="5"/>
    </row>
    <row r="13716" spans="1:1">
      <c r="A13716" s="5"/>
    </row>
    <row r="13717" spans="1:1">
      <c r="A13717" s="5"/>
    </row>
    <row r="13718" spans="1:1">
      <c r="A13718" s="5"/>
    </row>
    <row r="13719" spans="1:1">
      <c r="A13719" s="5"/>
    </row>
    <row r="13720" spans="1:1">
      <c r="A13720" s="5"/>
    </row>
    <row r="13721" spans="1:1">
      <c r="A13721" s="5"/>
    </row>
    <row r="13722" spans="1:1">
      <c r="A13722" s="5"/>
    </row>
    <row r="13723" spans="1:1">
      <c r="A13723" s="5"/>
    </row>
    <row r="13724" spans="1:1">
      <c r="A13724" s="5"/>
    </row>
    <row r="13725" spans="1:1">
      <c r="A13725" s="5"/>
    </row>
    <row r="13726" spans="1:1">
      <c r="A13726" s="5"/>
    </row>
    <row r="13727" spans="1:1">
      <c r="A13727" s="5"/>
    </row>
    <row r="13728" spans="1:1">
      <c r="A13728" s="5"/>
    </row>
    <row r="13729" spans="1:1">
      <c r="A13729" s="5"/>
    </row>
    <row r="13730" spans="1:1">
      <c r="A13730" s="5"/>
    </row>
    <row r="13731" spans="1:1">
      <c r="A13731" s="5"/>
    </row>
    <row r="13732" spans="1:1">
      <c r="A13732" s="5"/>
    </row>
    <row r="13733" spans="1:1">
      <c r="A13733" s="5"/>
    </row>
    <row r="13734" spans="1:1">
      <c r="A13734" s="5"/>
    </row>
    <row r="13735" spans="1:1">
      <c r="A13735" s="5"/>
    </row>
    <row r="13736" spans="1:1">
      <c r="A13736" s="5"/>
    </row>
    <row r="13737" spans="1:1">
      <c r="A13737" s="5"/>
    </row>
    <row r="13738" spans="1:1">
      <c r="A13738" s="5"/>
    </row>
    <row r="13739" spans="1:1">
      <c r="A13739" s="5"/>
    </row>
    <row r="13740" spans="1:1">
      <c r="A13740" s="5"/>
    </row>
    <row r="13741" spans="1:1">
      <c r="A13741" s="5"/>
    </row>
    <row r="13742" spans="1:1">
      <c r="A13742" s="5"/>
    </row>
    <row r="13743" spans="1:1">
      <c r="A13743" s="5"/>
    </row>
    <row r="13744" spans="1:1">
      <c r="A13744" s="5"/>
    </row>
    <row r="13745" spans="1:1">
      <c r="A13745" s="5"/>
    </row>
    <row r="13746" spans="1:1">
      <c r="A13746" s="5"/>
    </row>
    <row r="13747" spans="1:1">
      <c r="A13747" s="5"/>
    </row>
    <row r="13748" spans="1:1">
      <c r="A13748" s="5"/>
    </row>
    <row r="13749" spans="1:1">
      <c r="A13749" s="5"/>
    </row>
    <row r="13750" spans="1:1">
      <c r="A13750" s="5"/>
    </row>
    <row r="13751" spans="1:1">
      <c r="A13751" s="5"/>
    </row>
    <row r="13752" spans="1:1">
      <c r="A13752" s="5"/>
    </row>
    <row r="13753" spans="1:1">
      <c r="A13753" s="5"/>
    </row>
    <row r="13754" spans="1:1">
      <c r="A13754" s="5"/>
    </row>
    <row r="13755" spans="1:1">
      <c r="A13755" s="5"/>
    </row>
    <row r="13756" spans="1:1">
      <c r="A13756" s="5"/>
    </row>
    <row r="13757" spans="1:1">
      <c r="A13757" s="5"/>
    </row>
    <row r="13758" spans="1:1">
      <c r="A13758" s="5"/>
    </row>
    <row r="13759" spans="1:1">
      <c r="A13759" s="5"/>
    </row>
    <row r="13760" spans="1:1">
      <c r="A13760" s="5"/>
    </row>
    <row r="13761" spans="1:1">
      <c r="A13761" s="5"/>
    </row>
    <row r="13762" spans="1:1">
      <c r="A13762" s="5"/>
    </row>
    <row r="13763" spans="1:1">
      <c r="A13763" s="5"/>
    </row>
    <row r="13764" spans="1:1">
      <c r="A13764" s="5"/>
    </row>
    <row r="13765" spans="1:1">
      <c r="A13765" s="5"/>
    </row>
    <row r="13766" spans="1:1">
      <c r="A13766" s="5"/>
    </row>
    <row r="13767" spans="1:1">
      <c r="A13767" s="5"/>
    </row>
    <row r="13768" spans="1:1">
      <c r="A13768" s="5"/>
    </row>
    <row r="13769" spans="1:1">
      <c r="A13769" s="5"/>
    </row>
    <row r="13770" spans="1:1">
      <c r="A13770" s="5"/>
    </row>
    <row r="13771" spans="1:1">
      <c r="A13771" s="5"/>
    </row>
    <row r="13772" spans="1:1">
      <c r="A13772" s="5"/>
    </row>
    <row r="13773" spans="1:1">
      <c r="A13773" s="5"/>
    </row>
    <row r="13774" spans="1:1">
      <c r="A13774" s="5"/>
    </row>
    <row r="13775" spans="1:1">
      <c r="A13775" s="5"/>
    </row>
    <row r="13776" spans="1:1">
      <c r="A13776" s="5"/>
    </row>
    <row r="13777" spans="1:1">
      <c r="A13777" s="5"/>
    </row>
    <row r="13778" spans="1:1">
      <c r="A13778" s="5"/>
    </row>
    <row r="13779" spans="1:1">
      <c r="A13779" s="5"/>
    </row>
    <row r="13780" spans="1:1">
      <c r="A13780" s="5"/>
    </row>
    <row r="13781" spans="1:1">
      <c r="A13781" s="5"/>
    </row>
    <row r="13782" spans="1:1">
      <c r="A13782" s="5"/>
    </row>
    <row r="13783" spans="1:1">
      <c r="A13783" s="5"/>
    </row>
    <row r="13784" spans="1:1">
      <c r="A13784" s="5"/>
    </row>
    <row r="13785" spans="1:1">
      <c r="A13785" s="5"/>
    </row>
    <row r="13786" spans="1:1">
      <c r="A13786" s="5"/>
    </row>
    <row r="13787" spans="1:1">
      <c r="A13787" s="5"/>
    </row>
    <row r="13788" spans="1:1">
      <c r="A13788" s="5"/>
    </row>
    <row r="13789" spans="1:1">
      <c r="A13789" s="5"/>
    </row>
    <row r="13790" spans="1:1">
      <c r="A13790" s="5"/>
    </row>
    <row r="13791" spans="1:1">
      <c r="A13791" s="5"/>
    </row>
    <row r="13792" spans="1:1">
      <c r="A13792" s="5"/>
    </row>
    <row r="13793" spans="1:1">
      <c r="A13793" s="5"/>
    </row>
    <row r="13794" spans="1:1">
      <c r="A13794" s="5"/>
    </row>
    <row r="13795" spans="1:1">
      <c r="A13795" s="5"/>
    </row>
    <row r="13796" spans="1:1">
      <c r="A13796" s="5"/>
    </row>
    <row r="13797" spans="1:1">
      <c r="A13797" s="5"/>
    </row>
    <row r="13798" spans="1:1">
      <c r="A13798" s="5"/>
    </row>
    <row r="13799" spans="1:1">
      <c r="A13799" s="5"/>
    </row>
    <row r="13800" spans="1:1">
      <c r="A13800" s="5"/>
    </row>
    <row r="13801" spans="1:1">
      <c r="A13801" s="5"/>
    </row>
    <row r="13802" spans="1:1">
      <c r="A13802" s="5"/>
    </row>
    <row r="13803" spans="1:1">
      <c r="A13803" s="5"/>
    </row>
    <row r="13804" spans="1:1">
      <c r="A13804" s="5"/>
    </row>
    <row r="13805" spans="1:1">
      <c r="A13805" s="5"/>
    </row>
    <row r="13806" spans="1:1">
      <c r="A13806" s="5"/>
    </row>
    <row r="13807" spans="1:1">
      <c r="A13807" s="5"/>
    </row>
    <row r="13808" spans="1:1">
      <c r="A13808" s="5"/>
    </row>
    <row r="13809" spans="1:1">
      <c r="A13809" s="5"/>
    </row>
    <row r="13810" spans="1:1">
      <c r="A13810" s="5"/>
    </row>
    <row r="13811" spans="1:1">
      <c r="A13811" s="5"/>
    </row>
    <row r="13812" spans="1:1">
      <c r="A13812" s="5"/>
    </row>
    <row r="13813" spans="1:1">
      <c r="A13813" s="5"/>
    </row>
    <row r="13814" spans="1:1">
      <c r="A13814" s="5"/>
    </row>
    <row r="13815" spans="1:1">
      <c r="A13815" s="5"/>
    </row>
    <row r="13816" spans="1:1">
      <c r="A13816" s="5"/>
    </row>
    <row r="13817" spans="1:1">
      <c r="A13817" s="5"/>
    </row>
    <row r="13818" spans="1:1">
      <c r="A13818" s="5"/>
    </row>
    <row r="13819" spans="1:1">
      <c r="A13819" s="5"/>
    </row>
    <row r="13820" spans="1:1">
      <c r="A13820" s="5"/>
    </row>
    <row r="13821" spans="1:1">
      <c r="A13821" s="5"/>
    </row>
    <row r="13822" spans="1:1">
      <c r="A13822" s="5"/>
    </row>
    <row r="13823" spans="1:1">
      <c r="A13823" s="5"/>
    </row>
    <row r="13824" spans="1:1">
      <c r="A13824" s="5"/>
    </row>
    <row r="13825" spans="1:1">
      <c r="A13825" s="5"/>
    </row>
    <row r="13826" spans="1:1">
      <c r="A13826" s="5"/>
    </row>
    <row r="13827" spans="1:1">
      <c r="A13827" s="5"/>
    </row>
    <row r="13828" spans="1:1">
      <c r="A13828" s="5"/>
    </row>
    <row r="13829" spans="1:1">
      <c r="A13829" s="5"/>
    </row>
    <row r="13830" spans="1:1">
      <c r="A13830" s="5"/>
    </row>
    <row r="13831" spans="1:1">
      <c r="A13831" s="5"/>
    </row>
    <row r="13832" spans="1:1">
      <c r="A13832" s="5"/>
    </row>
    <row r="13833" spans="1:1">
      <c r="A13833" s="5"/>
    </row>
    <row r="13834" spans="1:1">
      <c r="A13834" s="5"/>
    </row>
    <row r="13835" spans="1:1">
      <c r="A13835" s="5"/>
    </row>
    <row r="13836" spans="1:1">
      <c r="A13836" s="5"/>
    </row>
    <row r="13837" spans="1:1">
      <c r="A13837" s="5"/>
    </row>
    <row r="13838" spans="1:1">
      <c r="A13838" s="5"/>
    </row>
    <row r="13839" spans="1:1">
      <c r="A13839" s="5"/>
    </row>
    <row r="13840" spans="1:1">
      <c r="A13840" s="5"/>
    </row>
    <row r="13841" spans="1:1">
      <c r="A13841" s="5"/>
    </row>
    <row r="13842" spans="1:1">
      <c r="A13842" s="5"/>
    </row>
    <row r="13843" spans="1:1">
      <c r="A13843" s="5"/>
    </row>
    <row r="13844" spans="1:1">
      <c r="A13844" s="5"/>
    </row>
    <row r="13845" spans="1:1">
      <c r="A13845" s="5"/>
    </row>
    <row r="13846" spans="1:1">
      <c r="A13846" s="5"/>
    </row>
    <row r="13847" spans="1:1">
      <c r="A13847" s="5"/>
    </row>
    <row r="13848" spans="1:1">
      <c r="A13848" s="5"/>
    </row>
    <row r="13849" spans="1:1">
      <c r="A13849" s="5"/>
    </row>
    <row r="13850" spans="1:1">
      <c r="A13850" s="5"/>
    </row>
    <row r="13851" spans="1:1">
      <c r="A13851" s="5"/>
    </row>
    <row r="13852" spans="1:1">
      <c r="A13852" s="5"/>
    </row>
    <row r="13853" spans="1:1">
      <c r="A13853" s="5"/>
    </row>
    <row r="13854" spans="1:1">
      <c r="A13854" s="5"/>
    </row>
    <row r="13855" spans="1:1">
      <c r="A13855" s="5"/>
    </row>
    <row r="13856" spans="1:1">
      <c r="A13856" s="5"/>
    </row>
    <row r="13857" spans="1:1">
      <c r="A13857" s="5"/>
    </row>
    <row r="13858" spans="1:1">
      <c r="A13858" s="5"/>
    </row>
    <row r="13859" spans="1:1">
      <c r="A13859" s="5"/>
    </row>
    <row r="13860" spans="1:1">
      <c r="A13860" s="5"/>
    </row>
    <row r="13861" spans="1:1">
      <c r="A13861" s="5"/>
    </row>
    <row r="13862" spans="1:1">
      <c r="A13862" s="5"/>
    </row>
    <row r="13863" spans="1:1">
      <c r="A13863" s="5"/>
    </row>
    <row r="13864" spans="1:1">
      <c r="A13864" s="5"/>
    </row>
    <row r="13865" spans="1:1">
      <c r="A13865" s="5"/>
    </row>
    <row r="13866" spans="1:1">
      <c r="A13866" s="5"/>
    </row>
    <row r="13867" spans="1:1">
      <c r="A13867" s="5"/>
    </row>
    <row r="13868" spans="1:1">
      <c r="A13868" s="5"/>
    </row>
    <row r="13869" spans="1:1">
      <c r="A13869" s="5"/>
    </row>
    <row r="13870" spans="1:1">
      <c r="A13870" s="5"/>
    </row>
    <row r="13871" spans="1:1">
      <c r="A13871" s="5"/>
    </row>
    <row r="13872" spans="1:1">
      <c r="A13872" s="5"/>
    </row>
    <row r="13873" spans="1:1">
      <c r="A13873" s="5"/>
    </row>
    <row r="13874" spans="1:1">
      <c r="A13874" s="5"/>
    </row>
    <row r="13875" spans="1:1">
      <c r="A13875" s="5"/>
    </row>
    <row r="13876" spans="1:1">
      <c r="A13876" s="5"/>
    </row>
    <row r="13877" spans="1:1">
      <c r="A13877" s="5"/>
    </row>
    <row r="13878" spans="1:1">
      <c r="A13878" s="5"/>
    </row>
    <row r="13879" spans="1:1">
      <c r="A13879" s="5"/>
    </row>
    <row r="13880" spans="1:1">
      <c r="A13880" s="5"/>
    </row>
    <row r="13881" spans="1:1">
      <c r="A13881" s="5"/>
    </row>
    <row r="13882" spans="1:1">
      <c r="A13882" s="5"/>
    </row>
    <row r="13883" spans="1:1">
      <c r="A13883" s="5"/>
    </row>
    <row r="13884" spans="1:1">
      <c r="A13884" s="5"/>
    </row>
    <row r="13885" spans="1:1">
      <c r="A13885" s="5"/>
    </row>
    <row r="13886" spans="1:1">
      <c r="A13886" s="5"/>
    </row>
    <row r="13887" spans="1:1">
      <c r="A13887" s="5"/>
    </row>
    <row r="13888" spans="1:1">
      <c r="A13888" s="5"/>
    </row>
    <row r="13889" spans="1:1">
      <c r="A13889" s="5"/>
    </row>
    <row r="13890" spans="1:1">
      <c r="A13890" s="5"/>
    </row>
    <row r="13891" spans="1:1">
      <c r="A13891" s="5"/>
    </row>
    <row r="13892" spans="1:1">
      <c r="A13892" s="5"/>
    </row>
    <row r="13893" spans="1:1">
      <c r="A13893" s="5"/>
    </row>
    <row r="13894" spans="1:1">
      <c r="A13894" s="5"/>
    </row>
    <row r="13895" spans="1:1">
      <c r="A13895" s="5"/>
    </row>
    <row r="13896" spans="1:1">
      <c r="A13896" s="5"/>
    </row>
    <row r="13897" spans="1:1">
      <c r="A13897" s="5"/>
    </row>
    <row r="13898" spans="1:1">
      <c r="A13898" s="5"/>
    </row>
    <row r="13899" spans="1:1">
      <c r="A13899" s="5"/>
    </row>
    <row r="13900" spans="1:1">
      <c r="A13900" s="5"/>
    </row>
    <row r="13901" spans="1:1">
      <c r="A13901" s="5"/>
    </row>
    <row r="13902" spans="1:1">
      <c r="A13902" s="5"/>
    </row>
    <row r="13903" spans="1:1">
      <c r="A13903" s="5"/>
    </row>
    <row r="13904" spans="1:1">
      <c r="A13904" s="5"/>
    </row>
    <row r="13905" spans="1:1">
      <c r="A13905" s="5"/>
    </row>
    <row r="13906" spans="1:1">
      <c r="A13906" s="5"/>
    </row>
    <row r="13907" spans="1:1">
      <c r="A13907" s="5"/>
    </row>
    <row r="13908" spans="1:1">
      <c r="A13908" s="5"/>
    </row>
    <row r="13909" spans="1:1">
      <c r="A13909" s="5"/>
    </row>
    <row r="13910" spans="1:1">
      <c r="A13910" s="5"/>
    </row>
    <row r="13911" spans="1:1">
      <c r="A13911" s="5"/>
    </row>
    <row r="13912" spans="1:1">
      <c r="A13912" s="5"/>
    </row>
    <row r="13913" spans="1:1">
      <c r="A13913" s="5"/>
    </row>
    <row r="13914" spans="1:1">
      <c r="A13914" s="5"/>
    </row>
    <row r="13915" spans="1:1">
      <c r="A13915" s="5"/>
    </row>
    <row r="13916" spans="1:1">
      <c r="A13916" s="5"/>
    </row>
    <row r="13917" spans="1:1">
      <c r="A13917" s="5"/>
    </row>
    <row r="13918" spans="1:1">
      <c r="A13918" s="5"/>
    </row>
    <row r="13919" spans="1:1">
      <c r="A13919" s="5"/>
    </row>
    <row r="13920" spans="1:1">
      <c r="A13920" s="5"/>
    </row>
    <row r="13921" spans="1:1">
      <c r="A13921" s="5"/>
    </row>
    <row r="13922" spans="1:1">
      <c r="A13922" s="5"/>
    </row>
    <row r="13923" spans="1:1">
      <c r="A13923" s="5"/>
    </row>
    <row r="13924" spans="1:1">
      <c r="A13924" s="5"/>
    </row>
    <row r="13925" spans="1:1">
      <c r="A13925" s="5"/>
    </row>
    <row r="13926" spans="1:1">
      <c r="A13926" s="5"/>
    </row>
    <row r="13927" spans="1:1">
      <c r="A13927" s="5"/>
    </row>
    <row r="13928" spans="1:1">
      <c r="A13928" s="5"/>
    </row>
    <row r="13929" spans="1:1">
      <c r="A13929" s="5"/>
    </row>
    <row r="13930" spans="1:1">
      <c r="A13930" s="5"/>
    </row>
    <row r="13931" spans="1:1">
      <c r="A13931" s="5"/>
    </row>
    <row r="13932" spans="1:1">
      <c r="A13932" s="5"/>
    </row>
    <row r="13933" spans="1:1">
      <c r="A13933" s="5"/>
    </row>
    <row r="13934" spans="1:1">
      <c r="A13934" s="5"/>
    </row>
    <row r="13935" spans="1:1">
      <c r="A13935" s="5"/>
    </row>
    <row r="13936" spans="1:1">
      <c r="A13936" s="5"/>
    </row>
    <row r="13937" spans="1:1">
      <c r="A13937" s="5"/>
    </row>
    <row r="13938" spans="1:1">
      <c r="A13938" s="5"/>
    </row>
    <row r="13939" spans="1:1">
      <c r="A13939" s="5"/>
    </row>
    <row r="13940" spans="1:1">
      <c r="A13940" s="5"/>
    </row>
    <row r="13941" spans="1:1">
      <c r="A13941" s="5"/>
    </row>
    <row r="13942" spans="1:1">
      <c r="A13942" s="5"/>
    </row>
    <row r="13943" spans="1:1">
      <c r="A13943" s="5"/>
    </row>
    <row r="13944" spans="1:1">
      <c r="A13944" s="5"/>
    </row>
    <row r="13945" spans="1:1">
      <c r="A13945" s="5"/>
    </row>
    <row r="13946" spans="1:1">
      <c r="A13946" s="5"/>
    </row>
    <row r="13947" spans="1:1">
      <c r="A13947" s="5"/>
    </row>
    <row r="13948" spans="1:1">
      <c r="A13948" s="5"/>
    </row>
    <row r="13949" spans="1:1">
      <c r="A13949" s="5"/>
    </row>
    <row r="13950" spans="1:1">
      <c r="A13950" s="5"/>
    </row>
    <row r="13951" spans="1:1">
      <c r="A13951" s="5"/>
    </row>
    <row r="13952" spans="1:1">
      <c r="A13952" s="5"/>
    </row>
    <row r="13953" spans="1:1">
      <c r="A13953" s="5"/>
    </row>
    <row r="13954" spans="1:1">
      <c r="A13954" s="5"/>
    </row>
    <row r="13955" spans="1:1">
      <c r="A13955" s="5"/>
    </row>
    <row r="13956" spans="1:1">
      <c r="A13956" s="5"/>
    </row>
    <row r="13957" spans="1:1">
      <c r="A13957" s="5"/>
    </row>
    <row r="13958" spans="1:1">
      <c r="A13958" s="5"/>
    </row>
    <row r="13959" spans="1:1">
      <c r="A13959" s="5"/>
    </row>
    <row r="13960" spans="1:1">
      <c r="A13960" s="5"/>
    </row>
    <row r="13961" spans="1:1">
      <c r="A13961" s="5"/>
    </row>
    <row r="13962" spans="1:1">
      <c r="A13962" s="5"/>
    </row>
    <row r="13963" spans="1:1">
      <c r="A13963" s="5"/>
    </row>
    <row r="13964" spans="1:1">
      <c r="A13964" s="5"/>
    </row>
    <row r="13965" spans="1:1">
      <c r="A13965" s="5"/>
    </row>
    <row r="13966" spans="1:1">
      <c r="A13966" s="5"/>
    </row>
    <row r="13967" spans="1:1">
      <c r="A13967" s="5"/>
    </row>
    <row r="13968" spans="1:1">
      <c r="A13968" s="5"/>
    </row>
    <row r="13969" spans="1:1">
      <c r="A13969" s="5"/>
    </row>
    <row r="13970" spans="1:1">
      <c r="A13970" s="5"/>
    </row>
    <row r="13971" spans="1:1">
      <c r="A13971" s="5"/>
    </row>
    <row r="13972" spans="1:1">
      <c r="A13972" s="5"/>
    </row>
    <row r="13973" spans="1:1">
      <c r="A13973" s="5"/>
    </row>
    <row r="13974" spans="1:1">
      <c r="A13974" s="5"/>
    </row>
    <row r="13975" spans="1:1">
      <c r="A13975" s="5"/>
    </row>
    <row r="13976" spans="1:1">
      <c r="A13976" s="5"/>
    </row>
    <row r="13977" spans="1:1">
      <c r="A13977" s="5"/>
    </row>
    <row r="13978" spans="1:1">
      <c r="A13978" s="5"/>
    </row>
    <row r="13979" spans="1:1">
      <c r="A13979" s="5"/>
    </row>
    <row r="13980" spans="1:1">
      <c r="A13980" s="5"/>
    </row>
    <row r="13981" spans="1:1">
      <c r="A13981" s="5"/>
    </row>
    <row r="13982" spans="1:1">
      <c r="A13982" s="5"/>
    </row>
    <row r="13983" spans="1:1">
      <c r="A13983" s="5"/>
    </row>
    <row r="13984" spans="1:1">
      <c r="A13984" s="5"/>
    </row>
    <row r="13985" spans="1:1">
      <c r="A13985" s="5"/>
    </row>
    <row r="13986" spans="1:1">
      <c r="A13986" s="5"/>
    </row>
    <row r="13987" spans="1:1">
      <c r="A13987" s="5"/>
    </row>
    <row r="13988" spans="1:1">
      <c r="A13988" s="5"/>
    </row>
    <row r="13989" spans="1:1">
      <c r="A13989" s="5"/>
    </row>
    <row r="13990" spans="1:1">
      <c r="A13990" s="5"/>
    </row>
    <row r="13991" spans="1:1">
      <c r="A13991" s="5"/>
    </row>
    <row r="13992" spans="1:1">
      <c r="A13992" s="5"/>
    </row>
    <row r="13993" spans="1:1">
      <c r="A13993" s="5"/>
    </row>
    <row r="13994" spans="1:1">
      <c r="A13994" s="5"/>
    </row>
    <row r="13995" spans="1:1">
      <c r="A13995" s="5"/>
    </row>
    <row r="13996" spans="1:1">
      <c r="A13996" s="5"/>
    </row>
    <row r="13997" spans="1:1">
      <c r="A13997" s="5"/>
    </row>
    <row r="13998" spans="1:1">
      <c r="A13998" s="5"/>
    </row>
    <row r="13999" spans="1:1">
      <c r="A13999" s="5"/>
    </row>
    <row r="14000" spans="1:1">
      <c r="A14000" s="5"/>
    </row>
    <row r="14001" spans="1:1">
      <c r="A14001" s="5"/>
    </row>
    <row r="14002" spans="1:1">
      <c r="A14002" s="5"/>
    </row>
    <row r="14003" spans="1:1">
      <c r="A14003" s="5"/>
    </row>
    <row r="14004" spans="1:1">
      <c r="A14004" s="5"/>
    </row>
    <row r="14005" spans="1:1">
      <c r="A14005" s="5"/>
    </row>
    <row r="14006" spans="1:1">
      <c r="A14006" s="5"/>
    </row>
    <row r="14007" spans="1:1">
      <c r="A14007" s="5"/>
    </row>
    <row r="14008" spans="1:1">
      <c r="A14008" s="5"/>
    </row>
    <row r="14009" spans="1:1">
      <c r="A14009" s="5"/>
    </row>
    <row r="14010" spans="1:1">
      <c r="A14010" s="5"/>
    </row>
    <row r="14011" spans="1:1">
      <c r="A14011" s="5"/>
    </row>
    <row r="14012" spans="1:1">
      <c r="A14012" s="5"/>
    </row>
    <row r="14013" spans="1:1">
      <c r="A14013" s="5"/>
    </row>
    <row r="14014" spans="1:1">
      <c r="A14014" s="5"/>
    </row>
    <row r="14015" spans="1:1">
      <c r="A14015" s="5"/>
    </row>
    <row r="14016" spans="1:1">
      <c r="A14016" s="5"/>
    </row>
    <row r="14017" spans="1:1">
      <c r="A14017" s="5"/>
    </row>
    <row r="14018" spans="1:1">
      <c r="A14018" s="5"/>
    </row>
    <row r="14019" spans="1:1">
      <c r="A14019" s="5"/>
    </row>
    <row r="14020" spans="1:1">
      <c r="A14020" s="5"/>
    </row>
    <row r="14021" spans="1:1">
      <c r="A14021" s="5"/>
    </row>
    <row r="14022" spans="1:1">
      <c r="A14022" s="5"/>
    </row>
    <row r="14023" spans="1:1">
      <c r="A14023" s="5"/>
    </row>
    <row r="14024" spans="1:1">
      <c r="A14024" s="5"/>
    </row>
    <row r="14025" spans="1:1">
      <c r="A14025" s="5"/>
    </row>
    <row r="14026" spans="1:1">
      <c r="A14026" s="5"/>
    </row>
    <row r="14027" spans="1:1">
      <c r="A14027" s="5"/>
    </row>
    <row r="14028" spans="1:1">
      <c r="A14028" s="5"/>
    </row>
    <row r="14029" spans="1:1">
      <c r="A14029" s="5"/>
    </row>
    <row r="14030" spans="1:1">
      <c r="A14030" s="5"/>
    </row>
    <row r="14031" spans="1:1">
      <c r="A14031" s="5"/>
    </row>
    <row r="14032" spans="1:1">
      <c r="A14032" s="5"/>
    </row>
    <row r="14033" spans="1:1">
      <c r="A14033" s="5"/>
    </row>
    <row r="14034" spans="1:1">
      <c r="A14034" s="5"/>
    </row>
    <row r="14035" spans="1:1">
      <c r="A14035" s="5"/>
    </row>
    <row r="14036" spans="1:1">
      <c r="A14036" s="5"/>
    </row>
    <row r="14037" spans="1:1">
      <c r="A14037" s="5"/>
    </row>
    <row r="14038" spans="1:1">
      <c r="A14038" s="5"/>
    </row>
    <row r="14039" spans="1:1">
      <c r="A14039" s="5"/>
    </row>
    <row r="14040" spans="1:1">
      <c r="A14040" s="5"/>
    </row>
    <row r="14041" spans="1:1">
      <c r="A14041" s="5"/>
    </row>
    <row r="14042" spans="1:1">
      <c r="A14042" s="5"/>
    </row>
    <row r="14043" spans="1:1">
      <c r="A14043" s="5"/>
    </row>
    <row r="14044" spans="1:1">
      <c r="A14044" s="5"/>
    </row>
    <row r="14045" spans="1:1">
      <c r="A14045" s="5"/>
    </row>
    <row r="14046" spans="1:1">
      <c r="A14046" s="5"/>
    </row>
    <row r="14047" spans="1:1">
      <c r="A14047" s="5"/>
    </row>
    <row r="14048" spans="1:1">
      <c r="A14048" s="5"/>
    </row>
    <row r="14049" spans="1:1">
      <c r="A14049" s="5"/>
    </row>
    <row r="14050" spans="1:1">
      <c r="A14050" s="5"/>
    </row>
    <row r="14051" spans="1:1">
      <c r="A14051" s="5"/>
    </row>
    <row r="14052" spans="1:1">
      <c r="A14052" s="5"/>
    </row>
    <row r="14053" spans="1:1">
      <c r="A14053" s="5"/>
    </row>
    <row r="14054" spans="1:1">
      <c r="A14054" s="5"/>
    </row>
    <row r="14055" spans="1:1">
      <c r="A14055" s="5"/>
    </row>
    <row r="14056" spans="1:1">
      <c r="A14056" s="5"/>
    </row>
    <row r="14057" spans="1:1">
      <c r="A14057" s="5"/>
    </row>
    <row r="14058" spans="1:1">
      <c r="A14058" s="5"/>
    </row>
    <row r="14059" spans="1:1">
      <c r="A14059" s="5"/>
    </row>
    <row r="14060" spans="1:1">
      <c r="A14060" s="5"/>
    </row>
    <row r="14061" spans="1:1">
      <c r="A14061" s="5"/>
    </row>
    <row r="14062" spans="1:1">
      <c r="A14062" s="5"/>
    </row>
    <row r="14063" spans="1:1">
      <c r="A14063" s="5"/>
    </row>
    <row r="14064" spans="1:1">
      <c r="A14064" s="5"/>
    </row>
    <row r="14065" spans="1:1">
      <c r="A14065" s="5"/>
    </row>
    <row r="14066" spans="1:1">
      <c r="A14066" s="5"/>
    </row>
    <row r="14067" spans="1:1">
      <c r="A14067" s="5"/>
    </row>
    <row r="14068" spans="1:1">
      <c r="A14068" s="5"/>
    </row>
    <row r="14069" spans="1:1">
      <c r="A14069" s="5"/>
    </row>
    <row r="14070" spans="1:1">
      <c r="A14070" s="5"/>
    </row>
    <row r="14071" spans="1:1">
      <c r="A14071" s="5"/>
    </row>
    <row r="14072" spans="1:1">
      <c r="A14072" s="5"/>
    </row>
    <row r="14073" spans="1:1">
      <c r="A14073" s="5"/>
    </row>
    <row r="14074" spans="1:1">
      <c r="A14074" s="5"/>
    </row>
    <row r="14075" spans="1:1">
      <c r="A14075" s="5"/>
    </row>
    <row r="14076" spans="1:1">
      <c r="A14076" s="5"/>
    </row>
    <row r="14077" spans="1:1">
      <c r="A14077" s="5"/>
    </row>
    <row r="14078" spans="1:1">
      <c r="A14078" s="5"/>
    </row>
    <row r="14079" spans="1:1">
      <c r="A14079" s="5"/>
    </row>
    <row r="14080" spans="1:1">
      <c r="A14080" s="5"/>
    </row>
    <row r="14081" spans="1:1">
      <c r="A14081" s="5"/>
    </row>
    <row r="14082" spans="1:1">
      <c r="A14082" s="5"/>
    </row>
    <row r="14083" spans="1:1">
      <c r="A14083" s="5"/>
    </row>
    <row r="14084" spans="1:1">
      <c r="A14084" s="5"/>
    </row>
    <row r="14085" spans="1:1">
      <c r="A14085" s="5"/>
    </row>
    <row r="14086" spans="1:1">
      <c r="A14086" s="5"/>
    </row>
    <row r="14087" spans="1:1">
      <c r="A14087" s="5"/>
    </row>
    <row r="14088" spans="1:1">
      <c r="A14088" s="5"/>
    </row>
    <row r="14089" spans="1:1">
      <c r="A14089" s="5"/>
    </row>
    <row r="14090" spans="1:1">
      <c r="A14090" s="5"/>
    </row>
    <row r="14091" spans="1:1">
      <c r="A14091" s="5"/>
    </row>
    <row r="14092" spans="1:1">
      <c r="A14092" s="5"/>
    </row>
    <row r="14093" spans="1:1">
      <c r="A14093" s="5"/>
    </row>
    <row r="14094" spans="1:1">
      <c r="A14094" s="5"/>
    </row>
    <row r="14095" spans="1:1">
      <c r="A14095" s="5"/>
    </row>
    <row r="14096" spans="1:1">
      <c r="A14096" s="5"/>
    </row>
    <row r="14097" spans="1:1">
      <c r="A14097" s="5"/>
    </row>
    <row r="14098" spans="1:1">
      <c r="A14098" s="5"/>
    </row>
    <row r="14099" spans="1:1">
      <c r="A14099" s="5"/>
    </row>
    <row r="14100" spans="1:1">
      <c r="A14100" s="5"/>
    </row>
    <row r="14101" spans="1:1">
      <c r="A14101" s="5"/>
    </row>
    <row r="14102" spans="1:1">
      <c r="A14102" s="5"/>
    </row>
    <row r="14103" spans="1:1">
      <c r="A14103" s="5"/>
    </row>
    <row r="14104" spans="1:1">
      <c r="A14104" s="5"/>
    </row>
    <row r="14105" spans="1:1">
      <c r="A14105" s="5"/>
    </row>
    <row r="14106" spans="1:1">
      <c r="A14106" s="5"/>
    </row>
    <row r="14107" spans="1:1">
      <c r="A14107" s="5"/>
    </row>
    <row r="14108" spans="1:1">
      <c r="A14108" s="5"/>
    </row>
    <row r="14109" spans="1:1">
      <c r="A14109" s="5"/>
    </row>
    <row r="14110" spans="1:1">
      <c r="A14110" s="5"/>
    </row>
    <row r="14111" spans="1:1">
      <c r="A14111" s="5"/>
    </row>
    <row r="14112" spans="1:1">
      <c r="A14112" s="5"/>
    </row>
    <row r="14113" spans="1:1">
      <c r="A14113" s="5"/>
    </row>
    <row r="14114" spans="1:1">
      <c r="A14114" s="5"/>
    </row>
    <row r="14115" spans="1:1">
      <c r="A14115" s="5"/>
    </row>
    <row r="14116" spans="1:1">
      <c r="A14116" s="5"/>
    </row>
    <row r="14117" spans="1:1">
      <c r="A14117" s="5"/>
    </row>
    <row r="14118" spans="1:1">
      <c r="A14118" s="5"/>
    </row>
    <row r="14119" spans="1:1">
      <c r="A14119" s="5"/>
    </row>
    <row r="14120" spans="1:1">
      <c r="A14120" s="5"/>
    </row>
    <row r="14121" spans="1:1">
      <c r="A14121" s="5"/>
    </row>
    <row r="14122" spans="1:1">
      <c r="A14122" s="5"/>
    </row>
    <row r="14123" spans="1:1">
      <c r="A14123" s="5"/>
    </row>
    <row r="14124" spans="1:1">
      <c r="A14124" s="5"/>
    </row>
    <row r="14125" spans="1:1">
      <c r="A14125" s="5"/>
    </row>
    <row r="14126" spans="1:1">
      <c r="A14126" s="5"/>
    </row>
    <row r="14127" spans="1:1">
      <c r="A14127" s="5"/>
    </row>
    <row r="14128" spans="1:1">
      <c r="A14128" s="5"/>
    </row>
    <row r="14129" spans="1:1">
      <c r="A14129" s="5"/>
    </row>
    <row r="14130" spans="1:1">
      <c r="A14130" s="5"/>
    </row>
    <row r="14131" spans="1:1">
      <c r="A14131" s="5"/>
    </row>
    <row r="14132" spans="1:1">
      <c r="A14132" s="5"/>
    </row>
    <row r="14133" spans="1:1">
      <c r="A14133" s="5"/>
    </row>
    <row r="14134" spans="1:1">
      <c r="A14134" s="5"/>
    </row>
    <row r="14135" spans="1:1">
      <c r="A14135" s="5"/>
    </row>
    <row r="14136" spans="1:1">
      <c r="A14136" s="5"/>
    </row>
    <row r="14137" spans="1:1">
      <c r="A14137" s="5"/>
    </row>
    <row r="14138" spans="1:1">
      <c r="A14138" s="5"/>
    </row>
    <row r="14139" spans="1:1">
      <c r="A14139" s="5"/>
    </row>
    <row r="14140" spans="1:1">
      <c r="A14140" s="5"/>
    </row>
    <row r="14141" spans="1:1">
      <c r="A14141" s="5"/>
    </row>
    <row r="14142" spans="1:1">
      <c r="A14142" s="5"/>
    </row>
    <row r="14143" spans="1:1">
      <c r="A14143" s="5"/>
    </row>
    <row r="14144" spans="1:1">
      <c r="A14144" s="5"/>
    </row>
    <row r="14145" spans="1:1">
      <c r="A14145" s="5"/>
    </row>
    <row r="14146" spans="1:1">
      <c r="A14146" s="5"/>
    </row>
    <row r="14147" spans="1:1">
      <c r="A14147" s="5"/>
    </row>
    <row r="14148" spans="1:1">
      <c r="A14148" s="5"/>
    </row>
    <row r="14149" spans="1:1">
      <c r="A14149" s="5"/>
    </row>
    <row r="14150" spans="1:1">
      <c r="A14150" s="5"/>
    </row>
    <row r="14151" spans="1:1">
      <c r="A14151" s="5"/>
    </row>
    <row r="14152" spans="1:1">
      <c r="A14152" s="5"/>
    </row>
    <row r="14153" spans="1:1">
      <c r="A14153" s="5"/>
    </row>
    <row r="14154" spans="1:1">
      <c r="A14154" s="5"/>
    </row>
    <row r="14155" spans="1:1">
      <c r="A14155" s="5"/>
    </row>
    <row r="14156" spans="1:1">
      <c r="A14156" s="5"/>
    </row>
    <row r="14157" spans="1:1">
      <c r="A14157" s="5"/>
    </row>
    <row r="14158" spans="1:1">
      <c r="A14158" s="5"/>
    </row>
    <row r="14159" spans="1:1">
      <c r="A14159" s="5"/>
    </row>
    <row r="14160" spans="1:1">
      <c r="A14160" s="5"/>
    </row>
    <row r="14161" spans="1:1">
      <c r="A14161" s="5"/>
    </row>
    <row r="14162" spans="1:1">
      <c r="A14162" s="5"/>
    </row>
    <row r="14163" spans="1:1">
      <c r="A14163" s="5"/>
    </row>
    <row r="14164" spans="1:1">
      <c r="A14164" s="5"/>
    </row>
    <row r="14165" spans="1:1">
      <c r="A14165" s="5"/>
    </row>
    <row r="14166" spans="1:1">
      <c r="A14166" s="5"/>
    </row>
    <row r="14167" spans="1:1">
      <c r="A14167" s="5"/>
    </row>
    <row r="14168" spans="1:1">
      <c r="A14168" s="5"/>
    </row>
    <row r="14169" spans="1:1">
      <c r="A14169" s="5"/>
    </row>
    <row r="14170" spans="1:1">
      <c r="A14170" s="5"/>
    </row>
    <row r="14171" spans="1:1">
      <c r="A14171" s="5"/>
    </row>
    <row r="14172" spans="1:1">
      <c r="A14172" s="5"/>
    </row>
    <row r="14173" spans="1:1">
      <c r="A14173" s="5"/>
    </row>
    <row r="14174" spans="1:1">
      <c r="A14174" s="5"/>
    </row>
    <row r="14175" spans="1:1">
      <c r="A14175" s="5"/>
    </row>
    <row r="14176" spans="1:1">
      <c r="A14176" s="5"/>
    </row>
    <row r="14177" spans="1:1">
      <c r="A14177" s="5"/>
    </row>
    <row r="14178" spans="1:1">
      <c r="A14178" s="5"/>
    </row>
    <row r="14179" spans="1:1">
      <c r="A14179" s="5"/>
    </row>
    <row r="14180" spans="1:1">
      <c r="A14180" s="5"/>
    </row>
    <row r="14181" spans="1:1">
      <c r="A14181" s="5"/>
    </row>
    <row r="14182" spans="1:1">
      <c r="A14182" s="5"/>
    </row>
    <row r="14183" spans="1:1">
      <c r="A14183" s="5"/>
    </row>
    <row r="14184" spans="1:1">
      <c r="A14184" s="5"/>
    </row>
    <row r="14185" spans="1:1">
      <c r="A14185" s="5"/>
    </row>
    <row r="14186" spans="1:1">
      <c r="A14186" s="5"/>
    </row>
    <row r="14187" spans="1:1">
      <c r="A14187" s="5"/>
    </row>
    <row r="14188" spans="1:1">
      <c r="A14188" s="5"/>
    </row>
    <row r="14189" spans="1:1">
      <c r="A14189" s="5"/>
    </row>
    <row r="14190" spans="1:1">
      <c r="A14190" s="5"/>
    </row>
    <row r="14191" spans="1:1">
      <c r="A14191" s="5"/>
    </row>
    <row r="14192" spans="1:1">
      <c r="A14192" s="5"/>
    </row>
    <row r="14193" spans="1:1">
      <c r="A14193" s="5"/>
    </row>
    <row r="14194" spans="1:1">
      <c r="A14194" s="5"/>
    </row>
    <row r="14195" spans="1:1">
      <c r="A14195" s="5"/>
    </row>
    <row r="14196" spans="1:1">
      <c r="A14196" s="5"/>
    </row>
    <row r="14197" spans="1:1">
      <c r="A14197" s="5"/>
    </row>
    <row r="14198" spans="1:1">
      <c r="A14198" s="5"/>
    </row>
    <row r="14199" spans="1:1">
      <c r="A14199" s="5"/>
    </row>
    <row r="14200" spans="1:1">
      <c r="A14200" s="5"/>
    </row>
    <row r="14201" spans="1:1">
      <c r="A14201" s="5"/>
    </row>
    <row r="14202" spans="1:1">
      <c r="A14202" s="5"/>
    </row>
    <row r="14203" spans="1:1">
      <c r="A14203" s="5"/>
    </row>
    <row r="14204" spans="1:1">
      <c r="A14204" s="5"/>
    </row>
    <row r="14205" spans="1:1">
      <c r="A14205" s="5"/>
    </row>
    <row r="14206" spans="1:1">
      <c r="A14206" s="5"/>
    </row>
    <row r="14207" spans="1:1">
      <c r="A14207" s="5"/>
    </row>
    <row r="14208" spans="1:1">
      <c r="A14208" s="5"/>
    </row>
    <row r="14209" spans="1:1">
      <c r="A14209" s="5"/>
    </row>
    <row r="14210" spans="1:1">
      <c r="A14210" s="5"/>
    </row>
    <row r="14211" spans="1:1">
      <c r="A14211" s="5"/>
    </row>
    <row r="14212" spans="1:1">
      <c r="A14212" s="5"/>
    </row>
    <row r="14213" spans="1:1">
      <c r="A14213" s="5"/>
    </row>
    <row r="14214" spans="1:1">
      <c r="A14214" s="5"/>
    </row>
    <row r="14215" spans="1:1">
      <c r="A14215" s="5"/>
    </row>
    <row r="14216" spans="1:1">
      <c r="A14216" s="5"/>
    </row>
    <row r="14217" spans="1:1">
      <c r="A14217" s="5"/>
    </row>
    <row r="14218" spans="1:1">
      <c r="A14218" s="5"/>
    </row>
    <row r="14219" spans="1:1">
      <c r="A14219" s="5"/>
    </row>
    <row r="14220" spans="1:1">
      <c r="A14220" s="5"/>
    </row>
    <row r="14221" spans="1:1">
      <c r="A14221" s="5"/>
    </row>
    <row r="14222" spans="1:1">
      <c r="A14222" s="5"/>
    </row>
    <row r="14223" spans="1:1">
      <c r="A14223" s="5"/>
    </row>
    <row r="14224" spans="1:1">
      <c r="A14224" s="5"/>
    </row>
    <row r="14225" spans="1:1">
      <c r="A14225" s="5"/>
    </row>
    <row r="14226" spans="1:1">
      <c r="A14226" s="5"/>
    </row>
    <row r="14227" spans="1:1">
      <c r="A14227" s="5"/>
    </row>
    <row r="14228" spans="1:1">
      <c r="A14228" s="5"/>
    </row>
    <row r="14229" spans="1:1">
      <c r="A14229" s="5"/>
    </row>
    <row r="14230" spans="1:1">
      <c r="A14230" s="5"/>
    </row>
    <row r="14231" spans="1:1">
      <c r="A14231" s="5"/>
    </row>
    <row r="14232" spans="1:1">
      <c r="A14232" s="5"/>
    </row>
    <row r="14233" spans="1:1">
      <c r="A14233" s="5"/>
    </row>
    <row r="14234" spans="1:1">
      <c r="A14234" s="5"/>
    </row>
    <row r="14235" spans="1:1">
      <c r="A14235" s="5"/>
    </row>
    <row r="14236" spans="1:1">
      <c r="A14236" s="5"/>
    </row>
    <row r="14237" spans="1:1">
      <c r="A14237" s="5"/>
    </row>
    <row r="14238" spans="1:1">
      <c r="A14238" s="5"/>
    </row>
    <row r="14239" spans="1:1">
      <c r="A14239" s="5"/>
    </row>
    <row r="14240" spans="1:1">
      <c r="A14240" s="5"/>
    </row>
    <row r="14241" spans="1:1">
      <c r="A14241" s="5"/>
    </row>
    <row r="14242" spans="1:1">
      <c r="A14242" s="5"/>
    </row>
    <row r="14243" spans="1:1">
      <c r="A14243" s="5"/>
    </row>
    <row r="14244" spans="1:1">
      <c r="A14244" s="5"/>
    </row>
    <row r="14245" spans="1:1">
      <c r="A14245" s="5"/>
    </row>
    <row r="14246" spans="1:1">
      <c r="A14246" s="5"/>
    </row>
    <row r="14247" spans="1:1">
      <c r="A14247" s="5"/>
    </row>
    <row r="14248" spans="1:1">
      <c r="A14248" s="5"/>
    </row>
    <row r="14249" spans="1:1">
      <c r="A14249" s="5"/>
    </row>
    <row r="14250" spans="1:1">
      <c r="A14250" s="5"/>
    </row>
    <row r="14251" spans="1:1">
      <c r="A14251" s="5"/>
    </row>
    <row r="14252" spans="1:1">
      <c r="A14252" s="5"/>
    </row>
    <row r="14253" spans="1:1">
      <c r="A14253" s="5"/>
    </row>
    <row r="14254" spans="1:1">
      <c r="A14254" s="5"/>
    </row>
    <row r="14255" spans="1:1">
      <c r="A14255" s="5"/>
    </row>
    <row r="14256" spans="1:1">
      <c r="A14256" s="5"/>
    </row>
    <row r="14257" spans="1:1">
      <c r="A14257" s="5"/>
    </row>
    <row r="14258" spans="1:1">
      <c r="A14258" s="5"/>
    </row>
    <row r="14259" spans="1:1">
      <c r="A14259" s="5"/>
    </row>
    <row r="14260" spans="1:1">
      <c r="A14260" s="5"/>
    </row>
    <row r="14261" spans="1:1">
      <c r="A14261" s="5"/>
    </row>
    <row r="14262" spans="1:1">
      <c r="A14262" s="5"/>
    </row>
    <row r="14263" spans="1:1">
      <c r="A14263" s="5"/>
    </row>
    <row r="14264" spans="1:1">
      <c r="A14264" s="5"/>
    </row>
    <row r="14265" spans="1:1">
      <c r="A14265" s="5"/>
    </row>
    <row r="14266" spans="1:1">
      <c r="A14266" s="5"/>
    </row>
    <row r="14267" spans="1:1">
      <c r="A14267" s="5"/>
    </row>
    <row r="14268" spans="1:1">
      <c r="A14268" s="5"/>
    </row>
    <row r="14269" spans="1:1">
      <c r="A14269" s="5"/>
    </row>
    <row r="14270" spans="1:1">
      <c r="A14270" s="5"/>
    </row>
    <row r="14271" spans="1:1">
      <c r="A14271" s="5"/>
    </row>
    <row r="14272" spans="1:1">
      <c r="A14272" s="5"/>
    </row>
    <row r="14273" spans="1:1">
      <c r="A14273" s="5"/>
    </row>
    <row r="14274" spans="1:1">
      <c r="A14274" s="5"/>
    </row>
    <row r="14275" spans="1:1">
      <c r="A14275" s="5"/>
    </row>
    <row r="14276" spans="1:1">
      <c r="A14276" s="5"/>
    </row>
    <row r="14277" spans="1:1">
      <c r="A14277" s="5"/>
    </row>
    <row r="14278" spans="1:1">
      <c r="A14278" s="5"/>
    </row>
    <row r="14279" spans="1:1">
      <c r="A14279" s="5"/>
    </row>
    <row r="14280" spans="1:1">
      <c r="A14280" s="5"/>
    </row>
    <row r="14281" spans="1:1">
      <c r="A14281" s="5"/>
    </row>
    <row r="14282" spans="1:1">
      <c r="A14282" s="5"/>
    </row>
    <row r="14283" spans="1:1">
      <c r="A14283" s="5"/>
    </row>
    <row r="14284" spans="1:1">
      <c r="A14284" s="5"/>
    </row>
    <row r="14285" spans="1:1">
      <c r="A14285" s="5"/>
    </row>
    <row r="14286" spans="1:1">
      <c r="A14286" s="5"/>
    </row>
    <row r="14287" spans="1:1">
      <c r="A14287" s="5"/>
    </row>
    <row r="14288" spans="1:1">
      <c r="A14288" s="5"/>
    </row>
    <row r="14289" spans="1:1">
      <c r="A14289" s="5"/>
    </row>
    <row r="14290" spans="1:1">
      <c r="A14290" s="5"/>
    </row>
    <row r="14291" spans="1:1">
      <c r="A14291" s="5"/>
    </row>
    <row r="14292" spans="1:1">
      <c r="A14292" s="5"/>
    </row>
    <row r="14293" spans="1:1">
      <c r="A14293" s="5"/>
    </row>
    <row r="14294" spans="1:1">
      <c r="A14294" s="5"/>
    </row>
    <row r="14295" spans="1:1">
      <c r="A14295" s="5"/>
    </row>
    <row r="14296" spans="1:1">
      <c r="A14296" s="5"/>
    </row>
    <row r="14297" spans="1:1">
      <c r="A14297" s="5"/>
    </row>
    <row r="14298" spans="1:1">
      <c r="A14298" s="5"/>
    </row>
    <row r="14299" spans="1:1">
      <c r="A14299" s="5"/>
    </row>
    <row r="14300" spans="1:1">
      <c r="A14300" s="5"/>
    </row>
    <row r="14301" spans="1:1">
      <c r="A14301" s="5"/>
    </row>
    <row r="14302" spans="1:1">
      <c r="A14302" s="5"/>
    </row>
    <row r="14303" spans="1:1">
      <c r="A14303" s="5"/>
    </row>
    <row r="14304" spans="1:1">
      <c r="A14304" s="5"/>
    </row>
    <row r="14305" spans="1:1">
      <c r="A14305" s="5"/>
    </row>
    <row r="14306" spans="1:1">
      <c r="A14306" s="5"/>
    </row>
    <row r="14307" spans="1:1">
      <c r="A14307" s="5"/>
    </row>
    <row r="14308" spans="1:1">
      <c r="A14308" s="5"/>
    </row>
    <row r="14309" spans="1:1">
      <c r="A14309" s="5"/>
    </row>
    <row r="14310" spans="1:1">
      <c r="A14310" s="5"/>
    </row>
    <row r="14311" spans="1:1">
      <c r="A14311" s="5"/>
    </row>
    <row r="14312" spans="1:1">
      <c r="A14312" s="5"/>
    </row>
    <row r="14313" spans="1:1">
      <c r="A14313" s="5"/>
    </row>
    <row r="14314" spans="1:1">
      <c r="A14314" s="5"/>
    </row>
    <row r="14315" spans="1:1">
      <c r="A14315" s="5"/>
    </row>
    <row r="14316" spans="1:1">
      <c r="A14316" s="5"/>
    </row>
    <row r="14317" spans="1:1">
      <c r="A14317" s="5"/>
    </row>
    <row r="14318" spans="1:1">
      <c r="A14318" s="5"/>
    </row>
    <row r="14319" spans="1:1">
      <c r="A14319" s="5"/>
    </row>
    <row r="14320" spans="1:1">
      <c r="A14320" s="5"/>
    </row>
    <row r="14321" spans="1:1">
      <c r="A14321" s="5"/>
    </row>
    <row r="14322" spans="1:1">
      <c r="A14322" s="5"/>
    </row>
    <row r="14323" spans="1:1">
      <c r="A14323" s="5"/>
    </row>
    <row r="14324" spans="1:1">
      <c r="A14324" s="5"/>
    </row>
    <row r="14325" spans="1:1">
      <c r="A14325" s="5"/>
    </row>
    <row r="14326" spans="1:1">
      <c r="A14326" s="5"/>
    </row>
    <row r="14327" spans="1:1">
      <c r="A14327" s="5"/>
    </row>
    <row r="14328" spans="1:1">
      <c r="A14328" s="5"/>
    </row>
    <row r="14329" spans="1:1">
      <c r="A14329" s="5"/>
    </row>
    <row r="14330" spans="1:1">
      <c r="A14330" s="5"/>
    </row>
    <row r="14331" spans="1:1">
      <c r="A14331" s="5"/>
    </row>
    <row r="14332" spans="1:1">
      <c r="A14332" s="5"/>
    </row>
    <row r="14333" spans="1:1">
      <c r="A14333" s="5"/>
    </row>
    <row r="14334" spans="1:1">
      <c r="A14334" s="5"/>
    </row>
    <row r="14335" spans="1:1">
      <c r="A14335" s="5"/>
    </row>
    <row r="14336" spans="1:1">
      <c r="A14336" s="5"/>
    </row>
    <row r="14337" spans="1:1">
      <c r="A14337" s="5"/>
    </row>
    <row r="14338" spans="1:1">
      <c r="A14338" s="5"/>
    </row>
    <row r="14339" spans="1:1">
      <c r="A14339" s="5"/>
    </row>
    <row r="14340" spans="1:1">
      <c r="A14340" s="5"/>
    </row>
    <row r="14341" spans="1:1">
      <c r="A14341" s="5"/>
    </row>
    <row r="14342" spans="1:1">
      <c r="A14342" s="5"/>
    </row>
    <row r="14343" spans="1:1">
      <c r="A14343" s="5"/>
    </row>
    <row r="14344" spans="1:1">
      <c r="A14344" s="5"/>
    </row>
    <row r="14345" spans="1:1">
      <c r="A14345" s="5"/>
    </row>
    <row r="14346" spans="1:1">
      <c r="A14346" s="5"/>
    </row>
    <row r="14347" spans="1:1">
      <c r="A14347" s="5"/>
    </row>
    <row r="14348" spans="1:1">
      <c r="A14348" s="5"/>
    </row>
    <row r="14349" spans="1:1">
      <c r="A14349" s="5"/>
    </row>
    <row r="14350" spans="1:1">
      <c r="A14350" s="5"/>
    </row>
    <row r="14351" spans="1:1">
      <c r="A14351" s="5"/>
    </row>
    <row r="14352" spans="1:1">
      <c r="A14352" s="5"/>
    </row>
    <row r="14353" spans="1:1">
      <c r="A14353" s="5"/>
    </row>
    <row r="14354" spans="1:1">
      <c r="A14354" s="5"/>
    </row>
    <row r="14355" spans="1:1">
      <c r="A14355" s="5"/>
    </row>
    <row r="14356" spans="1:1">
      <c r="A14356" s="5"/>
    </row>
    <row r="14357" spans="1:1">
      <c r="A14357" s="5"/>
    </row>
    <row r="14358" spans="1:1">
      <c r="A14358" s="5"/>
    </row>
    <row r="14359" spans="1:1">
      <c r="A14359" s="5"/>
    </row>
    <row r="14360" spans="1:1">
      <c r="A14360" s="5"/>
    </row>
    <row r="14361" spans="1:1">
      <c r="A14361" s="5"/>
    </row>
    <row r="14362" spans="1:1">
      <c r="A14362" s="5"/>
    </row>
    <row r="14363" spans="1:1">
      <c r="A14363" s="5"/>
    </row>
    <row r="14364" spans="1:1">
      <c r="A14364" s="5"/>
    </row>
    <row r="14365" spans="1:1">
      <c r="A14365" s="5"/>
    </row>
    <row r="14366" spans="1:1">
      <c r="A14366" s="5"/>
    </row>
    <row r="14367" spans="1:1">
      <c r="A14367" s="5"/>
    </row>
    <row r="14368" spans="1:1">
      <c r="A14368" s="5"/>
    </row>
    <row r="14369" spans="1:1">
      <c r="A14369" s="5"/>
    </row>
    <row r="14370" spans="1:1">
      <c r="A14370" s="5"/>
    </row>
    <row r="14371" spans="1:1">
      <c r="A14371" s="5"/>
    </row>
    <row r="14372" spans="1:1">
      <c r="A14372" s="5"/>
    </row>
    <row r="14373" spans="1:1">
      <c r="A14373" s="5"/>
    </row>
    <row r="14374" spans="1:1">
      <c r="A14374" s="5"/>
    </row>
    <row r="14375" spans="1:1">
      <c r="A14375" s="5"/>
    </row>
    <row r="14376" spans="1:1">
      <c r="A14376" s="5"/>
    </row>
    <row r="14377" spans="1:1">
      <c r="A14377" s="5"/>
    </row>
    <row r="14378" spans="1:1">
      <c r="A14378" s="5"/>
    </row>
    <row r="14379" spans="1:1">
      <c r="A14379" s="5"/>
    </row>
    <row r="14380" spans="1:1">
      <c r="A14380" s="5"/>
    </row>
    <row r="14381" spans="1:1">
      <c r="A14381" s="5"/>
    </row>
    <row r="14382" spans="1:1">
      <c r="A14382" s="5"/>
    </row>
    <row r="14383" spans="1:1">
      <c r="A14383" s="5"/>
    </row>
    <row r="14384" spans="1:1">
      <c r="A14384" s="5"/>
    </row>
    <row r="14385" spans="1:1">
      <c r="A14385" s="5"/>
    </row>
    <row r="14386" spans="1:1">
      <c r="A14386" s="5"/>
    </row>
    <row r="14387" spans="1:1">
      <c r="A14387" s="5"/>
    </row>
    <row r="14388" spans="1:1">
      <c r="A14388" s="5"/>
    </row>
    <row r="14389" spans="1:1">
      <c r="A14389" s="5"/>
    </row>
    <row r="14390" spans="1:1">
      <c r="A14390" s="5"/>
    </row>
    <row r="14391" spans="1:1">
      <c r="A14391" s="5"/>
    </row>
    <row r="14392" spans="1:1">
      <c r="A14392" s="5"/>
    </row>
    <row r="14393" spans="1:1">
      <c r="A14393" s="5"/>
    </row>
    <row r="14394" spans="1:1">
      <c r="A14394" s="5"/>
    </row>
    <row r="14395" spans="1:1">
      <c r="A14395" s="5"/>
    </row>
    <row r="14396" spans="1:1">
      <c r="A14396" s="5"/>
    </row>
    <row r="14397" spans="1:1">
      <c r="A14397" s="5"/>
    </row>
    <row r="14398" spans="1:1">
      <c r="A14398" s="5"/>
    </row>
    <row r="14399" spans="1:1">
      <c r="A14399" s="5"/>
    </row>
    <row r="14400" spans="1:1">
      <c r="A14400" s="5"/>
    </row>
    <row r="14401" spans="1:1">
      <c r="A14401" s="5"/>
    </row>
    <row r="14402" spans="1:1">
      <c r="A14402" s="5"/>
    </row>
    <row r="14403" spans="1:1">
      <c r="A14403" s="5"/>
    </row>
    <row r="14404" spans="1:1">
      <c r="A14404" s="5"/>
    </row>
    <row r="14405" spans="1:1">
      <c r="A14405" s="5"/>
    </row>
    <row r="14406" spans="1:1">
      <c r="A14406" s="5"/>
    </row>
    <row r="14407" spans="1:1">
      <c r="A14407" s="5"/>
    </row>
    <row r="14408" spans="1:1">
      <c r="A14408" s="5"/>
    </row>
    <row r="14409" spans="1:1">
      <c r="A14409" s="5"/>
    </row>
    <row r="14410" spans="1:1">
      <c r="A14410" s="5"/>
    </row>
    <row r="14411" spans="1:1">
      <c r="A14411" s="5"/>
    </row>
    <row r="14412" spans="1:1">
      <c r="A14412" s="5"/>
    </row>
    <row r="14413" spans="1:1">
      <c r="A14413" s="5"/>
    </row>
    <row r="14414" spans="1:1">
      <c r="A14414" s="5"/>
    </row>
    <row r="14415" spans="1:1">
      <c r="A14415" s="5"/>
    </row>
    <row r="14416" spans="1:1">
      <c r="A14416" s="5"/>
    </row>
    <row r="14417" spans="1:1">
      <c r="A14417" s="5"/>
    </row>
    <row r="14418" spans="1:1">
      <c r="A14418" s="5"/>
    </row>
    <row r="14419" spans="1:1">
      <c r="A14419" s="5"/>
    </row>
    <row r="14420" spans="1:1">
      <c r="A14420" s="5"/>
    </row>
    <row r="14421" spans="1:1">
      <c r="A14421" s="5"/>
    </row>
    <row r="14422" spans="1:1">
      <c r="A14422" s="5"/>
    </row>
    <row r="14423" spans="1:1">
      <c r="A14423" s="5"/>
    </row>
    <row r="14424" spans="1:1">
      <c r="A14424" s="5"/>
    </row>
    <row r="14425" spans="1:1">
      <c r="A14425" s="5"/>
    </row>
    <row r="14426" spans="1:1">
      <c r="A14426" s="5"/>
    </row>
    <row r="14427" spans="1:1">
      <c r="A14427" s="5"/>
    </row>
    <row r="14428" spans="1:1">
      <c r="A14428" s="5"/>
    </row>
    <row r="14429" spans="1:1">
      <c r="A14429" s="5"/>
    </row>
    <row r="14430" spans="1:1">
      <c r="A14430" s="5"/>
    </row>
    <row r="14431" spans="1:1">
      <c r="A14431" s="5"/>
    </row>
    <row r="14432" spans="1:1">
      <c r="A14432" s="5"/>
    </row>
    <row r="14433" spans="1:1">
      <c r="A14433" s="5"/>
    </row>
    <row r="14434" spans="1:1">
      <c r="A14434" s="5"/>
    </row>
    <row r="14435" spans="1:1">
      <c r="A14435" s="5"/>
    </row>
    <row r="14436" spans="1:1">
      <c r="A14436" s="5"/>
    </row>
    <row r="14437" spans="1:1">
      <c r="A14437" s="5"/>
    </row>
    <row r="14438" spans="1:1">
      <c r="A14438" s="5"/>
    </row>
    <row r="14439" spans="1:1">
      <c r="A14439" s="5"/>
    </row>
    <row r="14440" spans="1:1">
      <c r="A14440" s="5"/>
    </row>
    <row r="14441" spans="1:1">
      <c r="A14441" s="5"/>
    </row>
    <row r="14442" spans="1:1">
      <c r="A14442" s="5"/>
    </row>
    <row r="14443" spans="1:1">
      <c r="A14443" s="5"/>
    </row>
    <row r="14444" spans="1:1">
      <c r="A14444" s="5"/>
    </row>
    <row r="14445" spans="1:1">
      <c r="A14445" s="5"/>
    </row>
    <row r="14446" spans="1:1">
      <c r="A14446" s="5"/>
    </row>
    <row r="14447" spans="1:1">
      <c r="A14447" s="5"/>
    </row>
    <row r="14448" spans="1:1">
      <c r="A14448" s="5"/>
    </row>
    <row r="14449" spans="1:1">
      <c r="A14449" s="5"/>
    </row>
    <row r="14450" spans="1:1">
      <c r="A14450" s="5"/>
    </row>
    <row r="14451" spans="1:1">
      <c r="A14451" s="5"/>
    </row>
    <row r="14452" spans="1:1">
      <c r="A14452" s="5"/>
    </row>
    <row r="14453" spans="1:1">
      <c r="A14453" s="5"/>
    </row>
    <row r="14454" spans="1:1">
      <c r="A14454" s="5"/>
    </row>
    <row r="14455" spans="1:1">
      <c r="A14455" s="5"/>
    </row>
    <row r="14456" spans="1:1">
      <c r="A14456" s="5"/>
    </row>
    <row r="14457" spans="1:1">
      <c r="A14457" s="5"/>
    </row>
    <row r="14458" spans="1:1">
      <c r="A14458" s="5"/>
    </row>
    <row r="14459" spans="1:1">
      <c r="A14459" s="5"/>
    </row>
    <row r="14460" spans="1:1">
      <c r="A14460" s="5"/>
    </row>
    <row r="14461" spans="1:1">
      <c r="A14461" s="5"/>
    </row>
    <row r="14462" spans="1:1">
      <c r="A14462" s="5"/>
    </row>
    <row r="14463" spans="1:1">
      <c r="A14463" s="5"/>
    </row>
    <row r="14464" spans="1:1">
      <c r="A14464" s="5"/>
    </row>
    <row r="14465" spans="1:1">
      <c r="A14465" s="5"/>
    </row>
    <row r="14466" spans="1:1">
      <c r="A14466" s="5"/>
    </row>
    <row r="14467" spans="1:1">
      <c r="A14467" s="5"/>
    </row>
    <row r="14468" spans="1:1">
      <c r="A14468" s="5"/>
    </row>
    <row r="14469" spans="1:1">
      <c r="A14469" s="5"/>
    </row>
    <row r="14470" spans="1:1">
      <c r="A14470" s="5"/>
    </row>
    <row r="14471" spans="1:1">
      <c r="A14471" s="5"/>
    </row>
    <row r="14472" spans="1:1">
      <c r="A14472" s="5"/>
    </row>
    <row r="14473" spans="1:1">
      <c r="A14473" s="5"/>
    </row>
    <row r="14474" spans="1:1">
      <c r="A14474" s="5"/>
    </row>
    <row r="14475" spans="1:1">
      <c r="A14475" s="5"/>
    </row>
    <row r="14476" spans="1:1">
      <c r="A14476" s="5"/>
    </row>
    <row r="14477" spans="1:1">
      <c r="A14477" s="5"/>
    </row>
    <row r="14478" spans="1:1">
      <c r="A14478" s="5"/>
    </row>
    <row r="14479" spans="1:1">
      <c r="A14479" s="5"/>
    </row>
    <row r="14480" spans="1:1">
      <c r="A14480" s="5"/>
    </row>
    <row r="14481" spans="1:1">
      <c r="A14481" s="5"/>
    </row>
    <row r="14482" spans="1:1">
      <c r="A14482" s="5"/>
    </row>
    <row r="14483" spans="1:1">
      <c r="A14483" s="5"/>
    </row>
    <row r="14484" spans="1:1">
      <c r="A14484" s="5"/>
    </row>
    <row r="14485" spans="1:1">
      <c r="A14485" s="5"/>
    </row>
    <row r="14486" spans="1:1">
      <c r="A14486" s="5"/>
    </row>
    <row r="14487" spans="1:1">
      <c r="A14487" s="5"/>
    </row>
    <row r="14488" spans="1:1">
      <c r="A14488" s="5"/>
    </row>
    <row r="14489" spans="1:1">
      <c r="A14489" s="5"/>
    </row>
    <row r="14490" spans="1:1">
      <c r="A14490" s="5"/>
    </row>
    <row r="14491" spans="1:1">
      <c r="A14491" s="5"/>
    </row>
    <row r="14492" spans="1:1">
      <c r="A14492" s="5"/>
    </row>
    <row r="14493" spans="1:1">
      <c r="A14493" s="5"/>
    </row>
    <row r="14494" spans="1:1">
      <c r="A14494" s="5"/>
    </row>
    <row r="14495" spans="1:1">
      <c r="A14495" s="5"/>
    </row>
    <row r="14496" spans="1:1">
      <c r="A14496" s="5"/>
    </row>
    <row r="14497" spans="1:1">
      <c r="A14497" s="5"/>
    </row>
    <row r="14498" spans="1:1">
      <c r="A14498" s="5"/>
    </row>
    <row r="14499" spans="1:1">
      <c r="A14499" s="5"/>
    </row>
    <row r="14500" spans="1:1">
      <c r="A14500" s="5"/>
    </row>
    <row r="14501" spans="1:1">
      <c r="A14501" s="5"/>
    </row>
    <row r="14502" spans="1:1">
      <c r="A14502" s="5"/>
    </row>
    <row r="14503" spans="1:1">
      <c r="A14503" s="5"/>
    </row>
    <row r="14504" spans="1:1">
      <c r="A14504" s="5"/>
    </row>
    <row r="14505" spans="1:1">
      <c r="A14505" s="5"/>
    </row>
    <row r="14506" spans="1:1">
      <c r="A14506" s="5"/>
    </row>
    <row r="14507" spans="1:1">
      <c r="A14507" s="5"/>
    </row>
    <row r="14508" spans="1:1">
      <c r="A14508" s="5"/>
    </row>
    <row r="14509" spans="1:1">
      <c r="A14509" s="5"/>
    </row>
    <row r="14510" spans="1:1">
      <c r="A14510" s="5"/>
    </row>
    <row r="14511" spans="1:1">
      <c r="A14511" s="5"/>
    </row>
    <row r="14512" spans="1:1">
      <c r="A14512" s="5"/>
    </row>
    <row r="14513" spans="1:1">
      <c r="A14513" s="5"/>
    </row>
    <row r="14514" spans="1:1">
      <c r="A14514" s="5"/>
    </row>
    <row r="14515" spans="1:1">
      <c r="A14515" s="5"/>
    </row>
    <row r="14516" spans="1:1">
      <c r="A14516" s="5"/>
    </row>
    <row r="14517" spans="1:1">
      <c r="A14517" s="5"/>
    </row>
    <row r="14518" spans="1:1">
      <c r="A14518" s="5"/>
    </row>
    <row r="14519" spans="1:1">
      <c r="A14519" s="5"/>
    </row>
    <row r="14520" spans="1:1">
      <c r="A14520" s="5"/>
    </row>
    <row r="14521" spans="1:1">
      <c r="A14521" s="5"/>
    </row>
    <row r="14522" spans="1:1">
      <c r="A14522" s="5"/>
    </row>
    <row r="14523" spans="1:1">
      <c r="A14523" s="5"/>
    </row>
    <row r="14524" spans="1:1">
      <c r="A14524" s="5"/>
    </row>
    <row r="14525" spans="1:1">
      <c r="A14525" s="5"/>
    </row>
    <row r="14526" spans="1:1">
      <c r="A14526" s="5"/>
    </row>
    <row r="14527" spans="1:1">
      <c r="A14527" s="5"/>
    </row>
    <row r="14528" spans="1:1">
      <c r="A14528" s="5"/>
    </row>
    <row r="14529" spans="1:1">
      <c r="A14529" s="5"/>
    </row>
    <row r="14530" spans="1:1">
      <c r="A14530" s="5"/>
    </row>
    <row r="14531" spans="1:1">
      <c r="A14531" s="5"/>
    </row>
    <row r="14532" spans="1:1">
      <c r="A14532" s="5"/>
    </row>
    <row r="14533" spans="1:1">
      <c r="A14533" s="5"/>
    </row>
    <row r="14534" spans="1:1">
      <c r="A14534" s="5"/>
    </row>
    <row r="14535" spans="1:1">
      <c r="A14535" s="5"/>
    </row>
    <row r="14536" spans="1:1">
      <c r="A14536" s="5"/>
    </row>
    <row r="14537" spans="1:1">
      <c r="A14537" s="5"/>
    </row>
    <row r="14538" spans="1:1">
      <c r="A14538" s="5"/>
    </row>
    <row r="14539" spans="1:1">
      <c r="A14539" s="5"/>
    </row>
    <row r="14540" spans="1:1">
      <c r="A14540" s="5"/>
    </row>
    <row r="14541" spans="1:1">
      <c r="A14541" s="5"/>
    </row>
    <row r="14542" spans="1:1">
      <c r="A14542" s="5"/>
    </row>
    <row r="14543" spans="1:1">
      <c r="A14543" s="5"/>
    </row>
    <row r="14544" spans="1:1">
      <c r="A14544" s="5"/>
    </row>
    <row r="14545" spans="1:1">
      <c r="A14545" s="5"/>
    </row>
    <row r="14546" spans="1:1">
      <c r="A14546" s="5"/>
    </row>
    <row r="14547" spans="1:1">
      <c r="A14547" s="5"/>
    </row>
    <row r="14548" spans="1:1">
      <c r="A14548" s="5"/>
    </row>
    <row r="14549" spans="1:1">
      <c r="A14549" s="5"/>
    </row>
    <row r="14550" spans="1:1">
      <c r="A14550" s="5"/>
    </row>
    <row r="14551" spans="1:1">
      <c r="A14551" s="5"/>
    </row>
    <row r="14552" spans="1:1">
      <c r="A14552" s="5"/>
    </row>
    <row r="14553" spans="1:1">
      <c r="A14553" s="5"/>
    </row>
    <row r="14554" spans="1:1">
      <c r="A14554" s="5"/>
    </row>
    <row r="14555" spans="1:1">
      <c r="A14555" s="5"/>
    </row>
    <row r="14556" spans="1:1">
      <c r="A14556" s="5"/>
    </row>
    <row r="14557" spans="1:1">
      <c r="A14557" s="5"/>
    </row>
    <row r="14558" spans="1:1">
      <c r="A14558" s="5"/>
    </row>
    <row r="14559" spans="1:1">
      <c r="A14559" s="5"/>
    </row>
    <row r="14560" spans="1:1">
      <c r="A14560" s="5"/>
    </row>
    <row r="14561" spans="1:1">
      <c r="A14561" s="5"/>
    </row>
    <row r="14562" spans="1:1">
      <c r="A14562" s="5"/>
    </row>
    <row r="14563" spans="1:1">
      <c r="A14563" s="5"/>
    </row>
    <row r="14564" spans="1:1">
      <c r="A14564" s="5"/>
    </row>
    <row r="14565" spans="1:1">
      <c r="A14565" s="5"/>
    </row>
    <row r="14566" spans="1:1">
      <c r="A14566" s="5"/>
    </row>
    <row r="14567" spans="1:1">
      <c r="A14567" s="5"/>
    </row>
    <row r="14568" spans="1:1">
      <c r="A14568" s="5"/>
    </row>
    <row r="14569" spans="1:1">
      <c r="A14569" s="5"/>
    </row>
    <row r="14570" spans="1:1">
      <c r="A14570" s="5"/>
    </row>
    <row r="14571" spans="1:1">
      <c r="A14571" s="5"/>
    </row>
    <row r="14572" spans="1:1">
      <c r="A14572" s="5"/>
    </row>
    <row r="14573" spans="1:1">
      <c r="A14573" s="5"/>
    </row>
    <row r="14574" spans="1:1">
      <c r="A14574" s="5"/>
    </row>
    <row r="14575" spans="1:1">
      <c r="A14575" s="5"/>
    </row>
    <row r="14576" spans="1:1">
      <c r="A14576" s="5"/>
    </row>
    <row r="14577" spans="1:1">
      <c r="A14577" s="5"/>
    </row>
    <row r="14578" spans="1:1">
      <c r="A14578" s="5"/>
    </row>
    <row r="14579" spans="1:1">
      <c r="A14579" s="5"/>
    </row>
    <row r="14580" spans="1:1">
      <c r="A14580" s="5"/>
    </row>
    <row r="14581" spans="1:1">
      <c r="A14581" s="5"/>
    </row>
    <row r="14582" spans="1:1">
      <c r="A14582" s="5"/>
    </row>
    <row r="14583" spans="1:1">
      <c r="A14583" s="5"/>
    </row>
    <row r="14584" spans="1:1">
      <c r="A14584" s="5"/>
    </row>
    <row r="14585" spans="1:1">
      <c r="A14585" s="5"/>
    </row>
    <row r="14586" spans="1:1">
      <c r="A14586" s="5"/>
    </row>
    <row r="14587" spans="1:1">
      <c r="A14587" s="5"/>
    </row>
    <row r="14588" spans="1:1">
      <c r="A14588" s="5"/>
    </row>
    <row r="14589" spans="1:1">
      <c r="A14589" s="5"/>
    </row>
    <row r="14590" spans="1:1">
      <c r="A14590" s="5"/>
    </row>
    <row r="14591" spans="1:1">
      <c r="A14591" s="5"/>
    </row>
    <row r="14592" spans="1:1">
      <c r="A14592" s="5"/>
    </row>
    <row r="14593" spans="1:1">
      <c r="A14593" s="5"/>
    </row>
    <row r="14594" spans="1:1">
      <c r="A14594" s="5"/>
    </row>
    <row r="14595" spans="1:1">
      <c r="A14595" s="5"/>
    </row>
    <row r="14596" spans="1:1">
      <c r="A14596" s="5"/>
    </row>
    <row r="14597" spans="1:1">
      <c r="A14597" s="5"/>
    </row>
    <row r="14598" spans="1:1">
      <c r="A14598" s="5"/>
    </row>
    <row r="14599" spans="1:1">
      <c r="A14599" s="5"/>
    </row>
    <row r="14600" spans="1:1">
      <c r="A14600" s="5"/>
    </row>
    <row r="14601" spans="1:1">
      <c r="A14601" s="5"/>
    </row>
    <row r="14602" spans="1:1">
      <c r="A14602" s="5"/>
    </row>
    <row r="14603" spans="1:1">
      <c r="A14603" s="5"/>
    </row>
    <row r="14604" spans="1:1">
      <c r="A14604" s="5"/>
    </row>
    <row r="14605" spans="1:1">
      <c r="A14605" s="5"/>
    </row>
    <row r="14606" spans="1:1">
      <c r="A14606" s="5"/>
    </row>
    <row r="14607" spans="1:1">
      <c r="A14607" s="5"/>
    </row>
    <row r="14608" spans="1:1">
      <c r="A14608" s="5"/>
    </row>
    <row r="14609" spans="1:1">
      <c r="A14609" s="5"/>
    </row>
    <row r="14610" spans="1:1">
      <c r="A14610" s="5"/>
    </row>
    <row r="14611" spans="1:1">
      <c r="A14611" s="5"/>
    </row>
    <row r="14612" spans="1:1">
      <c r="A14612" s="5"/>
    </row>
    <row r="14613" spans="1:1">
      <c r="A14613" s="5"/>
    </row>
    <row r="14614" spans="1:1">
      <c r="A14614" s="5"/>
    </row>
    <row r="14615" spans="1:1">
      <c r="A14615" s="5"/>
    </row>
    <row r="14616" spans="1:1">
      <c r="A14616" s="5"/>
    </row>
    <row r="14617" spans="1:1">
      <c r="A14617" s="5"/>
    </row>
    <row r="14618" spans="1:1">
      <c r="A14618" s="5"/>
    </row>
    <row r="14619" spans="1:1">
      <c r="A14619" s="5"/>
    </row>
    <row r="14620" spans="1:1">
      <c r="A14620" s="5"/>
    </row>
    <row r="14621" spans="1:1">
      <c r="A14621" s="5"/>
    </row>
    <row r="14622" spans="1:1">
      <c r="A14622" s="5"/>
    </row>
    <row r="14623" spans="1:1">
      <c r="A14623" s="5"/>
    </row>
    <row r="14624" spans="1:1">
      <c r="A14624" s="5"/>
    </row>
    <row r="14625" spans="1:1">
      <c r="A14625" s="5"/>
    </row>
    <row r="14626" spans="1:1">
      <c r="A14626" s="5"/>
    </row>
    <row r="14627" spans="1:1">
      <c r="A14627" s="5"/>
    </row>
    <row r="14628" spans="1:1">
      <c r="A14628" s="5"/>
    </row>
    <row r="14629" spans="1:1">
      <c r="A14629" s="5"/>
    </row>
    <row r="14630" spans="1:1">
      <c r="A14630" s="5"/>
    </row>
    <row r="14631" spans="1:1">
      <c r="A14631" s="5"/>
    </row>
    <row r="14632" spans="1:1">
      <c r="A14632" s="5"/>
    </row>
    <row r="14633" spans="1:1">
      <c r="A14633" s="5"/>
    </row>
    <row r="14634" spans="1:1">
      <c r="A14634" s="5"/>
    </row>
    <row r="14635" spans="1:1">
      <c r="A14635" s="5"/>
    </row>
    <row r="14636" spans="1:1">
      <c r="A14636" s="5"/>
    </row>
    <row r="14637" spans="1:1">
      <c r="A14637" s="5"/>
    </row>
    <row r="14638" spans="1:1">
      <c r="A14638" s="5"/>
    </row>
    <row r="14639" spans="1:1">
      <c r="A14639" s="5"/>
    </row>
    <row r="14640" spans="1:1">
      <c r="A14640" s="5"/>
    </row>
    <row r="14641" spans="1:1">
      <c r="A14641" s="5"/>
    </row>
    <row r="14642" spans="1:1">
      <c r="A14642" s="5"/>
    </row>
    <row r="14643" spans="1:1">
      <c r="A14643" s="5"/>
    </row>
    <row r="14644" spans="1:1">
      <c r="A14644" s="5"/>
    </row>
    <row r="14645" spans="1:1">
      <c r="A14645" s="5"/>
    </row>
    <row r="14646" spans="1:1">
      <c r="A14646" s="5"/>
    </row>
    <row r="14647" spans="1:1">
      <c r="A14647" s="5"/>
    </row>
    <row r="14648" spans="1:1">
      <c r="A14648" s="5"/>
    </row>
    <row r="14649" spans="1:1">
      <c r="A14649" s="5"/>
    </row>
    <row r="14650" spans="1:1">
      <c r="A14650" s="5"/>
    </row>
    <row r="14651" spans="1:1">
      <c r="A14651" s="5"/>
    </row>
    <row r="14652" spans="1:1">
      <c r="A14652" s="5"/>
    </row>
    <row r="14653" spans="1:1">
      <c r="A14653" s="5"/>
    </row>
    <row r="14654" spans="1:1">
      <c r="A14654" s="5"/>
    </row>
    <row r="14655" spans="1:1">
      <c r="A14655" s="5"/>
    </row>
    <row r="14656" spans="1:1">
      <c r="A14656" s="5"/>
    </row>
    <row r="14657" spans="1:1">
      <c r="A14657" s="5"/>
    </row>
    <row r="14658" spans="1:1">
      <c r="A14658" s="5"/>
    </row>
    <row r="14659" spans="1:1">
      <c r="A14659" s="5"/>
    </row>
    <row r="14660" spans="1:1">
      <c r="A14660" s="5"/>
    </row>
    <row r="14661" spans="1:1">
      <c r="A14661" s="5"/>
    </row>
    <row r="14662" spans="1:1">
      <c r="A14662" s="5"/>
    </row>
    <row r="14663" spans="1:1">
      <c r="A14663" s="5"/>
    </row>
    <row r="14664" spans="1:1">
      <c r="A14664" s="5"/>
    </row>
    <row r="14665" spans="1:1">
      <c r="A14665" s="5"/>
    </row>
    <row r="14666" spans="1:1">
      <c r="A14666" s="5"/>
    </row>
    <row r="14667" spans="1:1">
      <c r="A14667" s="5"/>
    </row>
    <row r="14668" spans="1:1">
      <c r="A14668" s="5"/>
    </row>
    <row r="14669" spans="1:1">
      <c r="A14669" s="5"/>
    </row>
    <row r="14670" spans="1:1">
      <c r="A14670" s="5"/>
    </row>
    <row r="14671" spans="1:1">
      <c r="A14671" s="5"/>
    </row>
    <row r="14672" spans="1:1">
      <c r="A14672" s="5"/>
    </row>
    <row r="14673" spans="1:1">
      <c r="A14673" s="5"/>
    </row>
    <row r="14674" spans="1:1">
      <c r="A14674" s="5"/>
    </row>
    <row r="14675" spans="1:1">
      <c r="A14675" s="5"/>
    </row>
    <row r="14676" spans="1:1">
      <c r="A14676" s="5"/>
    </row>
    <row r="14677" spans="1:1">
      <c r="A14677" s="5"/>
    </row>
    <row r="14678" spans="1:1">
      <c r="A14678" s="5"/>
    </row>
    <row r="14679" spans="1:1">
      <c r="A14679" s="5"/>
    </row>
    <row r="14680" spans="1:1">
      <c r="A14680" s="5"/>
    </row>
    <row r="14681" spans="1:1">
      <c r="A14681" s="5"/>
    </row>
    <row r="14682" spans="1:1">
      <c r="A14682" s="5"/>
    </row>
    <row r="14683" spans="1:1">
      <c r="A14683" s="5"/>
    </row>
    <row r="14684" spans="1:1">
      <c r="A14684" s="5"/>
    </row>
    <row r="14685" spans="1:1">
      <c r="A14685" s="5"/>
    </row>
    <row r="14686" spans="1:1">
      <c r="A14686" s="5"/>
    </row>
    <row r="14687" spans="1:1">
      <c r="A14687" s="5"/>
    </row>
    <row r="14688" spans="1:1">
      <c r="A14688" s="5"/>
    </row>
    <row r="14689" spans="1:1">
      <c r="A14689" s="5"/>
    </row>
    <row r="14690" spans="1:1">
      <c r="A14690" s="5"/>
    </row>
    <row r="14691" spans="1:1">
      <c r="A14691" s="5"/>
    </row>
    <row r="14692" spans="1:1">
      <c r="A14692" s="5"/>
    </row>
    <row r="14693" spans="1:1">
      <c r="A14693" s="5"/>
    </row>
    <row r="14694" spans="1:1">
      <c r="A14694" s="5"/>
    </row>
    <row r="14695" spans="1:1">
      <c r="A14695" s="5"/>
    </row>
    <row r="14696" spans="1:1">
      <c r="A14696" s="5"/>
    </row>
    <row r="14697" spans="1:1">
      <c r="A14697" s="5"/>
    </row>
    <row r="14698" spans="1:1">
      <c r="A14698" s="5"/>
    </row>
    <row r="14699" spans="1:1">
      <c r="A14699" s="5"/>
    </row>
    <row r="14700" spans="1:1">
      <c r="A14700" s="5"/>
    </row>
    <row r="14701" spans="1:1">
      <c r="A14701" s="5"/>
    </row>
    <row r="14702" spans="1:1">
      <c r="A14702" s="5"/>
    </row>
    <row r="14703" spans="1:1">
      <c r="A14703" s="5"/>
    </row>
    <row r="14704" spans="1:1">
      <c r="A14704" s="5"/>
    </row>
    <row r="14705" spans="1:1">
      <c r="A14705" s="5"/>
    </row>
    <row r="14706" spans="1:1">
      <c r="A14706" s="5"/>
    </row>
    <row r="14707" spans="1:1">
      <c r="A14707" s="5"/>
    </row>
    <row r="14708" spans="1:1">
      <c r="A14708" s="5"/>
    </row>
    <row r="14709" spans="1:1">
      <c r="A14709" s="5"/>
    </row>
    <row r="14710" spans="1:1">
      <c r="A14710" s="5"/>
    </row>
    <row r="14711" spans="1:1">
      <c r="A14711" s="5"/>
    </row>
    <row r="14712" spans="1:1">
      <c r="A14712" s="5"/>
    </row>
    <row r="14713" spans="1:1">
      <c r="A14713" s="5"/>
    </row>
    <row r="14714" spans="1:1">
      <c r="A14714" s="5"/>
    </row>
    <row r="14715" spans="1:1">
      <c r="A14715" s="5"/>
    </row>
    <row r="14716" spans="1:1">
      <c r="A14716" s="5"/>
    </row>
    <row r="14717" spans="1:1">
      <c r="A14717" s="5"/>
    </row>
    <row r="14718" spans="1:1">
      <c r="A14718" s="5"/>
    </row>
    <row r="14719" spans="1:1">
      <c r="A14719" s="5"/>
    </row>
    <row r="14720" spans="1:1">
      <c r="A14720" s="5"/>
    </row>
    <row r="14721" spans="1:1">
      <c r="A14721" s="5"/>
    </row>
    <row r="14722" spans="1:1">
      <c r="A14722" s="5"/>
    </row>
    <row r="14723" spans="1:1">
      <c r="A14723" s="5"/>
    </row>
    <row r="14724" spans="1:1">
      <c r="A14724" s="5"/>
    </row>
    <row r="14725" spans="1:1">
      <c r="A14725" s="5"/>
    </row>
    <row r="14726" spans="1:1">
      <c r="A14726" s="5"/>
    </row>
    <row r="14727" spans="1:1">
      <c r="A14727" s="5"/>
    </row>
    <row r="14728" spans="1:1">
      <c r="A14728" s="5"/>
    </row>
    <row r="14729" spans="1:1">
      <c r="A14729" s="5"/>
    </row>
    <row r="14730" spans="1:1">
      <c r="A14730" s="5"/>
    </row>
    <row r="14731" spans="1:1">
      <c r="A14731" s="5"/>
    </row>
    <row r="14732" spans="1:1">
      <c r="A14732" s="5"/>
    </row>
    <row r="14733" spans="1:1">
      <c r="A14733" s="5"/>
    </row>
    <row r="14734" spans="1:1">
      <c r="A14734" s="5"/>
    </row>
    <row r="14735" spans="1:1">
      <c r="A14735" s="5"/>
    </row>
    <row r="14736" spans="1:1">
      <c r="A14736" s="5"/>
    </row>
    <row r="14737" spans="1:1">
      <c r="A14737" s="5"/>
    </row>
    <row r="14738" spans="1:1">
      <c r="A14738" s="5"/>
    </row>
    <row r="14739" spans="1:1">
      <c r="A14739" s="5"/>
    </row>
    <row r="14740" spans="1:1">
      <c r="A14740" s="5"/>
    </row>
    <row r="14741" spans="1:1">
      <c r="A14741" s="5"/>
    </row>
    <row r="14742" spans="1:1">
      <c r="A14742" s="5"/>
    </row>
    <row r="14743" spans="1:1">
      <c r="A14743" s="5"/>
    </row>
    <row r="14744" spans="1:1">
      <c r="A14744" s="5"/>
    </row>
    <row r="14745" spans="1:1">
      <c r="A14745" s="5"/>
    </row>
    <row r="14746" spans="1:1">
      <c r="A14746" s="5"/>
    </row>
    <row r="14747" spans="1:1">
      <c r="A14747" s="5"/>
    </row>
    <row r="14748" spans="1:1">
      <c r="A14748" s="5"/>
    </row>
    <row r="14749" spans="1:1">
      <c r="A14749" s="5"/>
    </row>
    <row r="14750" spans="1:1">
      <c r="A14750" s="5"/>
    </row>
    <row r="14751" spans="1:1">
      <c r="A14751" s="5"/>
    </row>
    <row r="14752" spans="1:1">
      <c r="A14752" s="5"/>
    </row>
    <row r="14753" spans="1:1">
      <c r="A14753" s="5"/>
    </row>
    <row r="14754" spans="1:1">
      <c r="A14754" s="5"/>
    </row>
    <row r="14755" spans="1:1">
      <c r="A14755" s="5"/>
    </row>
    <row r="14756" spans="1:1">
      <c r="A14756" s="5"/>
    </row>
    <row r="14757" spans="1:1">
      <c r="A14757" s="5"/>
    </row>
    <row r="14758" spans="1:1">
      <c r="A14758" s="5"/>
    </row>
    <row r="14759" spans="1:1">
      <c r="A14759" s="5"/>
    </row>
    <row r="14760" spans="1:1">
      <c r="A14760" s="5"/>
    </row>
    <row r="14761" spans="1:1">
      <c r="A14761" s="5"/>
    </row>
    <row r="14762" spans="1:1">
      <c r="A14762" s="5"/>
    </row>
    <row r="14763" spans="1:1">
      <c r="A14763" s="5"/>
    </row>
    <row r="14764" spans="1:1">
      <c r="A14764" s="5"/>
    </row>
    <row r="14765" spans="1:1">
      <c r="A14765" s="5"/>
    </row>
    <row r="14766" spans="1:1">
      <c r="A14766" s="5"/>
    </row>
    <row r="14767" spans="1:1">
      <c r="A14767" s="5"/>
    </row>
    <row r="14768" spans="1:1">
      <c r="A14768" s="5"/>
    </row>
    <row r="14769" spans="1:1">
      <c r="A14769" s="5"/>
    </row>
    <row r="14770" spans="1:1">
      <c r="A14770" s="5"/>
    </row>
    <row r="14771" spans="1:1">
      <c r="A14771" s="5"/>
    </row>
    <row r="14772" spans="1:1">
      <c r="A14772" s="5"/>
    </row>
    <row r="14773" spans="1:1">
      <c r="A14773" s="5"/>
    </row>
    <row r="14774" spans="1:1">
      <c r="A14774" s="5"/>
    </row>
    <row r="14775" spans="1:1">
      <c r="A14775" s="5"/>
    </row>
    <row r="14776" spans="1:1">
      <c r="A14776" s="5"/>
    </row>
    <row r="14777" spans="1:1">
      <c r="A14777" s="5"/>
    </row>
    <row r="14778" spans="1:1">
      <c r="A14778" s="5"/>
    </row>
    <row r="14779" spans="1:1">
      <c r="A14779" s="5"/>
    </row>
    <row r="14780" spans="1:1">
      <c r="A14780" s="5"/>
    </row>
    <row r="14781" spans="1:1">
      <c r="A14781" s="5"/>
    </row>
    <row r="14782" spans="1:1">
      <c r="A14782" s="5"/>
    </row>
    <row r="14783" spans="1:1">
      <c r="A14783" s="5"/>
    </row>
    <row r="14784" spans="1:1">
      <c r="A14784" s="5"/>
    </row>
    <row r="14785" spans="1:1">
      <c r="A14785" s="5"/>
    </row>
    <row r="14786" spans="1:1">
      <c r="A14786" s="5"/>
    </row>
    <row r="14787" spans="1:1">
      <c r="A14787" s="5"/>
    </row>
    <row r="14788" spans="1:1">
      <c r="A14788" s="5"/>
    </row>
    <row r="14789" spans="1:1">
      <c r="A14789" s="5"/>
    </row>
    <row r="14790" spans="1:1">
      <c r="A14790" s="5"/>
    </row>
    <row r="14791" spans="1:1">
      <c r="A14791" s="5"/>
    </row>
    <row r="14792" spans="1:1">
      <c r="A14792" s="5"/>
    </row>
    <row r="14793" spans="1:1">
      <c r="A14793" s="5"/>
    </row>
    <row r="14794" spans="1:1">
      <c r="A14794" s="5"/>
    </row>
    <row r="14795" spans="1:1">
      <c r="A14795" s="5"/>
    </row>
    <row r="14796" spans="1:1">
      <c r="A14796" s="5"/>
    </row>
    <row r="14797" spans="1:1">
      <c r="A14797" s="5"/>
    </row>
    <row r="14798" spans="1:1">
      <c r="A14798" s="5"/>
    </row>
    <row r="14799" spans="1:1">
      <c r="A14799" s="5"/>
    </row>
    <row r="14800" spans="1:1">
      <c r="A14800" s="5"/>
    </row>
    <row r="14801" spans="1:1">
      <c r="A14801" s="5"/>
    </row>
    <row r="14802" spans="1:1">
      <c r="A14802" s="5"/>
    </row>
    <row r="14803" spans="1:1">
      <c r="A14803" s="5"/>
    </row>
    <row r="14804" spans="1:1">
      <c r="A14804" s="5"/>
    </row>
    <row r="14805" spans="1:1">
      <c r="A14805" s="5"/>
    </row>
    <row r="14806" spans="1:1">
      <c r="A14806" s="5"/>
    </row>
    <row r="14807" spans="1:1">
      <c r="A14807" s="5"/>
    </row>
    <row r="14808" spans="1:1">
      <c r="A14808" s="5"/>
    </row>
    <row r="14809" spans="1:1">
      <c r="A14809" s="5"/>
    </row>
    <row r="14810" spans="1:1">
      <c r="A14810" s="5"/>
    </row>
    <row r="14811" spans="1:1">
      <c r="A14811" s="5"/>
    </row>
    <row r="14812" spans="1:1">
      <c r="A14812" s="5"/>
    </row>
    <row r="14813" spans="1:1">
      <c r="A14813" s="5"/>
    </row>
    <row r="14814" spans="1:1">
      <c r="A14814" s="5"/>
    </row>
    <row r="14815" spans="1:1">
      <c r="A14815" s="5"/>
    </row>
    <row r="14816" spans="1:1">
      <c r="A14816" s="5"/>
    </row>
    <row r="14817" spans="1:1">
      <c r="A14817" s="5"/>
    </row>
    <row r="14818" spans="1:1">
      <c r="A14818" s="5"/>
    </row>
    <row r="14819" spans="1:1">
      <c r="A14819" s="5"/>
    </row>
    <row r="14820" spans="1:1">
      <c r="A14820" s="5"/>
    </row>
    <row r="14821" spans="1:1">
      <c r="A14821" s="5"/>
    </row>
    <row r="14822" spans="1:1">
      <c r="A14822" s="5"/>
    </row>
    <row r="14823" spans="1:1">
      <c r="A14823" s="5"/>
    </row>
    <row r="14824" spans="1:1">
      <c r="A14824" s="5"/>
    </row>
    <row r="14825" spans="1:1">
      <c r="A14825" s="5"/>
    </row>
    <row r="14826" spans="1:1">
      <c r="A14826" s="5"/>
    </row>
    <row r="14827" spans="1:1">
      <c r="A14827" s="5"/>
    </row>
    <row r="14828" spans="1:1">
      <c r="A14828" s="5"/>
    </row>
    <row r="14829" spans="1:1">
      <c r="A14829" s="5"/>
    </row>
    <row r="14830" spans="1:1">
      <c r="A14830" s="5"/>
    </row>
    <row r="14831" spans="1:1">
      <c r="A14831" s="5"/>
    </row>
    <row r="14832" spans="1:1">
      <c r="A14832" s="5"/>
    </row>
    <row r="14833" spans="1:1">
      <c r="A14833" s="5"/>
    </row>
    <row r="14834" spans="1:1">
      <c r="A14834" s="5"/>
    </row>
    <row r="14835" spans="1:1">
      <c r="A14835" s="5"/>
    </row>
    <row r="14836" spans="1:1">
      <c r="A14836" s="5"/>
    </row>
    <row r="14837" spans="1:1">
      <c r="A14837" s="5"/>
    </row>
    <row r="14838" spans="1:1">
      <c r="A14838" s="5"/>
    </row>
    <row r="14839" spans="1:1">
      <c r="A14839" s="5"/>
    </row>
    <row r="14840" spans="1:1">
      <c r="A14840" s="5"/>
    </row>
    <row r="14841" spans="1:1">
      <c r="A14841" s="5"/>
    </row>
    <row r="14842" spans="1:1">
      <c r="A14842" s="5"/>
    </row>
    <row r="14843" spans="1:1">
      <c r="A14843" s="5"/>
    </row>
    <row r="14844" spans="1:1">
      <c r="A14844" s="5"/>
    </row>
    <row r="14845" spans="1:1">
      <c r="A14845" s="5"/>
    </row>
    <row r="14846" spans="1:1">
      <c r="A14846" s="5"/>
    </row>
    <row r="14847" spans="1:1">
      <c r="A14847" s="5"/>
    </row>
    <row r="14848" spans="1:1">
      <c r="A14848" s="5"/>
    </row>
    <row r="14849" spans="1:1">
      <c r="A14849" s="5"/>
    </row>
    <row r="14850" spans="1:1">
      <c r="A14850" s="5"/>
    </row>
    <row r="14851" spans="1:1">
      <c r="A14851" s="5"/>
    </row>
    <row r="14852" spans="1:1">
      <c r="A14852" s="5"/>
    </row>
    <row r="14853" spans="1:1">
      <c r="A14853" s="5"/>
    </row>
    <row r="14854" spans="1:1">
      <c r="A14854" s="5"/>
    </row>
    <row r="14855" spans="1:1">
      <c r="A14855" s="5"/>
    </row>
    <row r="14856" spans="1:1">
      <c r="A14856" s="5"/>
    </row>
    <row r="14857" spans="1:1">
      <c r="A14857" s="5"/>
    </row>
    <row r="14858" spans="1:1">
      <c r="A14858" s="5"/>
    </row>
    <row r="14859" spans="1:1">
      <c r="A14859" s="5"/>
    </row>
    <row r="14860" spans="1:1">
      <c r="A14860" s="5"/>
    </row>
    <row r="14861" spans="1:1">
      <c r="A14861" s="5"/>
    </row>
    <row r="14862" spans="1:1">
      <c r="A14862" s="5"/>
    </row>
    <row r="14863" spans="1:1">
      <c r="A14863" s="5"/>
    </row>
    <row r="14864" spans="1:1">
      <c r="A14864" s="5"/>
    </row>
    <row r="14865" spans="1:1">
      <c r="A14865" s="5"/>
    </row>
    <row r="14866" spans="1:1">
      <c r="A14866" s="5"/>
    </row>
    <row r="14867" spans="1:1">
      <c r="A14867" s="5"/>
    </row>
    <row r="14868" spans="1:1">
      <c r="A14868" s="5"/>
    </row>
    <row r="14869" spans="1:1">
      <c r="A14869" s="5"/>
    </row>
    <row r="14870" spans="1:1">
      <c r="A14870" s="5"/>
    </row>
    <row r="14871" spans="1:1">
      <c r="A14871" s="5"/>
    </row>
    <row r="14872" spans="1:1">
      <c r="A14872" s="5"/>
    </row>
    <row r="14873" spans="1:1">
      <c r="A14873" s="5"/>
    </row>
    <row r="14874" spans="1:1">
      <c r="A14874" s="5"/>
    </row>
    <row r="14875" spans="1:1">
      <c r="A14875" s="5"/>
    </row>
    <row r="14876" spans="1:1">
      <c r="A14876" s="5"/>
    </row>
    <row r="14877" spans="1:1">
      <c r="A14877" s="5"/>
    </row>
    <row r="14878" spans="1:1">
      <c r="A14878" s="5"/>
    </row>
    <row r="14879" spans="1:1">
      <c r="A14879" s="5"/>
    </row>
    <row r="14880" spans="1:1">
      <c r="A14880" s="5"/>
    </row>
    <row r="14881" spans="1:1">
      <c r="A14881" s="5"/>
    </row>
    <row r="14882" spans="1:1">
      <c r="A14882" s="5"/>
    </row>
    <row r="14883" spans="1:1">
      <c r="A14883" s="5"/>
    </row>
    <row r="14884" spans="1:1">
      <c r="A14884" s="5"/>
    </row>
    <row r="14885" spans="1:1">
      <c r="A14885" s="5"/>
    </row>
    <row r="14886" spans="1:1">
      <c r="A14886" s="5"/>
    </row>
    <row r="14887" spans="1:1">
      <c r="A14887" s="5"/>
    </row>
    <row r="14888" spans="1:1">
      <c r="A14888" s="5"/>
    </row>
    <row r="14889" spans="1:1">
      <c r="A14889" s="5"/>
    </row>
    <row r="14890" spans="1:1">
      <c r="A14890" s="5"/>
    </row>
    <row r="14891" spans="1:1">
      <c r="A14891" s="5"/>
    </row>
    <row r="14892" spans="1:1">
      <c r="A14892" s="5"/>
    </row>
    <row r="14893" spans="1:1">
      <c r="A14893" s="5"/>
    </row>
    <row r="14894" spans="1:1">
      <c r="A14894" s="5"/>
    </row>
    <row r="14895" spans="1:1">
      <c r="A14895" s="5"/>
    </row>
    <row r="14896" spans="1:1">
      <c r="A14896" s="5"/>
    </row>
    <row r="14897" spans="1:1">
      <c r="A14897" s="5"/>
    </row>
    <row r="14898" spans="1:1">
      <c r="A14898" s="5"/>
    </row>
    <row r="14899" spans="1:1">
      <c r="A14899" s="5"/>
    </row>
    <row r="14900" spans="1:1">
      <c r="A14900" s="5"/>
    </row>
    <row r="14901" spans="1:1">
      <c r="A14901" s="5"/>
    </row>
    <row r="14902" spans="1:1">
      <c r="A14902" s="5"/>
    </row>
    <row r="14903" spans="1:1">
      <c r="A14903" s="5"/>
    </row>
    <row r="14904" spans="1:1">
      <c r="A14904" s="5"/>
    </row>
    <row r="14905" spans="1:1">
      <c r="A14905" s="5"/>
    </row>
    <row r="14906" spans="1:1">
      <c r="A14906" s="5"/>
    </row>
    <row r="14907" spans="1:1">
      <c r="A14907" s="5"/>
    </row>
    <row r="14908" spans="1:1">
      <c r="A14908" s="5"/>
    </row>
    <row r="14909" spans="1:1">
      <c r="A14909" s="5"/>
    </row>
    <row r="14910" spans="1:1">
      <c r="A14910" s="5"/>
    </row>
    <row r="14911" spans="1:1">
      <c r="A14911" s="5"/>
    </row>
    <row r="14912" spans="1:1">
      <c r="A14912" s="5"/>
    </row>
    <row r="14913" spans="1:1">
      <c r="A14913" s="5"/>
    </row>
    <row r="14914" spans="1:1">
      <c r="A14914" s="5"/>
    </row>
    <row r="14915" spans="1:1">
      <c r="A14915" s="5"/>
    </row>
    <row r="14916" spans="1:1">
      <c r="A14916" s="5"/>
    </row>
    <row r="14917" spans="1:1">
      <c r="A14917" s="5"/>
    </row>
    <row r="14918" spans="1:1">
      <c r="A14918" s="5"/>
    </row>
    <row r="14919" spans="1:1">
      <c r="A14919" s="5"/>
    </row>
    <row r="14920" spans="1:1">
      <c r="A14920" s="5"/>
    </row>
    <row r="14921" spans="1:1">
      <c r="A14921" s="5"/>
    </row>
    <row r="14922" spans="1:1">
      <c r="A14922" s="5"/>
    </row>
    <row r="14923" spans="1:1">
      <c r="A14923" s="5"/>
    </row>
    <row r="14924" spans="1:1">
      <c r="A14924" s="5"/>
    </row>
    <row r="14925" spans="1:1">
      <c r="A14925" s="5"/>
    </row>
    <row r="14926" spans="1:1">
      <c r="A14926" s="5"/>
    </row>
    <row r="14927" spans="1:1">
      <c r="A14927" s="5"/>
    </row>
    <row r="14928" spans="1:1">
      <c r="A14928" s="5"/>
    </row>
    <row r="14929" spans="1:1">
      <c r="A14929" s="5"/>
    </row>
    <row r="14930" spans="1:1">
      <c r="A14930" s="5"/>
    </row>
    <row r="14931" spans="1:1">
      <c r="A14931" s="5"/>
    </row>
    <row r="14932" spans="1:1">
      <c r="A14932" s="5"/>
    </row>
    <row r="14933" spans="1:1">
      <c r="A14933" s="5"/>
    </row>
    <row r="14934" spans="1:1">
      <c r="A14934" s="5"/>
    </row>
    <row r="14935" spans="1:1">
      <c r="A14935" s="5"/>
    </row>
    <row r="14936" spans="1:1">
      <c r="A14936" s="5"/>
    </row>
    <row r="14937" spans="1:1">
      <c r="A14937" s="5"/>
    </row>
    <row r="14938" spans="1:1">
      <c r="A14938" s="5"/>
    </row>
    <row r="14939" spans="1:1">
      <c r="A14939" s="5"/>
    </row>
    <row r="14940" spans="1:1">
      <c r="A14940" s="5"/>
    </row>
    <row r="14941" spans="1:1">
      <c r="A14941" s="5"/>
    </row>
    <row r="14942" spans="1:1">
      <c r="A14942" s="5"/>
    </row>
    <row r="14943" spans="1:1">
      <c r="A14943" s="5"/>
    </row>
    <row r="14944" spans="1:1">
      <c r="A14944" s="5"/>
    </row>
    <row r="14945" spans="1:1">
      <c r="A14945" s="5"/>
    </row>
    <row r="14946" spans="1:1">
      <c r="A14946" s="5"/>
    </row>
    <row r="14947" spans="1:1">
      <c r="A14947" s="5"/>
    </row>
    <row r="14948" spans="1:1">
      <c r="A14948" s="5"/>
    </row>
    <row r="14949" spans="1:1">
      <c r="A14949" s="5"/>
    </row>
    <row r="14950" spans="1:1">
      <c r="A14950" s="5"/>
    </row>
    <row r="14951" spans="1:1">
      <c r="A14951" s="5"/>
    </row>
    <row r="14952" spans="1:1">
      <c r="A14952" s="5"/>
    </row>
    <row r="14953" spans="1:1">
      <c r="A14953" s="5"/>
    </row>
    <row r="14954" spans="1:1">
      <c r="A14954" s="5"/>
    </row>
    <row r="14955" spans="1:1">
      <c r="A14955" s="5"/>
    </row>
    <row r="14956" spans="1:1">
      <c r="A14956" s="5"/>
    </row>
    <row r="14957" spans="1:1">
      <c r="A14957" s="5"/>
    </row>
    <row r="14958" spans="1:1">
      <c r="A14958" s="5"/>
    </row>
    <row r="14959" spans="1:1">
      <c r="A14959" s="5"/>
    </row>
    <row r="14960" spans="1:1">
      <c r="A14960" s="5"/>
    </row>
    <row r="14961" spans="1:1">
      <c r="A14961" s="5"/>
    </row>
    <row r="14962" spans="1:1">
      <c r="A14962" s="5"/>
    </row>
    <row r="14963" spans="1:1">
      <c r="A14963" s="5"/>
    </row>
    <row r="14964" spans="1:1">
      <c r="A14964" s="5"/>
    </row>
    <row r="14965" spans="1:1">
      <c r="A14965" s="5"/>
    </row>
    <row r="14966" spans="1:1">
      <c r="A14966" s="5"/>
    </row>
    <row r="14967" spans="1:1">
      <c r="A14967" s="5"/>
    </row>
    <row r="14968" spans="1:1">
      <c r="A14968" s="5"/>
    </row>
    <row r="14969" spans="1:1">
      <c r="A14969" s="5"/>
    </row>
    <row r="14970" spans="1:1">
      <c r="A14970" s="5"/>
    </row>
    <row r="14971" spans="1:1">
      <c r="A14971" s="5"/>
    </row>
    <row r="14972" spans="1:1">
      <c r="A14972" s="5"/>
    </row>
    <row r="14973" spans="1:1">
      <c r="A14973" s="5"/>
    </row>
    <row r="14974" spans="1:1">
      <c r="A14974" s="5"/>
    </row>
    <row r="14975" spans="1:1">
      <c r="A14975" s="5"/>
    </row>
    <row r="14976" spans="1:1">
      <c r="A14976" s="5"/>
    </row>
    <row r="14977" spans="1:1">
      <c r="A14977" s="5"/>
    </row>
    <row r="14978" spans="1:1">
      <c r="A14978" s="5"/>
    </row>
    <row r="14979" spans="1:1">
      <c r="A14979" s="5"/>
    </row>
    <row r="14980" spans="1:1">
      <c r="A14980" s="5"/>
    </row>
    <row r="14981" spans="1:1">
      <c r="A14981" s="5"/>
    </row>
    <row r="14982" spans="1:1">
      <c r="A14982" s="5"/>
    </row>
    <row r="14983" spans="1:1">
      <c r="A14983" s="5"/>
    </row>
    <row r="14984" spans="1:1">
      <c r="A14984" s="5"/>
    </row>
    <row r="14985" spans="1:1">
      <c r="A14985" s="5"/>
    </row>
    <row r="14986" spans="1:1">
      <c r="A14986" s="5"/>
    </row>
    <row r="14987" spans="1:1">
      <c r="A14987" s="5"/>
    </row>
    <row r="14988" spans="1:1">
      <c r="A14988" s="5"/>
    </row>
    <row r="14989" spans="1:1">
      <c r="A14989" s="5"/>
    </row>
    <row r="14990" spans="1:1">
      <c r="A14990" s="5"/>
    </row>
    <row r="14991" spans="1:1">
      <c r="A14991" s="5"/>
    </row>
    <row r="14992" spans="1:1">
      <c r="A14992" s="5"/>
    </row>
    <row r="14993" spans="1:1">
      <c r="A14993" s="5"/>
    </row>
    <row r="14994" spans="1:1">
      <c r="A14994" s="5"/>
    </row>
    <row r="14995" spans="1:1">
      <c r="A14995" s="5"/>
    </row>
    <row r="14996" spans="1:1">
      <c r="A14996" s="5"/>
    </row>
    <row r="14997" spans="1:1">
      <c r="A14997" s="5"/>
    </row>
    <row r="14998" spans="1:1">
      <c r="A14998" s="5"/>
    </row>
    <row r="14999" spans="1:1">
      <c r="A14999" s="5"/>
    </row>
    <row r="15000" spans="1:1">
      <c r="A15000" s="5"/>
    </row>
    <row r="15001" spans="1:1">
      <c r="A15001" s="5"/>
    </row>
    <row r="15002" spans="1:1">
      <c r="A15002" s="5"/>
    </row>
    <row r="15003" spans="1:1">
      <c r="A15003" s="5"/>
    </row>
    <row r="15004" spans="1:1">
      <c r="A15004" s="5"/>
    </row>
    <row r="15005" spans="1:1">
      <c r="A15005" s="5"/>
    </row>
    <row r="15006" spans="1:1">
      <c r="A15006" s="5"/>
    </row>
    <row r="15007" spans="1:1">
      <c r="A15007" s="5"/>
    </row>
    <row r="15008" spans="1:1">
      <c r="A15008" s="5"/>
    </row>
    <row r="15009" spans="1:1">
      <c r="A15009" s="5"/>
    </row>
    <row r="15010" spans="1:1">
      <c r="A15010" s="5"/>
    </row>
    <row r="15011" spans="1:1">
      <c r="A15011" s="5"/>
    </row>
    <row r="15012" spans="1:1">
      <c r="A15012" s="5"/>
    </row>
    <row r="15013" spans="1:1">
      <c r="A15013" s="5"/>
    </row>
    <row r="15014" spans="1:1">
      <c r="A15014" s="5"/>
    </row>
    <row r="15015" spans="1:1">
      <c r="A15015" s="5"/>
    </row>
    <row r="15016" spans="1:1">
      <c r="A15016" s="5"/>
    </row>
    <row r="15017" spans="1:1">
      <c r="A15017" s="5"/>
    </row>
    <row r="15018" spans="1:1">
      <c r="A15018" s="5"/>
    </row>
    <row r="15019" spans="1:1">
      <c r="A15019" s="5"/>
    </row>
    <row r="15020" spans="1:1">
      <c r="A15020" s="5"/>
    </row>
    <row r="15021" spans="1:1">
      <c r="A15021" s="5"/>
    </row>
    <row r="15022" spans="1:1">
      <c r="A15022" s="5"/>
    </row>
    <row r="15023" spans="1:1">
      <c r="A15023" s="5"/>
    </row>
    <row r="15024" spans="1:1">
      <c r="A15024" s="5"/>
    </row>
    <row r="15025" spans="1:1">
      <c r="A15025" s="5"/>
    </row>
    <row r="15026" spans="1:1">
      <c r="A15026" s="5"/>
    </row>
    <row r="15027" spans="1:1">
      <c r="A15027" s="5"/>
    </row>
    <row r="15028" spans="1:1">
      <c r="A15028" s="5"/>
    </row>
    <row r="15029" spans="1:1">
      <c r="A15029" s="5"/>
    </row>
    <row r="15030" spans="1:1">
      <c r="A15030" s="5"/>
    </row>
    <row r="15031" spans="1:1">
      <c r="A15031" s="5"/>
    </row>
    <row r="15032" spans="1:1">
      <c r="A15032" s="5"/>
    </row>
    <row r="15033" spans="1:1">
      <c r="A15033" s="5"/>
    </row>
    <row r="15034" spans="1:1">
      <c r="A15034" s="5"/>
    </row>
    <row r="15035" spans="1:1">
      <c r="A15035" s="5"/>
    </row>
    <row r="15036" spans="1:1">
      <c r="A15036" s="5"/>
    </row>
    <row r="15037" spans="1:1">
      <c r="A15037" s="5"/>
    </row>
    <row r="15038" spans="1:1">
      <c r="A15038" s="5"/>
    </row>
    <row r="15039" spans="1:1">
      <c r="A15039" s="5"/>
    </row>
    <row r="15040" spans="1:1">
      <c r="A15040" s="5"/>
    </row>
    <row r="15041" spans="1:1">
      <c r="A15041" s="5"/>
    </row>
    <row r="15042" spans="1:1">
      <c r="A15042" s="5"/>
    </row>
    <row r="15043" spans="1:1">
      <c r="A15043" s="5"/>
    </row>
    <row r="15044" spans="1:1">
      <c r="A15044" s="5"/>
    </row>
    <row r="15045" spans="1:1">
      <c r="A15045" s="5"/>
    </row>
    <row r="15046" spans="1:1">
      <c r="A15046" s="5"/>
    </row>
    <row r="15047" spans="1:1">
      <c r="A15047" s="5"/>
    </row>
    <row r="15048" spans="1:1">
      <c r="A15048" s="5"/>
    </row>
    <row r="15049" spans="1:1">
      <c r="A15049" s="5"/>
    </row>
    <row r="15050" spans="1:1">
      <c r="A15050" s="5"/>
    </row>
    <row r="15051" spans="1:1">
      <c r="A15051" s="5"/>
    </row>
    <row r="15052" spans="1:1">
      <c r="A15052" s="5"/>
    </row>
    <row r="15053" spans="1:1">
      <c r="A15053" s="5"/>
    </row>
    <row r="15054" spans="1:1">
      <c r="A15054" s="5"/>
    </row>
    <row r="15055" spans="1:1">
      <c r="A15055" s="5"/>
    </row>
    <row r="15056" spans="1:1">
      <c r="A15056" s="5"/>
    </row>
    <row r="15057" spans="1:1">
      <c r="A15057" s="5"/>
    </row>
    <row r="15058" spans="1:1">
      <c r="A15058" s="5"/>
    </row>
    <row r="15059" spans="1:1">
      <c r="A15059" s="5"/>
    </row>
    <row r="15060" spans="1:1">
      <c r="A15060" s="5"/>
    </row>
    <row r="15061" spans="1:1">
      <c r="A15061" s="5"/>
    </row>
    <row r="15062" spans="1:1">
      <c r="A15062" s="5"/>
    </row>
    <row r="15063" spans="1:1">
      <c r="A15063" s="5"/>
    </row>
    <row r="15064" spans="1:1">
      <c r="A15064" s="5"/>
    </row>
    <row r="15065" spans="1:1">
      <c r="A15065" s="5"/>
    </row>
    <row r="15066" spans="1:1">
      <c r="A15066" s="5"/>
    </row>
    <row r="15067" spans="1:1">
      <c r="A15067" s="5"/>
    </row>
    <row r="15068" spans="1:1">
      <c r="A15068" s="5"/>
    </row>
    <row r="15069" spans="1:1">
      <c r="A15069" s="5"/>
    </row>
    <row r="15070" spans="1:1">
      <c r="A15070" s="5"/>
    </row>
    <row r="15071" spans="1:1">
      <c r="A15071" s="5"/>
    </row>
    <row r="15072" spans="1:1">
      <c r="A15072" s="5"/>
    </row>
    <row r="15073" spans="1:1">
      <c r="A15073" s="5"/>
    </row>
    <row r="15074" spans="1:1">
      <c r="A15074" s="5"/>
    </row>
    <row r="15075" spans="1:1">
      <c r="A15075" s="5"/>
    </row>
    <row r="15076" spans="1:1">
      <c r="A15076" s="5"/>
    </row>
    <row r="15077" spans="1:1">
      <c r="A15077" s="5"/>
    </row>
    <row r="15078" spans="1:1">
      <c r="A15078" s="5"/>
    </row>
    <row r="15079" spans="1:1">
      <c r="A15079" s="5"/>
    </row>
    <row r="15080" spans="1:1">
      <c r="A15080" s="5"/>
    </row>
    <row r="15081" spans="1:1">
      <c r="A15081" s="5"/>
    </row>
    <row r="15082" spans="1:1">
      <c r="A15082" s="5"/>
    </row>
    <row r="15083" spans="1:1">
      <c r="A15083" s="5"/>
    </row>
    <row r="15084" spans="1:1">
      <c r="A15084" s="5"/>
    </row>
    <row r="15085" spans="1:1">
      <c r="A15085" s="5"/>
    </row>
    <row r="15086" spans="1:1">
      <c r="A15086" s="5"/>
    </row>
    <row r="15087" spans="1:1">
      <c r="A15087" s="5"/>
    </row>
    <row r="15088" spans="1:1">
      <c r="A15088" s="5"/>
    </row>
    <row r="15089" spans="1:1">
      <c r="A15089" s="5"/>
    </row>
    <row r="15090" spans="1:1">
      <c r="A15090" s="5"/>
    </row>
    <row r="15091" spans="1:1">
      <c r="A15091" s="5"/>
    </row>
    <row r="15092" spans="1:1">
      <c r="A15092" s="5"/>
    </row>
    <row r="15093" spans="1:1">
      <c r="A15093" s="5"/>
    </row>
    <row r="15094" spans="1:1">
      <c r="A15094" s="5"/>
    </row>
    <row r="15095" spans="1:1">
      <c r="A15095" s="5"/>
    </row>
    <row r="15096" spans="1:1">
      <c r="A15096" s="5"/>
    </row>
    <row r="15097" spans="1:1">
      <c r="A15097" s="5"/>
    </row>
    <row r="15098" spans="1:1">
      <c r="A15098" s="5"/>
    </row>
    <row r="15099" spans="1:1">
      <c r="A15099" s="5"/>
    </row>
    <row r="15100" spans="1:1">
      <c r="A15100" s="5"/>
    </row>
    <row r="15101" spans="1:1">
      <c r="A15101" s="5"/>
    </row>
    <row r="15102" spans="1:1">
      <c r="A15102" s="5"/>
    </row>
    <row r="15103" spans="1:1">
      <c r="A15103" s="5"/>
    </row>
    <row r="15104" spans="1:1">
      <c r="A15104" s="5"/>
    </row>
    <row r="15105" spans="1:1">
      <c r="A15105" s="5"/>
    </row>
    <row r="15106" spans="1:1">
      <c r="A15106" s="5"/>
    </row>
    <row r="15107" spans="1:1">
      <c r="A15107" s="5"/>
    </row>
    <row r="15108" spans="1:1">
      <c r="A15108" s="5"/>
    </row>
    <row r="15109" spans="1:1">
      <c r="A15109" s="5"/>
    </row>
    <row r="15110" spans="1:1">
      <c r="A15110" s="5"/>
    </row>
    <row r="15111" spans="1:1">
      <c r="A15111" s="5"/>
    </row>
    <row r="15112" spans="1:1">
      <c r="A15112" s="5"/>
    </row>
    <row r="15113" spans="1:1">
      <c r="A15113" s="5"/>
    </row>
    <row r="15114" spans="1:1">
      <c r="A15114" s="5"/>
    </row>
    <row r="15115" spans="1:1">
      <c r="A15115" s="5"/>
    </row>
    <row r="15116" spans="1:1">
      <c r="A15116" s="5"/>
    </row>
    <row r="15117" spans="1:1">
      <c r="A15117" s="5"/>
    </row>
    <row r="15118" spans="1:1">
      <c r="A15118" s="5"/>
    </row>
    <row r="15119" spans="1:1">
      <c r="A15119" s="5"/>
    </row>
    <row r="15120" spans="1:1">
      <c r="A15120" s="5"/>
    </row>
    <row r="15121" spans="1:1">
      <c r="A15121" s="5"/>
    </row>
    <row r="15122" spans="1:1">
      <c r="A15122" s="5"/>
    </row>
    <row r="15123" spans="1:1">
      <c r="A15123" s="5"/>
    </row>
    <row r="15124" spans="1:1">
      <c r="A15124" s="5"/>
    </row>
    <row r="15125" spans="1:1">
      <c r="A15125" s="5"/>
    </row>
    <row r="15126" spans="1:1">
      <c r="A15126" s="5"/>
    </row>
    <row r="15127" spans="1:1">
      <c r="A15127" s="5"/>
    </row>
    <row r="15128" spans="1:1">
      <c r="A15128" s="5"/>
    </row>
    <row r="15129" spans="1:1">
      <c r="A15129" s="5"/>
    </row>
    <row r="15130" spans="1:1">
      <c r="A15130" s="5"/>
    </row>
    <row r="15131" spans="1:1">
      <c r="A15131" s="5"/>
    </row>
    <row r="15132" spans="1:1">
      <c r="A15132" s="5"/>
    </row>
    <row r="15133" spans="1:1">
      <c r="A15133" s="5"/>
    </row>
    <row r="15134" spans="1:1">
      <c r="A15134" s="5"/>
    </row>
    <row r="15135" spans="1:1">
      <c r="A15135" s="5"/>
    </row>
    <row r="15136" spans="1:1">
      <c r="A15136" s="5"/>
    </row>
    <row r="15137" spans="1:1">
      <c r="A15137" s="5"/>
    </row>
    <row r="15138" spans="1:1">
      <c r="A15138" s="5"/>
    </row>
    <row r="15139" spans="1:1">
      <c r="A15139" s="5"/>
    </row>
    <row r="15140" spans="1:1">
      <c r="A15140" s="5"/>
    </row>
    <row r="15141" spans="1:1">
      <c r="A15141" s="5"/>
    </row>
    <row r="15142" spans="1:1">
      <c r="A15142" s="5"/>
    </row>
    <row r="15143" spans="1:1">
      <c r="A15143" s="5"/>
    </row>
    <row r="15144" spans="1:1">
      <c r="A15144" s="5"/>
    </row>
    <row r="15145" spans="1:1">
      <c r="A15145" s="5"/>
    </row>
    <row r="15146" spans="1:1">
      <c r="A15146" s="5"/>
    </row>
    <row r="15147" spans="1:1">
      <c r="A15147" s="5"/>
    </row>
    <row r="15148" spans="1:1">
      <c r="A15148" s="5"/>
    </row>
    <row r="15149" spans="1:1">
      <c r="A15149" s="5"/>
    </row>
    <row r="15150" spans="1:1">
      <c r="A15150" s="5"/>
    </row>
    <row r="15151" spans="1:1">
      <c r="A15151" s="5"/>
    </row>
    <row r="15152" spans="1:1">
      <c r="A15152" s="5"/>
    </row>
    <row r="15153" spans="1:1">
      <c r="A15153" s="5"/>
    </row>
    <row r="15154" spans="1:1">
      <c r="A15154" s="5"/>
    </row>
    <row r="15155" spans="1:1">
      <c r="A15155" s="5"/>
    </row>
    <row r="15156" spans="1:1">
      <c r="A15156" s="5"/>
    </row>
    <row r="15157" spans="1:1">
      <c r="A15157" s="5"/>
    </row>
    <row r="15158" spans="1:1">
      <c r="A15158" s="5"/>
    </row>
    <row r="15159" spans="1:1">
      <c r="A15159" s="5"/>
    </row>
    <row r="15160" spans="1:1">
      <c r="A15160" s="5"/>
    </row>
    <row r="15161" spans="1:1">
      <c r="A15161" s="5"/>
    </row>
    <row r="15162" spans="1:1">
      <c r="A15162" s="5"/>
    </row>
    <row r="15163" spans="1:1">
      <c r="A15163" s="5"/>
    </row>
    <row r="15164" spans="1:1">
      <c r="A15164" s="5"/>
    </row>
    <row r="15165" spans="1:1">
      <c r="A15165" s="5"/>
    </row>
    <row r="15166" spans="1:1">
      <c r="A15166" s="5"/>
    </row>
    <row r="15167" spans="1:1">
      <c r="A15167" s="5"/>
    </row>
    <row r="15168" spans="1:1">
      <c r="A15168" s="5"/>
    </row>
    <row r="15169" spans="1:1">
      <c r="A15169" s="5"/>
    </row>
    <row r="15170" spans="1:1">
      <c r="A15170" s="5"/>
    </row>
    <row r="15171" spans="1:1">
      <c r="A15171" s="5"/>
    </row>
    <row r="15172" spans="1:1">
      <c r="A15172" s="5"/>
    </row>
    <row r="15173" spans="1:1">
      <c r="A15173" s="5"/>
    </row>
    <row r="15174" spans="1:1">
      <c r="A15174" s="5"/>
    </row>
    <row r="15175" spans="1:1">
      <c r="A15175" s="5"/>
    </row>
    <row r="15176" spans="1:1">
      <c r="A15176" s="5"/>
    </row>
    <row r="15177" spans="1:1">
      <c r="A15177" s="5"/>
    </row>
    <row r="15178" spans="1:1">
      <c r="A15178" s="5"/>
    </row>
    <row r="15179" spans="1:1">
      <c r="A15179" s="5"/>
    </row>
    <row r="15180" spans="1:1">
      <c r="A15180" s="5"/>
    </row>
    <row r="15181" spans="1:1">
      <c r="A15181" s="5"/>
    </row>
    <row r="15182" spans="1:1">
      <c r="A15182" s="5"/>
    </row>
    <row r="15183" spans="1:1">
      <c r="A15183" s="5"/>
    </row>
    <row r="15184" spans="1:1">
      <c r="A15184" s="5"/>
    </row>
    <row r="15185" spans="1:1">
      <c r="A15185" s="5"/>
    </row>
    <row r="15186" spans="1:1">
      <c r="A15186" s="5"/>
    </row>
    <row r="15187" spans="1:1">
      <c r="A15187" s="5"/>
    </row>
    <row r="15188" spans="1:1">
      <c r="A15188" s="5"/>
    </row>
    <row r="15189" spans="1:1">
      <c r="A15189" s="5"/>
    </row>
    <row r="15190" spans="1:1">
      <c r="A15190" s="5"/>
    </row>
    <row r="15191" spans="1:1">
      <c r="A15191" s="5"/>
    </row>
    <row r="15192" spans="1:1">
      <c r="A15192" s="5"/>
    </row>
    <row r="15193" spans="1:1">
      <c r="A15193" s="5"/>
    </row>
    <row r="15194" spans="1:1">
      <c r="A15194" s="5"/>
    </row>
    <row r="15195" spans="1:1">
      <c r="A15195" s="5"/>
    </row>
    <row r="15196" spans="1:1">
      <c r="A15196" s="5"/>
    </row>
    <row r="15197" spans="1:1">
      <c r="A15197" s="5"/>
    </row>
    <row r="15198" spans="1:1">
      <c r="A15198" s="5"/>
    </row>
    <row r="15199" spans="1:1">
      <c r="A15199" s="5"/>
    </row>
    <row r="15200" spans="1:1">
      <c r="A15200" s="5"/>
    </row>
    <row r="15201" spans="1:1">
      <c r="A15201" s="5"/>
    </row>
    <row r="15202" spans="1:1">
      <c r="A15202" s="5"/>
    </row>
    <row r="15203" spans="1:1">
      <c r="A15203" s="5"/>
    </row>
    <row r="15204" spans="1:1">
      <c r="A15204" s="5"/>
    </row>
    <row r="15205" spans="1:1">
      <c r="A15205" s="5"/>
    </row>
    <row r="15206" spans="1:1">
      <c r="A15206" s="5"/>
    </row>
    <row r="15207" spans="1:1">
      <c r="A15207" s="5"/>
    </row>
    <row r="15208" spans="1:1">
      <c r="A15208" s="5"/>
    </row>
    <row r="15209" spans="1:1">
      <c r="A15209" s="5"/>
    </row>
    <row r="15210" spans="1:1">
      <c r="A15210" s="5"/>
    </row>
    <row r="15211" spans="1:1">
      <c r="A15211" s="5"/>
    </row>
    <row r="15212" spans="1:1">
      <c r="A15212" s="5"/>
    </row>
    <row r="15213" spans="1:1">
      <c r="A15213" s="5"/>
    </row>
    <row r="15214" spans="1:1">
      <c r="A15214" s="5"/>
    </row>
    <row r="15215" spans="1:1">
      <c r="A15215" s="5"/>
    </row>
    <row r="15216" spans="1:1">
      <c r="A15216" s="5"/>
    </row>
    <row r="15217" spans="1:1">
      <c r="A15217" s="5"/>
    </row>
    <row r="15218" spans="1:1">
      <c r="A15218" s="5"/>
    </row>
    <row r="15219" spans="1:1">
      <c r="A15219" s="5"/>
    </row>
    <row r="15220" spans="1:1">
      <c r="A15220" s="5"/>
    </row>
    <row r="15221" spans="1:1">
      <c r="A15221" s="5"/>
    </row>
    <row r="15222" spans="1:1">
      <c r="A15222" s="5"/>
    </row>
    <row r="15223" spans="1:1">
      <c r="A15223" s="5"/>
    </row>
    <row r="15224" spans="1:1">
      <c r="A15224" s="5"/>
    </row>
    <row r="15225" spans="1:1">
      <c r="A15225" s="5"/>
    </row>
    <row r="15226" spans="1:1">
      <c r="A15226" s="5"/>
    </row>
    <row r="15227" spans="1:1">
      <c r="A15227" s="5"/>
    </row>
    <row r="15228" spans="1:1">
      <c r="A15228" s="5"/>
    </row>
    <row r="15229" spans="1:1">
      <c r="A15229" s="5"/>
    </row>
    <row r="15230" spans="1:1">
      <c r="A15230" s="5"/>
    </row>
    <row r="15231" spans="1:1">
      <c r="A15231" s="5"/>
    </row>
    <row r="15232" spans="1:1">
      <c r="A15232" s="5"/>
    </row>
    <row r="15233" spans="1:1">
      <c r="A15233" s="5"/>
    </row>
    <row r="15234" spans="1:1">
      <c r="A15234" s="5"/>
    </row>
    <row r="15235" spans="1:1">
      <c r="A15235" s="5"/>
    </row>
    <row r="15236" spans="1:1">
      <c r="A15236" s="5"/>
    </row>
    <row r="15237" spans="1:1">
      <c r="A15237" s="5"/>
    </row>
    <row r="15238" spans="1:1">
      <c r="A15238" s="5"/>
    </row>
    <row r="15239" spans="1:1">
      <c r="A15239" s="5"/>
    </row>
    <row r="15240" spans="1:1">
      <c r="A15240" s="5"/>
    </row>
    <row r="15241" spans="1:1">
      <c r="A15241" s="5"/>
    </row>
    <row r="15242" spans="1:1">
      <c r="A15242" s="5"/>
    </row>
    <row r="15243" spans="1:1">
      <c r="A15243" s="5"/>
    </row>
    <row r="15244" spans="1:1">
      <c r="A15244" s="5"/>
    </row>
    <row r="15245" spans="1:1">
      <c r="A15245" s="5"/>
    </row>
    <row r="15246" spans="1:1">
      <c r="A15246" s="5"/>
    </row>
    <row r="15247" spans="1:1">
      <c r="A15247" s="5"/>
    </row>
    <row r="15248" spans="1:1">
      <c r="A15248" s="5"/>
    </row>
    <row r="15249" spans="1:1">
      <c r="A15249" s="5"/>
    </row>
    <row r="15250" spans="1:1">
      <c r="A15250" s="5"/>
    </row>
    <row r="15251" spans="1:1">
      <c r="A15251" s="5"/>
    </row>
    <row r="15252" spans="1:1">
      <c r="A15252" s="5"/>
    </row>
    <row r="15253" spans="1:1">
      <c r="A15253" s="5"/>
    </row>
    <row r="15254" spans="1:1">
      <c r="A15254" s="5"/>
    </row>
    <row r="15255" spans="1:1">
      <c r="A15255" s="5"/>
    </row>
    <row r="15256" spans="1:1">
      <c r="A15256" s="5"/>
    </row>
    <row r="15257" spans="1:1">
      <c r="A15257" s="5"/>
    </row>
    <row r="15258" spans="1:1">
      <c r="A15258" s="5"/>
    </row>
    <row r="15259" spans="1:1">
      <c r="A15259" s="5"/>
    </row>
    <row r="15260" spans="1:1">
      <c r="A15260" s="5"/>
    </row>
    <row r="15261" spans="1:1">
      <c r="A15261" s="5"/>
    </row>
    <row r="15262" spans="1:1">
      <c r="A15262" s="5"/>
    </row>
    <row r="15263" spans="1:1">
      <c r="A15263" s="5"/>
    </row>
    <row r="15264" spans="1:1">
      <c r="A15264" s="5"/>
    </row>
    <row r="15265" spans="1:1">
      <c r="A15265" s="5"/>
    </row>
    <row r="15266" spans="1:1">
      <c r="A15266" s="5"/>
    </row>
    <row r="15267" spans="1:1">
      <c r="A15267" s="5"/>
    </row>
    <row r="15268" spans="1:1">
      <c r="A15268" s="5"/>
    </row>
    <row r="15269" spans="1:1">
      <c r="A15269" s="5"/>
    </row>
    <row r="15270" spans="1:1">
      <c r="A15270" s="5"/>
    </row>
    <row r="15271" spans="1:1">
      <c r="A15271" s="5"/>
    </row>
    <row r="15272" spans="1:1">
      <c r="A15272" s="5"/>
    </row>
    <row r="15273" spans="1:1">
      <c r="A15273" s="5"/>
    </row>
    <row r="15274" spans="1:1">
      <c r="A15274" s="5"/>
    </row>
    <row r="15275" spans="1:1">
      <c r="A15275" s="5"/>
    </row>
    <row r="15276" spans="1:1">
      <c r="A15276" s="5"/>
    </row>
    <row r="15277" spans="1:1">
      <c r="A15277" s="5"/>
    </row>
    <row r="15278" spans="1:1">
      <c r="A15278" s="5"/>
    </row>
    <row r="15279" spans="1:1">
      <c r="A15279" s="5"/>
    </row>
    <row r="15280" spans="1:1">
      <c r="A15280" s="5"/>
    </row>
    <row r="15281" spans="1:1">
      <c r="A15281" s="5"/>
    </row>
    <row r="15282" spans="1:1">
      <c r="A15282" s="5"/>
    </row>
    <row r="15283" spans="1:1">
      <c r="A15283" s="5"/>
    </row>
    <row r="15284" spans="1:1">
      <c r="A15284" s="5"/>
    </row>
    <row r="15285" spans="1:1">
      <c r="A15285" s="5"/>
    </row>
    <row r="15286" spans="1:1">
      <c r="A15286" s="5"/>
    </row>
    <row r="15287" spans="1:1">
      <c r="A15287" s="5"/>
    </row>
    <row r="15288" spans="1:1">
      <c r="A15288" s="5"/>
    </row>
    <row r="15289" spans="1:1">
      <c r="A15289" s="5"/>
    </row>
    <row r="15290" spans="1:1">
      <c r="A15290" s="5"/>
    </row>
    <row r="15291" spans="1:1">
      <c r="A15291" s="5"/>
    </row>
    <row r="15292" spans="1:1">
      <c r="A15292" s="5"/>
    </row>
    <row r="15293" spans="1:1">
      <c r="A15293" s="5"/>
    </row>
    <row r="15294" spans="1:1">
      <c r="A15294" s="5"/>
    </row>
    <row r="15295" spans="1:1">
      <c r="A15295" s="5"/>
    </row>
    <row r="15296" spans="1:1">
      <c r="A15296" s="5"/>
    </row>
    <row r="15297" spans="1:1">
      <c r="A15297" s="5"/>
    </row>
    <row r="15298" spans="1:1">
      <c r="A15298" s="5"/>
    </row>
    <row r="15299" spans="1:1">
      <c r="A15299" s="5"/>
    </row>
    <row r="15300" spans="1:1">
      <c r="A15300" s="5"/>
    </row>
    <row r="15301" spans="1:1">
      <c r="A15301" s="5"/>
    </row>
    <row r="15302" spans="1:1">
      <c r="A15302" s="5"/>
    </row>
    <row r="15303" spans="1:1">
      <c r="A15303" s="5"/>
    </row>
    <row r="15304" spans="1:1">
      <c r="A15304" s="5"/>
    </row>
    <row r="15305" spans="1:1">
      <c r="A15305" s="5"/>
    </row>
    <row r="15306" spans="1:1">
      <c r="A15306" s="5"/>
    </row>
    <row r="15307" spans="1:1">
      <c r="A15307" s="5"/>
    </row>
    <row r="15308" spans="1:1">
      <c r="A15308" s="5"/>
    </row>
    <row r="15309" spans="1:1">
      <c r="A15309" s="5"/>
    </row>
    <row r="15310" spans="1:1">
      <c r="A15310" s="5"/>
    </row>
    <row r="15311" spans="1:1">
      <c r="A15311" s="5"/>
    </row>
    <row r="15312" spans="1:1">
      <c r="A15312" s="5"/>
    </row>
    <row r="15313" spans="1:1">
      <c r="A15313" s="5"/>
    </row>
    <row r="15314" spans="1:1">
      <c r="A15314" s="5"/>
    </row>
    <row r="15315" spans="1:1">
      <c r="A15315" s="5"/>
    </row>
    <row r="15316" spans="1:1">
      <c r="A15316" s="5"/>
    </row>
    <row r="15317" spans="1:1">
      <c r="A15317" s="5"/>
    </row>
    <row r="15318" spans="1:1">
      <c r="A15318" s="5"/>
    </row>
    <row r="15319" spans="1:1">
      <c r="A15319" s="5"/>
    </row>
    <row r="15320" spans="1:1">
      <c r="A15320" s="5"/>
    </row>
    <row r="15321" spans="1:1">
      <c r="A15321" s="5"/>
    </row>
    <row r="15322" spans="1:1">
      <c r="A15322" s="5"/>
    </row>
    <row r="15323" spans="1:1">
      <c r="A15323" s="5"/>
    </row>
    <row r="15324" spans="1:1">
      <c r="A15324" s="5"/>
    </row>
    <row r="15325" spans="1:1">
      <c r="A15325" s="5"/>
    </row>
    <row r="15326" spans="1:1">
      <c r="A15326" s="5"/>
    </row>
    <row r="15327" spans="1:1">
      <c r="A15327" s="5"/>
    </row>
    <row r="15328" spans="1:1">
      <c r="A15328" s="5"/>
    </row>
    <row r="15329" spans="1:1">
      <c r="A15329" s="5"/>
    </row>
    <row r="15330" spans="1:1">
      <c r="A15330" s="5"/>
    </row>
    <row r="15331" spans="1:1">
      <c r="A15331" s="5"/>
    </row>
    <row r="15332" spans="1:1">
      <c r="A15332" s="5"/>
    </row>
    <row r="15333" spans="1:1">
      <c r="A15333" s="5"/>
    </row>
    <row r="15334" spans="1:1">
      <c r="A15334" s="5"/>
    </row>
    <row r="15335" spans="1:1">
      <c r="A15335" s="5"/>
    </row>
    <row r="15336" spans="1:1">
      <c r="A15336" s="5"/>
    </row>
    <row r="15337" spans="1:1">
      <c r="A15337" s="5"/>
    </row>
    <row r="15338" spans="1:1">
      <c r="A15338" s="5"/>
    </row>
    <row r="15339" spans="1:1">
      <c r="A15339" s="5"/>
    </row>
    <row r="15340" spans="1:1">
      <c r="A15340" s="5"/>
    </row>
    <row r="15341" spans="1:1">
      <c r="A15341" s="5"/>
    </row>
    <row r="15342" spans="1:1">
      <c r="A15342" s="5"/>
    </row>
    <row r="15343" spans="1:1">
      <c r="A15343" s="5"/>
    </row>
    <row r="15344" spans="1:1">
      <c r="A15344" s="5"/>
    </row>
    <row r="15345" spans="1:1">
      <c r="A15345" s="5"/>
    </row>
    <row r="15346" spans="1:1">
      <c r="A15346" s="5"/>
    </row>
    <row r="15347" spans="1:1">
      <c r="A15347" s="5"/>
    </row>
    <row r="15348" spans="1:1">
      <c r="A15348" s="5"/>
    </row>
    <row r="15349" spans="1:1">
      <c r="A15349" s="5"/>
    </row>
    <row r="15350" spans="1:1">
      <c r="A15350" s="5"/>
    </row>
    <row r="15351" spans="1:1">
      <c r="A15351" s="5"/>
    </row>
    <row r="15352" spans="1:1">
      <c r="A15352" s="5"/>
    </row>
    <row r="15353" spans="1:1">
      <c r="A15353" s="5"/>
    </row>
    <row r="15354" spans="1:1">
      <c r="A15354" s="5"/>
    </row>
    <row r="15355" spans="1:1">
      <c r="A15355" s="5"/>
    </row>
    <row r="15356" spans="1:1">
      <c r="A15356" s="5"/>
    </row>
    <row r="15357" spans="1:1">
      <c r="A15357" s="5"/>
    </row>
    <row r="15358" spans="1:1">
      <c r="A15358" s="5"/>
    </row>
    <row r="15359" spans="1:1">
      <c r="A15359" s="5"/>
    </row>
    <row r="15360" spans="1:1">
      <c r="A15360" s="5"/>
    </row>
    <row r="15361" spans="1:1">
      <c r="A15361" s="5"/>
    </row>
    <row r="15362" spans="1:1">
      <c r="A15362" s="5"/>
    </row>
    <row r="15363" spans="1:1">
      <c r="A15363" s="5"/>
    </row>
    <row r="15364" spans="1:1">
      <c r="A15364" s="5"/>
    </row>
    <row r="15365" spans="1:1">
      <c r="A15365" s="5"/>
    </row>
    <row r="15366" spans="1:1">
      <c r="A15366" s="5"/>
    </row>
    <row r="15367" spans="1:1">
      <c r="A15367" s="5"/>
    </row>
    <row r="15368" spans="1:1">
      <c r="A15368" s="5"/>
    </row>
    <row r="15369" spans="1:1">
      <c r="A15369" s="5"/>
    </row>
    <row r="15370" spans="1:1">
      <c r="A15370" s="5"/>
    </row>
    <row r="15371" spans="1:1">
      <c r="A15371" s="5"/>
    </row>
    <row r="15372" spans="1:1">
      <c r="A15372" s="5"/>
    </row>
    <row r="15373" spans="1:1">
      <c r="A15373" s="5"/>
    </row>
    <row r="15374" spans="1:1">
      <c r="A15374" s="5"/>
    </row>
    <row r="15375" spans="1:1">
      <c r="A15375" s="5"/>
    </row>
    <row r="15376" spans="1:1">
      <c r="A15376" s="5"/>
    </row>
    <row r="15377" spans="1:1">
      <c r="A15377" s="5"/>
    </row>
    <row r="15378" spans="1:1">
      <c r="A15378" s="5"/>
    </row>
    <row r="15379" spans="1:1">
      <c r="A15379" s="5"/>
    </row>
    <row r="15380" spans="1:1">
      <c r="A15380" s="5"/>
    </row>
    <row r="15381" spans="1:1">
      <c r="A15381" s="5"/>
    </row>
    <row r="15382" spans="1:1">
      <c r="A15382" s="5"/>
    </row>
    <row r="15383" spans="1:1">
      <c r="A15383" s="5"/>
    </row>
    <row r="15384" spans="1:1">
      <c r="A15384" s="5"/>
    </row>
    <row r="15385" spans="1:1">
      <c r="A15385" s="5"/>
    </row>
    <row r="15386" spans="1:1">
      <c r="A15386" s="5"/>
    </row>
    <row r="15387" spans="1:1">
      <c r="A15387" s="5"/>
    </row>
    <row r="15388" spans="1:1">
      <c r="A15388" s="5"/>
    </row>
    <row r="15389" spans="1:1">
      <c r="A15389" s="5"/>
    </row>
    <row r="15390" spans="1:1">
      <c r="A15390" s="5"/>
    </row>
    <row r="15391" spans="1:1">
      <c r="A15391" s="5"/>
    </row>
    <row r="15392" spans="1:1">
      <c r="A15392" s="5"/>
    </row>
    <row r="15393" spans="1:1">
      <c r="A15393" s="5"/>
    </row>
    <row r="15394" spans="1:1">
      <c r="A15394" s="5"/>
    </row>
    <row r="15395" spans="1:1">
      <c r="A15395" s="5"/>
    </row>
    <row r="15396" spans="1:1">
      <c r="A15396" s="5"/>
    </row>
    <row r="15397" spans="1:1">
      <c r="A15397" s="5"/>
    </row>
    <row r="15398" spans="1:1">
      <c r="A15398" s="5"/>
    </row>
    <row r="15399" spans="1:1">
      <c r="A15399" s="5"/>
    </row>
    <row r="15400" spans="1:1">
      <c r="A15400" s="5"/>
    </row>
    <row r="15401" spans="1:1">
      <c r="A15401" s="5"/>
    </row>
    <row r="15402" spans="1:1">
      <c r="A15402" s="5"/>
    </row>
    <row r="15403" spans="1:1">
      <c r="A15403" s="5"/>
    </row>
    <row r="15404" spans="1:1">
      <c r="A15404" s="5"/>
    </row>
    <row r="15405" spans="1:1">
      <c r="A15405" s="5"/>
    </row>
    <row r="15406" spans="1:1">
      <c r="A15406" s="5"/>
    </row>
    <row r="15407" spans="1:1">
      <c r="A15407" s="5"/>
    </row>
    <row r="15408" spans="1:1">
      <c r="A15408" s="5"/>
    </row>
    <row r="15409" spans="1:1">
      <c r="A15409" s="5"/>
    </row>
    <row r="15410" spans="1:1">
      <c r="A15410" s="5"/>
    </row>
    <row r="15411" spans="1:1">
      <c r="A15411" s="5"/>
    </row>
    <row r="15412" spans="1:1">
      <c r="A15412" s="5"/>
    </row>
    <row r="15413" spans="1:1">
      <c r="A15413" s="5"/>
    </row>
    <row r="15414" spans="1:1">
      <c r="A15414" s="5"/>
    </row>
    <row r="15415" spans="1:1">
      <c r="A15415" s="5"/>
    </row>
    <row r="15416" spans="1:1">
      <c r="A15416" s="5"/>
    </row>
    <row r="15417" spans="1:1">
      <c r="A15417" s="5"/>
    </row>
    <row r="15418" spans="1:1">
      <c r="A15418" s="5"/>
    </row>
    <row r="15419" spans="1:1">
      <c r="A15419" s="5"/>
    </row>
    <row r="15420" spans="1:1">
      <c r="A15420" s="5"/>
    </row>
    <row r="15421" spans="1:1">
      <c r="A15421" s="5"/>
    </row>
    <row r="15422" spans="1:1">
      <c r="A15422" s="5"/>
    </row>
    <row r="15423" spans="1:1">
      <c r="A15423" s="5"/>
    </row>
    <row r="15424" spans="1:1">
      <c r="A15424" s="5"/>
    </row>
    <row r="15425" spans="1:1">
      <c r="A15425" s="5"/>
    </row>
    <row r="15426" spans="1:1">
      <c r="A15426" s="5"/>
    </row>
    <row r="15427" spans="1:1">
      <c r="A15427" s="5"/>
    </row>
    <row r="15428" spans="1:1">
      <c r="A15428" s="5"/>
    </row>
    <row r="15429" spans="1:1">
      <c r="A15429" s="5"/>
    </row>
    <row r="15430" spans="1:1">
      <c r="A15430" s="5"/>
    </row>
    <row r="15431" spans="1:1">
      <c r="A15431" s="5"/>
    </row>
    <row r="15432" spans="1:1">
      <c r="A15432" s="5"/>
    </row>
    <row r="15433" spans="1:1">
      <c r="A15433" s="5"/>
    </row>
    <row r="15434" spans="1:1">
      <c r="A15434" s="5"/>
    </row>
    <row r="15435" spans="1:1">
      <c r="A15435" s="5"/>
    </row>
    <row r="15436" spans="1:1">
      <c r="A15436" s="5"/>
    </row>
    <row r="15437" spans="1:1">
      <c r="A15437" s="5"/>
    </row>
    <row r="15438" spans="1:1">
      <c r="A15438" s="5"/>
    </row>
    <row r="15439" spans="1:1">
      <c r="A15439" s="5"/>
    </row>
    <row r="15440" spans="1:1">
      <c r="A15440" s="5"/>
    </row>
    <row r="15441" spans="1:1">
      <c r="A15441" s="5"/>
    </row>
    <row r="15442" spans="1:1">
      <c r="A15442" s="5"/>
    </row>
    <row r="15443" spans="1:1">
      <c r="A15443" s="5"/>
    </row>
    <row r="15444" spans="1:1">
      <c r="A15444" s="5"/>
    </row>
    <row r="15445" spans="1:1">
      <c r="A15445" s="5"/>
    </row>
    <row r="15446" spans="1:1">
      <c r="A15446" s="5"/>
    </row>
    <row r="15447" spans="1:1">
      <c r="A15447" s="5"/>
    </row>
    <row r="15448" spans="1:1">
      <c r="A15448" s="5"/>
    </row>
    <row r="15449" spans="1:1">
      <c r="A15449" s="5"/>
    </row>
    <row r="15450" spans="1:1">
      <c r="A15450" s="5"/>
    </row>
    <row r="15451" spans="1:1">
      <c r="A15451" s="5"/>
    </row>
    <row r="15452" spans="1:1">
      <c r="A15452" s="5"/>
    </row>
    <row r="15453" spans="1:1">
      <c r="A15453" s="5"/>
    </row>
    <row r="15454" spans="1:1">
      <c r="A15454" s="5"/>
    </row>
    <row r="15455" spans="1:1">
      <c r="A15455" s="5"/>
    </row>
    <row r="15456" spans="1:1">
      <c r="A15456" s="5"/>
    </row>
    <row r="15457" spans="1:1">
      <c r="A15457" s="5"/>
    </row>
    <row r="15458" spans="1:1">
      <c r="A15458" s="5"/>
    </row>
    <row r="15459" spans="1:1">
      <c r="A15459" s="5"/>
    </row>
    <row r="15460" spans="1:1">
      <c r="A15460" s="5"/>
    </row>
    <row r="15461" spans="1:1">
      <c r="A15461" s="5"/>
    </row>
    <row r="15462" spans="1:1">
      <c r="A15462" s="5"/>
    </row>
    <row r="15463" spans="1:1">
      <c r="A15463" s="5"/>
    </row>
    <row r="15464" spans="1:1">
      <c r="A15464" s="5"/>
    </row>
    <row r="15465" spans="1:1">
      <c r="A15465" s="5"/>
    </row>
    <row r="15466" spans="1:1">
      <c r="A15466" s="5"/>
    </row>
    <row r="15467" spans="1:1">
      <c r="A15467" s="5"/>
    </row>
    <row r="15468" spans="1:1">
      <c r="A15468" s="5"/>
    </row>
    <row r="15469" spans="1:1">
      <c r="A15469" s="5"/>
    </row>
    <row r="15470" spans="1:1">
      <c r="A15470" s="5"/>
    </row>
    <row r="15471" spans="1:1">
      <c r="A15471" s="5"/>
    </row>
    <row r="15472" spans="1:1">
      <c r="A15472" s="5"/>
    </row>
    <row r="15473" spans="1:1">
      <c r="A15473" s="5"/>
    </row>
    <row r="15474" spans="1:1">
      <c r="A15474" s="5"/>
    </row>
    <row r="15475" spans="1:1">
      <c r="A15475" s="5"/>
    </row>
    <row r="15476" spans="1:1">
      <c r="A15476" s="5"/>
    </row>
    <row r="15477" spans="1:1">
      <c r="A15477" s="5"/>
    </row>
    <row r="15478" spans="1:1">
      <c r="A15478" s="5"/>
    </row>
    <row r="15479" spans="1:1">
      <c r="A15479" s="5"/>
    </row>
    <row r="15480" spans="1:1">
      <c r="A15480" s="5"/>
    </row>
    <row r="15481" spans="1:1">
      <c r="A15481" s="5"/>
    </row>
    <row r="15482" spans="1:1">
      <c r="A15482" s="5"/>
    </row>
    <row r="15483" spans="1:1">
      <c r="A15483" s="5"/>
    </row>
    <row r="15484" spans="1:1">
      <c r="A15484" s="5"/>
    </row>
    <row r="15485" spans="1:1">
      <c r="A15485" s="5"/>
    </row>
    <row r="15486" spans="1:1">
      <c r="A15486" s="5"/>
    </row>
    <row r="15487" spans="1:1">
      <c r="A15487" s="5"/>
    </row>
    <row r="15488" spans="1:1">
      <c r="A15488" s="5"/>
    </row>
    <row r="15489" spans="1:1">
      <c r="A15489" s="5"/>
    </row>
    <row r="15490" spans="1:1">
      <c r="A15490" s="5"/>
    </row>
    <row r="15491" spans="1:1">
      <c r="A15491" s="5"/>
    </row>
    <row r="15492" spans="1:1">
      <c r="A15492" s="5"/>
    </row>
    <row r="15493" spans="1:1">
      <c r="A15493" s="5"/>
    </row>
    <row r="15494" spans="1:1">
      <c r="A15494" s="5"/>
    </row>
    <row r="15495" spans="1:1">
      <c r="A15495" s="5"/>
    </row>
    <row r="15496" spans="1:1">
      <c r="A15496" s="5"/>
    </row>
    <row r="15497" spans="1:1">
      <c r="A15497" s="5"/>
    </row>
    <row r="15498" spans="1:1">
      <c r="A15498" s="5"/>
    </row>
    <row r="15499" spans="1:1">
      <c r="A15499" s="5"/>
    </row>
    <row r="15500" spans="1:1">
      <c r="A15500" s="5"/>
    </row>
    <row r="15501" spans="1:1">
      <c r="A15501" s="5"/>
    </row>
    <row r="15502" spans="1:1">
      <c r="A15502" s="5"/>
    </row>
    <row r="15503" spans="1:1">
      <c r="A15503" s="5"/>
    </row>
    <row r="15504" spans="1:1">
      <c r="A15504" s="5"/>
    </row>
    <row r="15505" spans="1:1">
      <c r="A15505" s="5"/>
    </row>
    <row r="15506" spans="1:1">
      <c r="A15506" s="5"/>
    </row>
    <row r="15507" spans="1:1">
      <c r="A15507" s="5"/>
    </row>
    <row r="15508" spans="1:1">
      <c r="A15508" s="5"/>
    </row>
    <row r="15509" spans="1:1">
      <c r="A15509" s="5"/>
    </row>
    <row r="15510" spans="1:1">
      <c r="A15510" s="5"/>
    </row>
    <row r="15511" spans="1:1">
      <c r="A15511" s="5"/>
    </row>
    <row r="15512" spans="1:1">
      <c r="A15512" s="5"/>
    </row>
    <row r="15513" spans="1:1">
      <c r="A15513" s="5"/>
    </row>
    <row r="15514" spans="1:1">
      <c r="A15514" s="5"/>
    </row>
    <row r="15515" spans="1:1">
      <c r="A15515" s="5"/>
    </row>
    <row r="15516" spans="1:1">
      <c r="A15516" s="5"/>
    </row>
    <row r="15517" spans="1:1">
      <c r="A15517" s="5"/>
    </row>
    <row r="15518" spans="1:1">
      <c r="A15518" s="5"/>
    </row>
    <row r="15519" spans="1:1">
      <c r="A15519" s="5"/>
    </row>
    <row r="15520" spans="1:1">
      <c r="A15520" s="5"/>
    </row>
    <row r="15521" spans="1:1">
      <c r="A15521" s="5"/>
    </row>
    <row r="15522" spans="1:1">
      <c r="A15522" s="5"/>
    </row>
    <row r="15523" spans="1:1">
      <c r="A15523" s="5"/>
    </row>
    <row r="15524" spans="1:1">
      <c r="A15524" s="5"/>
    </row>
    <row r="15525" spans="1:1">
      <c r="A15525" s="5"/>
    </row>
    <row r="15526" spans="1:1">
      <c r="A15526" s="5"/>
    </row>
    <row r="15527" spans="1:1">
      <c r="A15527" s="5"/>
    </row>
    <row r="15528" spans="1:1">
      <c r="A15528" s="5"/>
    </row>
    <row r="15529" spans="1:1">
      <c r="A15529" s="5"/>
    </row>
    <row r="15530" spans="1:1">
      <c r="A15530" s="5"/>
    </row>
    <row r="15531" spans="1:1">
      <c r="A15531" s="5"/>
    </row>
    <row r="15532" spans="1:1">
      <c r="A15532" s="5"/>
    </row>
    <row r="15533" spans="1:1">
      <c r="A15533" s="5"/>
    </row>
    <row r="15534" spans="1:1">
      <c r="A15534" s="5"/>
    </row>
    <row r="15535" spans="1:1">
      <c r="A15535" s="5"/>
    </row>
    <row r="15536" spans="1:1">
      <c r="A15536" s="5"/>
    </row>
    <row r="15537" spans="1:1">
      <c r="A15537" s="5"/>
    </row>
    <row r="15538" spans="1:1">
      <c r="A15538" s="5"/>
    </row>
    <row r="15539" spans="1:1">
      <c r="A15539" s="5"/>
    </row>
    <row r="15540" spans="1:1">
      <c r="A15540" s="5"/>
    </row>
    <row r="15541" spans="1:1">
      <c r="A15541" s="5"/>
    </row>
    <row r="15542" spans="1:1">
      <c r="A15542" s="5"/>
    </row>
    <row r="15543" spans="1:1">
      <c r="A15543" s="5"/>
    </row>
    <row r="15544" spans="1:1">
      <c r="A15544" s="5"/>
    </row>
    <row r="15545" spans="1:1">
      <c r="A15545" s="5"/>
    </row>
    <row r="15546" spans="1:1">
      <c r="A15546" s="5"/>
    </row>
    <row r="15547" spans="1:1">
      <c r="A15547" s="5"/>
    </row>
    <row r="15548" spans="1:1">
      <c r="A15548" s="5"/>
    </row>
    <row r="15549" spans="1:1">
      <c r="A15549" s="5"/>
    </row>
    <row r="15550" spans="1:1">
      <c r="A15550" s="5"/>
    </row>
    <row r="15551" spans="1:1">
      <c r="A15551" s="5"/>
    </row>
    <row r="15552" spans="1:1">
      <c r="A15552" s="5"/>
    </row>
    <row r="15553" spans="1:1">
      <c r="A15553" s="5"/>
    </row>
    <row r="15554" spans="1:1">
      <c r="A15554" s="5"/>
    </row>
    <row r="15555" spans="1:1">
      <c r="A15555" s="5"/>
    </row>
    <row r="15556" spans="1:1">
      <c r="A15556" s="5"/>
    </row>
    <row r="15557" spans="1:1">
      <c r="A15557" s="5"/>
    </row>
    <row r="15558" spans="1:1">
      <c r="A15558" s="5"/>
    </row>
    <row r="15559" spans="1:1">
      <c r="A15559" s="5"/>
    </row>
    <row r="15560" spans="1:1">
      <c r="A15560" s="5"/>
    </row>
    <row r="15561" spans="1:1">
      <c r="A15561" s="5"/>
    </row>
    <row r="15562" spans="1:1">
      <c r="A15562" s="5"/>
    </row>
    <row r="15563" spans="1:1">
      <c r="A15563" s="5"/>
    </row>
    <row r="15564" spans="1:1">
      <c r="A15564" s="5"/>
    </row>
    <row r="15565" spans="1:1">
      <c r="A15565" s="5"/>
    </row>
    <row r="15566" spans="1:1">
      <c r="A15566" s="5"/>
    </row>
    <row r="15567" spans="1:1">
      <c r="A15567" s="5"/>
    </row>
    <row r="15568" spans="1:1">
      <c r="A15568" s="5"/>
    </row>
    <row r="15569" spans="1:1">
      <c r="A15569" s="5"/>
    </row>
    <row r="15570" spans="1:1">
      <c r="A15570" s="5"/>
    </row>
    <row r="15571" spans="1:1">
      <c r="A15571" s="5"/>
    </row>
    <row r="15572" spans="1:1">
      <c r="A15572" s="5"/>
    </row>
    <row r="15573" spans="1:1">
      <c r="A15573" s="5"/>
    </row>
    <row r="15574" spans="1:1">
      <c r="A15574" s="5"/>
    </row>
    <row r="15575" spans="1:1">
      <c r="A15575" s="5"/>
    </row>
    <row r="15576" spans="1:1">
      <c r="A15576" s="5"/>
    </row>
    <row r="15577" spans="1:1">
      <c r="A15577" s="5"/>
    </row>
    <row r="15578" spans="1:1">
      <c r="A15578" s="5"/>
    </row>
    <row r="15579" spans="1:1">
      <c r="A15579" s="5"/>
    </row>
    <row r="15580" spans="1:1">
      <c r="A15580" s="5"/>
    </row>
    <row r="15581" spans="1:1">
      <c r="A15581" s="5"/>
    </row>
    <row r="15582" spans="1:1">
      <c r="A15582" s="5"/>
    </row>
    <row r="15583" spans="1:1">
      <c r="A15583" s="5"/>
    </row>
    <row r="15584" spans="1:1">
      <c r="A15584" s="5"/>
    </row>
    <row r="15585" spans="1:1">
      <c r="A15585" s="5"/>
    </row>
    <row r="15586" spans="1:1">
      <c r="A15586" s="5"/>
    </row>
    <row r="15587" spans="1:1">
      <c r="A15587" s="5"/>
    </row>
    <row r="15588" spans="1:1">
      <c r="A15588" s="5"/>
    </row>
    <row r="15589" spans="1:1">
      <c r="A15589" s="5"/>
    </row>
    <row r="15590" spans="1:1">
      <c r="A15590" s="5"/>
    </row>
    <row r="15591" spans="1:1">
      <c r="A15591" s="5"/>
    </row>
    <row r="15592" spans="1:1">
      <c r="A15592" s="5"/>
    </row>
    <row r="15593" spans="1:1">
      <c r="A15593" s="5"/>
    </row>
    <row r="15594" spans="1:1">
      <c r="A15594" s="5"/>
    </row>
    <row r="15595" spans="1:1">
      <c r="A15595" s="5"/>
    </row>
    <row r="15596" spans="1:1">
      <c r="A15596" s="5"/>
    </row>
    <row r="15597" spans="1:1">
      <c r="A15597" s="5"/>
    </row>
    <row r="15598" spans="1:1">
      <c r="A15598" s="5"/>
    </row>
    <row r="15599" spans="1:1">
      <c r="A15599" s="5"/>
    </row>
    <row r="15600" spans="1:1">
      <c r="A15600" s="5"/>
    </row>
    <row r="15601" spans="1:1">
      <c r="A15601" s="5"/>
    </row>
    <row r="15602" spans="1:1">
      <c r="A15602" s="5"/>
    </row>
    <row r="15603" spans="1:1">
      <c r="A15603" s="5"/>
    </row>
    <row r="15604" spans="1:1">
      <c r="A15604" s="5"/>
    </row>
    <row r="15605" spans="1:1">
      <c r="A15605" s="5"/>
    </row>
    <row r="15606" spans="1:1">
      <c r="A15606" s="5"/>
    </row>
    <row r="15607" spans="1:1">
      <c r="A15607" s="5"/>
    </row>
    <row r="15608" spans="1:1">
      <c r="A15608" s="5"/>
    </row>
    <row r="15609" spans="1:1">
      <c r="A15609" s="5"/>
    </row>
    <row r="15610" spans="1:1">
      <c r="A15610" s="5"/>
    </row>
    <row r="15611" spans="1:1">
      <c r="A15611" s="5"/>
    </row>
    <row r="15612" spans="1:1">
      <c r="A15612" s="5"/>
    </row>
    <row r="15613" spans="1:1">
      <c r="A15613" s="5"/>
    </row>
    <row r="15614" spans="1:1">
      <c r="A15614" s="5"/>
    </row>
    <row r="15615" spans="1:1">
      <c r="A15615" s="5"/>
    </row>
    <row r="15616" spans="1:1">
      <c r="A15616" s="5"/>
    </row>
    <row r="15617" spans="1:1">
      <c r="A15617" s="5"/>
    </row>
    <row r="15618" spans="1:1">
      <c r="A15618" s="5"/>
    </row>
    <row r="15619" spans="1:1">
      <c r="A15619" s="5"/>
    </row>
    <row r="15620" spans="1:1">
      <c r="A15620" s="5"/>
    </row>
    <row r="15621" spans="1:1">
      <c r="A15621" s="5"/>
    </row>
    <row r="15622" spans="1:1">
      <c r="A15622" s="5"/>
    </row>
    <row r="15623" spans="1:1">
      <c r="A15623" s="5"/>
    </row>
    <row r="15624" spans="1:1">
      <c r="A15624" s="5"/>
    </row>
    <row r="15625" spans="1:1">
      <c r="A15625" s="5"/>
    </row>
    <row r="15626" spans="1:1">
      <c r="A15626" s="5"/>
    </row>
    <row r="15627" spans="1:1">
      <c r="A15627" s="5"/>
    </row>
    <row r="15628" spans="1:1">
      <c r="A15628" s="5"/>
    </row>
    <row r="15629" spans="1:1">
      <c r="A15629" s="5"/>
    </row>
    <row r="15630" spans="1:1">
      <c r="A15630" s="5"/>
    </row>
    <row r="15631" spans="1:1">
      <c r="A15631" s="5"/>
    </row>
    <row r="15632" spans="1:1">
      <c r="A15632" s="5"/>
    </row>
    <row r="15633" spans="1:1">
      <c r="A15633" s="5"/>
    </row>
    <row r="15634" spans="1:1">
      <c r="A15634" s="5"/>
    </row>
    <row r="15635" spans="1:1">
      <c r="A15635" s="5"/>
    </row>
    <row r="15636" spans="1:1">
      <c r="A15636" s="5"/>
    </row>
    <row r="15637" spans="1:1">
      <c r="A15637" s="5"/>
    </row>
    <row r="15638" spans="1:1">
      <c r="A15638" s="5"/>
    </row>
    <row r="15639" spans="1:1">
      <c r="A15639" s="5"/>
    </row>
    <row r="15640" spans="1:1">
      <c r="A15640" s="5"/>
    </row>
    <row r="15641" spans="1:1">
      <c r="A15641" s="5"/>
    </row>
    <row r="15642" spans="1:1">
      <c r="A15642" s="5"/>
    </row>
    <row r="15643" spans="1:1">
      <c r="A15643" s="5"/>
    </row>
    <row r="15644" spans="1:1">
      <c r="A15644" s="5"/>
    </row>
    <row r="15645" spans="1:1">
      <c r="A15645" s="5"/>
    </row>
    <row r="15646" spans="1:1">
      <c r="A15646" s="5"/>
    </row>
    <row r="15647" spans="1:1">
      <c r="A15647" s="5"/>
    </row>
    <row r="15648" spans="1:1">
      <c r="A15648" s="5"/>
    </row>
    <row r="15649" spans="1:1">
      <c r="A15649" s="5"/>
    </row>
    <row r="15650" spans="1:1">
      <c r="A15650" s="5"/>
    </row>
    <row r="15651" spans="1:1">
      <c r="A15651" s="5"/>
    </row>
    <row r="15652" spans="1:1">
      <c r="A15652" s="5"/>
    </row>
    <row r="15653" spans="1:1">
      <c r="A15653" s="5"/>
    </row>
    <row r="15654" spans="1:1">
      <c r="A15654" s="5"/>
    </row>
    <row r="15655" spans="1:1">
      <c r="A15655" s="5"/>
    </row>
    <row r="15656" spans="1:1">
      <c r="A15656" s="5"/>
    </row>
    <row r="15657" spans="1:1">
      <c r="A15657" s="5"/>
    </row>
    <row r="15658" spans="1:1">
      <c r="A15658" s="5"/>
    </row>
    <row r="15659" spans="1:1">
      <c r="A15659" s="5"/>
    </row>
    <row r="15660" spans="1:1">
      <c r="A15660" s="5"/>
    </row>
    <row r="15661" spans="1:1">
      <c r="A15661" s="5"/>
    </row>
    <row r="15662" spans="1:1">
      <c r="A15662" s="5"/>
    </row>
    <row r="15663" spans="1:1">
      <c r="A15663" s="5"/>
    </row>
    <row r="15664" spans="1:1">
      <c r="A15664" s="5"/>
    </row>
    <row r="15665" spans="1:1">
      <c r="A15665" s="5"/>
    </row>
    <row r="15666" spans="1:1">
      <c r="A15666" s="5"/>
    </row>
    <row r="15667" spans="1:1">
      <c r="A15667" s="5"/>
    </row>
    <row r="15668" spans="1:1">
      <c r="A15668" s="5"/>
    </row>
    <row r="15669" spans="1:1">
      <c r="A15669" s="5"/>
    </row>
    <row r="15670" spans="1:1">
      <c r="A15670" s="5"/>
    </row>
    <row r="15671" spans="1:1">
      <c r="A15671" s="5"/>
    </row>
    <row r="15672" spans="1:1">
      <c r="A15672" s="5"/>
    </row>
    <row r="15673" spans="1:1">
      <c r="A15673" s="5"/>
    </row>
    <row r="15674" spans="1:1">
      <c r="A15674" s="5"/>
    </row>
    <row r="15675" spans="1:1">
      <c r="A15675" s="5"/>
    </row>
    <row r="15676" spans="1:1">
      <c r="A15676" s="5"/>
    </row>
    <row r="15677" spans="1:1">
      <c r="A15677" s="5"/>
    </row>
    <row r="15678" spans="1:1">
      <c r="A15678" s="5"/>
    </row>
    <row r="15679" spans="1:1">
      <c r="A15679" s="5"/>
    </row>
    <row r="15680" spans="1:1">
      <c r="A15680" s="5"/>
    </row>
    <row r="15681" spans="1:1">
      <c r="A15681" s="5"/>
    </row>
    <row r="15682" spans="1:1">
      <c r="A15682" s="5"/>
    </row>
    <row r="15683" spans="1:1">
      <c r="A15683" s="5"/>
    </row>
    <row r="15684" spans="1:1">
      <c r="A15684" s="5"/>
    </row>
    <row r="15685" spans="1:1">
      <c r="A15685" s="5"/>
    </row>
    <row r="15686" spans="1:1">
      <c r="A15686" s="5"/>
    </row>
    <row r="15687" spans="1:1">
      <c r="A15687" s="5"/>
    </row>
    <row r="15688" spans="1:1">
      <c r="A15688" s="5"/>
    </row>
    <row r="15689" spans="1:1">
      <c r="A15689" s="5"/>
    </row>
    <row r="15690" spans="1:1">
      <c r="A15690" s="5"/>
    </row>
    <row r="15691" spans="1:1">
      <c r="A15691" s="5"/>
    </row>
    <row r="15692" spans="1:1">
      <c r="A15692" s="5"/>
    </row>
    <row r="15693" spans="1:1">
      <c r="A15693" s="5"/>
    </row>
    <row r="15694" spans="1:1">
      <c r="A15694" s="5"/>
    </row>
    <row r="15695" spans="1:1">
      <c r="A15695" s="5"/>
    </row>
    <row r="15696" spans="1:1">
      <c r="A15696" s="5"/>
    </row>
    <row r="15697" spans="1:1">
      <c r="A15697" s="5"/>
    </row>
    <row r="15698" spans="1:1">
      <c r="A15698" s="5"/>
    </row>
    <row r="15699" spans="1:1">
      <c r="A15699" s="5"/>
    </row>
    <row r="15700" spans="1:1">
      <c r="A15700" s="5"/>
    </row>
    <row r="15701" spans="1:1">
      <c r="A15701" s="5"/>
    </row>
    <row r="15702" spans="1:1">
      <c r="A15702" s="5"/>
    </row>
    <row r="15703" spans="1:1">
      <c r="A15703" s="5"/>
    </row>
    <row r="15704" spans="1:1">
      <c r="A15704" s="5"/>
    </row>
    <row r="15705" spans="1:1">
      <c r="A15705" s="5"/>
    </row>
    <row r="15706" spans="1:1">
      <c r="A15706" s="5"/>
    </row>
    <row r="15707" spans="1:1">
      <c r="A15707" s="5"/>
    </row>
    <row r="15708" spans="1:1">
      <c r="A15708" s="5"/>
    </row>
    <row r="15709" spans="1:1">
      <c r="A15709" s="5"/>
    </row>
    <row r="15710" spans="1:1">
      <c r="A15710" s="5"/>
    </row>
    <row r="15711" spans="1:1">
      <c r="A15711" s="5"/>
    </row>
    <row r="15712" spans="1:1">
      <c r="A15712" s="5"/>
    </row>
    <row r="15713" spans="1:1">
      <c r="A15713" s="5"/>
    </row>
    <row r="15714" spans="1:1">
      <c r="A15714" s="5"/>
    </row>
    <row r="15715" spans="1:1">
      <c r="A15715" s="5"/>
    </row>
    <row r="15716" spans="1:1">
      <c r="A15716" s="5"/>
    </row>
    <row r="15717" spans="1:1">
      <c r="A15717" s="5"/>
    </row>
    <row r="15718" spans="1:1">
      <c r="A15718" s="5"/>
    </row>
    <row r="15719" spans="1:1">
      <c r="A15719" s="5"/>
    </row>
    <row r="15720" spans="1:1">
      <c r="A15720" s="5"/>
    </row>
    <row r="15721" spans="1:1">
      <c r="A15721" s="5"/>
    </row>
    <row r="15722" spans="1:1">
      <c r="A15722" s="5"/>
    </row>
    <row r="15723" spans="1:1">
      <c r="A15723" s="5"/>
    </row>
    <row r="15724" spans="1:1">
      <c r="A15724" s="5"/>
    </row>
    <row r="15725" spans="1:1">
      <c r="A15725" s="5"/>
    </row>
    <row r="15726" spans="1:1">
      <c r="A15726" s="5"/>
    </row>
    <row r="15727" spans="1:1">
      <c r="A15727" s="5"/>
    </row>
    <row r="15728" spans="1:1">
      <c r="A15728" s="5"/>
    </row>
    <row r="15729" spans="1:1">
      <c r="A15729" s="5"/>
    </row>
    <row r="15730" spans="1:1">
      <c r="A15730" s="5"/>
    </row>
    <row r="15731" spans="1:1">
      <c r="A15731" s="5"/>
    </row>
    <row r="15732" spans="1:1">
      <c r="A15732" s="5"/>
    </row>
    <row r="15733" spans="1:1">
      <c r="A15733" s="5"/>
    </row>
    <row r="15734" spans="1:1">
      <c r="A15734" s="5"/>
    </row>
    <row r="15735" spans="1:1">
      <c r="A15735" s="5"/>
    </row>
    <row r="15736" spans="1:1">
      <c r="A15736" s="5"/>
    </row>
    <row r="15737" spans="1:1">
      <c r="A15737" s="5"/>
    </row>
    <row r="15738" spans="1:1">
      <c r="A15738" s="5"/>
    </row>
    <row r="15739" spans="1:1">
      <c r="A15739" s="5"/>
    </row>
    <row r="15740" spans="1:1">
      <c r="A15740" s="5"/>
    </row>
    <row r="15741" spans="1:1">
      <c r="A15741" s="5"/>
    </row>
    <row r="15742" spans="1:1">
      <c r="A15742" s="5"/>
    </row>
    <row r="15743" spans="1:1">
      <c r="A15743" s="5"/>
    </row>
    <row r="15744" spans="1:1">
      <c r="A15744" s="5"/>
    </row>
    <row r="15745" spans="1:1">
      <c r="A15745" s="5"/>
    </row>
    <row r="15746" spans="1:1">
      <c r="A15746" s="5"/>
    </row>
    <row r="15747" spans="1:1">
      <c r="A15747" s="5"/>
    </row>
    <row r="15748" spans="1:1">
      <c r="A15748" s="5"/>
    </row>
    <row r="15749" spans="1:1">
      <c r="A15749" s="5"/>
    </row>
    <row r="15750" spans="1:1">
      <c r="A15750" s="5"/>
    </row>
    <row r="15751" spans="1:1">
      <c r="A15751" s="5"/>
    </row>
    <row r="15752" spans="1:1">
      <c r="A15752" s="5"/>
    </row>
    <row r="15753" spans="1:1">
      <c r="A15753" s="5"/>
    </row>
    <row r="15754" spans="1:1">
      <c r="A15754" s="5"/>
    </row>
    <row r="15755" spans="1:1">
      <c r="A15755" s="5"/>
    </row>
    <row r="15756" spans="1:1">
      <c r="A15756" s="5"/>
    </row>
    <row r="15757" spans="1:1">
      <c r="A15757" s="5"/>
    </row>
    <row r="15758" spans="1:1">
      <c r="A15758" s="5"/>
    </row>
    <row r="15759" spans="1:1">
      <c r="A15759" s="5"/>
    </row>
    <row r="15760" spans="1:1">
      <c r="A15760" s="5"/>
    </row>
    <row r="15761" spans="1:1">
      <c r="A15761" s="5"/>
    </row>
    <row r="15762" spans="1:1">
      <c r="A15762" s="5"/>
    </row>
    <row r="15763" spans="1:1">
      <c r="A15763" s="5"/>
    </row>
    <row r="15764" spans="1:1">
      <c r="A15764" s="5"/>
    </row>
    <row r="15765" spans="1:1">
      <c r="A15765" s="5"/>
    </row>
    <row r="15766" spans="1:1">
      <c r="A15766" s="5"/>
    </row>
    <row r="15767" spans="1:1">
      <c r="A15767" s="5"/>
    </row>
    <row r="15768" spans="1:1">
      <c r="A15768" s="5"/>
    </row>
    <row r="15769" spans="1:1">
      <c r="A15769" s="5"/>
    </row>
    <row r="15770" spans="1:1">
      <c r="A15770" s="5"/>
    </row>
    <row r="15771" spans="1:1">
      <c r="A15771" s="5"/>
    </row>
    <row r="15772" spans="1:1">
      <c r="A15772" s="5"/>
    </row>
    <row r="15773" spans="1:1">
      <c r="A15773" s="5"/>
    </row>
    <row r="15774" spans="1:1">
      <c r="A15774" s="5"/>
    </row>
    <row r="15775" spans="1:1">
      <c r="A15775" s="5"/>
    </row>
    <row r="15776" spans="1:1">
      <c r="A15776" s="5"/>
    </row>
    <row r="15777" spans="1:1">
      <c r="A15777" s="5"/>
    </row>
    <row r="15778" spans="1:1">
      <c r="A15778" s="5"/>
    </row>
    <row r="15779" spans="1:1">
      <c r="A15779" s="5"/>
    </row>
    <row r="15780" spans="1:1">
      <c r="A15780" s="5"/>
    </row>
    <row r="15781" spans="1:1">
      <c r="A15781" s="5"/>
    </row>
    <row r="15782" spans="1:1">
      <c r="A15782" s="5"/>
    </row>
    <row r="15783" spans="1:1">
      <c r="A15783" s="5"/>
    </row>
    <row r="15784" spans="1:1">
      <c r="A15784" s="5"/>
    </row>
    <row r="15785" spans="1:1">
      <c r="A15785" s="5"/>
    </row>
    <row r="15786" spans="1:1">
      <c r="A15786" s="5"/>
    </row>
    <row r="15787" spans="1:1">
      <c r="A15787" s="5"/>
    </row>
    <row r="15788" spans="1:1">
      <c r="A15788" s="5"/>
    </row>
    <row r="15789" spans="1:1">
      <c r="A15789" s="5"/>
    </row>
    <row r="15790" spans="1:1">
      <c r="A15790" s="5"/>
    </row>
    <row r="15791" spans="1:1">
      <c r="A15791" s="5"/>
    </row>
    <row r="15792" spans="1:1">
      <c r="A15792" s="5"/>
    </row>
    <row r="15793" spans="1:1">
      <c r="A15793" s="5"/>
    </row>
    <row r="15794" spans="1:1">
      <c r="A15794" s="5"/>
    </row>
    <row r="15795" spans="1:1">
      <c r="A15795" s="5"/>
    </row>
    <row r="15796" spans="1:1">
      <c r="A15796" s="5"/>
    </row>
    <row r="15797" spans="1:1">
      <c r="A15797" s="5"/>
    </row>
    <row r="15798" spans="1:1">
      <c r="A15798" s="5"/>
    </row>
    <row r="15799" spans="1:1">
      <c r="A15799" s="5"/>
    </row>
    <row r="15800" spans="1:1">
      <c r="A15800" s="5"/>
    </row>
    <row r="15801" spans="1:1">
      <c r="A15801" s="5"/>
    </row>
    <row r="15802" spans="1:1">
      <c r="A15802" s="5"/>
    </row>
    <row r="15803" spans="1:1">
      <c r="A15803" s="5"/>
    </row>
    <row r="15804" spans="1:1">
      <c r="A15804" s="5"/>
    </row>
    <row r="15805" spans="1:1">
      <c r="A15805" s="5"/>
    </row>
    <row r="15806" spans="1:1">
      <c r="A15806" s="5"/>
    </row>
    <row r="15807" spans="1:1">
      <c r="A15807" s="5"/>
    </row>
    <row r="15808" spans="1:1">
      <c r="A15808" s="5"/>
    </row>
    <row r="15809" spans="1:1">
      <c r="A15809" s="5"/>
    </row>
    <row r="15810" spans="1:1">
      <c r="A15810" s="5"/>
    </row>
    <row r="15811" spans="1:1">
      <c r="A15811" s="5"/>
    </row>
    <row r="15812" spans="1:1">
      <c r="A15812" s="5"/>
    </row>
    <row r="15813" spans="1:1">
      <c r="A15813" s="5"/>
    </row>
    <row r="15814" spans="1:1">
      <c r="A15814" s="5"/>
    </row>
    <row r="15815" spans="1:1">
      <c r="A15815" s="5"/>
    </row>
    <row r="15816" spans="1:1">
      <c r="A15816" s="5"/>
    </row>
    <row r="15817" spans="1:1">
      <c r="A15817" s="5"/>
    </row>
    <row r="15818" spans="1:1">
      <c r="A15818" s="5"/>
    </row>
    <row r="15819" spans="1:1">
      <c r="A15819" s="5"/>
    </row>
    <row r="15820" spans="1:1">
      <c r="A15820" s="5"/>
    </row>
    <row r="15821" spans="1:1">
      <c r="A15821" s="5"/>
    </row>
    <row r="15822" spans="1:1">
      <c r="A15822" s="5"/>
    </row>
    <row r="15823" spans="1:1">
      <c r="A15823" s="5"/>
    </row>
    <row r="15824" spans="1:1">
      <c r="A15824" s="5"/>
    </row>
    <row r="15825" spans="1:1">
      <c r="A15825" s="5"/>
    </row>
    <row r="15826" spans="1:1">
      <c r="A15826" s="5"/>
    </row>
    <row r="15827" spans="1:1">
      <c r="A15827" s="5"/>
    </row>
    <row r="15828" spans="1:1">
      <c r="A15828" s="5"/>
    </row>
    <row r="15829" spans="1:1">
      <c r="A15829" s="5"/>
    </row>
    <row r="15830" spans="1:1">
      <c r="A15830" s="5"/>
    </row>
    <row r="15831" spans="1:1">
      <c r="A15831" s="5"/>
    </row>
    <row r="15832" spans="1:1">
      <c r="A15832" s="5"/>
    </row>
    <row r="15833" spans="1:1">
      <c r="A15833" s="5"/>
    </row>
    <row r="15834" spans="1:1">
      <c r="A15834" s="5"/>
    </row>
    <row r="15835" spans="1:1">
      <c r="A15835" s="5"/>
    </row>
    <row r="15836" spans="1:1">
      <c r="A15836" s="5"/>
    </row>
    <row r="15837" spans="1:1">
      <c r="A15837" s="5"/>
    </row>
    <row r="15838" spans="1:1">
      <c r="A15838" s="5"/>
    </row>
    <row r="15839" spans="1:1">
      <c r="A15839" s="5"/>
    </row>
    <row r="15840" spans="1:1">
      <c r="A15840" s="5"/>
    </row>
    <row r="15841" spans="1:1">
      <c r="A15841" s="5"/>
    </row>
    <row r="15842" spans="1:1">
      <c r="A15842" s="5"/>
    </row>
    <row r="15843" spans="1:1">
      <c r="A15843" s="5"/>
    </row>
    <row r="15844" spans="1:1">
      <c r="A15844" s="5"/>
    </row>
    <row r="15845" spans="1:1">
      <c r="A15845" s="5"/>
    </row>
    <row r="15846" spans="1:1">
      <c r="A15846" s="5"/>
    </row>
    <row r="15847" spans="1:1">
      <c r="A15847" s="5"/>
    </row>
    <row r="15848" spans="1:1">
      <c r="A15848" s="5"/>
    </row>
    <row r="15849" spans="1:1">
      <c r="A15849" s="5"/>
    </row>
    <row r="15850" spans="1:1">
      <c r="A15850" s="5"/>
    </row>
    <row r="15851" spans="1:1">
      <c r="A15851" s="5"/>
    </row>
    <row r="15852" spans="1:1">
      <c r="A15852" s="5"/>
    </row>
    <row r="15853" spans="1:1">
      <c r="A15853" s="5"/>
    </row>
    <row r="15854" spans="1:1">
      <c r="A15854" s="5"/>
    </row>
    <row r="15855" spans="1:1">
      <c r="A15855" s="5"/>
    </row>
    <row r="15856" spans="1:1">
      <c r="A15856" s="5"/>
    </row>
    <row r="15857" spans="1:1">
      <c r="A15857" s="5"/>
    </row>
    <row r="15858" spans="1:1">
      <c r="A15858" s="5"/>
    </row>
    <row r="15859" spans="1:1">
      <c r="A15859" s="5"/>
    </row>
    <row r="15860" spans="1:1">
      <c r="A15860" s="5"/>
    </row>
    <row r="15861" spans="1:1">
      <c r="A15861" s="5"/>
    </row>
    <row r="15862" spans="1:1">
      <c r="A15862" s="5"/>
    </row>
    <row r="15863" spans="1:1">
      <c r="A15863" s="5"/>
    </row>
    <row r="15864" spans="1:1">
      <c r="A15864" s="5"/>
    </row>
    <row r="15865" spans="1:1">
      <c r="A15865" s="5"/>
    </row>
    <row r="15866" spans="1:1">
      <c r="A15866" s="5"/>
    </row>
    <row r="15867" spans="1:1">
      <c r="A15867" s="5"/>
    </row>
    <row r="15868" spans="1:1">
      <c r="A15868" s="5"/>
    </row>
    <row r="15869" spans="1:1">
      <c r="A15869" s="5"/>
    </row>
    <row r="15870" spans="1:1">
      <c r="A15870" s="5"/>
    </row>
    <row r="15871" spans="1:1">
      <c r="A15871" s="5"/>
    </row>
    <row r="15872" spans="1:1">
      <c r="A15872" s="5"/>
    </row>
    <row r="15873" spans="1:1">
      <c r="A15873" s="5"/>
    </row>
    <row r="15874" spans="1:1">
      <c r="A15874" s="5"/>
    </row>
    <row r="15875" spans="1:1">
      <c r="A15875" s="5"/>
    </row>
    <row r="15876" spans="1:1">
      <c r="A15876" s="5"/>
    </row>
    <row r="15877" spans="1:1">
      <c r="A15877" s="5"/>
    </row>
    <row r="15878" spans="1:1">
      <c r="A15878" s="5"/>
    </row>
    <row r="15879" spans="1:1">
      <c r="A15879" s="5"/>
    </row>
    <row r="15880" spans="1:1">
      <c r="A15880" s="5"/>
    </row>
    <row r="15881" spans="1:1">
      <c r="A15881" s="5"/>
    </row>
    <row r="15882" spans="1:1">
      <c r="A15882" s="5"/>
    </row>
    <row r="15883" spans="1:1">
      <c r="A15883" s="5"/>
    </row>
    <row r="15884" spans="1:1">
      <c r="A15884" s="5"/>
    </row>
    <row r="15885" spans="1:1">
      <c r="A15885" s="5"/>
    </row>
    <row r="15886" spans="1:1">
      <c r="A15886" s="5"/>
    </row>
    <row r="15887" spans="1:1">
      <c r="A15887" s="5"/>
    </row>
    <row r="15888" spans="1:1">
      <c r="A15888" s="5"/>
    </row>
    <row r="15889" spans="1:1">
      <c r="A15889" s="5"/>
    </row>
    <row r="15890" spans="1:1">
      <c r="A15890" s="5"/>
    </row>
    <row r="15891" spans="1:1">
      <c r="A15891" s="5"/>
    </row>
    <row r="15892" spans="1:1">
      <c r="A15892" s="5"/>
    </row>
    <row r="15893" spans="1:1">
      <c r="A15893" s="5"/>
    </row>
    <row r="15894" spans="1:1">
      <c r="A15894" s="5"/>
    </row>
    <row r="15895" spans="1:1">
      <c r="A15895" s="5"/>
    </row>
    <row r="15896" spans="1:1">
      <c r="A15896" s="5"/>
    </row>
    <row r="15897" spans="1:1">
      <c r="A15897" s="5"/>
    </row>
    <row r="15898" spans="1:1">
      <c r="A15898" s="5"/>
    </row>
    <row r="15899" spans="1:1">
      <c r="A15899" s="5"/>
    </row>
    <row r="15900" spans="1:1">
      <c r="A15900" s="5"/>
    </row>
    <row r="15901" spans="1:1">
      <c r="A15901" s="5"/>
    </row>
    <row r="15902" spans="1:1">
      <c r="A15902" s="5"/>
    </row>
    <row r="15903" spans="1:1">
      <c r="A15903" s="5"/>
    </row>
    <row r="15904" spans="1:1">
      <c r="A15904" s="5"/>
    </row>
    <row r="15905" spans="1:1">
      <c r="A15905" s="5"/>
    </row>
    <row r="15906" spans="1:1">
      <c r="A15906" s="5"/>
    </row>
    <row r="15907" spans="1:1">
      <c r="A15907" s="5"/>
    </row>
    <row r="15908" spans="1:1">
      <c r="A15908" s="5"/>
    </row>
    <row r="15909" spans="1:1">
      <c r="A15909" s="5"/>
    </row>
    <row r="15910" spans="1:1">
      <c r="A15910" s="5"/>
    </row>
    <row r="15911" spans="1:1">
      <c r="A15911" s="5"/>
    </row>
    <row r="15912" spans="1:1">
      <c r="A15912" s="5"/>
    </row>
    <row r="15913" spans="1:1">
      <c r="A15913" s="5"/>
    </row>
    <row r="15914" spans="1:1">
      <c r="A15914" s="5"/>
    </row>
    <row r="15915" spans="1:1">
      <c r="A15915" s="5"/>
    </row>
    <row r="15916" spans="1:1">
      <c r="A15916" s="5"/>
    </row>
    <row r="15917" spans="1:1">
      <c r="A15917" s="5"/>
    </row>
    <row r="15918" spans="1:1">
      <c r="A15918" s="5"/>
    </row>
    <row r="15919" spans="1:1">
      <c r="A15919" s="5"/>
    </row>
    <row r="15920" spans="1:1">
      <c r="A15920" s="5"/>
    </row>
    <row r="15921" spans="1:1">
      <c r="A15921" s="5"/>
    </row>
    <row r="15922" spans="1:1">
      <c r="A15922" s="5"/>
    </row>
    <row r="15923" spans="1:1">
      <c r="A15923" s="5"/>
    </row>
    <row r="15924" spans="1:1">
      <c r="A15924" s="5"/>
    </row>
    <row r="15925" spans="1:1">
      <c r="A15925" s="5"/>
    </row>
    <row r="15926" spans="1:1">
      <c r="A15926" s="5"/>
    </row>
    <row r="15927" spans="1:1">
      <c r="A15927" s="5"/>
    </row>
    <row r="15928" spans="1:1">
      <c r="A15928" s="5"/>
    </row>
    <row r="15929" spans="1:1">
      <c r="A15929" s="5"/>
    </row>
    <row r="15930" spans="1:1">
      <c r="A15930" s="5"/>
    </row>
    <row r="15931" spans="1:1">
      <c r="A15931" s="5"/>
    </row>
    <row r="15932" spans="1:1">
      <c r="A15932" s="5"/>
    </row>
    <row r="15933" spans="1:1">
      <c r="A15933" s="5"/>
    </row>
    <row r="15934" spans="1:1">
      <c r="A15934" s="5"/>
    </row>
    <row r="15935" spans="1:1">
      <c r="A15935" s="5"/>
    </row>
    <row r="15936" spans="1:1">
      <c r="A15936" s="5"/>
    </row>
    <row r="15937" spans="1:1">
      <c r="A15937" s="5"/>
    </row>
    <row r="15938" spans="1:1">
      <c r="A15938" s="5"/>
    </row>
    <row r="15939" spans="1:1">
      <c r="A15939" s="5"/>
    </row>
    <row r="15940" spans="1:1">
      <c r="A15940" s="5"/>
    </row>
    <row r="15941" spans="1:1">
      <c r="A15941" s="5"/>
    </row>
    <row r="15942" spans="1:1">
      <c r="A15942" s="5"/>
    </row>
    <row r="15943" spans="1:1">
      <c r="A15943" s="5"/>
    </row>
    <row r="15944" spans="1:1">
      <c r="A15944" s="5"/>
    </row>
    <row r="15945" spans="1:1">
      <c r="A15945" s="5"/>
    </row>
    <row r="15946" spans="1:1">
      <c r="A15946" s="5"/>
    </row>
    <row r="15947" spans="1:1">
      <c r="A15947" s="5"/>
    </row>
    <row r="15948" spans="1:1">
      <c r="A15948" s="5"/>
    </row>
    <row r="15949" spans="1:1">
      <c r="A15949" s="5"/>
    </row>
    <row r="15950" spans="1:1">
      <c r="A15950" s="5"/>
    </row>
    <row r="15951" spans="1:1">
      <c r="A15951" s="5"/>
    </row>
    <row r="15952" spans="1:1">
      <c r="A15952" s="5"/>
    </row>
    <row r="15953" spans="1:1">
      <c r="A15953" s="5"/>
    </row>
    <row r="15954" spans="1:1">
      <c r="A15954" s="5"/>
    </row>
    <row r="15955" spans="1:1">
      <c r="A15955" s="5"/>
    </row>
    <row r="15956" spans="1:1">
      <c r="A15956" s="5"/>
    </row>
    <row r="15957" spans="1:1">
      <c r="A15957" s="5"/>
    </row>
    <row r="15958" spans="1:1">
      <c r="A15958" s="5"/>
    </row>
    <row r="15959" spans="1:1">
      <c r="A15959" s="5"/>
    </row>
    <row r="15960" spans="1:1">
      <c r="A15960" s="5"/>
    </row>
    <row r="15961" spans="1:1">
      <c r="A15961" s="5"/>
    </row>
    <row r="15962" spans="1:1">
      <c r="A15962" s="5"/>
    </row>
    <row r="15963" spans="1:1">
      <c r="A15963" s="5"/>
    </row>
    <row r="15964" spans="1:1">
      <c r="A15964" s="5"/>
    </row>
    <row r="15965" spans="1:1">
      <c r="A15965" s="5"/>
    </row>
    <row r="15966" spans="1:1">
      <c r="A15966" s="5"/>
    </row>
    <row r="15967" spans="1:1">
      <c r="A15967" s="5"/>
    </row>
    <row r="15968" spans="1:1">
      <c r="A15968" s="5"/>
    </row>
    <row r="15969" spans="1:1">
      <c r="A15969" s="5"/>
    </row>
    <row r="15970" spans="1:1">
      <c r="A15970" s="5"/>
    </row>
    <row r="15971" spans="1:1">
      <c r="A15971" s="5"/>
    </row>
    <row r="15972" spans="1:1">
      <c r="A15972" s="5"/>
    </row>
    <row r="15973" spans="1:1">
      <c r="A15973" s="5"/>
    </row>
    <row r="15974" spans="1:1">
      <c r="A15974" s="5"/>
    </row>
    <row r="15975" spans="1:1">
      <c r="A15975" s="5"/>
    </row>
    <row r="15976" spans="1:1">
      <c r="A15976" s="5"/>
    </row>
    <row r="15977" spans="1:1">
      <c r="A15977" s="5"/>
    </row>
    <row r="15978" spans="1:1">
      <c r="A15978" s="5"/>
    </row>
    <row r="15979" spans="1:1">
      <c r="A15979" s="5"/>
    </row>
    <row r="15980" spans="1:1">
      <c r="A15980" s="5"/>
    </row>
    <row r="15981" spans="1:1">
      <c r="A15981" s="5"/>
    </row>
    <row r="15982" spans="1:1">
      <c r="A15982" s="5"/>
    </row>
    <row r="15983" spans="1:1">
      <c r="A15983" s="5"/>
    </row>
    <row r="15984" spans="1:1">
      <c r="A15984" s="5"/>
    </row>
    <row r="15985" spans="1:1">
      <c r="A15985" s="5"/>
    </row>
    <row r="15986" spans="1:1">
      <c r="A15986" s="5"/>
    </row>
    <row r="15987" spans="1:1">
      <c r="A15987" s="5"/>
    </row>
    <row r="15988" spans="1:1">
      <c r="A15988" s="5"/>
    </row>
    <row r="15989" spans="1:1">
      <c r="A15989" s="5"/>
    </row>
    <row r="15990" spans="1:1">
      <c r="A15990" s="5"/>
    </row>
    <row r="15991" spans="1:1">
      <c r="A15991" s="5"/>
    </row>
    <row r="15992" spans="1:1">
      <c r="A15992" s="5"/>
    </row>
    <row r="15993" spans="1:1">
      <c r="A15993" s="5"/>
    </row>
    <row r="15994" spans="1:1">
      <c r="A15994" s="5"/>
    </row>
    <row r="15995" spans="1:1">
      <c r="A15995" s="5"/>
    </row>
    <row r="15996" spans="1:1">
      <c r="A15996" s="5"/>
    </row>
    <row r="15997" spans="1:1">
      <c r="A15997" s="5"/>
    </row>
    <row r="15998" spans="1:1">
      <c r="A15998" s="5"/>
    </row>
    <row r="15999" spans="1:1">
      <c r="A15999" s="5"/>
    </row>
    <row r="16000" spans="1:1">
      <c r="A16000" s="5"/>
    </row>
    <row r="16001" spans="1:1">
      <c r="A16001" s="5"/>
    </row>
    <row r="16002" spans="1:1">
      <c r="A16002" s="5"/>
    </row>
    <row r="16003" spans="1:1">
      <c r="A16003" s="5"/>
    </row>
    <row r="16004" spans="1:1">
      <c r="A16004" s="5"/>
    </row>
    <row r="16005" spans="1:1">
      <c r="A16005" s="5"/>
    </row>
    <row r="16006" spans="1:1">
      <c r="A16006" s="5"/>
    </row>
    <row r="16007" spans="1:1">
      <c r="A16007" s="5"/>
    </row>
    <row r="16008" spans="1:1">
      <c r="A16008" s="5"/>
    </row>
    <row r="16009" spans="1:1">
      <c r="A16009" s="5"/>
    </row>
    <row r="16010" spans="1:1">
      <c r="A16010" s="5"/>
    </row>
    <row r="16011" spans="1:1">
      <c r="A16011" s="5"/>
    </row>
    <row r="16012" spans="1:1">
      <c r="A16012" s="5"/>
    </row>
    <row r="16013" spans="1:1">
      <c r="A16013" s="5"/>
    </row>
    <row r="16014" spans="1:1">
      <c r="A16014" s="5"/>
    </row>
    <row r="16015" spans="1:1">
      <c r="A16015" s="5"/>
    </row>
    <row r="16016" spans="1:1">
      <c r="A16016" s="5"/>
    </row>
    <row r="16017" spans="1:1">
      <c r="A16017" s="5"/>
    </row>
    <row r="16018" spans="1:1">
      <c r="A16018" s="5"/>
    </row>
    <row r="16019" spans="1:1">
      <c r="A16019" s="5"/>
    </row>
    <row r="16020" spans="1:1">
      <c r="A16020" s="5"/>
    </row>
    <row r="16021" spans="1:1">
      <c r="A16021" s="5"/>
    </row>
    <row r="16022" spans="1:1">
      <c r="A16022" s="5"/>
    </row>
    <row r="16023" spans="1:1">
      <c r="A16023" s="5"/>
    </row>
    <row r="16024" spans="1:1">
      <c r="A16024" s="5"/>
    </row>
    <row r="16025" spans="1:1">
      <c r="A16025" s="5"/>
    </row>
    <row r="16026" spans="1:1">
      <c r="A16026" s="5"/>
    </row>
    <row r="16027" spans="1:1">
      <c r="A16027" s="5"/>
    </row>
    <row r="16028" spans="1:1">
      <c r="A16028" s="5"/>
    </row>
    <row r="16029" spans="1:1">
      <c r="A16029" s="5"/>
    </row>
    <row r="16030" spans="1:1">
      <c r="A16030" s="5"/>
    </row>
    <row r="16031" spans="1:1">
      <c r="A16031" s="5"/>
    </row>
    <row r="16032" spans="1:1">
      <c r="A16032" s="5"/>
    </row>
    <row r="16033" spans="1:1">
      <c r="A16033" s="5"/>
    </row>
    <row r="16034" spans="1:1">
      <c r="A16034" s="5"/>
    </row>
    <row r="16035" spans="1:1">
      <c r="A16035" s="5"/>
    </row>
    <row r="16036" spans="1:1">
      <c r="A16036" s="5"/>
    </row>
    <row r="16037" spans="1:1">
      <c r="A16037" s="5"/>
    </row>
    <row r="16038" spans="1:1">
      <c r="A16038" s="5"/>
    </row>
    <row r="16039" spans="1:1">
      <c r="A16039" s="5"/>
    </row>
    <row r="16040" spans="1:1">
      <c r="A16040" s="5"/>
    </row>
    <row r="16041" spans="1:1">
      <c r="A16041" s="5"/>
    </row>
    <row r="16042" spans="1:1">
      <c r="A16042" s="5"/>
    </row>
    <row r="16043" spans="1:1">
      <c r="A16043" s="5"/>
    </row>
    <row r="16044" spans="1:1">
      <c r="A16044" s="5"/>
    </row>
    <row r="16045" spans="1:1">
      <c r="A16045" s="5"/>
    </row>
    <row r="16046" spans="1:1">
      <c r="A16046" s="5"/>
    </row>
    <row r="16047" spans="1:1">
      <c r="A16047" s="5"/>
    </row>
    <row r="16048" spans="1:1">
      <c r="A16048" s="5"/>
    </row>
    <row r="16049" spans="1:1">
      <c r="A16049" s="5"/>
    </row>
    <row r="16050" spans="1:1">
      <c r="A16050" s="5"/>
    </row>
    <row r="16051" spans="1:1">
      <c r="A16051" s="5"/>
    </row>
    <row r="16052" spans="1:1">
      <c r="A16052" s="5"/>
    </row>
    <row r="16053" spans="1:1">
      <c r="A16053" s="5"/>
    </row>
    <row r="16054" spans="1:1">
      <c r="A16054" s="5"/>
    </row>
    <row r="16055" spans="1:1">
      <c r="A16055" s="5"/>
    </row>
    <row r="16056" spans="1:1">
      <c r="A16056" s="5"/>
    </row>
    <row r="16057" spans="1:1">
      <c r="A16057" s="5"/>
    </row>
    <row r="16058" spans="1:1">
      <c r="A16058" s="5"/>
    </row>
    <row r="16059" spans="1:1">
      <c r="A16059" s="5"/>
    </row>
    <row r="16060" spans="1:1">
      <c r="A16060" s="5"/>
    </row>
    <row r="16061" spans="1:1">
      <c r="A16061" s="5"/>
    </row>
    <row r="16062" spans="1:1">
      <c r="A16062" s="5"/>
    </row>
    <row r="16063" spans="1:1">
      <c r="A16063" s="5"/>
    </row>
    <row r="16064" spans="1:1">
      <c r="A16064" s="5"/>
    </row>
    <row r="16065" spans="1:1">
      <c r="A16065" s="5"/>
    </row>
    <row r="16066" spans="1:1">
      <c r="A16066" s="5"/>
    </row>
    <row r="16067" spans="1:1">
      <c r="A16067" s="5"/>
    </row>
    <row r="16068" spans="1:1">
      <c r="A16068" s="5"/>
    </row>
    <row r="16069" spans="1:1">
      <c r="A16069" s="5"/>
    </row>
    <row r="16070" spans="1:1">
      <c r="A16070" s="5"/>
    </row>
    <row r="16071" spans="1:1">
      <c r="A16071" s="5"/>
    </row>
    <row r="16072" spans="1:1">
      <c r="A16072" s="5"/>
    </row>
    <row r="16073" spans="1:1">
      <c r="A16073" s="5"/>
    </row>
    <row r="16074" spans="1:1">
      <c r="A16074" s="5"/>
    </row>
    <row r="16075" spans="1:1">
      <c r="A16075" s="5"/>
    </row>
    <row r="16076" spans="1:1">
      <c r="A16076" s="5"/>
    </row>
    <row r="16077" spans="1:1">
      <c r="A16077" s="5"/>
    </row>
    <row r="16078" spans="1:1">
      <c r="A16078" s="5"/>
    </row>
    <row r="16079" spans="1:1">
      <c r="A16079" s="5"/>
    </row>
    <row r="16080" spans="1:1">
      <c r="A16080" s="5"/>
    </row>
    <row r="16081" spans="1:1">
      <c r="A16081" s="5"/>
    </row>
    <row r="16082" spans="1:1">
      <c r="A16082" s="5"/>
    </row>
    <row r="16083" spans="1:1">
      <c r="A16083" s="5"/>
    </row>
    <row r="16084" spans="1:1">
      <c r="A16084" s="5"/>
    </row>
    <row r="16085" spans="1:1">
      <c r="A16085" s="5"/>
    </row>
    <row r="16086" spans="1:1">
      <c r="A16086" s="5"/>
    </row>
    <row r="16087" spans="1:1">
      <c r="A16087" s="5"/>
    </row>
    <row r="16088" spans="1:1">
      <c r="A16088" s="5"/>
    </row>
    <row r="16089" spans="1:1">
      <c r="A16089" s="5"/>
    </row>
    <row r="16090" spans="1:1">
      <c r="A16090" s="5"/>
    </row>
    <row r="16091" spans="1:1">
      <c r="A16091" s="5"/>
    </row>
    <row r="16092" spans="1:1">
      <c r="A16092" s="5"/>
    </row>
    <row r="16093" spans="1:1">
      <c r="A16093" s="5"/>
    </row>
    <row r="16094" spans="1:1">
      <c r="A16094" s="5"/>
    </row>
    <row r="16095" spans="1:1">
      <c r="A16095" s="5"/>
    </row>
    <row r="16096" spans="1:1">
      <c r="A16096" s="5"/>
    </row>
    <row r="16097" spans="1:1">
      <c r="A16097" s="5"/>
    </row>
    <row r="16098" spans="1:1">
      <c r="A16098" s="5"/>
    </row>
    <row r="16099" spans="1:1">
      <c r="A16099" s="5"/>
    </row>
    <row r="16100" spans="1:1">
      <c r="A16100" s="5"/>
    </row>
    <row r="16101" spans="1:1">
      <c r="A16101" s="5"/>
    </row>
    <row r="16102" spans="1:1">
      <c r="A16102" s="5"/>
    </row>
    <row r="16103" spans="1:1">
      <c r="A16103" s="5"/>
    </row>
    <row r="16104" spans="1:1">
      <c r="A16104" s="5"/>
    </row>
    <row r="16105" spans="1:1">
      <c r="A16105" s="5"/>
    </row>
    <row r="16106" spans="1:1">
      <c r="A16106" s="5"/>
    </row>
    <row r="16107" spans="1:1">
      <c r="A16107" s="5"/>
    </row>
    <row r="16108" spans="1:1">
      <c r="A16108" s="5"/>
    </row>
    <row r="16109" spans="1:1">
      <c r="A16109" s="5"/>
    </row>
    <row r="16110" spans="1:1">
      <c r="A16110" s="5"/>
    </row>
    <row r="16111" spans="1:1">
      <c r="A16111" s="5"/>
    </row>
    <row r="16112" spans="1:1">
      <c r="A16112" s="5"/>
    </row>
    <row r="16113" spans="1:1">
      <c r="A16113" s="5"/>
    </row>
    <row r="16114" spans="1:1">
      <c r="A16114" s="5"/>
    </row>
    <row r="16115" spans="1:1">
      <c r="A16115" s="5"/>
    </row>
    <row r="16116" spans="1:1">
      <c r="A16116" s="5"/>
    </row>
    <row r="16117" spans="1:1">
      <c r="A16117" s="5"/>
    </row>
    <row r="16118" spans="1:1">
      <c r="A16118" s="5"/>
    </row>
    <row r="16119" spans="1:1">
      <c r="A16119" s="5"/>
    </row>
    <row r="16120" spans="1:1">
      <c r="A16120" s="5"/>
    </row>
    <row r="16121" spans="1:1">
      <c r="A16121" s="5"/>
    </row>
    <row r="16122" spans="1:1">
      <c r="A16122" s="5"/>
    </row>
    <row r="16123" spans="1:1">
      <c r="A16123" s="5"/>
    </row>
    <row r="16124" spans="1:1">
      <c r="A16124" s="5"/>
    </row>
    <row r="16125" spans="1:1">
      <c r="A16125" s="5"/>
    </row>
    <row r="16126" spans="1:1">
      <c r="A16126" s="5"/>
    </row>
    <row r="16127" spans="1:1">
      <c r="A16127" s="5"/>
    </row>
    <row r="16128" spans="1:1">
      <c r="A16128" s="5"/>
    </row>
    <row r="16129" spans="1:1">
      <c r="A16129" s="5"/>
    </row>
    <row r="16130" spans="1:1">
      <c r="A16130" s="5"/>
    </row>
    <row r="16131" spans="1:1">
      <c r="A16131" s="5"/>
    </row>
    <row r="16132" spans="1:1">
      <c r="A16132" s="5"/>
    </row>
    <row r="16133" spans="1:1">
      <c r="A16133" s="5"/>
    </row>
    <row r="16134" spans="1:1">
      <c r="A16134" s="5"/>
    </row>
    <row r="16135" spans="1:1">
      <c r="A16135" s="5"/>
    </row>
    <row r="16136" spans="1:1">
      <c r="A16136" s="5"/>
    </row>
    <row r="16137" spans="1:1">
      <c r="A16137" s="5"/>
    </row>
    <row r="16138" spans="1:1">
      <c r="A16138" s="5"/>
    </row>
    <row r="16139" spans="1:1">
      <c r="A16139" s="5"/>
    </row>
    <row r="16140" spans="1:1">
      <c r="A16140" s="5"/>
    </row>
    <row r="16141" spans="1:1">
      <c r="A16141" s="5"/>
    </row>
    <row r="16142" spans="1:1">
      <c r="A16142" s="5"/>
    </row>
    <row r="16143" spans="1:1">
      <c r="A16143" s="5"/>
    </row>
    <row r="16144" spans="1:1">
      <c r="A16144" s="5"/>
    </row>
    <row r="16145" spans="1:1">
      <c r="A16145" s="5"/>
    </row>
    <row r="16146" spans="1:1">
      <c r="A16146" s="5"/>
    </row>
    <row r="16147" spans="1:1">
      <c r="A16147" s="5"/>
    </row>
    <row r="16148" spans="1:1">
      <c r="A16148" s="5"/>
    </row>
    <row r="16149" spans="1:1">
      <c r="A16149" s="5"/>
    </row>
    <row r="16150" spans="1:1">
      <c r="A16150" s="5"/>
    </row>
    <row r="16151" spans="1:1">
      <c r="A16151" s="5"/>
    </row>
    <row r="16152" spans="1:1">
      <c r="A16152" s="5"/>
    </row>
    <row r="16153" spans="1:1">
      <c r="A16153" s="5"/>
    </row>
    <row r="16154" spans="1:1">
      <c r="A16154" s="5"/>
    </row>
    <row r="16155" spans="1:1">
      <c r="A16155" s="5"/>
    </row>
    <row r="16156" spans="1:1">
      <c r="A16156" s="5"/>
    </row>
    <row r="16157" spans="1:1">
      <c r="A16157" s="5"/>
    </row>
    <row r="16158" spans="1:1">
      <c r="A16158" s="5"/>
    </row>
    <row r="16159" spans="1:1">
      <c r="A16159" s="5"/>
    </row>
    <row r="16160" spans="1:1">
      <c r="A16160" s="5"/>
    </row>
    <row r="16161" spans="1:1">
      <c r="A16161" s="5"/>
    </row>
    <row r="16162" spans="1:1">
      <c r="A16162" s="5"/>
    </row>
    <row r="16163" spans="1:1">
      <c r="A16163" s="5"/>
    </row>
    <row r="16164" spans="1:1">
      <c r="A16164" s="5"/>
    </row>
    <row r="16165" spans="1:1">
      <c r="A16165" s="5"/>
    </row>
    <row r="16166" spans="1:1">
      <c r="A16166" s="5"/>
    </row>
    <row r="16167" spans="1:1">
      <c r="A16167" s="5"/>
    </row>
    <row r="16168" spans="1:1">
      <c r="A16168" s="5"/>
    </row>
    <row r="16169" spans="1:1">
      <c r="A16169" s="5"/>
    </row>
    <row r="16170" spans="1:1">
      <c r="A16170" s="5"/>
    </row>
    <row r="16171" spans="1:1">
      <c r="A16171" s="5"/>
    </row>
    <row r="16172" spans="1:1">
      <c r="A16172" s="5"/>
    </row>
    <row r="16173" spans="1:1">
      <c r="A16173" s="5"/>
    </row>
    <row r="16174" spans="1:1">
      <c r="A16174" s="5"/>
    </row>
    <row r="16175" spans="1:1">
      <c r="A16175" s="5"/>
    </row>
    <row r="16176" spans="1:1">
      <c r="A16176" s="5"/>
    </row>
    <row r="16177" spans="1:1">
      <c r="A16177" s="5"/>
    </row>
    <row r="16178" spans="1:1">
      <c r="A16178" s="5"/>
    </row>
    <row r="16179" spans="1:1">
      <c r="A16179" s="5"/>
    </row>
    <row r="16180" spans="1:1">
      <c r="A16180" s="5"/>
    </row>
    <row r="16181" spans="1:1">
      <c r="A16181" s="5"/>
    </row>
    <row r="16182" spans="1:1">
      <c r="A16182" s="5"/>
    </row>
    <row r="16183" spans="1:1">
      <c r="A16183" s="5"/>
    </row>
    <row r="16184" spans="1:1">
      <c r="A16184" s="5"/>
    </row>
    <row r="16185" spans="1:1">
      <c r="A16185" s="5"/>
    </row>
    <row r="16186" spans="1:1">
      <c r="A16186" s="5"/>
    </row>
    <row r="16187" spans="1:1">
      <c r="A16187" s="5"/>
    </row>
    <row r="16188" spans="1:1">
      <c r="A16188" s="5"/>
    </row>
    <row r="16189" spans="1:1">
      <c r="A16189" s="5"/>
    </row>
    <row r="16190" spans="1:1">
      <c r="A16190" s="5"/>
    </row>
    <row r="16191" spans="1:1">
      <c r="A16191" s="5"/>
    </row>
    <row r="16192" spans="1:1">
      <c r="A16192" s="5"/>
    </row>
    <row r="16193" spans="1:1">
      <c r="A16193" s="5"/>
    </row>
    <row r="16194" spans="1:1">
      <c r="A16194" s="5"/>
    </row>
    <row r="16195" spans="1:1">
      <c r="A16195" s="5"/>
    </row>
    <row r="16196" spans="1:1">
      <c r="A16196" s="5"/>
    </row>
    <row r="16197" spans="1:1">
      <c r="A16197" s="5"/>
    </row>
    <row r="16198" spans="1:1">
      <c r="A16198" s="5"/>
    </row>
    <row r="16199" spans="1:1">
      <c r="A16199" s="5"/>
    </row>
    <row r="16200" spans="1:1">
      <c r="A16200" s="5"/>
    </row>
    <row r="16201" spans="1:1">
      <c r="A16201" s="5"/>
    </row>
    <row r="16202" spans="1:1">
      <c r="A16202" s="5"/>
    </row>
    <row r="16203" spans="1:1">
      <c r="A16203" s="5"/>
    </row>
    <row r="16204" spans="1:1">
      <c r="A16204" s="5"/>
    </row>
    <row r="16205" spans="1:1">
      <c r="A16205" s="5"/>
    </row>
    <row r="16206" spans="1:1">
      <c r="A16206" s="5"/>
    </row>
    <row r="16207" spans="1:1">
      <c r="A16207" s="5"/>
    </row>
    <row r="16208" spans="1:1">
      <c r="A16208" s="5"/>
    </row>
    <row r="16209" spans="1:1">
      <c r="A16209" s="5"/>
    </row>
    <row r="16210" spans="1:1">
      <c r="A16210" s="5"/>
    </row>
    <row r="16211" spans="1:1">
      <c r="A16211" s="5"/>
    </row>
    <row r="16212" spans="1:1">
      <c r="A16212" s="5"/>
    </row>
    <row r="16213" spans="1:1">
      <c r="A16213" s="5"/>
    </row>
    <row r="16214" spans="1:1">
      <c r="A16214" s="5"/>
    </row>
    <row r="16215" spans="1:1">
      <c r="A16215" s="5"/>
    </row>
    <row r="16216" spans="1:1">
      <c r="A16216" s="5"/>
    </row>
    <row r="16217" spans="1:1">
      <c r="A16217" s="5"/>
    </row>
    <row r="16218" spans="1:1">
      <c r="A16218" s="5"/>
    </row>
    <row r="16219" spans="1:1">
      <c r="A16219" s="5"/>
    </row>
    <row r="16220" spans="1:1">
      <c r="A16220" s="5"/>
    </row>
    <row r="16221" spans="1:1">
      <c r="A16221" s="5"/>
    </row>
    <row r="16222" spans="1:1">
      <c r="A16222" s="5"/>
    </row>
    <row r="16223" spans="1:1">
      <c r="A16223" s="5"/>
    </row>
    <row r="16224" spans="1:1">
      <c r="A16224" s="5"/>
    </row>
    <row r="16225" spans="1:1">
      <c r="A16225" s="5"/>
    </row>
    <row r="16226" spans="1:1">
      <c r="A16226" s="5"/>
    </row>
    <row r="16227" spans="1:1">
      <c r="A16227" s="5"/>
    </row>
    <row r="16228" spans="1:1">
      <c r="A16228" s="5"/>
    </row>
    <row r="16229" spans="1:1">
      <c r="A16229" s="5"/>
    </row>
    <row r="16230" spans="1:1">
      <c r="A16230" s="5"/>
    </row>
    <row r="16231" spans="1:1">
      <c r="A16231" s="5"/>
    </row>
    <row r="16232" spans="1:1">
      <c r="A16232" s="5"/>
    </row>
    <row r="16233" spans="1:1">
      <c r="A16233" s="5"/>
    </row>
    <row r="16234" spans="1:1">
      <c r="A16234" s="5"/>
    </row>
    <row r="16235" spans="1:1">
      <c r="A16235" s="5"/>
    </row>
    <row r="16236" spans="1:1">
      <c r="A16236" s="5"/>
    </row>
    <row r="16237" spans="1:1">
      <c r="A16237" s="5"/>
    </row>
    <row r="16238" spans="1:1">
      <c r="A16238" s="5"/>
    </row>
    <row r="16239" spans="1:1">
      <c r="A16239" s="5"/>
    </row>
    <row r="16240" spans="1:1">
      <c r="A16240" s="5"/>
    </row>
    <row r="16241" spans="1:1">
      <c r="A16241" s="5"/>
    </row>
    <row r="16242" spans="1:1">
      <c r="A16242" s="5"/>
    </row>
    <row r="16243" spans="1:1">
      <c r="A16243" s="5"/>
    </row>
    <row r="16244" spans="1:1">
      <c r="A16244" s="5"/>
    </row>
    <row r="16245" spans="1:1">
      <c r="A16245" s="5"/>
    </row>
    <row r="16246" spans="1:1">
      <c r="A16246" s="5"/>
    </row>
    <row r="16247" spans="1:1">
      <c r="A16247" s="5"/>
    </row>
    <row r="16248" spans="1:1">
      <c r="A16248" s="5"/>
    </row>
    <row r="16249" spans="1:1">
      <c r="A16249" s="5"/>
    </row>
    <row r="16250" spans="1:1">
      <c r="A16250" s="5"/>
    </row>
    <row r="16251" spans="1:1">
      <c r="A16251" s="5"/>
    </row>
    <row r="16252" spans="1:1">
      <c r="A16252" s="5"/>
    </row>
    <row r="16253" spans="1:1">
      <c r="A16253" s="5"/>
    </row>
    <row r="16254" spans="1:1">
      <c r="A16254" s="5"/>
    </row>
    <row r="16255" spans="1:1">
      <c r="A16255" s="5"/>
    </row>
    <row r="16256" spans="1:1">
      <c r="A16256" s="5"/>
    </row>
    <row r="16257" spans="1:1">
      <c r="A16257" s="5"/>
    </row>
    <row r="16258" spans="1:1">
      <c r="A16258" s="5"/>
    </row>
    <row r="16259" spans="1:1">
      <c r="A16259" s="5"/>
    </row>
    <row r="16260" spans="1:1">
      <c r="A16260" s="5"/>
    </row>
    <row r="16261" spans="1:1">
      <c r="A16261" s="5"/>
    </row>
    <row r="16262" spans="1:1">
      <c r="A16262" s="5"/>
    </row>
    <row r="16263" spans="1:1">
      <c r="A16263" s="5"/>
    </row>
    <row r="16264" spans="1:1">
      <c r="A16264" s="5"/>
    </row>
    <row r="16265" spans="1:1">
      <c r="A16265" s="5"/>
    </row>
    <row r="16266" spans="1:1">
      <c r="A16266" s="5"/>
    </row>
    <row r="16267" spans="1:1">
      <c r="A16267" s="5"/>
    </row>
    <row r="16268" spans="1:1">
      <c r="A16268" s="5"/>
    </row>
    <row r="16269" spans="1:1">
      <c r="A16269" s="5"/>
    </row>
    <row r="16270" spans="1:1">
      <c r="A16270" s="5"/>
    </row>
    <row r="16271" spans="1:1">
      <c r="A16271" s="5"/>
    </row>
    <row r="16272" spans="1:1">
      <c r="A16272" s="5"/>
    </row>
    <row r="16273" spans="1:1">
      <c r="A16273" s="5"/>
    </row>
    <row r="16274" spans="1:1">
      <c r="A16274" s="5"/>
    </row>
    <row r="16275" spans="1:1">
      <c r="A16275" s="5"/>
    </row>
    <row r="16276" spans="1:1">
      <c r="A16276" s="5"/>
    </row>
    <row r="16277" spans="1:1">
      <c r="A16277" s="5"/>
    </row>
    <row r="16278" spans="1:1">
      <c r="A16278" s="5"/>
    </row>
    <row r="16279" spans="1:1">
      <c r="A16279" s="5"/>
    </row>
    <row r="16280" spans="1:1">
      <c r="A16280" s="5"/>
    </row>
    <row r="16281" spans="1:1">
      <c r="A16281" s="5"/>
    </row>
    <row r="16282" spans="1:1">
      <c r="A16282" s="5"/>
    </row>
    <row r="16283" spans="1:1">
      <c r="A16283" s="5"/>
    </row>
    <row r="16284" spans="1:1">
      <c r="A16284" s="5"/>
    </row>
    <row r="16285" spans="1:1">
      <c r="A16285" s="5"/>
    </row>
    <row r="16286" spans="1:1">
      <c r="A16286" s="5"/>
    </row>
    <row r="16287" spans="1:1">
      <c r="A16287" s="5"/>
    </row>
    <row r="16288" spans="1:1">
      <c r="A16288" s="5"/>
    </row>
    <row r="16289" spans="1:1">
      <c r="A16289" s="5"/>
    </row>
    <row r="16290" spans="1:1">
      <c r="A16290" s="5"/>
    </row>
    <row r="16291" spans="1:1">
      <c r="A16291" s="5"/>
    </row>
    <row r="16292" spans="1:1">
      <c r="A16292" s="5"/>
    </row>
    <row r="16293" spans="1:1">
      <c r="A16293" s="5"/>
    </row>
    <row r="16294" spans="1:1">
      <c r="A16294" s="5"/>
    </row>
    <row r="16295" spans="1:1">
      <c r="A16295" s="5"/>
    </row>
    <row r="16296" spans="1:1">
      <c r="A16296" s="5"/>
    </row>
    <row r="16297" spans="1:1">
      <c r="A16297" s="5"/>
    </row>
    <row r="16298" spans="1:1">
      <c r="A16298" s="5"/>
    </row>
    <row r="16299" spans="1:1">
      <c r="A16299" s="5"/>
    </row>
    <row r="16300" spans="1:1">
      <c r="A16300" s="5"/>
    </row>
    <row r="16301" spans="1:1">
      <c r="A16301" s="5"/>
    </row>
    <row r="16302" spans="1:1">
      <c r="A16302" s="5"/>
    </row>
    <row r="16303" spans="1:1">
      <c r="A16303" s="5"/>
    </row>
    <row r="16304" spans="1:1">
      <c r="A16304" s="5"/>
    </row>
    <row r="16305" spans="1:1">
      <c r="A16305" s="5"/>
    </row>
    <row r="16306" spans="1:1">
      <c r="A16306" s="5"/>
    </row>
    <row r="16307" spans="1:1">
      <c r="A16307" s="5"/>
    </row>
    <row r="16308" spans="1:1">
      <c r="A16308" s="5"/>
    </row>
    <row r="16309" spans="1:1">
      <c r="A16309" s="5"/>
    </row>
    <row r="16310" spans="1:1">
      <c r="A16310" s="5"/>
    </row>
    <row r="16311" spans="1:1">
      <c r="A16311" s="5"/>
    </row>
    <row r="16312" spans="1:1">
      <c r="A16312" s="5"/>
    </row>
    <row r="16313" spans="1:1">
      <c r="A16313" s="5"/>
    </row>
    <row r="16314" spans="1:1">
      <c r="A16314" s="5"/>
    </row>
    <row r="16315" spans="1:1">
      <c r="A16315" s="5"/>
    </row>
    <row r="16316" spans="1:1">
      <c r="A16316" s="5"/>
    </row>
    <row r="16317" spans="1:1">
      <c r="A16317" s="5"/>
    </row>
    <row r="16318" spans="1:1">
      <c r="A16318" s="5"/>
    </row>
    <row r="16319" spans="1:1">
      <c r="A16319" s="5"/>
    </row>
    <row r="16320" spans="1:1">
      <c r="A16320" s="5"/>
    </row>
    <row r="16321" spans="1:1">
      <c r="A16321" s="5"/>
    </row>
    <row r="16322" spans="1:1">
      <c r="A16322" s="5"/>
    </row>
    <row r="16323" spans="1:1">
      <c r="A16323" s="5"/>
    </row>
    <row r="16324" spans="1:1">
      <c r="A16324" s="5"/>
    </row>
    <row r="16325" spans="1:1">
      <c r="A16325" s="5"/>
    </row>
    <row r="16326" spans="1:1">
      <c r="A16326" s="5"/>
    </row>
    <row r="16327" spans="1:1">
      <c r="A16327" s="5"/>
    </row>
    <row r="16328" spans="1:1">
      <c r="A16328" s="5"/>
    </row>
    <row r="16329" spans="1:1">
      <c r="A16329" s="5"/>
    </row>
    <row r="16330" spans="1:1">
      <c r="A16330" s="5"/>
    </row>
    <row r="16331" spans="1:1">
      <c r="A16331" s="5"/>
    </row>
    <row r="16332" spans="1:1">
      <c r="A16332" s="5"/>
    </row>
    <row r="16333" spans="1:1">
      <c r="A16333" s="5"/>
    </row>
    <row r="16334" spans="1:1">
      <c r="A16334" s="5"/>
    </row>
    <row r="16335" spans="1:1">
      <c r="A16335" s="5"/>
    </row>
    <row r="16336" spans="1:1">
      <c r="A16336" s="5"/>
    </row>
    <row r="16337" spans="1:1">
      <c r="A16337" s="5"/>
    </row>
    <row r="16338" spans="1:1">
      <c r="A16338" s="5"/>
    </row>
    <row r="16339" spans="1:1">
      <c r="A16339" s="5"/>
    </row>
    <row r="16340" spans="1:1">
      <c r="A16340" s="5"/>
    </row>
    <row r="16341" spans="1:1">
      <c r="A16341" s="5"/>
    </row>
    <row r="16342" spans="1:1">
      <c r="A16342" s="5"/>
    </row>
    <row r="16343" spans="1:1">
      <c r="A16343" s="5"/>
    </row>
    <row r="16344" spans="1:1">
      <c r="A16344" s="5"/>
    </row>
    <row r="16345" spans="1:1">
      <c r="A16345" s="5"/>
    </row>
    <row r="16346" spans="1:1">
      <c r="A16346" s="5"/>
    </row>
    <row r="16347" spans="1:1">
      <c r="A16347" s="5"/>
    </row>
    <row r="16348" spans="1:1">
      <c r="A16348" s="5"/>
    </row>
    <row r="16349" spans="1:1">
      <c r="A16349" s="5"/>
    </row>
    <row r="16350" spans="1:1">
      <c r="A16350" s="5"/>
    </row>
    <row r="16351" spans="1:1">
      <c r="A16351" s="5"/>
    </row>
    <row r="16352" spans="1:1">
      <c r="A16352" s="5"/>
    </row>
    <row r="16353" spans="1:1">
      <c r="A16353" s="5"/>
    </row>
    <row r="16354" spans="1:1">
      <c r="A16354" s="5"/>
    </row>
    <row r="16355" spans="1:1">
      <c r="A16355" s="5"/>
    </row>
    <row r="16356" spans="1:1">
      <c r="A16356" s="5"/>
    </row>
    <row r="16357" spans="1:1">
      <c r="A16357" s="5"/>
    </row>
    <row r="16358" spans="1:1">
      <c r="A16358" s="5"/>
    </row>
    <row r="16359" spans="1:1">
      <c r="A16359" s="5"/>
    </row>
    <row r="16360" spans="1:1">
      <c r="A16360" s="5"/>
    </row>
    <row r="16361" spans="1:1">
      <c r="A16361" s="5"/>
    </row>
    <row r="16362" spans="1:1">
      <c r="A16362" s="5"/>
    </row>
    <row r="16363" spans="1:1">
      <c r="A16363" s="5"/>
    </row>
    <row r="16364" spans="1:1">
      <c r="A16364" s="5"/>
    </row>
    <row r="16365" spans="1:1">
      <c r="A16365" s="5"/>
    </row>
    <row r="16366" spans="1:1">
      <c r="A16366" s="5"/>
    </row>
    <row r="16367" spans="1:1">
      <c r="A16367" s="5"/>
    </row>
    <row r="16368" spans="1:1">
      <c r="A16368" s="5"/>
    </row>
    <row r="16369" spans="1:1">
      <c r="A16369" s="5"/>
    </row>
    <row r="16370" spans="1:1">
      <c r="A16370" s="5"/>
    </row>
    <row r="16371" spans="1:1">
      <c r="A16371" s="5"/>
    </row>
    <row r="16372" spans="1:1">
      <c r="A16372" s="5"/>
    </row>
    <row r="16373" spans="1:1">
      <c r="A16373" s="5"/>
    </row>
    <row r="16374" spans="1:1">
      <c r="A16374" s="5"/>
    </row>
    <row r="16375" spans="1:1">
      <c r="A16375" s="5"/>
    </row>
    <row r="16376" spans="1:1">
      <c r="A16376" s="5"/>
    </row>
    <row r="16377" spans="1:1">
      <c r="A16377" s="5"/>
    </row>
    <row r="16378" spans="1:1">
      <c r="A16378" s="5"/>
    </row>
    <row r="16379" spans="1:1">
      <c r="A16379" s="5"/>
    </row>
    <row r="16380" spans="1:1">
      <c r="A16380" s="5"/>
    </row>
    <row r="16381" spans="1:1">
      <c r="A16381" s="5"/>
    </row>
    <row r="16382" spans="1:1">
      <c r="A16382" s="5"/>
    </row>
    <row r="16383" spans="1:1">
      <c r="A16383" s="5"/>
    </row>
    <row r="16384" spans="1:1">
      <c r="A16384" s="5"/>
    </row>
    <row r="16385" spans="1:1">
      <c r="A16385" s="5"/>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4"/>
  <sheetViews>
    <sheetView topLeftCell="A280" workbookViewId="0">
      <selection activeCell="F314" sqref="F314"/>
    </sheetView>
  </sheetViews>
  <sheetFormatPr baseColWidth="10" defaultRowHeight="12.75"/>
  <cols>
    <col min="1" max="1" width="7" style="197" customWidth="1"/>
    <col min="2" max="2" width="39.7109375" style="5" customWidth="1"/>
    <col min="3" max="3" width="7" customWidth="1"/>
    <col min="4" max="4" width="39.7109375" style="5" customWidth="1"/>
    <col min="6" max="6" width="27.5703125" customWidth="1"/>
  </cols>
  <sheetData>
    <row r="1" spans="1:6">
      <c r="B1" s="80" t="s">
        <v>6719</v>
      </c>
      <c r="D1" s="256" t="s">
        <v>7204</v>
      </c>
    </row>
    <row r="2" spans="1:6" ht="18">
      <c r="B2" s="62" t="s">
        <v>6846</v>
      </c>
      <c r="C2">
        <v>1</v>
      </c>
      <c r="D2" s="94" t="s">
        <v>5641</v>
      </c>
    </row>
    <row r="3" spans="1:6">
      <c r="B3" s="51" t="s">
        <v>935</v>
      </c>
      <c r="D3" s="51" t="s">
        <v>935</v>
      </c>
    </row>
    <row r="4" spans="1:6" ht="18">
      <c r="B4" s="181" t="s">
        <v>6513</v>
      </c>
      <c r="C4">
        <v>2</v>
      </c>
      <c r="D4" s="6" t="s">
        <v>71</v>
      </c>
    </row>
    <row r="5" spans="1:6">
      <c r="B5" s="51" t="s">
        <v>935</v>
      </c>
      <c r="D5" s="51" t="s">
        <v>935</v>
      </c>
    </row>
    <row r="6" spans="1:6">
      <c r="B6" s="6" t="s">
        <v>6514</v>
      </c>
      <c r="C6">
        <v>3</v>
      </c>
      <c r="D6" s="6" t="s">
        <v>77</v>
      </c>
    </row>
    <row r="7" spans="1:6">
      <c r="B7" s="51" t="s">
        <v>935</v>
      </c>
      <c r="D7" s="51" t="s">
        <v>935</v>
      </c>
    </row>
    <row r="8" spans="1:6">
      <c r="B8" s="6" t="s">
        <v>6718</v>
      </c>
      <c r="C8">
        <v>5</v>
      </c>
      <c r="D8" s="6" t="s">
        <v>76</v>
      </c>
      <c r="E8">
        <v>4</v>
      </c>
      <c r="F8" s="6" t="s">
        <v>78</v>
      </c>
    </row>
    <row r="9" spans="1:6">
      <c r="B9" s="51" t="s">
        <v>935</v>
      </c>
      <c r="D9" s="51" t="s">
        <v>935</v>
      </c>
      <c r="F9" s="51" t="s">
        <v>935</v>
      </c>
    </row>
    <row r="10" spans="1:6">
      <c r="A10" s="197" t="s">
        <v>7205</v>
      </c>
      <c r="B10" s="82" t="s">
        <v>6515</v>
      </c>
      <c r="D10" s="251"/>
    </row>
    <row r="11" spans="1:6">
      <c r="B11" s="51" t="s">
        <v>935</v>
      </c>
      <c r="D11" s="251"/>
    </row>
    <row r="12" spans="1:6">
      <c r="B12" s="182" t="s">
        <v>6980</v>
      </c>
      <c r="C12">
        <v>6</v>
      </c>
      <c r="D12" s="6" t="s">
        <v>54</v>
      </c>
    </row>
    <row r="13" spans="1:6">
      <c r="B13" s="51" t="s">
        <v>935</v>
      </c>
      <c r="D13" s="51" t="s">
        <v>935</v>
      </c>
    </row>
    <row r="14" spans="1:6" ht="18">
      <c r="B14" s="62" t="s">
        <v>5488</v>
      </c>
      <c r="C14">
        <v>7</v>
      </c>
      <c r="D14" s="62" t="s">
        <v>5488</v>
      </c>
    </row>
    <row r="15" spans="1:6">
      <c r="B15" s="51" t="s">
        <v>935</v>
      </c>
      <c r="D15" s="51" t="s">
        <v>935</v>
      </c>
    </row>
    <row r="16" spans="1:6" ht="18">
      <c r="B16" s="181" t="s">
        <v>6516</v>
      </c>
      <c r="C16">
        <v>8</v>
      </c>
      <c r="D16" s="62" t="s">
        <v>75</v>
      </c>
    </row>
    <row r="17" spans="2:4">
      <c r="B17" s="51" t="s">
        <v>935</v>
      </c>
      <c r="D17" s="51" t="s">
        <v>935</v>
      </c>
    </row>
    <row r="18" spans="2:4">
      <c r="B18" s="20"/>
      <c r="D18" s="20"/>
    </row>
    <row r="19" spans="2:4">
      <c r="B19" s="10" t="s">
        <v>1</v>
      </c>
      <c r="D19" s="257" t="s">
        <v>1</v>
      </c>
    </row>
    <row r="20" spans="2:4">
      <c r="B20" s="62" t="s">
        <v>85</v>
      </c>
      <c r="D20" s="62" t="s">
        <v>85</v>
      </c>
    </row>
    <row r="21" spans="2:4">
      <c r="B21" s="51" t="s">
        <v>935</v>
      </c>
      <c r="D21" s="51" t="s">
        <v>935</v>
      </c>
    </row>
    <row r="22" spans="2:4" ht="18">
      <c r="B22" s="86" t="s">
        <v>86</v>
      </c>
      <c r="D22" s="249" t="s">
        <v>86</v>
      </c>
    </row>
    <row r="23" spans="2:4">
      <c r="B23" s="51" t="s">
        <v>935</v>
      </c>
      <c r="D23" s="51" t="s">
        <v>935</v>
      </c>
    </row>
    <row r="24" spans="2:4">
      <c r="B24" s="6" t="s">
        <v>87</v>
      </c>
      <c r="D24" s="6" t="s">
        <v>87</v>
      </c>
    </row>
    <row r="25" spans="2:4">
      <c r="B25" s="51" t="s">
        <v>935</v>
      </c>
      <c r="D25" s="51" t="s">
        <v>935</v>
      </c>
    </row>
    <row r="26" spans="2:4">
      <c r="B26" s="62" t="s">
        <v>403</v>
      </c>
      <c r="D26" s="62" t="s">
        <v>403</v>
      </c>
    </row>
    <row r="27" spans="2:4">
      <c r="B27" s="51" t="s">
        <v>935</v>
      </c>
      <c r="D27" s="51" t="s">
        <v>935</v>
      </c>
    </row>
    <row r="28" spans="2:4" ht="36">
      <c r="B28" s="87" t="s">
        <v>52</v>
      </c>
      <c r="D28" s="258" t="s">
        <v>52</v>
      </c>
    </row>
    <row r="29" spans="2:4">
      <c r="B29" s="51" t="s">
        <v>935</v>
      </c>
      <c r="D29" s="51" t="s">
        <v>935</v>
      </c>
    </row>
    <row r="30" spans="2:4">
      <c r="B30" s="62" t="s">
        <v>89</v>
      </c>
      <c r="D30" s="6" t="s">
        <v>89</v>
      </c>
    </row>
    <row r="31" spans="2:4">
      <c r="B31" s="51" t="s">
        <v>935</v>
      </c>
      <c r="D31" s="51" t="s">
        <v>935</v>
      </c>
    </row>
    <row r="32" spans="2:4" ht="18">
      <c r="B32" s="62" t="s">
        <v>6851</v>
      </c>
      <c r="D32" s="6" t="s">
        <v>90</v>
      </c>
    </row>
    <row r="33" spans="1:4">
      <c r="B33" s="51" t="s">
        <v>935</v>
      </c>
      <c r="D33" s="51" t="s">
        <v>935</v>
      </c>
    </row>
    <row r="34" spans="1:4">
      <c r="B34" s="6" t="s">
        <v>91</v>
      </c>
      <c r="D34" s="6" t="s">
        <v>91</v>
      </c>
    </row>
    <row r="35" spans="1:4">
      <c r="B35" s="51" t="s">
        <v>935</v>
      </c>
      <c r="D35" s="51" t="s">
        <v>935</v>
      </c>
    </row>
    <row r="36" spans="1:4">
      <c r="B36" s="6" t="s">
        <v>92</v>
      </c>
      <c r="D36" s="6" t="s">
        <v>92</v>
      </c>
    </row>
    <row r="37" spans="1:4">
      <c r="B37" s="51" t="s">
        <v>935</v>
      </c>
      <c r="D37" s="51" t="s">
        <v>935</v>
      </c>
    </row>
    <row r="38" spans="1:4" ht="27">
      <c r="B38" s="249" t="s">
        <v>6985</v>
      </c>
      <c r="D38" s="6" t="s">
        <v>93</v>
      </c>
    </row>
    <row r="39" spans="1:4">
      <c r="B39" s="51" t="s">
        <v>935</v>
      </c>
      <c r="D39" s="51" t="s">
        <v>935</v>
      </c>
    </row>
    <row r="40" spans="1:4">
      <c r="A40" s="197" t="s">
        <v>7206</v>
      </c>
      <c r="B40" s="182" t="s">
        <v>6852</v>
      </c>
      <c r="D40" s="251"/>
    </row>
    <row r="41" spans="1:4">
      <c r="B41" s="51" t="s">
        <v>935</v>
      </c>
      <c r="D41" s="251"/>
    </row>
    <row r="42" spans="1:4">
      <c r="B42" s="6" t="s">
        <v>94</v>
      </c>
      <c r="D42" s="6" t="s">
        <v>94</v>
      </c>
    </row>
    <row r="43" spans="1:4">
      <c r="B43" s="51" t="s">
        <v>935</v>
      </c>
      <c r="D43" s="51" t="s">
        <v>935</v>
      </c>
    </row>
    <row r="44" spans="1:4">
      <c r="B44" s="6" t="s">
        <v>582</v>
      </c>
      <c r="D44" s="6" t="s">
        <v>582</v>
      </c>
    </row>
    <row r="45" spans="1:4">
      <c r="B45" s="51" t="s">
        <v>935</v>
      </c>
      <c r="D45" s="51" t="s">
        <v>935</v>
      </c>
    </row>
    <row r="46" spans="1:4">
      <c r="B46" s="6" t="s">
        <v>4406</v>
      </c>
      <c r="D46" s="6" t="s">
        <v>4406</v>
      </c>
    </row>
    <row r="47" spans="1:4">
      <c r="B47" s="51" t="s">
        <v>935</v>
      </c>
      <c r="D47" s="51" t="s">
        <v>935</v>
      </c>
    </row>
    <row r="48" spans="1:4" ht="27">
      <c r="B48" s="62" t="s">
        <v>95</v>
      </c>
      <c r="D48" s="62" t="s">
        <v>95</v>
      </c>
    </row>
    <row r="49" spans="1:4">
      <c r="B49" s="51" t="s">
        <v>935</v>
      </c>
      <c r="D49" s="51" t="s">
        <v>935</v>
      </c>
    </row>
    <row r="50" spans="1:4">
      <c r="B50" s="6" t="s">
        <v>96</v>
      </c>
      <c r="D50" s="6" t="s">
        <v>96</v>
      </c>
    </row>
    <row r="51" spans="1:4">
      <c r="B51" s="51" t="s">
        <v>935</v>
      </c>
      <c r="D51" s="51" t="s">
        <v>935</v>
      </c>
    </row>
    <row r="52" spans="1:4">
      <c r="B52" s="6" t="s">
        <v>97</v>
      </c>
      <c r="D52" s="6" t="s">
        <v>97</v>
      </c>
    </row>
    <row r="53" spans="1:4">
      <c r="B53" s="51" t="s">
        <v>935</v>
      </c>
      <c r="D53" s="51" t="s">
        <v>935</v>
      </c>
    </row>
    <row r="54" spans="1:4">
      <c r="B54" s="6" t="s">
        <v>98</v>
      </c>
      <c r="D54" s="6" t="s">
        <v>98</v>
      </c>
    </row>
    <row r="55" spans="1:4">
      <c r="B55" s="51" t="s">
        <v>935</v>
      </c>
      <c r="D55" s="51" t="s">
        <v>935</v>
      </c>
    </row>
    <row r="56" spans="1:4">
      <c r="B56" s="6" t="s">
        <v>6284</v>
      </c>
      <c r="D56" s="6" t="s">
        <v>6284</v>
      </c>
    </row>
    <row r="57" spans="1:4">
      <c r="B57" s="51" t="s">
        <v>935</v>
      </c>
      <c r="D57" s="51" t="s">
        <v>935</v>
      </c>
    </row>
    <row r="58" spans="1:4">
      <c r="B58" s="6" t="s">
        <v>6285</v>
      </c>
      <c r="D58" s="6" t="s">
        <v>6285</v>
      </c>
    </row>
    <row r="59" spans="1:4">
      <c r="B59" s="51" t="s">
        <v>935</v>
      </c>
      <c r="D59" s="51" t="s">
        <v>935</v>
      </c>
    </row>
    <row r="60" spans="1:4">
      <c r="A60" s="197" t="s">
        <v>6719</v>
      </c>
      <c r="B60" s="81" t="s">
        <v>6745</v>
      </c>
      <c r="D60" s="251"/>
    </row>
    <row r="61" spans="1:4">
      <c r="B61" s="51" t="s">
        <v>935</v>
      </c>
      <c r="D61" s="251"/>
    </row>
    <row r="62" spans="1:4" ht="28.5" customHeight="1">
      <c r="B62" s="20"/>
      <c r="D62" s="8"/>
    </row>
    <row r="63" spans="1:4">
      <c r="B63" s="10" t="s">
        <v>101</v>
      </c>
      <c r="D63" s="257" t="s">
        <v>101</v>
      </c>
    </row>
    <row r="64" spans="1:4" ht="18">
      <c r="B64" s="62" t="s">
        <v>102</v>
      </c>
      <c r="D64" s="62" t="s">
        <v>102</v>
      </c>
    </row>
    <row r="65" spans="1:4">
      <c r="B65" s="51" t="s">
        <v>935</v>
      </c>
      <c r="D65" s="51" t="s">
        <v>935</v>
      </c>
    </row>
    <row r="66" spans="1:4">
      <c r="B66" s="88" t="s">
        <v>103</v>
      </c>
      <c r="D66" s="62" t="s">
        <v>103</v>
      </c>
    </row>
    <row r="67" spans="1:4">
      <c r="B67" s="51" t="s">
        <v>935</v>
      </c>
      <c r="D67" s="51" t="s">
        <v>935</v>
      </c>
    </row>
    <row r="68" spans="1:4">
      <c r="B68" s="88" t="s">
        <v>467</v>
      </c>
      <c r="D68" s="62" t="s">
        <v>467</v>
      </c>
    </row>
    <row r="69" spans="1:4">
      <c r="B69" s="51" t="s">
        <v>935</v>
      </c>
      <c r="D69" s="51" t="s">
        <v>935</v>
      </c>
    </row>
    <row r="70" spans="1:4">
      <c r="B70" s="88" t="s">
        <v>7</v>
      </c>
      <c r="D70" s="62" t="s">
        <v>7</v>
      </c>
    </row>
    <row r="71" spans="1:4">
      <c r="B71" s="51" t="s">
        <v>935</v>
      </c>
      <c r="D71" s="51" t="s">
        <v>935</v>
      </c>
    </row>
    <row r="72" spans="1:4" ht="18">
      <c r="A72" s="197" t="s">
        <v>6719</v>
      </c>
      <c r="B72" s="198" t="s">
        <v>6952</v>
      </c>
      <c r="D72" s="251"/>
    </row>
    <row r="73" spans="1:4">
      <c r="B73" s="51" t="s">
        <v>935</v>
      </c>
      <c r="D73" s="251"/>
    </row>
    <row r="74" spans="1:4">
      <c r="B74" s="88" t="s">
        <v>321</v>
      </c>
      <c r="D74" s="62" t="s">
        <v>321</v>
      </c>
    </row>
    <row r="75" spans="1:4">
      <c r="B75" s="51" t="s">
        <v>935</v>
      </c>
      <c r="D75" s="51" t="s">
        <v>935</v>
      </c>
    </row>
    <row r="76" spans="1:4" ht="18">
      <c r="B76" s="88" t="s">
        <v>451</v>
      </c>
      <c r="D76" s="62" t="s">
        <v>451</v>
      </c>
    </row>
    <row r="77" spans="1:4">
      <c r="B77" s="51" t="s">
        <v>935</v>
      </c>
      <c r="D77" s="51" t="s">
        <v>935</v>
      </c>
    </row>
    <row r="78" spans="1:4">
      <c r="B78" s="6" t="s">
        <v>63</v>
      </c>
      <c r="D78" s="6" t="s">
        <v>63</v>
      </c>
    </row>
    <row r="79" spans="1:4">
      <c r="B79" s="51" t="s">
        <v>935</v>
      </c>
      <c r="D79" s="51" t="s">
        <v>935</v>
      </c>
    </row>
    <row r="80" spans="1:4">
      <c r="A80" s="197" t="s">
        <v>7207</v>
      </c>
      <c r="B80" s="182" t="s">
        <v>6863</v>
      </c>
      <c r="D80" s="251"/>
    </row>
    <row r="81" spans="2:4">
      <c r="B81" s="51" t="s">
        <v>935</v>
      </c>
      <c r="D81" s="251"/>
    </row>
    <row r="82" spans="2:4">
      <c r="B82" s="88" t="s">
        <v>107</v>
      </c>
      <c r="D82" s="62" t="s">
        <v>107</v>
      </c>
    </row>
    <row r="83" spans="2:4">
      <c r="B83" s="51" t="s">
        <v>935</v>
      </c>
      <c r="D83" s="51" t="s">
        <v>935</v>
      </c>
    </row>
    <row r="84" spans="2:4">
      <c r="B84" s="247" t="s">
        <v>6858</v>
      </c>
      <c r="D84" s="88" t="s">
        <v>108</v>
      </c>
    </row>
    <row r="85" spans="2:4">
      <c r="B85" s="51" t="s">
        <v>935</v>
      </c>
      <c r="D85" s="51" t="s">
        <v>935</v>
      </c>
    </row>
    <row r="86" spans="2:4">
      <c r="B86" s="235" t="s">
        <v>6751</v>
      </c>
      <c r="D86" s="88" t="s">
        <v>109</v>
      </c>
    </row>
    <row r="87" spans="2:4">
      <c r="B87" s="51" t="s">
        <v>935</v>
      </c>
      <c r="D87" s="51" t="s">
        <v>935</v>
      </c>
    </row>
    <row r="88" spans="2:4">
      <c r="B88" s="235" t="s">
        <v>6868</v>
      </c>
      <c r="D88" s="251"/>
    </row>
    <row r="89" spans="2:4">
      <c r="B89" s="51" t="s">
        <v>935</v>
      </c>
      <c r="D89" s="251"/>
    </row>
    <row r="90" spans="2:4">
      <c r="B90" s="251"/>
      <c r="D90" s="23"/>
    </row>
    <row r="91" spans="2:4">
      <c r="B91" s="251"/>
      <c r="D91" s="10" t="s">
        <v>114</v>
      </c>
    </row>
    <row r="92" spans="2:4">
      <c r="B92" s="251"/>
      <c r="D92" s="6" t="s">
        <v>115</v>
      </c>
    </row>
    <row r="93" spans="2:4">
      <c r="B93" s="251"/>
      <c r="D93" s="51" t="s">
        <v>935</v>
      </c>
    </row>
    <row r="94" spans="2:4">
      <c r="B94" s="251"/>
      <c r="D94" s="6" t="s">
        <v>116</v>
      </c>
    </row>
    <row r="95" spans="2:4">
      <c r="B95" s="251"/>
      <c r="D95" s="51" t="s">
        <v>935</v>
      </c>
    </row>
    <row r="96" spans="2:4">
      <c r="B96" s="251"/>
      <c r="D96" s="6" t="s">
        <v>117</v>
      </c>
    </row>
    <row r="97" spans="2:4">
      <c r="B97" s="251"/>
      <c r="D97" s="51" t="s">
        <v>935</v>
      </c>
    </row>
    <row r="98" spans="2:4">
      <c r="B98" s="23"/>
      <c r="D98" s="20"/>
    </row>
    <row r="99" spans="2:4" ht="18">
      <c r="B99" s="22" t="s">
        <v>6517</v>
      </c>
      <c r="D99" s="22" t="s">
        <v>119</v>
      </c>
    </row>
    <row r="100" spans="2:4" ht="18">
      <c r="B100" s="183" t="s">
        <v>6518</v>
      </c>
      <c r="D100" s="26" t="s">
        <v>118</v>
      </c>
    </row>
    <row r="101" spans="2:4">
      <c r="B101" s="182" t="s">
        <v>6519</v>
      </c>
      <c r="D101" s="6" t="s">
        <v>191</v>
      </c>
    </row>
    <row r="102" spans="2:4">
      <c r="B102" s="51" t="s">
        <v>935</v>
      </c>
      <c r="D102" s="51" t="s">
        <v>935</v>
      </c>
    </row>
    <row r="103" spans="2:4">
      <c r="B103" s="6" t="s">
        <v>2</v>
      </c>
      <c r="D103" s="6" t="s">
        <v>120</v>
      </c>
    </row>
    <row r="104" spans="2:4">
      <c r="B104" s="51" t="s">
        <v>935</v>
      </c>
      <c r="D104" s="51" t="s">
        <v>935</v>
      </c>
    </row>
    <row r="105" spans="2:4">
      <c r="B105" s="62" t="s">
        <v>23</v>
      </c>
      <c r="D105" s="6" t="s">
        <v>2</v>
      </c>
    </row>
    <row r="106" spans="2:4">
      <c r="B106" s="51" t="s">
        <v>935</v>
      </c>
      <c r="D106" s="51" t="s">
        <v>935</v>
      </c>
    </row>
    <row r="107" spans="2:4">
      <c r="B107" s="62" t="s">
        <v>19</v>
      </c>
      <c r="D107" s="6" t="s">
        <v>121</v>
      </c>
    </row>
    <row r="108" spans="2:4">
      <c r="B108" s="51" t="s">
        <v>935</v>
      </c>
      <c r="D108" s="51" t="s">
        <v>935</v>
      </c>
    </row>
    <row r="109" spans="2:4">
      <c r="B109" s="6" t="s">
        <v>120</v>
      </c>
      <c r="D109" s="6" t="s">
        <v>122</v>
      </c>
    </row>
    <row r="110" spans="2:4">
      <c r="B110" s="51" t="s">
        <v>935</v>
      </c>
      <c r="D110" s="51" t="s">
        <v>935</v>
      </c>
    </row>
    <row r="111" spans="2:4">
      <c r="B111" s="182" t="s">
        <v>6520</v>
      </c>
      <c r="D111" s="62" t="s">
        <v>23</v>
      </c>
    </row>
    <row r="112" spans="2:4">
      <c r="B112" s="51" t="s">
        <v>935</v>
      </c>
      <c r="D112" s="51" t="s">
        <v>935</v>
      </c>
    </row>
    <row r="113" spans="2:4">
      <c r="B113" s="6" t="s">
        <v>122</v>
      </c>
      <c r="D113" s="62" t="s">
        <v>19</v>
      </c>
    </row>
    <row r="114" spans="2:4">
      <c r="B114" s="51" t="s">
        <v>935</v>
      </c>
      <c r="D114" s="51" t="s">
        <v>935</v>
      </c>
    </row>
    <row r="115" spans="2:4">
      <c r="B115" s="62" t="s">
        <v>124</v>
      </c>
      <c r="D115" s="62" t="s">
        <v>16</v>
      </c>
    </row>
    <row r="116" spans="2:4">
      <c r="B116" s="51" t="s">
        <v>935</v>
      </c>
      <c r="D116" s="51" t="s">
        <v>935</v>
      </c>
    </row>
    <row r="117" spans="2:4">
      <c r="B117" s="62" t="s">
        <v>16</v>
      </c>
      <c r="D117" s="62" t="s">
        <v>124</v>
      </c>
    </row>
    <row r="118" spans="2:4">
      <c r="B118" s="51" t="s">
        <v>935</v>
      </c>
      <c r="D118" s="51" t="s">
        <v>935</v>
      </c>
    </row>
    <row r="119" spans="2:4" ht="18">
      <c r="B119" s="62" t="s">
        <v>6521</v>
      </c>
      <c r="D119" s="62" t="s">
        <v>25</v>
      </c>
    </row>
    <row r="120" spans="2:4">
      <c r="B120" s="51" t="s">
        <v>935</v>
      </c>
      <c r="D120" s="51" t="s">
        <v>935</v>
      </c>
    </row>
    <row r="121" spans="2:4">
      <c r="B121" s="251"/>
      <c r="D121" s="62" t="s">
        <v>125</v>
      </c>
    </row>
    <row r="122" spans="2:4">
      <c r="B122" s="251"/>
      <c r="D122" s="51" t="s">
        <v>935</v>
      </c>
    </row>
    <row r="123" spans="2:4">
      <c r="B123" s="251"/>
      <c r="D123" s="62" t="s">
        <v>126</v>
      </c>
    </row>
    <row r="124" spans="2:4">
      <c r="B124" s="251"/>
      <c r="D124" s="51" t="s">
        <v>935</v>
      </c>
    </row>
    <row r="125" spans="2:4">
      <c r="B125" s="40"/>
      <c r="D125" s="251"/>
    </row>
    <row r="126" spans="2:4">
      <c r="B126" s="22" t="s">
        <v>6522</v>
      </c>
    </row>
    <row r="127" spans="2:4">
      <c r="B127" s="285" t="s">
        <v>8928</v>
      </c>
      <c r="D127" s="26" t="s">
        <v>127</v>
      </c>
    </row>
    <row r="128" spans="2:4">
      <c r="B128" s="29" t="s">
        <v>128</v>
      </c>
      <c r="D128" s="29" t="s">
        <v>128</v>
      </c>
    </row>
    <row r="129" spans="2:4">
      <c r="B129" s="51" t="s">
        <v>935</v>
      </c>
      <c r="D129" s="51" t="s">
        <v>935</v>
      </c>
    </row>
    <row r="130" spans="2:4">
      <c r="B130" s="6" t="s">
        <v>130</v>
      </c>
      <c r="D130" s="6" t="s">
        <v>130</v>
      </c>
    </row>
    <row r="131" spans="2:4">
      <c r="B131" s="51" t="s">
        <v>935</v>
      </c>
      <c r="D131" s="51" t="s">
        <v>935</v>
      </c>
    </row>
    <row r="132" spans="2:4" ht="18">
      <c r="B132" s="181" t="s">
        <v>6773</v>
      </c>
      <c r="D132" s="6" t="s">
        <v>131</v>
      </c>
    </row>
    <row r="133" spans="2:4">
      <c r="B133" s="51" t="s">
        <v>935</v>
      </c>
      <c r="D133" s="51" t="s">
        <v>935</v>
      </c>
    </row>
    <row r="134" spans="2:4" ht="18">
      <c r="B134" s="181" t="s">
        <v>6774</v>
      </c>
      <c r="D134" s="62" t="s">
        <v>132</v>
      </c>
    </row>
    <row r="135" spans="2:4">
      <c r="B135" s="51" t="s">
        <v>935</v>
      </c>
      <c r="D135" s="51" t="s">
        <v>935</v>
      </c>
    </row>
    <row r="136" spans="2:4">
      <c r="B136" s="82" t="s">
        <v>6551</v>
      </c>
      <c r="D136" s="6" t="s">
        <v>133</v>
      </c>
    </row>
    <row r="137" spans="2:4">
      <c r="B137" s="185" t="s">
        <v>935</v>
      </c>
      <c r="D137" s="51" t="s">
        <v>935</v>
      </c>
    </row>
    <row r="138" spans="2:4" ht="38.25" customHeight="1">
      <c r="B138" s="82" t="s">
        <v>6775</v>
      </c>
      <c r="D138" s="6" t="s">
        <v>134</v>
      </c>
    </row>
    <row r="139" spans="2:4">
      <c r="B139" s="185" t="s">
        <v>935</v>
      </c>
      <c r="D139" s="51" t="s">
        <v>935</v>
      </c>
    </row>
    <row r="140" spans="2:4">
      <c r="B140" s="6" t="s">
        <v>133</v>
      </c>
      <c r="D140" s="6" t="s">
        <v>135</v>
      </c>
    </row>
    <row r="141" spans="2:4">
      <c r="B141" s="51" t="s">
        <v>935</v>
      </c>
      <c r="D141" s="51" t="s">
        <v>935</v>
      </c>
    </row>
    <row r="142" spans="2:4">
      <c r="B142" s="6" t="s">
        <v>134</v>
      </c>
      <c r="D142" s="6" t="s">
        <v>136</v>
      </c>
    </row>
    <row r="143" spans="2:4">
      <c r="B143" s="51" t="s">
        <v>935</v>
      </c>
      <c r="D143" s="51" t="s">
        <v>935</v>
      </c>
    </row>
    <row r="144" spans="2:4">
      <c r="B144" s="6" t="s">
        <v>135</v>
      </c>
      <c r="D144" s="6" t="s">
        <v>137</v>
      </c>
    </row>
    <row r="145" spans="2:4">
      <c r="B145" s="51" t="s">
        <v>935</v>
      </c>
      <c r="D145" s="51" t="s">
        <v>935</v>
      </c>
    </row>
    <row r="146" spans="2:4">
      <c r="B146" s="6" t="s">
        <v>136</v>
      </c>
      <c r="D146" s="6" t="s">
        <v>138</v>
      </c>
    </row>
    <row r="147" spans="2:4">
      <c r="B147" s="51" t="s">
        <v>935</v>
      </c>
      <c r="D147" s="51" t="s">
        <v>935</v>
      </c>
    </row>
    <row r="148" spans="2:4" ht="18">
      <c r="B148" s="181" t="s">
        <v>6552</v>
      </c>
      <c r="D148" s="6" t="s">
        <v>139</v>
      </c>
    </row>
    <row r="149" spans="2:4">
      <c r="B149" s="51" t="s">
        <v>935</v>
      </c>
      <c r="D149" s="51" t="s">
        <v>935</v>
      </c>
    </row>
    <row r="150" spans="2:4">
      <c r="B150" s="6" t="s">
        <v>139</v>
      </c>
      <c r="D150" s="6" t="s">
        <v>141</v>
      </c>
    </row>
    <row r="151" spans="2:4">
      <c r="B151" s="51" t="s">
        <v>935</v>
      </c>
      <c r="D151" s="51" t="s">
        <v>935</v>
      </c>
    </row>
    <row r="152" spans="2:4">
      <c r="B152" s="6" t="s">
        <v>141</v>
      </c>
      <c r="D152" s="29" t="s">
        <v>128</v>
      </c>
    </row>
    <row r="153" spans="2:4">
      <c r="B153" s="51" t="s">
        <v>935</v>
      </c>
      <c r="D153" s="51" t="s">
        <v>935</v>
      </c>
    </row>
    <row r="154" spans="2:4">
      <c r="B154" s="251"/>
      <c r="D154" s="6" t="s">
        <v>134</v>
      </c>
    </row>
    <row r="155" spans="2:4">
      <c r="B155" s="251"/>
      <c r="D155" s="51" t="s">
        <v>935</v>
      </c>
    </row>
    <row r="156" spans="2:4">
      <c r="B156" s="251"/>
      <c r="D156" s="6" t="s">
        <v>135</v>
      </c>
    </row>
    <row r="157" spans="2:4">
      <c r="B157" s="251"/>
      <c r="D157" s="51" t="s">
        <v>935</v>
      </c>
    </row>
    <row r="159" spans="2:4">
      <c r="B159" s="26" t="s">
        <v>143</v>
      </c>
      <c r="D159" s="26" t="s">
        <v>142</v>
      </c>
    </row>
    <row r="160" spans="2:4">
      <c r="B160" s="28"/>
      <c r="D160" s="28" t="s">
        <v>143</v>
      </c>
    </row>
    <row r="161" spans="2:4" ht="27">
      <c r="B161" s="82" t="s">
        <v>6778</v>
      </c>
      <c r="D161" s="6" t="s">
        <v>130</v>
      </c>
    </row>
    <row r="162" spans="2:4">
      <c r="B162" s="51" t="s">
        <v>935</v>
      </c>
      <c r="D162" s="51" t="s">
        <v>935</v>
      </c>
    </row>
    <row r="163" spans="2:4">
      <c r="B163" s="6" t="s">
        <v>6590</v>
      </c>
      <c r="D163" s="6" t="s">
        <v>144</v>
      </c>
    </row>
    <row r="164" spans="2:4">
      <c r="B164" s="51" t="s">
        <v>935</v>
      </c>
      <c r="D164" s="51" t="s">
        <v>935</v>
      </c>
    </row>
    <row r="165" spans="2:4">
      <c r="B165" s="62" t="s">
        <v>6553</v>
      </c>
      <c r="D165" s="6" t="s">
        <v>145</v>
      </c>
    </row>
    <row r="166" spans="2:4">
      <c r="B166" s="185" t="s">
        <v>935</v>
      </c>
      <c r="D166" s="51" t="s">
        <v>935</v>
      </c>
    </row>
    <row r="167" spans="2:4">
      <c r="B167" s="62" t="s">
        <v>6591</v>
      </c>
      <c r="D167" s="6" t="s">
        <v>146</v>
      </c>
    </row>
    <row r="168" spans="2:4">
      <c r="B168" s="185" t="s">
        <v>935</v>
      </c>
      <c r="D168" s="51" t="s">
        <v>935</v>
      </c>
    </row>
    <row r="169" spans="2:4" ht="13.5" customHeight="1">
      <c r="B169" s="62" t="s">
        <v>6619</v>
      </c>
      <c r="D169" s="6" t="s">
        <v>134</v>
      </c>
    </row>
    <row r="170" spans="2:4">
      <c r="B170" s="51" t="s">
        <v>935</v>
      </c>
      <c r="D170" s="51" t="s">
        <v>935</v>
      </c>
    </row>
    <row r="171" spans="2:4">
      <c r="B171" s="6" t="s">
        <v>145</v>
      </c>
      <c r="D171" s="6" t="s">
        <v>135</v>
      </c>
    </row>
    <row r="172" spans="2:4">
      <c r="B172" s="51" t="s">
        <v>935</v>
      </c>
      <c r="D172" s="51" t="s">
        <v>935</v>
      </c>
    </row>
    <row r="173" spans="2:4">
      <c r="B173" s="6" t="s">
        <v>146</v>
      </c>
      <c r="D173" s="6" t="s">
        <v>136</v>
      </c>
    </row>
    <row r="174" spans="2:4">
      <c r="B174" s="51" t="s">
        <v>935</v>
      </c>
      <c r="D174" s="51" t="s">
        <v>935</v>
      </c>
    </row>
    <row r="175" spans="2:4">
      <c r="B175" s="6" t="s">
        <v>134</v>
      </c>
      <c r="D175" s="28" t="s">
        <v>147</v>
      </c>
    </row>
    <row r="176" spans="2:4">
      <c r="B176" s="51" t="s">
        <v>935</v>
      </c>
      <c r="D176" s="6" t="s">
        <v>148</v>
      </c>
    </row>
    <row r="177" spans="1:4">
      <c r="B177" s="6" t="s">
        <v>135</v>
      </c>
      <c r="D177" s="51" t="s">
        <v>935</v>
      </c>
    </row>
    <row r="178" spans="1:4">
      <c r="B178" s="51" t="s">
        <v>935</v>
      </c>
      <c r="D178" s="6" t="s">
        <v>149</v>
      </c>
    </row>
    <row r="179" spans="1:4">
      <c r="B179" s="6" t="s">
        <v>136</v>
      </c>
      <c r="D179" s="51" t="s">
        <v>935</v>
      </c>
    </row>
    <row r="180" spans="1:4">
      <c r="B180" s="51" t="s">
        <v>935</v>
      </c>
      <c r="D180" s="12"/>
    </row>
    <row r="181" spans="1:4">
      <c r="B181" s="181" t="s">
        <v>6620</v>
      </c>
      <c r="D181" s="26" t="s">
        <v>644</v>
      </c>
    </row>
    <row r="182" spans="1:4">
      <c r="B182" s="51" t="s">
        <v>935</v>
      </c>
      <c r="D182" s="6" t="s">
        <v>643</v>
      </c>
    </row>
    <row r="183" spans="1:4">
      <c r="B183" s="251"/>
      <c r="D183" s="51" t="s">
        <v>935</v>
      </c>
    </row>
    <row r="185" spans="1:4">
      <c r="B185" s="10" t="s">
        <v>6621</v>
      </c>
      <c r="D185" s="26" t="s">
        <v>150</v>
      </c>
    </row>
    <row r="186" spans="1:4">
      <c r="B186" s="6" t="s">
        <v>151</v>
      </c>
      <c r="D186" s="6" t="s">
        <v>151</v>
      </c>
    </row>
    <row r="187" spans="1:4">
      <c r="B187" s="51" t="s">
        <v>935</v>
      </c>
      <c r="D187" s="51" t="s">
        <v>935</v>
      </c>
    </row>
    <row r="188" spans="1:4">
      <c r="A188" s="197" t="s">
        <v>8350</v>
      </c>
      <c r="B188" s="82" t="s">
        <v>8344</v>
      </c>
      <c r="D188" s="251"/>
    </row>
    <row r="189" spans="1:4">
      <c r="B189" s="51"/>
      <c r="D189" s="251"/>
    </row>
    <row r="190" spans="1:4" ht="36">
      <c r="B190" s="62" t="s">
        <v>6622</v>
      </c>
      <c r="D190" s="251"/>
    </row>
    <row r="191" spans="1:4">
      <c r="B191" s="185" t="s">
        <v>935</v>
      </c>
      <c r="D191" s="251"/>
    </row>
    <row r="192" spans="1:4">
      <c r="D192" s="251"/>
    </row>
    <row r="193" spans="2:4">
      <c r="B193" s="10" t="s">
        <v>6624</v>
      </c>
    </row>
    <row r="194" spans="2:4">
      <c r="B194" s="239" t="s">
        <v>6787</v>
      </c>
      <c r="D194" s="26" t="s">
        <v>190</v>
      </c>
    </row>
    <row r="195" spans="2:4" ht="18">
      <c r="B195" s="82" t="s">
        <v>8918</v>
      </c>
      <c r="D195" s="6" t="s">
        <v>154</v>
      </c>
    </row>
    <row r="196" spans="2:4">
      <c r="B196" s="51" t="s">
        <v>935</v>
      </c>
      <c r="D196" s="51" t="s">
        <v>935</v>
      </c>
    </row>
    <row r="197" spans="2:4" ht="18">
      <c r="B197" s="82" t="s">
        <v>8919</v>
      </c>
      <c r="D197" s="6" t="s">
        <v>155</v>
      </c>
    </row>
    <row r="198" spans="2:4">
      <c r="B198" s="51" t="s">
        <v>935</v>
      </c>
      <c r="D198" s="51" t="s">
        <v>935</v>
      </c>
    </row>
    <row r="199" spans="2:4">
      <c r="B199" s="81" t="s">
        <v>6788</v>
      </c>
      <c r="D199" s="6" t="s">
        <v>156</v>
      </c>
    </row>
    <row r="200" spans="2:4">
      <c r="B200" s="51" t="s">
        <v>935</v>
      </c>
      <c r="D200" s="51" t="s">
        <v>935</v>
      </c>
    </row>
    <row r="201" spans="2:4" ht="18">
      <c r="B201" s="82" t="s">
        <v>6799</v>
      </c>
      <c r="D201" s="6" t="s">
        <v>157</v>
      </c>
    </row>
    <row r="202" spans="2:4">
      <c r="B202" s="51" t="s">
        <v>935</v>
      </c>
      <c r="D202" s="51" t="s">
        <v>935</v>
      </c>
    </row>
    <row r="203" spans="2:4" ht="18">
      <c r="B203" s="82" t="s">
        <v>6800</v>
      </c>
      <c r="D203" s="6" t="s">
        <v>3</v>
      </c>
    </row>
    <row r="204" spans="2:4">
      <c r="B204" s="51" t="s">
        <v>935</v>
      </c>
      <c r="D204" s="51" t="s">
        <v>935</v>
      </c>
    </row>
    <row r="205" spans="2:4" ht="18">
      <c r="B205" s="82" t="s">
        <v>7622</v>
      </c>
      <c r="D205" s="6" t="s">
        <v>8</v>
      </c>
    </row>
    <row r="206" spans="2:4">
      <c r="B206" s="51" t="s">
        <v>935</v>
      </c>
      <c r="D206" s="51" t="s">
        <v>935</v>
      </c>
    </row>
    <row r="207" spans="2:4">
      <c r="B207" s="181" t="s">
        <v>7237</v>
      </c>
      <c r="D207" s="6" t="s">
        <v>158</v>
      </c>
    </row>
    <row r="208" spans="2:4">
      <c r="B208" s="51" t="s">
        <v>935</v>
      </c>
      <c r="D208" s="51" t="s">
        <v>935</v>
      </c>
    </row>
    <row r="209" spans="1:4">
      <c r="A209" s="265" t="s">
        <v>8963</v>
      </c>
      <c r="B209" s="298" t="s">
        <v>7239</v>
      </c>
      <c r="D209" s="6" t="s">
        <v>206</v>
      </c>
    </row>
    <row r="210" spans="1:4">
      <c r="B210" s="51" t="s">
        <v>935</v>
      </c>
      <c r="D210" s="51" t="s">
        <v>935</v>
      </c>
    </row>
    <row r="211" spans="1:4">
      <c r="B211" s="6" t="s">
        <v>154</v>
      </c>
      <c r="D211" s="6" t="s">
        <v>5489</v>
      </c>
    </row>
    <row r="212" spans="1:4">
      <c r="B212" s="51" t="s">
        <v>935</v>
      </c>
      <c r="D212" s="51" t="s">
        <v>935</v>
      </c>
    </row>
    <row r="213" spans="1:4">
      <c r="B213" s="6" t="s">
        <v>157</v>
      </c>
      <c r="D213" s="89" t="s">
        <v>162</v>
      </c>
    </row>
    <row r="214" spans="1:4">
      <c r="B214" s="51" t="s">
        <v>935</v>
      </c>
      <c r="D214" s="51" t="s">
        <v>935</v>
      </c>
    </row>
    <row r="215" spans="1:4">
      <c r="B215" s="6" t="s">
        <v>5489</v>
      </c>
      <c r="D215" s="89" t="s">
        <v>163</v>
      </c>
    </row>
    <row r="216" spans="1:4">
      <c r="B216" s="51" t="s">
        <v>935</v>
      </c>
      <c r="D216" s="51" t="s">
        <v>935</v>
      </c>
    </row>
    <row r="217" spans="1:4" ht="18">
      <c r="B217" s="82" t="s">
        <v>8895</v>
      </c>
      <c r="D217" s="62" t="s">
        <v>10</v>
      </c>
    </row>
    <row r="218" spans="1:4">
      <c r="B218" s="51" t="s">
        <v>935</v>
      </c>
      <c r="D218" s="51" t="s">
        <v>935</v>
      </c>
    </row>
    <row r="219" spans="1:4">
      <c r="B219" s="89" t="s">
        <v>162</v>
      </c>
      <c r="D219" s="62" t="s">
        <v>164</v>
      </c>
    </row>
    <row r="220" spans="1:4">
      <c r="B220" s="51" t="s">
        <v>935</v>
      </c>
      <c r="D220" s="51" t="s">
        <v>935</v>
      </c>
    </row>
    <row r="221" spans="1:4" ht="18">
      <c r="B221" s="89" t="s">
        <v>163</v>
      </c>
      <c r="D221" s="62" t="s">
        <v>9</v>
      </c>
    </row>
    <row r="222" spans="1:4">
      <c r="B222" s="51" t="s">
        <v>935</v>
      </c>
      <c r="D222" s="51" t="s">
        <v>935</v>
      </c>
    </row>
    <row r="223" spans="1:4">
      <c r="B223" s="183" t="s">
        <v>6625</v>
      </c>
      <c r="D223" s="62" t="s">
        <v>168</v>
      </c>
    </row>
    <row r="224" spans="1:4">
      <c r="B224" s="81" t="s">
        <v>6712</v>
      </c>
      <c r="D224" s="51" t="s">
        <v>935</v>
      </c>
    </row>
    <row r="225" spans="2:4">
      <c r="B225" s="51" t="s">
        <v>935</v>
      </c>
      <c r="D225" s="62" t="s">
        <v>169</v>
      </c>
    </row>
    <row r="226" spans="2:4">
      <c r="B226" s="6" t="s">
        <v>6963</v>
      </c>
      <c r="D226" s="51" t="s">
        <v>935</v>
      </c>
    </row>
    <row r="227" spans="2:4" ht="27">
      <c r="B227" s="51" t="s">
        <v>935</v>
      </c>
      <c r="D227" s="62" t="s">
        <v>170</v>
      </c>
    </row>
    <row r="228" spans="2:4">
      <c r="B228" s="6" t="s">
        <v>8</v>
      </c>
      <c r="D228" s="51" t="s">
        <v>935</v>
      </c>
    </row>
    <row r="229" spans="2:4">
      <c r="B229" s="51" t="s">
        <v>935</v>
      </c>
      <c r="D229" s="6" t="s">
        <v>4</v>
      </c>
    </row>
    <row r="230" spans="2:4">
      <c r="B230" s="6" t="s">
        <v>158</v>
      </c>
      <c r="D230" s="51" t="s">
        <v>935</v>
      </c>
    </row>
    <row r="231" spans="2:4">
      <c r="B231" s="51" t="s">
        <v>935</v>
      </c>
      <c r="D231" s="6" t="s">
        <v>165</v>
      </c>
    </row>
    <row r="232" spans="2:4">
      <c r="B232" s="6" t="s">
        <v>206</v>
      </c>
      <c r="D232" s="51" t="s">
        <v>935</v>
      </c>
    </row>
    <row r="233" spans="2:4">
      <c r="B233" s="51" t="s">
        <v>935</v>
      </c>
      <c r="D233" s="6" t="s">
        <v>167</v>
      </c>
    </row>
    <row r="234" spans="2:4">
      <c r="B234" s="81" t="s">
        <v>6714</v>
      </c>
      <c r="D234" s="51" t="s">
        <v>935</v>
      </c>
    </row>
    <row r="235" spans="2:4">
      <c r="B235" s="51" t="s">
        <v>935</v>
      </c>
      <c r="D235" s="6" t="s">
        <v>31</v>
      </c>
    </row>
    <row r="236" spans="2:4">
      <c r="B236" s="6" t="s">
        <v>165</v>
      </c>
      <c r="D236" s="51" t="s">
        <v>935</v>
      </c>
    </row>
    <row r="237" spans="2:4">
      <c r="B237" s="51" t="s">
        <v>935</v>
      </c>
      <c r="D237" s="6" t="s">
        <v>207</v>
      </c>
    </row>
    <row r="238" spans="2:4" ht="18">
      <c r="B238" s="62" t="s">
        <v>10</v>
      </c>
      <c r="D238" s="51" t="s">
        <v>935</v>
      </c>
    </row>
    <row r="239" spans="2:4" ht="18">
      <c r="B239" s="51" t="s">
        <v>935</v>
      </c>
      <c r="D239" s="62" t="s">
        <v>5221</v>
      </c>
    </row>
    <row r="240" spans="2:4">
      <c r="B240" s="62" t="s">
        <v>164</v>
      </c>
      <c r="D240" s="51" t="s">
        <v>935</v>
      </c>
    </row>
    <row r="241" spans="2:4">
      <c r="B241" s="51" t="s">
        <v>935</v>
      </c>
      <c r="D241" s="251"/>
    </row>
    <row r="242" spans="2:4">
      <c r="B242" s="62" t="s">
        <v>169</v>
      </c>
      <c r="D242" s="251"/>
    </row>
    <row r="243" spans="2:4">
      <c r="B243" s="51" t="s">
        <v>935</v>
      </c>
      <c r="D243" s="251"/>
    </row>
    <row r="244" spans="2:4" ht="18">
      <c r="B244" s="62" t="s">
        <v>9</v>
      </c>
      <c r="D244" s="251"/>
    </row>
    <row r="245" spans="2:4">
      <c r="B245" s="51" t="s">
        <v>935</v>
      </c>
      <c r="D245" s="251"/>
    </row>
    <row r="246" spans="2:4">
      <c r="B246" s="62" t="s">
        <v>168</v>
      </c>
      <c r="D246" s="251"/>
    </row>
    <row r="247" spans="2:4">
      <c r="B247" s="51" t="s">
        <v>935</v>
      </c>
      <c r="D247" s="251"/>
    </row>
    <row r="248" spans="2:4" ht="27">
      <c r="B248" s="62" t="s">
        <v>170</v>
      </c>
      <c r="D248" s="251"/>
    </row>
    <row r="249" spans="2:4">
      <c r="B249" s="51" t="s">
        <v>935</v>
      </c>
      <c r="D249" s="251"/>
    </row>
    <row r="250" spans="2:4">
      <c r="B250" s="6" t="s">
        <v>4</v>
      </c>
      <c r="D250" s="251"/>
    </row>
    <row r="251" spans="2:4">
      <c r="B251" s="51" t="s">
        <v>935</v>
      </c>
      <c r="D251" s="251"/>
    </row>
    <row r="252" spans="2:4">
      <c r="B252" s="6" t="s">
        <v>167</v>
      </c>
      <c r="D252" s="251"/>
    </row>
    <row r="253" spans="2:4">
      <c r="B253" s="51" t="s">
        <v>935</v>
      </c>
      <c r="D253" s="251"/>
    </row>
    <row r="254" spans="2:4">
      <c r="B254" s="6" t="s">
        <v>31</v>
      </c>
      <c r="D254" s="251"/>
    </row>
    <row r="255" spans="2:4">
      <c r="B255" s="51" t="s">
        <v>935</v>
      </c>
      <c r="D255" s="251"/>
    </row>
    <row r="256" spans="2:4">
      <c r="B256" s="81" t="s">
        <v>6716</v>
      </c>
      <c r="D256" s="251"/>
    </row>
    <row r="257" spans="1:4">
      <c r="B257" s="51" t="s">
        <v>935</v>
      </c>
      <c r="D257" s="251"/>
    </row>
    <row r="258" spans="1:4">
      <c r="B258" s="62" t="s">
        <v>184</v>
      </c>
      <c r="D258" s="251"/>
    </row>
    <row r="259" spans="1:4">
      <c r="B259" s="51" t="s">
        <v>935</v>
      </c>
      <c r="D259" s="251"/>
    </row>
    <row r="260" spans="1:4">
      <c r="B260" s="6" t="s">
        <v>207</v>
      </c>
      <c r="D260" s="251"/>
    </row>
    <row r="261" spans="1:4">
      <c r="B261" s="51" t="s">
        <v>935</v>
      </c>
      <c r="D261" s="251"/>
    </row>
    <row r="262" spans="1:4" ht="18">
      <c r="B262" s="62" t="s">
        <v>5221</v>
      </c>
      <c r="D262" s="251"/>
    </row>
    <row r="263" spans="1:4">
      <c r="B263" s="51" t="s">
        <v>935</v>
      </c>
      <c r="D263" s="251"/>
    </row>
    <row r="264" spans="1:4">
      <c r="B264" s="251"/>
      <c r="D264" s="251"/>
    </row>
    <row r="265" spans="1:4">
      <c r="B265" s="10" t="s">
        <v>6623</v>
      </c>
      <c r="D265" s="251"/>
    </row>
    <row r="266" spans="1:4">
      <c r="B266" s="82" t="s">
        <v>6715</v>
      </c>
      <c r="D266" s="251"/>
    </row>
    <row r="267" spans="1:4">
      <c r="B267" s="185" t="s">
        <v>935</v>
      </c>
      <c r="D267" s="251"/>
    </row>
    <row r="268" spans="1:4">
      <c r="B268" s="82" t="s">
        <v>6720</v>
      </c>
      <c r="D268" s="251"/>
    </row>
    <row r="269" spans="1:4">
      <c r="B269" s="185" t="s">
        <v>935</v>
      </c>
      <c r="D269" s="251"/>
    </row>
    <row r="270" spans="1:4">
      <c r="B270" s="62" t="s">
        <v>25</v>
      </c>
      <c r="D270" s="251"/>
    </row>
    <row r="271" spans="1:4">
      <c r="B271" s="51" t="s">
        <v>935</v>
      </c>
      <c r="D271" s="251"/>
    </row>
    <row r="272" spans="1:4">
      <c r="A272" s="197" t="s">
        <v>8350</v>
      </c>
      <c r="B272" s="82" t="s">
        <v>6663</v>
      </c>
      <c r="D272" s="251"/>
    </row>
    <row r="273" spans="1:4">
      <c r="B273" s="185" t="s">
        <v>935</v>
      </c>
      <c r="D273" s="251"/>
    </row>
    <row r="274" spans="1:4" ht="13.5" customHeight="1">
      <c r="A274" s="197" t="s">
        <v>8350</v>
      </c>
      <c r="B274" s="82" t="s">
        <v>8868</v>
      </c>
      <c r="D274" s="251"/>
    </row>
    <row r="275" spans="1:4">
      <c r="B275" s="185" t="s">
        <v>935</v>
      </c>
      <c r="D275" s="251"/>
    </row>
    <row r="276" spans="1:4" ht="13.5" customHeight="1">
      <c r="A276" s="197" t="s">
        <v>8350</v>
      </c>
      <c r="B276" s="82" t="s">
        <v>8867</v>
      </c>
      <c r="D276" s="251"/>
    </row>
    <row r="277" spans="1:4">
      <c r="B277" s="185" t="s">
        <v>935</v>
      </c>
      <c r="D277" s="251"/>
    </row>
    <row r="278" spans="1:4">
      <c r="B278" s="82" t="s">
        <v>6946</v>
      </c>
    </row>
    <row r="279" spans="1:4">
      <c r="B279" s="185" t="s">
        <v>935</v>
      </c>
      <c r="D279" s="26" t="s">
        <v>334</v>
      </c>
    </row>
    <row r="280" spans="1:4" ht="15" customHeight="1">
      <c r="B280" s="82" t="s">
        <v>6664</v>
      </c>
      <c r="D280" s="6" t="s">
        <v>171</v>
      </c>
    </row>
    <row r="281" spans="1:4">
      <c r="B281" s="185" t="s">
        <v>935</v>
      </c>
      <c r="D281" s="51" t="s">
        <v>935</v>
      </c>
    </row>
    <row r="282" spans="1:4" ht="18">
      <c r="B282" s="6" t="s">
        <v>6901</v>
      </c>
      <c r="D282" s="62" t="s">
        <v>172</v>
      </c>
    </row>
    <row r="283" spans="1:4">
      <c r="B283" s="51" t="s">
        <v>935</v>
      </c>
      <c r="D283" s="51" t="s">
        <v>935</v>
      </c>
    </row>
    <row r="284" spans="1:4">
      <c r="B284" s="6" t="s">
        <v>6902</v>
      </c>
      <c r="D284" s="62" t="s">
        <v>651</v>
      </c>
    </row>
    <row r="285" spans="1:4">
      <c r="B285" s="51" t="s">
        <v>935</v>
      </c>
      <c r="D285" s="51" t="s">
        <v>935</v>
      </c>
    </row>
    <row r="287" spans="1:4">
      <c r="B287" s="22" t="s">
        <v>15</v>
      </c>
      <c r="D287" s="22" t="s">
        <v>15</v>
      </c>
    </row>
    <row r="288" spans="1:4" ht="27">
      <c r="B288" s="181" t="s">
        <v>7086</v>
      </c>
      <c r="D288" s="62"/>
    </row>
    <row r="289" spans="2:4">
      <c r="B289" s="51" t="s">
        <v>935</v>
      </c>
      <c r="D289" s="51"/>
    </row>
    <row r="290" spans="2:4">
      <c r="B290" s="181" t="s">
        <v>6815</v>
      </c>
      <c r="D290" s="62" t="s">
        <v>2745</v>
      </c>
    </row>
    <row r="291" spans="2:4">
      <c r="B291" s="51" t="s">
        <v>935</v>
      </c>
      <c r="D291" s="51" t="s">
        <v>935</v>
      </c>
    </row>
    <row r="292" spans="2:4">
      <c r="B292" s="82" t="s">
        <v>6814</v>
      </c>
      <c r="D292" s="62" t="s">
        <v>38</v>
      </c>
    </row>
    <row r="293" spans="2:4">
      <c r="B293" s="185" t="s">
        <v>935</v>
      </c>
      <c r="D293" s="51" t="s">
        <v>935</v>
      </c>
    </row>
    <row r="294" spans="2:4">
      <c r="B294" s="62" t="s">
        <v>6819</v>
      </c>
      <c r="D294" s="62" t="s">
        <v>42</v>
      </c>
    </row>
    <row r="295" spans="2:4">
      <c r="B295" s="51" t="s">
        <v>935</v>
      </c>
      <c r="D295" s="51" t="s">
        <v>935</v>
      </c>
    </row>
    <row r="296" spans="2:4">
      <c r="B296" s="62" t="s">
        <v>6822</v>
      </c>
      <c r="D296" s="62" t="s">
        <v>174</v>
      </c>
    </row>
    <row r="297" spans="2:4">
      <c r="B297" s="51" t="s">
        <v>935</v>
      </c>
      <c r="D297" s="51" t="s">
        <v>935</v>
      </c>
    </row>
    <row r="298" spans="2:4">
      <c r="B298" s="62" t="s">
        <v>42</v>
      </c>
      <c r="D298" s="62" t="s">
        <v>43</v>
      </c>
    </row>
    <row r="299" spans="2:4">
      <c r="B299" s="51" t="s">
        <v>935</v>
      </c>
      <c r="D299" s="51" t="s">
        <v>935</v>
      </c>
    </row>
    <row r="300" spans="2:4">
      <c r="B300" s="62" t="s">
        <v>38</v>
      </c>
      <c r="D300" s="62" t="s">
        <v>175</v>
      </c>
    </row>
    <row r="301" spans="2:4">
      <c r="B301" s="51" t="s">
        <v>935</v>
      </c>
      <c r="D301" s="51" t="s">
        <v>935</v>
      </c>
    </row>
    <row r="302" spans="2:4" ht="18">
      <c r="B302" s="181" t="s">
        <v>6824</v>
      </c>
      <c r="D302" s="62" t="s">
        <v>176</v>
      </c>
    </row>
    <row r="303" spans="2:4">
      <c r="B303" s="185" t="s">
        <v>935</v>
      </c>
      <c r="D303" s="51" t="s">
        <v>935</v>
      </c>
    </row>
    <row r="304" spans="2:4" ht="18">
      <c r="B304" s="181" t="s">
        <v>7071</v>
      </c>
      <c r="D304" s="62" t="s">
        <v>177</v>
      </c>
    </row>
    <row r="305" spans="2:4">
      <c r="B305" s="185" t="s">
        <v>935</v>
      </c>
      <c r="D305" s="51" t="s">
        <v>935</v>
      </c>
    </row>
    <row r="306" spans="2:4" ht="18">
      <c r="B306" s="181" t="s">
        <v>6938</v>
      </c>
      <c r="D306" s="6" t="s">
        <v>3075</v>
      </c>
    </row>
    <row r="307" spans="2:4">
      <c r="B307" s="185" t="s">
        <v>935</v>
      </c>
      <c r="D307" s="51" t="s">
        <v>935</v>
      </c>
    </row>
    <row r="308" spans="2:4">
      <c r="B308" s="6" t="s">
        <v>3076</v>
      </c>
      <c r="D308" s="6" t="s">
        <v>3076</v>
      </c>
    </row>
    <row r="309" spans="2:4">
      <c r="B309" s="51" t="s">
        <v>935</v>
      </c>
      <c r="D309" s="51" t="s">
        <v>935</v>
      </c>
    </row>
    <row r="310" spans="2:4">
      <c r="B310" s="62" t="s">
        <v>176</v>
      </c>
      <c r="D310" s="6" t="s">
        <v>49</v>
      </c>
    </row>
    <row r="311" spans="2:4">
      <c r="B311" s="51" t="s">
        <v>935</v>
      </c>
      <c r="D311" s="51" t="s">
        <v>935</v>
      </c>
    </row>
    <row r="312" spans="2:4" ht="18">
      <c r="B312" s="62" t="s">
        <v>9009</v>
      </c>
      <c r="D312" s="6" t="s">
        <v>33</v>
      </c>
    </row>
    <row r="313" spans="2:4">
      <c r="B313" s="51" t="s">
        <v>935</v>
      </c>
      <c r="D313" s="51" t="s">
        <v>935</v>
      </c>
    </row>
    <row r="314" spans="2:4">
      <c r="B314" s="6" t="s">
        <v>3075</v>
      </c>
      <c r="D314" s="6" t="s">
        <v>34</v>
      </c>
    </row>
    <row r="315" spans="2:4">
      <c r="B315" s="51" t="s">
        <v>935</v>
      </c>
      <c r="D315" s="51" t="s">
        <v>935</v>
      </c>
    </row>
    <row r="316" spans="2:4">
      <c r="B316" s="6" t="s">
        <v>49</v>
      </c>
      <c r="D316" s="6" t="s">
        <v>182</v>
      </c>
    </row>
    <row r="317" spans="2:4">
      <c r="B317" s="51" t="s">
        <v>935</v>
      </c>
      <c r="D317" s="51" t="s">
        <v>935</v>
      </c>
    </row>
    <row r="318" spans="2:4" ht="18">
      <c r="B318" s="62" t="s">
        <v>174</v>
      </c>
      <c r="D318" s="62" t="s">
        <v>183</v>
      </c>
    </row>
    <row r="319" spans="2:4">
      <c r="B319" s="51" t="s">
        <v>935</v>
      </c>
      <c r="D319" s="51" t="s">
        <v>935</v>
      </c>
    </row>
    <row r="320" spans="2:4">
      <c r="B320" s="6" t="s">
        <v>33</v>
      </c>
      <c r="D320" s="62" t="s">
        <v>184</v>
      </c>
    </row>
    <row r="321" spans="2:4">
      <c r="B321" s="51" t="s">
        <v>935</v>
      </c>
      <c r="D321" s="51" t="s">
        <v>935</v>
      </c>
    </row>
    <row r="322" spans="2:4">
      <c r="B322" s="6" t="s">
        <v>34</v>
      </c>
      <c r="D322" s="251"/>
    </row>
    <row r="323" spans="2:4">
      <c r="B323" s="51" t="s">
        <v>935</v>
      </c>
      <c r="D323" s="251"/>
    </row>
    <row r="324" spans="2:4" ht="18">
      <c r="B324" s="62" t="s">
        <v>183</v>
      </c>
      <c r="D324" s="251"/>
    </row>
    <row r="325" spans="2:4">
      <c r="B325" s="51" t="s">
        <v>935</v>
      </c>
      <c r="D325" s="251"/>
    </row>
    <row r="326" spans="2:4">
      <c r="B326" s="31"/>
      <c r="D326" s="31"/>
    </row>
    <row r="327" spans="2:4">
      <c r="B327" s="10" t="s">
        <v>6708</v>
      </c>
      <c r="D327" s="257" t="s">
        <v>20</v>
      </c>
    </row>
    <row r="328" spans="2:4">
      <c r="B328" s="90" t="s">
        <v>21</v>
      </c>
      <c r="D328" s="62" t="s">
        <v>21</v>
      </c>
    </row>
    <row r="329" spans="2:4">
      <c r="B329" s="51" t="s">
        <v>935</v>
      </c>
      <c r="D329" s="51" t="s">
        <v>935</v>
      </c>
    </row>
    <row r="330" spans="2:4">
      <c r="B330" s="198" t="s">
        <v>109</v>
      </c>
      <c r="D330" s="8"/>
    </row>
    <row r="331" spans="2:4">
      <c r="B331" s="51" t="s">
        <v>935</v>
      </c>
      <c r="D331" s="251"/>
    </row>
    <row r="332" spans="2:4">
      <c r="B332" s="91" t="s">
        <v>5</v>
      </c>
      <c r="D332" s="6" t="s">
        <v>5</v>
      </c>
    </row>
    <row r="333" spans="2:4">
      <c r="B333" s="51" t="s">
        <v>935</v>
      </c>
      <c r="D333" s="51" t="s">
        <v>935</v>
      </c>
    </row>
    <row r="334" spans="2:4" ht="18">
      <c r="B334" s="181" t="s">
        <v>6665</v>
      </c>
      <c r="D334" s="62" t="s">
        <v>216</v>
      </c>
    </row>
    <row r="335" spans="2:4">
      <c r="B335" s="51" t="s">
        <v>935</v>
      </c>
      <c r="D335" s="51" t="s">
        <v>935</v>
      </c>
    </row>
    <row r="336" spans="2:4" ht="18">
      <c r="B336" s="82" t="s">
        <v>6707</v>
      </c>
      <c r="D336" s="251"/>
    </row>
    <row r="337" spans="2:4">
      <c r="B337" s="185" t="s">
        <v>935</v>
      </c>
      <c r="D337" s="251"/>
    </row>
    <row r="338" spans="2:4">
      <c r="B338" s="31"/>
      <c r="D338" s="31"/>
    </row>
    <row r="339" spans="2:4">
      <c r="B339" s="10" t="s">
        <v>186</v>
      </c>
      <c r="D339" s="10" t="s">
        <v>186</v>
      </c>
    </row>
    <row r="340" spans="2:4">
      <c r="B340" s="90" t="s">
        <v>7134</v>
      </c>
      <c r="D340" s="90" t="s">
        <v>187</v>
      </c>
    </row>
    <row r="341" spans="2:4">
      <c r="B341" s="51" t="s">
        <v>935</v>
      </c>
      <c r="D341" s="51" t="s">
        <v>935</v>
      </c>
    </row>
    <row r="342" spans="2:4">
      <c r="B342" s="192"/>
      <c r="D342" s="251"/>
    </row>
    <row r="343" spans="2:4">
      <c r="B343" s="194" t="s">
        <v>6709</v>
      </c>
      <c r="D343" s="251"/>
    </row>
    <row r="344" spans="2:4">
      <c r="B344" s="181" t="s">
        <v>6710</v>
      </c>
      <c r="D344" s="251"/>
    </row>
    <row r="345" spans="2:4">
      <c r="B345" s="51" t="s">
        <v>935</v>
      </c>
      <c r="D345" s="251"/>
    </row>
    <row r="346" spans="2:4" ht="18">
      <c r="B346" s="82" t="s">
        <v>8905</v>
      </c>
      <c r="D346" s="251"/>
    </row>
    <row r="347" spans="2:4">
      <c r="B347" s="185" t="s">
        <v>935</v>
      </c>
      <c r="D347" s="251"/>
    </row>
    <row r="348" spans="2:4">
      <c r="B348" s="181" t="s">
        <v>6711</v>
      </c>
      <c r="D348" s="251"/>
    </row>
    <row r="349" spans="2:4">
      <c r="B349" s="51" t="s">
        <v>935</v>
      </c>
      <c r="D349" s="251"/>
    </row>
    <row r="350" spans="2:4">
      <c r="B350" s="62" t="s">
        <v>651</v>
      </c>
      <c r="D350" s="251"/>
    </row>
    <row r="351" spans="2:4">
      <c r="B351" s="51" t="s">
        <v>935</v>
      </c>
      <c r="D351" s="251"/>
    </row>
    <row r="352" spans="2:4">
      <c r="B352" s="23"/>
      <c r="D352" s="23"/>
    </row>
    <row r="353" spans="2:4">
      <c r="B353" s="10" t="s">
        <v>267</v>
      </c>
      <c r="D353" s="10" t="s">
        <v>267</v>
      </c>
    </row>
    <row r="354" spans="2:4">
      <c r="B354" s="90"/>
      <c r="D354" s="90"/>
    </row>
    <row r="355" spans="2:4">
      <c r="B355" s="51" t="s">
        <v>935</v>
      </c>
      <c r="D355" s="51" t="s">
        <v>935</v>
      </c>
    </row>
    <row r="356" spans="2:4">
      <c r="B356" s="31"/>
      <c r="D356" s="31"/>
    </row>
    <row r="357" spans="2:4">
      <c r="B357" s="22" t="s">
        <v>70</v>
      </c>
      <c r="D357" s="22" t="s">
        <v>70</v>
      </c>
    </row>
    <row r="358" spans="2:4">
      <c r="B358" s="6"/>
      <c r="D358" s="6"/>
    </row>
    <row r="359" spans="2:4">
      <c r="B359" s="31"/>
      <c r="D359" s="31"/>
    </row>
    <row r="360" spans="2:4">
      <c r="B360" s="94" t="s">
        <v>3183</v>
      </c>
      <c r="D360" s="94" t="s">
        <v>3183</v>
      </c>
    </row>
    <row r="361" spans="2:4">
      <c r="B361" s="12" t="s">
        <v>6722</v>
      </c>
    </row>
    <row r="364" spans="2:4">
      <c r="B364" s="5" t="s">
        <v>6960</v>
      </c>
    </row>
  </sheetData>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7"/>
  <sheetViews>
    <sheetView topLeftCell="A272" workbookViewId="0">
      <selection activeCell="D2" sqref="D2"/>
    </sheetView>
  </sheetViews>
  <sheetFormatPr baseColWidth="10" defaultRowHeight="12.75"/>
  <cols>
    <col min="1" max="1" width="42.28515625" style="5" customWidth="1"/>
    <col min="2" max="2" width="30.5703125" style="5" customWidth="1"/>
    <col min="3" max="9" width="21.7109375" style="5" customWidth="1"/>
    <col min="14" max="16384" width="11.42578125" style="5"/>
  </cols>
  <sheetData>
    <row r="1" spans="1:13" ht="22.5" customHeight="1">
      <c r="A1" s="47"/>
      <c r="B1" s="142" t="s">
        <v>5709</v>
      </c>
      <c r="C1" s="48" t="s">
        <v>1034</v>
      </c>
      <c r="D1" s="49" t="s">
        <v>932</v>
      </c>
      <c r="E1" s="48" t="s">
        <v>933</v>
      </c>
      <c r="F1" s="48" t="s">
        <v>934</v>
      </c>
      <c r="G1" s="50" t="s">
        <v>1260</v>
      </c>
      <c r="H1" s="112" t="s">
        <v>1261</v>
      </c>
      <c r="I1" s="112" t="s">
        <v>5319</v>
      </c>
    </row>
    <row r="2" spans="1:13" ht="22.5" customHeight="1">
      <c r="A2" s="6" t="s">
        <v>72</v>
      </c>
      <c r="B2" s="143" t="s">
        <v>5710</v>
      </c>
      <c r="C2" s="38" t="s">
        <v>1349</v>
      </c>
      <c r="D2" s="38" t="s">
        <v>1349</v>
      </c>
      <c r="E2" s="38" t="s">
        <v>1349</v>
      </c>
      <c r="F2" s="38" t="s">
        <v>1349</v>
      </c>
      <c r="G2" s="38" t="s">
        <v>1349</v>
      </c>
      <c r="H2" s="97" t="s">
        <v>5137</v>
      </c>
      <c r="I2" s="97"/>
    </row>
    <row r="3" spans="1:13" ht="12" customHeight="1">
      <c r="A3" s="51" t="s">
        <v>935</v>
      </c>
      <c r="B3" s="84"/>
      <c r="C3" s="52" t="s">
        <v>1121</v>
      </c>
      <c r="D3" s="52"/>
      <c r="E3" s="52"/>
      <c r="F3" s="52"/>
      <c r="G3" s="52" t="s">
        <v>1216</v>
      </c>
      <c r="H3" s="52" t="s">
        <v>5138</v>
      </c>
      <c r="I3" s="52"/>
    </row>
    <row r="4" spans="1:13" ht="22.5" customHeight="1">
      <c r="A4" s="6" t="s">
        <v>71</v>
      </c>
      <c r="B4" s="36" t="s">
        <v>5711</v>
      </c>
      <c r="C4" s="36" t="s">
        <v>74</v>
      </c>
      <c r="D4" s="36" t="s">
        <v>74</v>
      </c>
      <c r="E4" s="36" t="s">
        <v>74</v>
      </c>
      <c r="F4" s="36" t="s">
        <v>74</v>
      </c>
      <c r="G4" s="36" t="s">
        <v>74</v>
      </c>
      <c r="H4" s="97" t="s">
        <v>693</v>
      </c>
      <c r="I4" s="97"/>
    </row>
    <row r="5" spans="1:13" ht="12" customHeight="1">
      <c r="A5" s="51" t="s">
        <v>935</v>
      </c>
      <c r="B5" s="84"/>
      <c r="C5" s="52" t="s">
        <v>1120</v>
      </c>
      <c r="D5" s="52" t="s">
        <v>1169</v>
      </c>
      <c r="E5" s="52" t="s">
        <v>1169</v>
      </c>
      <c r="F5" s="52" t="s">
        <v>1169</v>
      </c>
      <c r="G5" s="52" t="s">
        <v>1219</v>
      </c>
      <c r="H5" s="52" t="s">
        <v>1150</v>
      </c>
      <c r="I5" s="52"/>
    </row>
    <row r="6" spans="1:13" ht="22.5" customHeight="1">
      <c r="A6" s="6" t="s">
        <v>77</v>
      </c>
      <c r="B6" s="36" t="s">
        <v>394</v>
      </c>
      <c r="C6" s="38" t="s">
        <v>192</v>
      </c>
      <c r="D6" s="38" t="s">
        <v>214</v>
      </c>
      <c r="E6" s="38" t="s">
        <v>214</v>
      </c>
      <c r="F6" s="38" t="s">
        <v>215</v>
      </c>
      <c r="G6" s="36" t="s">
        <v>1217</v>
      </c>
      <c r="H6" s="97" t="s">
        <v>5120</v>
      </c>
      <c r="I6" s="97"/>
    </row>
    <row r="7" spans="1:13" ht="12" customHeight="1">
      <c r="A7" s="51" t="s">
        <v>935</v>
      </c>
      <c r="B7" s="84"/>
      <c r="C7" s="52" t="s">
        <v>1093</v>
      </c>
      <c r="D7" s="52" t="s">
        <v>1170</v>
      </c>
      <c r="E7" s="52" t="s">
        <v>1170</v>
      </c>
      <c r="F7" s="52" t="s">
        <v>1170</v>
      </c>
      <c r="G7" s="52" t="s">
        <v>1254</v>
      </c>
      <c r="H7" s="52" t="s">
        <v>1150</v>
      </c>
      <c r="I7" s="52"/>
    </row>
    <row r="8" spans="1:13" ht="22.5" customHeight="1">
      <c r="A8" s="6" t="s">
        <v>78</v>
      </c>
      <c r="B8" s="143" t="s">
        <v>5712</v>
      </c>
      <c r="C8" s="36" t="s">
        <v>1095</v>
      </c>
      <c r="D8" s="36" t="s">
        <v>0</v>
      </c>
      <c r="E8" s="36" t="s">
        <v>0</v>
      </c>
      <c r="F8" s="36" t="s">
        <v>0</v>
      </c>
      <c r="G8" s="36" t="s">
        <v>0</v>
      </c>
      <c r="H8" s="97" t="s">
        <v>5119</v>
      </c>
      <c r="I8" s="97"/>
    </row>
    <row r="9" spans="1:13" ht="12" customHeight="1">
      <c r="A9" s="51" t="s">
        <v>935</v>
      </c>
      <c r="B9" s="84"/>
      <c r="C9" s="52" t="s">
        <v>1094</v>
      </c>
      <c r="D9" s="52" t="s">
        <v>0</v>
      </c>
      <c r="E9" s="52" t="s">
        <v>0</v>
      </c>
      <c r="F9" s="52" t="s">
        <v>0</v>
      </c>
      <c r="G9" s="52" t="s">
        <v>0</v>
      </c>
      <c r="H9" s="52" t="s">
        <v>1150</v>
      </c>
      <c r="I9" s="52"/>
    </row>
    <row r="10" spans="1:13" ht="22.5" customHeight="1">
      <c r="A10" s="6" t="s">
        <v>76</v>
      </c>
      <c r="B10" s="143" t="s">
        <v>5713</v>
      </c>
      <c r="C10" s="36" t="s">
        <v>1096</v>
      </c>
      <c r="D10" s="38" t="s">
        <v>22</v>
      </c>
      <c r="E10" s="38" t="s">
        <v>22</v>
      </c>
      <c r="F10" s="38" t="s">
        <v>22</v>
      </c>
      <c r="G10" s="38" t="s">
        <v>22</v>
      </c>
      <c r="H10" s="108" t="s">
        <v>22</v>
      </c>
      <c r="I10" s="108"/>
    </row>
    <row r="11" spans="1:13" ht="12" customHeight="1">
      <c r="A11" s="51" t="s">
        <v>935</v>
      </c>
      <c r="B11" s="84"/>
      <c r="C11" s="52" t="s">
        <v>1119</v>
      </c>
      <c r="D11" s="52"/>
      <c r="E11" s="52"/>
      <c r="F11" s="52"/>
      <c r="G11" s="52" t="s">
        <v>0</v>
      </c>
      <c r="H11" s="52" t="s">
        <v>1442</v>
      </c>
      <c r="I11" s="52"/>
    </row>
    <row r="12" spans="1:13" ht="22.5" customHeight="1">
      <c r="A12" s="6" t="s">
        <v>54</v>
      </c>
      <c r="B12" s="143" t="s">
        <v>57</v>
      </c>
      <c r="C12" s="38" t="s">
        <v>57</v>
      </c>
      <c r="D12" s="38" t="s">
        <v>57</v>
      </c>
      <c r="E12" s="38" t="s">
        <v>57</v>
      </c>
      <c r="F12" s="38" t="s">
        <v>57</v>
      </c>
      <c r="G12" s="38" t="s">
        <v>0</v>
      </c>
      <c r="H12" s="109" t="s">
        <v>5145</v>
      </c>
      <c r="I12" s="109"/>
    </row>
    <row r="13" spans="1:13" ht="12" customHeight="1">
      <c r="A13" s="51" t="s">
        <v>935</v>
      </c>
      <c r="B13" s="84"/>
      <c r="C13" s="52" t="s">
        <v>1105</v>
      </c>
      <c r="D13" s="52" t="s">
        <v>944</v>
      </c>
      <c r="E13" s="52" t="s">
        <v>977</v>
      </c>
      <c r="F13" s="52" t="s">
        <v>977</v>
      </c>
      <c r="G13" s="52" t="s">
        <v>0</v>
      </c>
      <c r="H13" s="52" t="s">
        <v>5144</v>
      </c>
      <c r="I13" s="52"/>
    </row>
    <row r="14" spans="1:13" s="152" customFormat="1" ht="22.5" customHeight="1">
      <c r="A14" s="155" t="s">
        <v>5742</v>
      </c>
      <c r="B14" s="153" t="s">
        <v>5493</v>
      </c>
      <c r="C14" s="150"/>
      <c r="D14" s="150"/>
      <c r="E14" s="150"/>
      <c r="F14" s="150"/>
      <c r="G14" s="150"/>
      <c r="H14" s="150"/>
      <c r="I14" s="150"/>
      <c r="J14" s="154"/>
      <c r="K14" s="154"/>
      <c r="L14" s="154"/>
      <c r="M14" s="154"/>
    </row>
    <row r="15" spans="1:13" ht="12" customHeight="1">
      <c r="A15" s="51"/>
      <c r="B15" s="84"/>
      <c r="C15" s="52"/>
      <c r="D15" s="52"/>
      <c r="E15" s="52"/>
      <c r="F15" s="52"/>
      <c r="G15" s="52"/>
      <c r="H15" s="52"/>
      <c r="I15" s="52"/>
    </row>
    <row r="16" spans="1:13" ht="22.5" customHeight="1">
      <c r="A16" s="6" t="s">
        <v>75</v>
      </c>
      <c r="B16" s="143" t="s">
        <v>57</v>
      </c>
      <c r="C16" s="38" t="s">
        <v>57</v>
      </c>
      <c r="D16" s="38" t="s">
        <v>57</v>
      </c>
      <c r="E16" s="38" t="s">
        <v>57</v>
      </c>
      <c r="F16" s="38" t="s">
        <v>57</v>
      </c>
      <c r="G16" s="38" t="s">
        <v>0</v>
      </c>
      <c r="H16" s="108" t="s">
        <v>0</v>
      </c>
      <c r="I16" s="108"/>
    </row>
    <row r="17" spans="1:9" ht="12" customHeight="1">
      <c r="A17" s="51" t="s">
        <v>935</v>
      </c>
      <c r="B17" s="84"/>
      <c r="C17" s="52" t="s">
        <v>1106</v>
      </c>
      <c r="D17" s="52" t="s">
        <v>945</v>
      </c>
      <c r="E17" s="52" t="s">
        <v>976</v>
      </c>
      <c r="F17" s="52" t="s">
        <v>976</v>
      </c>
      <c r="G17" s="52" t="s">
        <v>0</v>
      </c>
      <c r="H17" s="52" t="s">
        <v>0</v>
      </c>
      <c r="I17" s="52"/>
    </row>
    <row r="18" spans="1:9" ht="15" customHeight="1">
      <c r="A18" s="20"/>
      <c r="B18" s="73"/>
      <c r="C18" s="53"/>
      <c r="D18" s="53"/>
      <c r="E18" s="53"/>
      <c r="F18" s="53"/>
      <c r="G18" s="53"/>
      <c r="H18" s="53"/>
      <c r="I18" s="53"/>
    </row>
    <row r="19" spans="1:9" ht="22.5" customHeight="1">
      <c r="A19" s="10" t="s">
        <v>1</v>
      </c>
      <c r="B19" s="144"/>
      <c r="C19" s="48"/>
      <c r="D19" s="54"/>
      <c r="E19" s="48"/>
      <c r="F19" s="48"/>
      <c r="G19" s="48"/>
      <c r="H19" s="48"/>
      <c r="I19" s="48"/>
    </row>
    <row r="20" spans="1:9" ht="22.5" customHeight="1">
      <c r="A20" s="11" t="s">
        <v>85</v>
      </c>
      <c r="B20" s="145" t="s">
        <v>57</v>
      </c>
      <c r="C20" s="36" t="s">
        <v>57</v>
      </c>
      <c r="D20" s="36" t="s">
        <v>57</v>
      </c>
      <c r="E20" s="36" t="s">
        <v>57</v>
      </c>
      <c r="F20" s="36" t="s">
        <v>57</v>
      </c>
      <c r="G20" s="36" t="s">
        <v>57</v>
      </c>
      <c r="H20" s="97" t="s">
        <v>57</v>
      </c>
      <c r="I20" s="97"/>
    </row>
    <row r="21" spans="1:9" ht="12" customHeight="1">
      <c r="A21" s="51" t="s">
        <v>935</v>
      </c>
      <c r="B21" s="84"/>
      <c r="C21" s="52" t="s">
        <v>1114</v>
      </c>
      <c r="D21" s="52" t="s">
        <v>1171</v>
      </c>
      <c r="E21" s="52" t="s">
        <v>1171</v>
      </c>
      <c r="F21" s="52" t="s">
        <v>1171</v>
      </c>
      <c r="G21" s="52" t="s">
        <v>1171</v>
      </c>
      <c r="H21" s="52" t="s">
        <v>1171</v>
      </c>
      <c r="I21" s="52"/>
    </row>
    <row r="22" spans="1:9" s="41" customFormat="1" ht="22.5" customHeight="1">
      <c r="A22" s="55" t="s">
        <v>86</v>
      </c>
      <c r="B22" s="77" t="s">
        <v>57</v>
      </c>
      <c r="C22" s="36" t="s">
        <v>57</v>
      </c>
      <c r="D22" s="36" t="s">
        <v>57</v>
      </c>
      <c r="E22" s="36" t="s">
        <v>57</v>
      </c>
      <c r="F22" s="36" t="s">
        <v>57</v>
      </c>
      <c r="G22" s="36" t="s">
        <v>57</v>
      </c>
      <c r="H22" s="97" t="s">
        <v>57</v>
      </c>
      <c r="I22" s="97"/>
    </row>
    <row r="23" spans="1:9" ht="12" customHeight="1">
      <c r="A23" s="51" t="s">
        <v>935</v>
      </c>
      <c r="B23" s="84"/>
      <c r="C23" s="52" t="s">
        <v>1115</v>
      </c>
      <c r="D23" s="52" t="s">
        <v>1172</v>
      </c>
      <c r="E23" s="52" t="s">
        <v>1172</v>
      </c>
      <c r="F23" s="52" t="s">
        <v>1172</v>
      </c>
      <c r="G23" s="52" t="s">
        <v>1172</v>
      </c>
      <c r="H23" s="52" t="s">
        <v>1172</v>
      </c>
      <c r="I23" s="52"/>
    </row>
    <row r="24" spans="1:9" ht="22.5" customHeight="1">
      <c r="A24" s="12" t="s">
        <v>87</v>
      </c>
      <c r="B24" s="145" t="s">
        <v>57</v>
      </c>
      <c r="C24" s="36" t="s">
        <v>57</v>
      </c>
      <c r="D24" s="36" t="s">
        <v>57</v>
      </c>
      <c r="E24" s="36" t="s">
        <v>57</v>
      </c>
      <c r="F24" s="36" t="s">
        <v>57</v>
      </c>
      <c r="G24" s="36" t="s">
        <v>57</v>
      </c>
      <c r="H24" s="97" t="s">
        <v>57</v>
      </c>
      <c r="I24" s="97"/>
    </row>
    <row r="25" spans="1:9" ht="12" customHeight="1">
      <c r="A25" s="51" t="s">
        <v>935</v>
      </c>
      <c r="B25" s="84"/>
      <c r="C25" s="52" t="s">
        <v>1116</v>
      </c>
      <c r="D25" s="52" t="s">
        <v>1173</v>
      </c>
      <c r="E25" s="52" t="s">
        <v>1173</v>
      </c>
      <c r="F25" s="52" t="s">
        <v>1173</v>
      </c>
      <c r="G25" s="52" t="s">
        <v>1173</v>
      </c>
      <c r="H25" s="52" t="s">
        <v>1173</v>
      </c>
      <c r="I25" s="52"/>
    </row>
    <row r="26" spans="1:9" ht="22.5" customHeight="1">
      <c r="A26" s="11" t="s">
        <v>403</v>
      </c>
      <c r="B26" s="145" t="s">
        <v>5714</v>
      </c>
      <c r="C26" s="36" t="s">
        <v>473</v>
      </c>
      <c r="D26" s="36" t="s">
        <v>204</v>
      </c>
      <c r="E26" s="36" t="s">
        <v>225</v>
      </c>
      <c r="F26" s="36" t="s">
        <v>561</v>
      </c>
      <c r="G26" s="36" t="s">
        <v>204</v>
      </c>
      <c r="H26" s="114" t="s">
        <v>5130</v>
      </c>
      <c r="I26" s="114"/>
    </row>
    <row r="27" spans="1:9" ht="12" customHeight="1">
      <c r="A27" s="51" t="s">
        <v>935</v>
      </c>
      <c r="B27" s="84"/>
      <c r="C27" s="52" t="s">
        <v>1097</v>
      </c>
      <c r="D27" s="52" t="s">
        <v>1174</v>
      </c>
      <c r="E27" s="52" t="s">
        <v>940</v>
      </c>
      <c r="F27" s="52" t="s">
        <v>940</v>
      </c>
      <c r="G27" s="52" t="s">
        <v>1220</v>
      </c>
      <c r="H27" s="52" t="s">
        <v>5106</v>
      </c>
      <c r="I27" s="52"/>
    </row>
    <row r="28" spans="1:9" ht="36">
      <c r="A28" s="56" t="s">
        <v>52</v>
      </c>
      <c r="B28" s="77" t="s">
        <v>5715</v>
      </c>
      <c r="C28" s="13" t="s">
        <v>1098</v>
      </c>
      <c r="D28" s="13" t="s">
        <v>51</v>
      </c>
      <c r="E28" s="13" t="s">
        <v>679</v>
      </c>
      <c r="F28" s="13" t="s">
        <v>679</v>
      </c>
      <c r="G28" s="13" t="s">
        <v>1222</v>
      </c>
      <c r="H28" s="111" t="s">
        <v>5111</v>
      </c>
      <c r="I28" s="111"/>
    </row>
    <row r="29" spans="1:9" ht="12" customHeight="1">
      <c r="A29" s="51" t="s">
        <v>935</v>
      </c>
      <c r="B29" s="84"/>
      <c r="C29" s="52" t="s">
        <v>1099</v>
      </c>
      <c r="D29" s="52" t="s">
        <v>941</v>
      </c>
      <c r="E29" s="52" t="s">
        <v>942</v>
      </c>
      <c r="F29" s="52" t="s">
        <v>942</v>
      </c>
      <c r="G29" s="52" t="s">
        <v>1221</v>
      </c>
      <c r="H29" s="52" t="s">
        <v>1150</v>
      </c>
      <c r="I29" s="52"/>
    </row>
    <row r="30" spans="1:9" ht="45" customHeight="1">
      <c r="A30" s="12" t="s">
        <v>89</v>
      </c>
      <c r="B30" s="36" t="s">
        <v>112</v>
      </c>
      <c r="C30" s="36" t="s">
        <v>112</v>
      </c>
      <c r="D30" s="36" t="s">
        <v>841</v>
      </c>
      <c r="E30" s="36" t="s">
        <v>841</v>
      </c>
      <c r="F30" s="36" t="s">
        <v>841</v>
      </c>
      <c r="G30" s="36" t="s">
        <v>1304</v>
      </c>
      <c r="H30" s="97" t="s">
        <v>1422</v>
      </c>
      <c r="I30" s="97"/>
    </row>
    <row r="31" spans="1:9" ht="12" customHeight="1">
      <c r="A31" s="51" t="s">
        <v>935</v>
      </c>
      <c r="B31" s="84"/>
      <c r="C31" s="52" t="s">
        <v>1113</v>
      </c>
      <c r="D31" s="52" t="s">
        <v>1167</v>
      </c>
      <c r="E31" s="52" t="s">
        <v>1167</v>
      </c>
      <c r="F31" s="52" t="s">
        <v>1167</v>
      </c>
      <c r="G31" s="52" t="s">
        <v>1259</v>
      </c>
      <c r="H31" s="52" t="s">
        <v>5112</v>
      </c>
      <c r="I31" s="52"/>
    </row>
    <row r="32" spans="1:9" ht="22.5" customHeight="1">
      <c r="A32" s="12" t="s">
        <v>90</v>
      </c>
      <c r="B32" s="145" t="s">
        <v>5716</v>
      </c>
      <c r="C32" s="36" t="s">
        <v>57</v>
      </c>
      <c r="D32" s="36" t="s">
        <v>57</v>
      </c>
      <c r="E32" s="36" t="s">
        <v>57</v>
      </c>
      <c r="F32" s="36" t="s">
        <v>57</v>
      </c>
      <c r="G32" s="36" t="s">
        <v>57</v>
      </c>
      <c r="H32" s="97" t="s">
        <v>57</v>
      </c>
      <c r="I32" s="97"/>
    </row>
    <row r="33" spans="1:9" ht="12" customHeight="1">
      <c r="A33" s="51" t="s">
        <v>935</v>
      </c>
      <c r="B33" s="84"/>
      <c r="C33" s="52" t="s">
        <v>1108</v>
      </c>
      <c r="D33" s="52" t="s">
        <v>1168</v>
      </c>
      <c r="E33" s="52" t="s">
        <v>1168</v>
      </c>
      <c r="F33" s="52" t="s">
        <v>1168</v>
      </c>
      <c r="G33" s="52" t="s">
        <v>1224</v>
      </c>
      <c r="H33" s="52" t="s">
        <v>1224</v>
      </c>
      <c r="I33" s="52"/>
    </row>
    <row r="34" spans="1:9" ht="22.5" customHeight="1">
      <c r="A34" s="12" t="s">
        <v>91</v>
      </c>
      <c r="B34" s="145" t="s">
        <v>197</v>
      </c>
      <c r="C34" s="36" t="s">
        <v>111</v>
      </c>
      <c r="D34" s="36" t="s">
        <v>0</v>
      </c>
      <c r="E34" s="36" t="s">
        <v>0</v>
      </c>
      <c r="F34" s="36" t="s">
        <v>0</v>
      </c>
      <c r="G34" s="36" t="s">
        <v>0</v>
      </c>
      <c r="H34" s="114" t="s">
        <v>5127</v>
      </c>
      <c r="I34" s="114"/>
    </row>
    <row r="35" spans="1:9" ht="12" customHeight="1">
      <c r="A35" s="51" t="s">
        <v>935</v>
      </c>
      <c r="B35" s="84"/>
      <c r="C35" s="52" t="s">
        <v>1037</v>
      </c>
      <c r="D35" s="52" t="s">
        <v>1168</v>
      </c>
      <c r="E35" s="52" t="s">
        <v>1168</v>
      </c>
      <c r="F35" s="52" t="s">
        <v>1168</v>
      </c>
      <c r="G35" s="52" t="s">
        <v>1224</v>
      </c>
      <c r="H35" s="52" t="s">
        <v>1150</v>
      </c>
      <c r="I35" s="52"/>
    </row>
    <row r="36" spans="1:9" ht="22.5" customHeight="1">
      <c r="A36" s="12" t="s">
        <v>92</v>
      </c>
      <c r="B36" s="145" t="s">
        <v>57</v>
      </c>
      <c r="C36" s="36" t="s">
        <v>57</v>
      </c>
      <c r="D36" s="36" t="s">
        <v>57</v>
      </c>
      <c r="E36" s="36" t="s">
        <v>57</v>
      </c>
      <c r="F36" s="36" t="s">
        <v>57</v>
      </c>
      <c r="G36" s="36" t="s">
        <v>57</v>
      </c>
      <c r="H36" s="97" t="s">
        <v>57</v>
      </c>
      <c r="I36" s="97"/>
    </row>
    <row r="37" spans="1:9" ht="12" customHeight="1">
      <c r="A37" s="51" t="s">
        <v>935</v>
      </c>
      <c r="B37" s="84"/>
      <c r="C37" s="52" t="s">
        <v>1109</v>
      </c>
      <c r="D37" s="52" t="s">
        <v>1175</v>
      </c>
      <c r="E37" s="52" t="s">
        <v>1175</v>
      </c>
      <c r="F37" s="52" t="s">
        <v>1175</v>
      </c>
      <c r="G37" s="52" t="s">
        <v>1223</v>
      </c>
      <c r="H37" s="52" t="s">
        <v>1223</v>
      </c>
      <c r="I37" s="52"/>
    </row>
    <row r="38" spans="1:9" ht="22.5" customHeight="1">
      <c r="A38" s="12" t="s">
        <v>93</v>
      </c>
      <c r="B38" s="145" t="s">
        <v>5717</v>
      </c>
      <c r="C38" s="36" t="s">
        <v>57</v>
      </c>
      <c r="D38" s="36" t="s">
        <v>57</v>
      </c>
      <c r="E38" s="36" t="s">
        <v>57</v>
      </c>
      <c r="F38" s="36" t="s">
        <v>57</v>
      </c>
      <c r="G38" s="36" t="s">
        <v>57</v>
      </c>
      <c r="H38" s="97" t="s">
        <v>57</v>
      </c>
      <c r="I38" s="97"/>
    </row>
    <row r="39" spans="1:9" ht="12" customHeight="1">
      <c r="A39" s="51" t="s">
        <v>935</v>
      </c>
      <c r="B39" s="84"/>
      <c r="C39" s="52" t="s">
        <v>1114</v>
      </c>
      <c r="D39" s="52" t="s">
        <v>1171</v>
      </c>
      <c r="E39" s="52" t="s">
        <v>1171</v>
      </c>
      <c r="F39" s="52" t="s">
        <v>1171</v>
      </c>
      <c r="G39" s="52" t="s">
        <v>1171</v>
      </c>
      <c r="H39" s="52" t="s">
        <v>1171</v>
      </c>
      <c r="I39" s="52"/>
    </row>
    <row r="40" spans="1:9" ht="22.5" customHeight="1">
      <c r="A40" s="12" t="s">
        <v>94</v>
      </c>
      <c r="B40" s="145" t="s">
        <v>5718</v>
      </c>
      <c r="C40" s="36" t="s">
        <v>57</v>
      </c>
      <c r="D40" s="36" t="s">
        <v>57</v>
      </c>
      <c r="E40" s="36" t="s">
        <v>57</v>
      </c>
      <c r="F40" s="36" t="s">
        <v>57</v>
      </c>
      <c r="G40" s="36" t="s">
        <v>57</v>
      </c>
      <c r="H40" s="97" t="s">
        <v>57</v>
      </c>
      <c r="I40" s="97"/>
    </row>
    <row r="41" spans="1:9" ht="12" customHeight="1">
      <c r="A41" s="51" t="s">
        <v>935</v>
      </c>
      <c r="B41" s="84"/>
      <c r="C41" s="52" t="s">
        <v>1112</v>
      </c>
      <c r="D41" s="52" t="s">
        <v>1176</v>
      </c>
      <c r="E41" s="52" t="s">
        <v>1176</v>
      </c>
      <c r="F41" s="52" t="s">
        <v>1176</v>
      </c>
      <c r="G41" s="52" t="s">
        <v>1176</v>
      </c>
      <c r="H41" s="52" t="s">
        <v>1176</v>
      </c>
      <c r="I41" s="52"/>
    </row>
    <row r="42" spans="1:9" ht="22.5" customHeight="1">
      <c r="A42" s="12" t="s">
        <v>582</v>
      </c>
      <c r="B42" s="145" t="s">
        <v>5718</v>
      </c>
      <c r="C42" s="36" t="s">
        <v>57</v>
      </c>
      <c r="D42" s="36" t="s">
        <v>57</v>
      </c>
      <c r="E42" s="36" t="s">
        <v>57</v>
      </c>
      <c r="F42" s="36" t="s">
        <v>57</v>
      </c>
      <c r="G42" s="36" t="s">
        <v>57</v>
      </c>
      <c r="H42" s="97" t="s">
        <v>57</v>
      </c>
      <c r="I42" s="97"/>
    </row>
    <row r="43" spans="1:9" ht="12" customHeight="1">
      <c r="A43" s="51" t="s">
        <v>935</v>
      </c>
      <c r="B43" s="84"/>
      <c r="C43" s="52" t="s">
        <v>1112</v>
      </c>
      <c r="D43" s="52" t="s">
        <v>1176</v>
      </c>
      <c r="E43" s="52" t="s">
        <v>1176</v>
      </c>
      <c r="F43" s="52" t="s">
        <v>1176</v>
      </c>
      <c r="G43" s="52" t="s">
        <v>1176</v>
      </c>
      <c r="H43" s="52" t="s">
        <v>1176</v>
      </c>
      <c r="I43" s="52"/>
    </row>
    <row r="44" spans="1:9" ht="22.5" customHeight="1">
      <c r="A44" s="12" t="s">
        <v>4406</v>
      </c>
      <c r="B44" s="145" t="s">
        <v>5732</v>
      </c>
      <c r="C44" s="36" t="s">
        <v>57</v>
      </c>
      <c r="D44" s="36" t="s">
        <v>57</v>
      </c>
      <c r="E44" s="36" t="s">
        <v>57</v>
      </c>
      <c r="F44" s="36" t="s">
        <v>57</v>
      </c>
      <c r="G44" s="36" t="s">
        <v>57</v>
      </c>
      <c r="H44" s="97" t="s">
        <v>57</v>
      </c>
      <c r="I44" s="97"/>
    </row>
    <row r="45" spans="1:9" ht="12" customHeight="1">
      <c r="A45" s="51" t="s">
        <v>935</v>
      </c>
      <c r="B45" s="84"/>
      <c r="C45" s="52" t="s">
        <v>1112</v>
      </c>
      <c r="D45" s="52" t="s">
        <v>1176</v>
      </c>
      <c r="E45" s="52" t="s">
        <v>1176</v>
      </c>
      <c r="F45" s="52" t="s">
        <v>1176</v>
      </c>
      <c r="G45" s="52" t="s">
        <v>1176</v>
      </c>
      <c r="H45" s="52" t="s">
        <v>1176</v>
      </c>
      <c r="I45" s="52"/>
    </row>
    <row r="46" spans="1:9" ht="22.5" customHeight="1">
      <c r="A46" s="11" t="s">
        <v>95</v>
      </c>
      <c r="B46" s="145" t="s">
        <v>57</v>
      </c>
      <c r="C46" s="36" t="s">
        <v>0</v>
      </c>
      <c r="D46" s="36" t="s">
        <v>0</v>
      </c>
      <c r="E46" s="36" t="s">
        <v>0</v>
      </c>
      <c r="F46" s="36" t="s">
        <v>0</v>
      </c>
      <c r="G46" s="36" t="s">
        <v>0</v>
      </c>
      <c r="H46" s="97" t="s">
        <v>5131</v>
      </c>
      <c r="I46" s="97"/>
    </row>
    <row r="47" spans="1:9" ht="12" customHeight="1">
      <c r="A47" s="51" t="s">
        <v>935</v>
      </c>
      <c r="B47" s="84"/>
      <c r="C47" s="52" t="s">
        <v>0</v>
      </c>
      <c r="D47" s="52" t="s">
        <v>0</v>
      </c>
      <c r="E47" s="52" t="s">
        <v>0</v>
      </c>
      <c r="F47" s="52" t="s">
        <v>0</v>
      </c>
      <c r="G47" s="52" t="s">
        <v>0</v>
      </c>
      <c r="H47" s="52" t="s">
        <v>1176</v>
      </c>
      <c r="I47" s="52"/>
    </row>
    <row r="48" spans="1:9" ht="22.5" customHeight="1">
      <c r="A48" s="12" t="s">
        <v>96</v>
      </c>
      <c r="B48" s="145" t="s">
        <v>57</v>
      </c>
      <c r="C48" s="36" t="s">
        <v>57</v>
      </c>
      <c r="D48" s="36" t="s">
        <v>57</v>
      </c>
      <c r="E48" s="36" t="s">
        <v>57</v>
      </c>
      <c r="F48" s="36" t="s">
        <v>57</v>
      </c>
      <c r="G48" s="36" t="s">
        <v>57</v>
      </c>
      <c r="H48" s="97" t="s">
        <v>57</v>
      </c>
      <c r="I48" s="97"/>
    </row>
    <row r="49" spans="1:9" ht="12" customHeight="1">
      <c r="A49" s="51" t="s">
        <v>935</v>
      </c>
      <c r="B49" s="84"/>
      <c r="C49" s="52" t="s">
        <v>1110</v>
      </c>
      <c r="D49" s="52" t="s">
        <v>1177</v>
      </c>
      <c r="E49" s="52" t="s">
        <v>1177</v>
      </c>
      <c r="F49" s="52" t="s">
        <v>1177</v>
      </c>
      <c r="G49" s="52" t="s">
        <v>1177</v>
      </c>
      <c r="H49" s="52" t="s">
        <v>1177</v>
      </c>
      <c r="I49" s="52"/>
    </row>
    <row r="50" spans="1:9" ht="22.5" customHeight="1">
      <c r="A50" s="12" t="s">
        <v>97</v>
      </c>
      <c r="B50" s="145" t="s">
        <v>57</v>
      </c>
      <c r="C50" s="36" t="s">
        <v>57</v>
      </c>
      <c r="D50" s="36" t="s">
        <v>57</v>
      </c>
      <c r="E50" s="36" t="s">
        <v>57</v>
      </c>
      <c r="F50" s="36" t="s">
        <v>57</v>
      </c>
      <c r="G50" s="36" t="s">
        <v>57</v>
      </c>
      <c r="H50" s="97" t="s">
        <v>57</v>
      </c>
      <c r="I50" s="97"/>
    </row>
    <row r="51" spans="1:9" ht="12" customHeight="1">
      <c r="A51" s="51" t="s">
        <v>935</v>
      </c>
      <c r="B51" s="84"/>
      <c r="C51" s="52" t="s">
        <v>1110</v>
      </c>
      <c r="D51" s="52" t="s">
        <v>1177</v>
      </c>
      <c r="E51" s="52" t="s">
        <v>1177</v>
      </c>
      <c r="F51" s="52" t="s">
        <v>1177</v>
      </c>
      <c r="G51" s="52" t="s">
        <v>1177</v>
      </c>
      <c r="H51" s="52" t="s">
        <v>1177</v>
      </c>
      <c r="I51" s="52"/>
    </row>
    <row r="52" spans="1:9" ht="22.5" customHeight="1">
      <c r="A52" s="12" t="s">
        <v>98</v>
      </c>
      <c r="B52" s="145" t="s">
        <v>57</v>
      </c>
      <c r="C52" s="36" t="s">
        <v>57</v>
      </c>
      <c r="D52" s="36" t="s">
        <v>57</v>
      </c>
      <c r="E52" s="36" t="s">
        <v>57</v>
      </c>
      <c r="F52" s="36" t="s">
        <v>57</v>
      </c>
      <c r="G52" s="36" t="s">
        <v>57</v>
      </c>
      <c r="H52" s="97" t="s">
        <v>57</v>
      </c>
      <c r="I52" s="97"/>
    </row>
    <row r="53" spans="1:9" ht="12" customHeight="1">
      <c r="A53" s="51" t="s">
        <v>935</v>
      </c>
      <c r="B53" s="84"/>
      <c r="C53" s="52" t="s">
        <v>1110</v>
      </c>
      <c r="D53" s="52" t="s">
        <v>1177</v>
      </c>
      <c r="E53" s="52" t="s">
        <v>1177</v>
      </c>
      <c r="F53" s="52" t="s">
        <v>1177</v>
      </c>
      <c r="G53" s="52" t="s">
        <v>1177</v>
      </c>
      <c r="H53" s="52" t="s">
        <v>1177</v>
      </c>
      <c r="I53" s="52"/>
    </row>
    <row r="54" spans="1:9" ht="22.5" customHeight="1">
      <c r="A54" s="12" t="s">
        <v>99</v>
      </c>
      <c r="B54" s="145" t="s">
        <v>57</v>
      </c>
      <c r="C54" s="36" t="s">
        <v>57</v>
      </c>
      <c r="D54" s="36" t="s">
        <v>57</v>
      </c>
      <c r="E54" s="36" t="s">
        <v>57</v>
      </c>
      <c r="F54" s="36" t="s">
        <v>57</v>
      </c>
      <c r="G54" s="36" t="s">
        <v>57</v>
      </c>
      <c r="H54" s="97" t="s">
        <v>57</v>
      </c>
      <c r="I54" s="97"/>
    </row>
    <row r="55" spans="1:9" ht="12" customHeight="1">
      <c r="A55" s="51" t="s">
        <v>935</v>
      </c>
      <c r="B55" s="84"/>
      <c r="C55" s="52" t="s">
        <v>1111</v>
      </c>
      <c r="D55" s="52" t="s">
        <v>1178</v>
      </c>
      <c r="E55" s="52" t="s">
        <v>1178</v>
      </c>
      <c r="F55" s="52" t="s">
        <v>1178</v>
      </c>
      <c r="G55" s="52" t="s">
        <v>1178</v>
      </c>
      <c r="H55" s="52" t="s">
        <v>1178</v>
      </c>
      <c r="I55" s="52"/>
    </row>
    <row r="56" spans="1:9" ht="22.5" customHeight="1">
      <c r="A56" s="12" t="s">
        <v>100</v>
      </c>
      <c r="B56" s="145" t="s">
        <v>57</v>
      </c>
      <c r="C56" s="36" t="s">
        <v>57</v>
      </c>
      <c r="D56" s="36" t="s">
        <v>57</v>
      </c>
      <c r="E56" s="36" t="s">
        <v>57</v>
      </c>
      <c r="F56" s="36" t="s">
        <v>57</v>
      </c>
      <c r="G56" s="36" t="s">
        <v>57</v>
      </c>
      <c r="H56" s="97" t="s">
        <v>57</v>
      </c>
      <c r="I56" s="97"/>
    </row>
    <row r="57" spans="1:9" ht="12" customHeight="1">
      <c r="A57" s="51" t="s">
        <v>935</v>
      </c>
      <c r="B57" s="84"/>
      <c r="C57" s="52" t="s">
        <v>1111</v>
      </c>
      <c r="D57" s="52" t="s">
        <v>1178</v>
      </c>
      <c r="E57" s="52" t="s">
        <v>1178</v>
      </c>
      <c r="F57" s="52" t="s">
        <v>1178</v>
      </c>
      <c r="G57" s="52" t="s">
        <v>1178</v>
      </c>
      <c r="H57" s="52" t="s">
        <v>1178</v>
      </c>
      <c r="I57" s="52"/>
    </row>
    <row r="58" spans="1:9" ht="15" customHeight="1">
      <c r="A58" s="20"/>
      <c r="B58" s="73"/>
      <c r="C58" s="53"/>
      <c r="D58" s="53"/>
      <c r="E58" s="53"/>
      <c r="F58" s="53"/>
      <c r="G58" s="53"/>
      <c r="H58" s="53"/>
      <c r="I58" s="53"/>
    </row>
    <row r="59" spans="1:9" ht="22.5" customHeight="1">
      <c r="A59" s="10" t="s">
        <v>101</v>
      </c>
      <c r="B59" s="144"/>
      <c r="C59" s="48"/>
      <c r="D59" s="54"/>
      <c r="E59" s="48"/>
      <c r="F59" s="48"/>
      <c r="G59" s="48"/>
      <c r="H59" s="48"/>
      <c r="I59" s="48"/>
    </row>
    <row r="60" spans="1:9" ht="39" customHeight="1">
      <c r="A60" s="11" t="s">
        <v>102</v>
      </c>
      <c r="B60" s="145" t="s">
        <v>5720</v>
      </c>
      <c r="C60" s="36" t="s">
        <v>1068</v>
      </c>
      <c r="D60" s="36" t="s">
        <v>1011</v>
      </c>
      <c r="E60" s="36" t="s">
        <v>995</v>
      </c>
      <c r="F60" s="36" t="s">
        <v>950</v>
      </c>
      <c r="G60" s="36" t="s">
        <v>1226</v>
      </c>
      <c r="H60" s="97" t="s">
        <v>5132</v>
      </c>
      <c r="I60" s="97"/>
    </row>
    <row r="61" spans="1:9" ht="12" customHeight="1">
      <c r="A61" s="51" t="s">
        <v>935</v>
      </c>
      <c r="B61" s="84"/>
      <c r="C61" s="52" t="s">
        <v>1118</v>
      </c>
      <c r="D61" s="52" t="s">
        <v>1179</v>
      </c>
      <c r="E61" s="52" t="s">
        <v>1179</v>
      </c>
      <c r="F61" s="52" t="s">
        <v>1179</v>
      </c>
      <c r="G61" s="52" t="s">
        <v>1225</v>
      </c>
      <c r="H61" s="52" t="s">
        <v>1225</v>
      </c>
      <c r="I61" s="52"/>
    </row>
    <row r="62" spans="1:9" ht="37.5" customHeight="1">
      <c r="A62" s="57" t="s">
        <v>103</v>
      </c>
      <c r="B62" s="145" t="s">
        <v>5716</v>
      </c>
      <c r="C62" s="36" t="s">
        <v>552</v>
      </c>
      <c r="D62" s="36" t="s">
        <v>1006</v>
      </c>
      <c r="E62" s="36" t="s">
        <v>998</v>
      </c>
      <c r="F62" s="36" t="s">
        <v>960</v>
      </c>
      <c r="G62" s="36" t="s">
        <v>0</v>
      </c>
      <c r="H62" s="114" t="s">
        <v>5126</v>
      </c>
      <c r="I62" s="114"/>
    </row>
    <row r="63" spans="1:9" ht="12" customHeight="1">
      <c r="A63" s="51" t="s">
        <v>935</v>
      </c>
      <c r="B63" s="84"/>
      <c r="C63" s="52" t="s">
        <v>1067</v>
      </c>
      <c r="D63" s="52" t="s">
        <v>1007</v>
      </c>
      <c r="E63" s="52" t="s">
        <v>959</v>
      </c>
      <c r="F63" s="52" t="s">
        <v>959</v>
      </c>
      <c r="G63" s="52" t="s">
        <v>1227</v>
      </c>
      <c r="H63" s="52" t="s">
        <v>1150</v>
      </c>
      <c r="I63" s="52"/>
    </row>
    <row r="64" spans="1:9" ht="22.5" customHeight="1">
      <c r="A64" s="57" t="s">
        <v>4010</v>
      </c>
      <c r="B64" s="73" t="s">
        <v>57</v>
      </c>
      <c r="C64" s="38" t="s">
        <v>57</v>
      </c>
      <c r="D64" s="38" t="s">
        <v>57</v>
      </c>
      <c r="E64" s="38" t="s">
        <v>57</v>
      </c>
      <c r="F64" s="38" t="s">
        <v>57</v>
      </c>
      <c r="G64" s="38" t="s">
        <v>57</v>
      </c>
      <c r="H64" s="108" t="s">
        <v>57</v>
      </c>
      <c r="I64" s="108"/>
    </row>
    <row r="65" spans="1:9" ht="12" customHeight="1">
      <c r="A65" s="51" t="s">
        <v>935</v>
      </c>
      <c r="B65" s="84"/>
      <c r="C65" s="52" t="s">
        <v>1117</v>
      </c>
      <c r="D65" s="52" t="s">
        <v>1180</v>
      </c>
      <c r="E65" s="52" t="s">
        <v>1180</v>
      </c>
      <c r="F65" s="52" t="s">
        <v>1180</v>
      </c>
      <c r="G65" s="52" t="s">
        <v>1180</v>
      </c>
      <c r="H65" s="52" t="s">
        <v>1180</v>
      </c>
      <c r="I65" s="52"/>
    </row>
    <row r="66" spans="1:9" ht="27" customHeight="1">
      <c r="A66" s="57" t="s">
        <v>7</v>
      </c>
      <c r="B66" s="73" t="s">
        <v>5721</v>
      </c>
      <c r="C66" s="36" t="s">
        <v>1070</v>
      </c>
      <c r="D66" s="36" t="s">
        <v>0</v>
      </c>
      <c r="E66" s="36" t="s">
        <v>994</v>
      </c>
      <c r="F66" s="36" t="s">
        <v>949</v>
      </c>
      <c r="G66" s="36" t="s">
        <v>1228</v>
      </c>
      <c r="H66" s="97" t="s">
        <v>5115</v>
      </c>
      <c r="I66" s="97"/>
    </row>
    <row r="67" spans="1:9" ht="12" customHeight="1">
      <c r="A67" s="51" t="s">
        <v>935</v>
      </c>
      <c r="B67" s="84"/>
      <c r="C67" s="52" t="s">
        <v>1071</v>
      </c>
      <c r="D67" s="52" t="s">
        <v>0</v>
      </c>
      <c r="E67" s="52" t="s">
        <v>948</v>
      </c>
      <c r="F67" s="52" t="s">
        <v>948</v>
      </c>
      <c r="G67" s="52" t="s">
        <v>1229</v>
      </c>
      <c r="H67" s="52" t="s">
        <v>1150</v>
      </c>
      <c r="I67" s="52"/>
    </row>
    <row r="68" spans="1:9" ht="33.75" customHeight="1">
      <c r="A68" s="57" t="s">
        <v>321</v>
      </c>
      <c r="B68" s="73" t="s">
        <v>6</v>
      </c>
      <c r="C68" s="36" t="s">
        <v>1058</v>
      </c>
      <c r="D68" s="36" t="s">
        <v>0</v>
      </c>
      <c r="E68" s="36" t="s">
        <v>1001</v>
      </c>
      <c r="F68" s="36" t="s">
        <v>986</v>
      </c>
      <c r="G68" s="36" t="s">
        <v>361</v>
      </c>
      <c r="H68" s="97" t="s">
        <v>5110</v>
      </c>
      <c r="I68" s="97"/>
    </row>
    <row r="69" spans="1:9" ht="12" customHeight="1">
      <c r="A69" s="51" t="s">
        <v>935</v>
      </c>
      <c r="B69" s="84"/>
      <c r="C69" s="52" t="s">
        <v>1057</v>
      </c>
      <c r="D69" s="52" t="s">
        <v>0</v>
      </c>
      <c r="E69" s="52" t="s">
        <v>1000</v>
      </c>
      <c r="F69" s="52" t="s">
        <v>985</v>
      </c>
      <c r="G69" s="52" t="s">
        <v>1243</v>
      </c>
      <c r="H69" s="52" t="s">
        <v>1150</v>
      </c>
      <c r="I69" s="52"/>
    </row>
    <row r="70" spans="1:9" ht="22.5" customHeight="1">
      <c r="A70" s="57" t="s">
        <v>451</v>
      </c>
      <c r="B70" s="73" t="s">
        <v>57</v>
      </c>
      <c r="C70" s="38" t="s">
        <v>57</v>
      </c>
      <c r="D70" s="38" t="s">
        <v>57</v>
      </c>
      <c r="E70" s="38" t="s">
        <v>57</v>
      </c>
      <c r="F70" s="38" t="s">
        <v>57</v>
      </c>
      <c r="G70" s="38" t="s">
        <v>57</v>
      </c>
      <c r="H70" s="108" t="s">
        <v>57</v>
      </c>
      <c r="I70" s="108"/>
    </row>
    <row r="71" spans="1:9" ht="12" customHeight="1">
      <c r="A71" s="51" t="s">
        <v>935</v>
      </c>
      <c r="B71" s="84"/>
      <c r="C71" s="52" t="s">
        <v>1122</v>
      </c>
      <c r="D71" s="52" t="s">
        <v>1181</v>
      </c>
      <c r="E71" s="52" t="s">
        <v>1181</v>
      </c>
      <c r="F71" s="52" t="s">
        <v>1181</v>
      </c>
      <c r="G71" s="52" t="s">
        <v>1230</v>
      </c>
      <c r="H71" s="52" t="s">
        <v>1230</v>
      </c>
      <c r="I71" s="52"/>
    </row>
    <row r="72" spans="1:9" ht="22.5" customHeight="1">
      <c r="A72" s="12" t="s">
        <v>63</v>
      </c>
      <c r="B72" s="143" t="s">
        <v>5712</v>
      </c>
      <c r="C72" s="38" t="s">
        <v>0</v>
      </c>
      <c r="D72" s="38" t="s">
        <v>0</v>
      </c>
      <c r="E72" s="38" t="s">
        <v>0</v>
      </c>
      <c r="F72" s="38" t="s">
        <v>0</v>
      </c>
      <c r="G72" s="38" t="s">
        <v>0</v>
      </c>
      <c r="H72" s="108" t="s">
        <v>0</v>
      </c>
      <c r="I72" s="108"/>
    </row>
    <row r="73" spans="1:9" ht="12" customHeight="1">
      <c r="A73" s="51" t="s">
        <v>935</v>
      </c>
      <c r="B73" s="84"/>
      <c r="C73" s="52" t="s">
        <v>0</v>
      </c>
      <c r="D73" s="52" t="s">
        <v>0</v>
      </c>
      <c r="E73" s="52" t="s">
        <v>0</v>
      </c>
      <c r="F73" s="52" t="s">
        <v>0</v>
      </c>
      <c r="G73" s="52" t="s">
        <v>0</v>
      </c>
      <c r="H73" s="52" t="s">
        <v>0</v>
      </c>
      <c r="I73" s="52"/>
    </row>
    <row r="74" spans="1:9" ht="22.5" customHeight="1">
      <c r="A74" s="57" t="s">
        <v>107</v>
      </c>
      <c r="B74" s="73" t="s">
        <v>5722</v>
      </c>
      <c r="C74" s="36" t="s">
        <v>113</v>
      </c>
      <c r="D74" s="36" t="s">
        <v>0</v>
      </c>
      <c r="E74" s="36" t="s">
        <v>0</v>
      </c>
      <c r="F74" s="36" t="s">
        <v>990</v>
      </c>
      <c r="G74" s="36" t="s">
        <v>0</v>
      </c>
      <c r="H74" s="97" t="s">
        <v>5105</v>
      </c>
      <c r="I74" s="97"/>
    </row>
    <row r="75" spans="1:9" ht="12" customHeight="1">
      <c r="A75" s="51" t="s">
        <v>935</v>
      </c>
      <c r="B75" s="84"/>
      <c r="C75" s="52" t="s">
        <v>1069</v>
      </c>
      <c r="D75" s="52" t="s">
        <v>0</v>
      </c>
      <c r="E75" s="52" t="s">
        <v>0</v>
      </c>
      <c r="F75" s="52" t="s">
        <v>989</v>
      </c>
      <c r="G75" s="52" t="s">
        <v>0</v>
      </c>
      <c r="H75" s="52" t="s">
        <v>4455</v>
      </c>
      <c r="I75" s="52"/>
    </row>
    <row r="76" spans="1:9" ht="22.5" customHeight="1">
      <c r="A76" s="57" t="s">
        <v>108</v>
      </c>
      <c r="B76" s="73" t="s">
        <v>5722</v>
      </c>
      <c r="C76" s="36" t="s">
        <v>83</v>
      </c>
      <c r="D76" s="38" t="s">
        <v>0</v>
      </c>
      <c r="E76" s="38" t="s">
        <v>305</v>
      </c>
      <c r="F76" s="38" t="s">
        <v>57</v>
      </c>
      <c r="G76" s="38" t="s">
        <v>0</v>
      </c>
      <c r="H76" s="114" t="s">
        <v>5128</v>
      </c>
      <c r="I76" s="114"/>
    </row>
    <row r="77" spans="1:9" ht="12" customHeight="1">
      <c r="A77" s="51" t="s">
        <v>935</v>
      </c>
      <c r="B77" s="84"/>
      <c r="C77" s="52" t="s">
        <v>1072</v>
      </c>
      <c r="D77" s="52" t="s">
        <v>0</v>
      </c>
      <c r="E77" s="52" t="s">
        <v>945</v>
      </c>
      <c r="F77" s="52" t="s">
        <v>945</v>
      </c>
      <c r="G77" s="52" t="s">
        <v>0</v>
      </c>
      <c r="H77" s="52" t="s">
        <v>1150</v>
      </c>
      <c r="I77" s="52"/>
    </row>
    <row r="78" spans="1:9" ht="22.5" customHeight="1">
      <c r="A78" s="57" t="s">
        <v>109</v>
      </c>
      <c r="B78" s="73" t="s">
        <v>5723</v>
      </c>
      <c r="C78" s="38" t="s">
        <v>30</v>
      </c>
      <c r="D78" s="38" t="s">
        <v>110</v>
      </c>
      <c r="E78" s="38" t="s">
        <v>110</v>
      </c>
      <c r="F78" s="38" t="s">
        <v>110</v>
      </c>
      <c r="G78" s="38" t="s">
        <v>221</v>
      </c>
      <c r="H78" s="108" t="s">
        <v>46</v>
      </c>
      <c r="I78" s="108"/>
    </row>
    <row r="79" spans="1:9" ht="12" customHeight="1">
      <c r="A79" s="51" t="s">
        <v>935</v>
      </c>
      <c r="B79" s="84"/>
      <c r="C79" s="52" t="s">
        <v>1102</v>
      </c>
      <c r="D79" s="52" t="s">
        <v>1182</v>
      </c>
      <c r="E79" s="52" t="s">
        <v>1182</v>
      </c>
      <c r="F79" s="52" t="s">
        <v>1182</v>
      </c>
      <c r="G79" s="52" t="s">
        <v>1231</v>
      </c>
      <c r="H79" s="52" t="s">
        <v>1150</v>
      </c>
      <c r="I79" s="52"/>
    </row>
    <row r="80" spans="1:9" ht="15" customHeight="1">
      <c r="A80" s="23"/>
      <c r="B80" s="73"/>
      <c r="C80" s="53"/>
      <c r="D80" s="53"/>
      <c r="E80" s="53"/>
      <c r="F80" s="53"/>
      <c r="G80" s="53"/>
      <c r="H80" s="53"/>
      <c r="I80" s="53"/>
    </row>
    <row r="81" spans="1:9" ht="22.5" customHeight="1">
      <c r="A81" s="10" t="s">
        <v>114</v>
      </c>
      <c r="B81" s="144"/>
      <c r="C81" s="58"/>
      <c r="D81" s="59"/>
      <c r="E81" s="58"/>
      <c r="F81" s="58"/>
      <c r="G81" s="58"/>
      <c r="H81" s="58"/>
      <c r="I81" s="58"/>
    </row>
    <row r="82" spans="1:9" ht="22.5" customHeight="1">
      <c r="A82" s="12" t="s">
        <v>115</v>
      </c>
      <c r="B82" s="145" t="s">
        <v>57</v>
      </c>
      <c r="C82" s="38" t="s">
        <v>57</v>
      </c>
      <c r="D82" s="38" t="s">
        <v>57</v>
      </c>
      <c r="E82" s="38" t="s">
        <v>57</v>
      </c>
      <c r="F82" s="38" t="s">
        <v>57</v>
      </c>
      <c r="G82" s="38" t="s">
        <v>57</v>
      </c>
      <c r="H82" s="108" t="s">
        <v>57</v>
      </c>
      <c r="I82" s="108"/>
    </row>
    <row r="83" spans="1:9" ht="12" customHeight="1">
      <c r="A83" s="51" t="s">
        <v>935</v>
      </c>
      <c r="B83" s="84"/>
      <c r="C83" s="52" t="s">
        <v>1123</v>
      </c>
      <c r="D83" s="52" t="s">
        <v>1183</v>
      </c>
      <c r="E83" s="52" t="s">
        <v>1183</v>
      </c>
      <c r="F83" s="52" t="s">
        <v>2286</v>
      </c>
      <c r="G83" s="52"/>
      <c r="H83" s="52" t="s">
        <v>1204</v>
      </c>
      <c r="I83" s="52"/>
    </row>
    <row r="84" spans="1:9" ht="33.75" customHeight="1">
      <c r="A84" s="12" t="s">
        <v>116</v>
      </c>
      <c r="B84" s="145" t="s">
        <v>5724</v>
      </c>
      <c r="C84" s="38" t="s">
        <v>56</v>
      </c>
      <c r="D84" s="38" t="s">
        <v>56</v>
      </c>
      <c r="E84" s="38" t="s">
        <v>56</v>
      </c>
      <c r="F84" s="38" t="s">
        <v>56</v>
      </c>
      <c r="G84" s="38" t="s">
        <v>56</v>
      </c>
      <c r="H84" s="108" t="s">
        <v>56</v>
      </c>
      <c r="I84" s="108"/>
    </row>
    <row r="85" spans="1:9" ht="12" customHeight="1">
      <c r="A85" s="51" t="s">
        <v>935</v>
      </c>
      <c r="B85" s="84"/>
      <c r="C85" s="52" t="s">
        <v>1128</v>
      </c>
      <c r="D85" s="52" t="s">
        <v>1024</v>
      </c>
      <c r="E85" s="52" t="s">
        <v>1024</v>
      </c>
      <c r="F85" s="52" t="s">
        <v>1024</v>
      </c>
      <c r="G85" s="52" t="s">
        <v>1024</v>
      </c>
      <c r="H85" s="52" t="s">
        <v>1442</v>
      </c>
      <c r="I85" s="52"/>
    </row>
    <row r="86" spans="1:9" ht="22.5" customHeight="1">
      <c r="A86" s="12" t="s">
        <v>117</v>
      </c>
      <c r="B86" s="145" t="s">
        <v>5725</v>
      </c>
      <c r="C86" s="38" t="s">
        <v>56</v>
      </c>
      <c r="D86" s="38" t="s">
        <v>56</v>
      </c>
      <c r="E86" s="38" t="s">
        <v>56</v>
      </c>
      <c r="F86" s="38" t="s">
        <v>56</v>
      </c>
      <c r="G86" s="38" t="s">
        <v>56</v>
      </c>
      <c r="H86" s="108" t="s">
        <v>56</v>
      </c>
      <c r="I86" s="108"/>
    </row>
    <row r="87" spans="1:9" ht="12" customHeight="1">
      <c r="A87" s="51" t="s">
        <v>935</v>
      </c>
      <c r="B87" s="84"/>
      <c r="C87" s="52" t="s">
        <v>1128</v>
      </c>
      <c r="D87" s="52" t="s">
        <v>1024</v>
      </c>
      <c r="E87" s="52" t="s">
        <v>1024</v>
      </c>
      <c r="F87" s="52" t="s">
        <v>1024</v>
      </c>
      <c r="G87" s="52" t="s">
        <v>1024</v>
      </c>
      <c r="H87" s="52" t="s">
        <v>1442</v>
      </c>
      <c r="I87" s="52"/>
    </row>
    <row r="88" spans="1:9" ht="15" customHeight="1">
      <c r="A88" s="20"/>
      <c r="B88" s="73"/>
      <c r="C88" s="60"/>
      <c r="D88" s="60"/>
      <c r="E88" s="60"/>
      <c r="F88" s="60"/>
      <c r="G88" s="60"/>
      <c r="H88" s="60"/>
      <c r="I88" s="60"/>
    </row>
    <row r="89" spans="1:9" ht="22.5" customHeight="1">
      <c r="A89" s="22" t="s">
        <v>119</v>
      </c>
      <c r="B89" s="144"/>
      <c r="C89" s="58"/>
      <c r="D89" s="59"/>
      <c r="E89" s="58"/>
      <c r="F89" s="58"/>
      <c r="G89" s="58"/>
      <c r="H89" s="58"/>
      <c r="I89" s="58"/>
    </row>
    <row r="90" spans="1:9" ht="22.5" customHeight="1">
      <c r="A90" s="26" t="s">
        <v>118</v>
      </c>
      <c r="B90" s="156"/>
      <c r="C90" s="60"/>
      <c r="D90" s="60"/>
      <c r="E90" s="60"/>
      <c r="F90" s="60"/>
      <c r="G90" s="60"/>
      <c r="H90" s="60"/>
      <c r="I90" s="60"/>
    </row>
    <row r="91" spans="1:9" ht="22.5" customHeight="1">
      <c r="A91" s="12" t="s">
        <v>191</v>
      </c>
      <c r="B91" s="145" t="s">
        <v>57</v>
      </c>
      <c r="C91" s="38" t="s">
        <v>57</v>
      </c>
      <c r="D91" s="38" t="s">
        <v>57</v>
      </c>
      <c r="E91" s="38" t="s">
        <v>57</v>
      </c>
      <c r="F91" s="38" t="s">
        <v>57</v>
      </c>
      <c r="G91" s="38" t="s">
        <v>57</v>
      </c>
      <c r="H91" s="108" t="s">
        <v>57</v>
      </c>
      <c r="I91" s="108"/>
    </row>
    <row r="92" spans="1:9" ht="12" customHeight="1">
      <c r="A92" s="51" t="s">
        <v>935</v>
      </c>
      <c r="B92" s="84"/>
      <c r="C92" s="52" t="s">
        <v>1124</v>
      </c>
      <c r="D92" s="52" t="s">
        <v>1184</v>
      </c>
      <c r="E92" s="52" t="s">
        <v>1184</v>
      </c>
      <c r="F92" s="52" t="s">
        <v>2287</v>
      </c>
      <c r="G92" s="52" t="s">
        <v>1207</v>
      </c>
      <c r="H92" s="52" t="s">
        <v>1207</v>
      </c>
      <c r="I92" s="52"/>
    </row>
    <row r="93" spans="1:9" ht="22.5" customHeight="1">
      <c r="A93" s="12" t="s">
        <v>120</v>
      </c>
      <c r="B93" s="145" t="s">
        <v>57</v>
      </c>
      <c r="C93" s="36" t="s">
        <v>0</v>
      </c>
      <c r="D93" s="36" t="s">
        <v>1026</v>
      </c>
      <c r="E93" s="36" t="s">
        <v>1026</v>
      </c>
      <c r="F93" s="36" t="s">
        <v>1026</v>
      </c>
      <c r="G93" s="36" t="s">
        <v>57</v>
      </c>
      <c r="H93" s="108" t="s">
        <v>57</v>
      </c>
      <c r="I93" s="108"/>
    </row>
    <row r="94" spans="1:9" ht="12" customHeight="1">
      <c r="A94" s="51" t="s">
        <v>935</v>
      </c>
      <c r="B94" s="84"/>
      <c r="C94" s="52" t="s">
        <v>0</v>
      </c>
      <c r="D94" s="52" t="s">
        <v>1025</v>
      </c>
      <c r="E94" s="52" t="s">
        <v>1025</v>
      </c>
      <c r="F94" s="52" t="s">
        <v>1025</v>
      </c>
      <c r="G94" s="52" t="s">
        <v>1243</v>
      </c>
      <c r="H94" s="52" t="s">
        <v>1150</v>
      </c>
      <c r="I94" s="52"/>
    </row>
    <row r="95" spans="1:9" ht="22.5" customHeight="1">
      <c r="A95" s="12" t="s">
        <v>2</v>
      </c>
      <c r="B95" s="145" t="s">
        <v>57</v>
      </c>
      <c r="C95" s="36" t="s">
        <v>1042</v>
      </c>
      <c r="D95" s="38" t="s">
        <v>0</v>
      </c>
      <c r="E95" s="38" t="s">
        <v>57</v>
      </c>
      <c r="F95" s="38" t="s">
        <v>57</v>
      </c>
      <c r="G95" s="38" t="s">
        <v>57</v>
      </c>
      <c r="H95" s="108" t="s">
        <v>57</v>
      </c>
      <c r="I95" s="108"/>
    </row>
    <row r="96" spans="1:9" ht="12" customHeight="1">
      <c r="A96" s="51" t="s">
        <v>935</v>
      </c>
      <c r="B96" s="84"/>
      <c r="C96" s="52" t="s">
        <v>1043</v>
      </c>
      <c r="D96" s="52" t="s">
        <v>0</v>
      </c>
      <c r="E96" s="52" t="s">
        <v>973</v>
      </c>
      <c r="F96" s="52" t="s">
        <v>973</v>
      </c>
      <c r="G96" s="52" t="s">
        <v>1208</v>
      </c>
      <c r="H96" s="52" t="s">
        <v>1208</v>
      </c>
      <c r="I96" s="52"/>
    </row>
    <row r="97" spans="1:9" ht="22.5" customHeight="1">
      <c r="A97" s="12" t="s">
        <v>121</v>
      </c>
      <c r="B97" s="145" t="s">
        <v>57</v>
      </c>
      <c r="C97" s="38" t="s">
        <v>57</v>
      </c>
      <c r="D97" s="38" t="s">
        <v>57</v>
      </c>
      <c r="E97" s="38" t="s">
        <v>57</v>
      </c>
      <c r="F97" s="38" t="s">
        <v>57</v>
      </c>
      <c r="G97" s="36" t="s">
        <v>26</v>
      </c>
      <c r="H97" s="108" t="s">
        <v>57</v>
      </c>
      <c r="I97" s="108"/>
    </row>
    <row r="98" spans="1:9" ht="12" customHeight="1">
      <c r="A98" s="51" t="s">
        <v>935</v>
      </c>
      <c r="B98" s="84"/>
      <c r="C98" s="52" t="s">
        <v>1039</v>
      </c>
      <c r="D98" s="52" t="s">
        <v>939</v>
      </c>
      <c r="E98" s="52" t="s">
        <v>939</v>
      </c>
      <c r="F98" s="52" t="s">
        <v>939</v>
      </c>
      <c r="G98" s="52" t="s">
        <v>1243</v>
      </c>
      <c r="H98" s="52" t="s">
        <v>1150</v>
      </c>
      <c r="I98" s="52"/>
    </row>
    <row r="99" spans="1:9" ht="22.5" customHeight="1">
      <c r="A99" s="12" t="s">
        <v>122</v>
      </c>
      <c r="B99" s="145" t="s">
        <v>197</v>
      </c>
      <c r="C99" s="38" t="s">
        <v>57</v>
      </c>
      <c r="D99" s="38" t="s">
        <v>366</v>
      </c>
      <c r="E99" s="38" t="s">
        <v>6</v>
      </c>
      <c r="F99" s="38" t="s">
        <v>111</v>
      </c>
      <c r="G99" s="36" t="s">
        <v>6</v>
      </c>
      <c r="H99" s="113" t="s">
        <v>5117</v>
      </c>
      <c r="I99" s="113"/>
    </row>
    <row r="100" spans="1:9" ht="12" customHeight="1">
      <c r="A100" s="51" t="s">
        <v>935</v>
      </c>
      <c r="B100" s="84"/>
      <c r="C100" s="52" t="s">
        <v>1036</v>
      </c>
      <c r="D100" s="52" t="s">
        <v>959</v>
      </c>
      <c r="E100" s="52" t="s">
        <v>956</v>
      </c>
      <c r="F100" s="52" t="s">
        <v>956</v>
      </c>
      <c r="G100" s="52" t="s">
        <v>1243</v>
      </c>
      <c r="H100" s="52" t="s">
        <v>1150</v>
      </c>
      <c r="I100" s="52"/>
    </row>
    <row r="101" spans="1:9" ht="22.5" customHeight="1">
      <c r="A101" s="11" t="s">
        <v>23</v>
      </c>
      <c r="B101" s="145" t="s">
        <v>57</v>
      </c>
      <c r="C101" s="36" t="s">
        <v>1042</v>
      </c>
      <c r="D101" s="38" t="s">
        <v>57</v>
      </c>
      <c r="E101" s="38" t="s">
        <v>57</v>
      </c>
      <c r="F101" s="38" t="s">
        <v>57</v>
      </c>
      <c r="G101" s="38" t="s">
        <v>0</v>
      </c>
      <c r="H101" s="108" t="s">
        <v>57</v>
      </c>
      <c r="I101" s="108"/>
    </row>
    <row r="102" spans="1:9" ht="12" customHeight="1">
      <c r="A102" s="51" t="s">
        <v>935</v>
      </c>
      <c r="B102" s="84"/>
      <c r="C102" s="52" t="s">
        <v>1043</v>
      </c>
      <c r="D102" s="52" t="s">
        <v>943</v>
      </c>
      <c r="E102" s="52" t="s">
        <v>973</v>
      </c>
      <c r="F102" s="52" t="s">
        <v>973</v>
      </c>
      <c r="G102" s="52" t="s">
        <v>0</v>
      </c>
      <c r="H102" s="52" t="s">
        <v>1150</v>
      </c>
      <c r="I102" s="52"/>
    </row>
    <row r="103" spans="1:9" ht="22.5" customHeight="1">
      <c r="A103" s="11" t="s">
        <v>19</v>
      </c>
      <c r="B103" s="145" t="s">
        <v>396</v>
      </c>
      <c r="C103" s="36" t="s">
        <v>1040</v>
      </c>
      <c r="D103" s="36" t="s">
        <v>0</v>
      </c>
      <c r="E103" s="36" t="s">
        <v>993</v>
      </c>
      <c r="F103" s="36" t="s">
        <v>946</v>
      </c>
      <c r="G103" s="36" t="s">
        <v>0</v>
      </c>
      <c r="H103" s="114" t="s">
        <v>5098</v>
      </c>
      <c r="I103" s="114"/>
    </row>
    <row r="104" spans="1:9" ht="12" customHeight="1">
      <c r="A104" s="51" t="s">
        <v>935</v>
      </c>
      <c r="B104" s="84"/>
      <c r="C104" s="52" t="s">
        <v>1041</v>
      </c>
      <c r="D104" s="52" t="s">
        <v>0</v>
      </c>
      <c r="E104" s="52" t="s">
        <v>947</v>
      </c>
      <c r="F104" s="52" t="s">
        <v>947</v>
      </c>
      <c r="G104" s="52" t="s">
        <v>1209</v>
      </c>
      <c r="H104" s="52" t="s">
        <v>1150</v>
      </c>
      <c r="I104" s="52"/>
    </row>
    <row r="105" spans="1:9" ht="22.5" customHeight="1">
      <c r="A105" s="11" t="s">
        <v>16</v>
      </c>
      <c r="B105" s="145" t="s">
        <v>57</v>
      </c>
      <c r="C105" s="38" t="s">
        <v>57</v>
      </c>
      <c r="D105" s="38" t="s">
        <v>57</v>
      </c>
      <c r="E105" s="38" t="s">
        <v>57</v>
      </c>
      <c r="F105" s="38" t="s">
        <v>57</v>
      </c>
      <c r="G105" s="38" t="s">
        <v>57</v>
      </c>
      <c r="H105" s="108" t="s">
        <v>57</v>
      </c>
      <c r="I105" s="108"/>
    </row>
    <row r="106" spans="1:9" ht="12" customHeight="1">
      <c r="A106" s="51" t="s">
        <v>935</v>
      </c>
      <c r="B106" s="84"/>
      <c r="C106" s="52" t="s">
        <v>1044</v>
      </c>
      <c r="D106" s="52" t="s">
        <v>973</v>
      </c>
      <c r="E106" s="52" t="s">
        <v>988</v>
      </c>
      <c r="F106" s="52" t="s">
        <v>991</v>
      </c>
      <c r="G106" s="52" t="s">
        <v>1210</v>
      </c>
      <c r="H106" s="52" t="s">
        <v>1210</v>
      </c>
      <c r="I106" s="52"/>
    </row>
    <row r="107" spans="1:9" ht="22.5" customHeight="1">
      <c r="A107" s="11" t="s">
        <v>124</v>
      </c>
      <c r="B107" s="145" t="s">
        <v>5493</v>
      </c>
      <c r="C107" s="36" t="s">
        <v>0</v>
      </c>
      <c r="D107" s="36" t="s">
        <v>0</v>
      </c>
      <c r="E107" s="36" t="s">
        <v>0</v>
      </c>
      <c r="F107" s="36" t="s">
        <v>0</v>
      </c>
      <c r="G107" s="36" t="s">
        <v>57</v>
      </c>
      <c r="H107" s="97" t="s">
        <v>57</v>
      </c>
      <c r="I107" s="97"/>
    </row>
    <row r="108" spans="1:9" ht="12" customHeight="1">
      <c r="A108" s="51" t="s">
        <v>935</v>
      </c>
      <c r="B108" s="84"/>
      <c r="C108" s="52" t="s">
        <v>0</v>
      </c>
      <c r="D108" s="52" t="s">
        <v>0</v>
      </c>
      <c r="E108" s="52" t="s">
        <v>0</v>
      </c>
      <c r="F108" s="52" t="s">
        <v>0</v>
      </c>
      <c r="G108" s="52" t="s">
        <v>1211</v>
      </c>
      <c r="H108" s="52" t="s">
        <v>1211</v>
      </c>
      <c r="I108" s="52"/>
    </row>
    <row r="109" spans="1:9" ht="22.5" customHeight="1">
      <c r="A109" s="11" t="s">
        <v>25</v>
      </c>
      <c r="B109" s="145" t="s">
        <v>5493</v>
      </c>
      <c r="C109" s="36" t="s">
        <v>57</v>
      </c>
      <c r="D109" s="36" t="s">
        <v>0</v>
      </c>
      <c r="E109" s="36" t="s">
        <v>0</v>
      </c>
      <c r="F109" s="36" t="s">
        <v>0</v>
      </c>
      <c r="G109" s="36" t="s">
        <v>0</v>
      </c>
      <c r="H109" s="108" t="s">
        <v>50</v>
      </c>
      <c r="I109" s="108"/>
    </row>
    <row r="110" spans="1:9" ht="12" customHeight="1">
      <c r="A110" s="51" t="s">
        <v>935</v>
      </c>
      <c r="B110" s="84"/>
      <c r="C110" s="52" t="s">
        <v>1038</v>
      </c>
      <c r="D110" s="52" t="s">
        <v>1185</v>
      </c>
      <c r="E110" s="52" t="s">
        <v>1185</v>
      </c>
      <c r="F110" s="52" t="s">
        <v>1185</v>
      </c>
      <c r="G110" s="52" t="s">
        <v>1205</v>
      </c>
      <c r="H110" s="52" t="s">
        <v>5129</v>
      </c>
      <c r="I110" s="52"/>
    </row>
    <row r="111" spans="1:9" ht="22.5" customHeight="1">
      <c r="A111" s="11" t="s">
        <v>125</v>
      </c>
      <c r="B111" s="145" t="s">
        <v>5493</v>
      </c>
      <c r="C111" s="36" t="s">
        <v>0</v>
      </c>
      <c r="D111" s="36" t="s">
        <v>0</v>
      </c>
      <c r="E111" s="36" t="s">
        <v>0</v>
      </c>
      <c r="F111" s="36" t="s">
        <v>0</v>
      </c>
      <c r="G111" s="36" t="s">
        <v>0</v>
      </c>
      <c r="H111" s="97" t="s">
        <v>0</v>
      </c>
      <c r="I111" s="97"/>
    </row>
    <row r="112" spans="1:9" ht="12" customHeight="1">
      <c r="A112" s="51" t="s">
        <v>935</v>
      </c>
      <c r="B112" s="84"/>
      <c r="C112" s="52" t="s">
        <v>1125</v>
      </c>
      <c r="D112" s="52" t="s">
        <v>1185</v>
      </c>
      <c r="E112" s="52" t="s">
        <v>1185</v>
      </c>
      <c r="F112" s="52" t="s">
        <v>1185</v>
      </c>
      <c r="G112" s="52" t="s">
        <v>1206</v>
      </c>
      <c r="H112" s="52" t="s">
        <v>1206</v>
      </c>
      <c r="I112" s="52"/>
    </row>
    <row r="113" spans="1:9" ht="22.5" customHeight="1">
      <c r="A113" s="11" t="s">
        <v>126</v>
      </c>
      <c r="B113" s="145" t="s">
        <v>57</v>
      </c>
      <c r="C113" s="36" t="s">
        <v>232</v>
      </c>
      <c r="D113" s="36" t="s">
        <v>232</v>
      </c>
      <c r="E113" s="36" t="s">
        <v>232</v>
      </c>
      <c r="F113" s="36" t="s">
        <v>232</v>
      </c>
      <c r="G113" s="36" t="s">
        <v>1151</v>
      </c>
      <c r="H113" s="97" t="s">
        <v>1151</v>
      </c>
      <c r="I113" s="97"/>
    </row>
    <row r="114" spans="1:9" ht="12" customHeight="1">
      <c r="A114" s="51" t="s">
        <v>935</v>
      </c>
      <c r="B114" s="84"/>
      <c r="C114" s="52" t="s">
        <v>1126</v>
      </c>
      <c r="D114" s="52" t="s">
        <v>1004</v>
      </c>
      <c r="E114" s="52" t="s">
        <v>970</v>
      </c>
      <c r="F114" s="52" t="s">
        <v>970</v>
      </c>
      <c r="G114" s="52" t="s">
        <v>1258</v>
      </c>
      <c r="H114" s="52" t="s">
        <v>5118</v>
      </c>
      <c r="I114" s="52"/>
    </row>
    <row r="115" spans="1:9" ht="15" customHeight="1">
      <c r="B115" s="146"/>
    </row>
    <row r="116" spans="1:9" ht="22.5" customHeight="1">
      <c r="A116" s="26" t="s">
        <v>127</v>
      </c>
      <c r="B116" s="156"/>
      <c r="C116" s="60"/>
      <c r="D116" s="60"/>
      <c r="E116" s="60"/>
      <c r="F116" s="60"/>
      <c r="G116" s="60"/>
      <c r="H116" s="60"/>
      <c r="I116" s="60"/>
    </row>
    <row r="117" spans="1:9" ht="45" customHeight="1">
      <c r="A117" s="28" t="s">
        <v>128</v>
      </c>
      <c r="B117" s="145" t="s">
        <v>5726</v>
      </c>
      <c r="C117" s="36" t="s">
        <v>5217</v>
      </c>
      <c r="D117" s="36" t="s">
        <v>5217</v>
      </c>
      <c r="E117" s="36" t="s">
        <v>5217</v>
      </c>
      <c r="F117" s="36" t="s">
        <v>5217</v>
      </c>
      <c r="G117" s="36" t="s">
        <v>5217</v>
      </c>
      <c r="H117" s="97" t="s">
        <v>5217</v>
      </c>
      <c r="I117" s="97"/>
    </row>
    <row r="118" spans="1:9" ht="12" customHeight="1">
      <c r="A118" s="51" t="s">
        <v>935</v>
      </c>
      <c r="B118" s="84"/>
      <c r="C118" s="52" t="s">
        <v>1134</v>
      </c>
      <c r="D118" s="52" t="s">
        <v>1186</v>
      </c>
      <c r="E118" s="52" t="s">
        <v>1186</v>
      </c>
      <c r="F118" s="52" t="s">
        <v>2289</v>
      </c>
      <c r="G118" s="52" t="s">
        <v>2289</v>
      </c>
      <c r="H118" s="52" t="s">
        <v>1186</v>
      </c>
      <c r="I118" s="52"/>
    </row>
    <row r="119" spans="1:9" ht="22.5" customHeight="1">
      <c r="A119" s="12" t="s">
        <v>130</v>
      </c>
      <c r="B119" s="145" t="s">
        <v>57</v>
      </c>
      <c r="C119" s="38" t="s">
        <v>57</v>
      </c>
      <c r="D119" s="38" t="s">
        <v>57</v>
      </c>
      <c r="E119" s="38" t="s">
        <v>57</v>
      </c>
      <c r="F119" s="38" t="s">
        <v>57</v>
      </c>
      <c r="G119" s="38" t="s">
        <v>57</v>
      </c>
      <c r="H119" s="108" t="s">
        <v>57</v>
      </c>
      <c r="I119" s="108"/>
    </row>
    <row r="120" spans="1:9" ht="12" customHeight="1">
      <c r="A120" s="51" t="s">
        <v>935</v>
      </c>
      <c r="B120" s="84"/>
      <c r="C120" s="52" t="s">
        <v>1134</v>
      </c>
      <c r="D120" s="52" t="s">
        <v>1186</v>
      </c>
      <c r="E120" s="52" t="s">
        <v>1186</v>
      </c>
      <c r="F120" s="52" t="s">
        <v>1186</v>
      </c>
      <c r="G120" s="52" t="s">
        <v>1186</v>
      </c>
      <c r="H120" s="52" t="s">
        <v>1186</v>
      </c>
      <c r="I120" s="52"/>
    </row>
    <row r="121" spans="1:9" ht="22.5" customHeight="1">
      <c r="A121" s="12" t="s">
        <v>131</v>
      </c>
      <c r="B121" s="145" t="s">
        <v>57</v>
      </c>
      <c r="C121" s="38" t="s">
        <v>57</v>
      </c>
      <c r="D121" s="38" t="s">
        <v>57</v>
      </c>
      <c r="E121" s="38" t="s">
        <v>57</v>
      </c>
      <c r="F121" s="38" t="s">
        <v>57</v>
      </c>
      <c r="G121" s="38" t="s">
        <v>57</v>
      </c>
      <c r="H121" s="108" t="s">
        <v>57</v>
      </c>
      <c r="I121" s="108"/>
    </row>
    <row r="122" spans="1:9" ht="12" customHeight="1">
      <c r="A122" s="51" t="s">
        <v>935</v>
      </c>
      <c r="B122" s="84"/>
      <c r="C122" s="52" t="s">
        <v>1134</v>
      </c>
      <c r="D122" s="52" t="s">
        <v>1186</v>
      </c>
      <c r="E122" s="52" t="s">
        <v>1186</v>
      </c>
      <c r="F122" s="52" t="s">
        <v>1186</v>
      </c>
      <c r="G122" s="52" t="s">
        <v>1186</v>
      </c>
      <c r="H122" s="52" t="s">
        <v>1186</v>
      </c>
      <c r="I122" s="52"/>
    </row>
    <row r="123" spans="1:9" ht="22.5" customHeight="1">
      <c r="A123" s="11" t="s">
        <v>132</v>
      </c>
      <c r="B123" s="145" t="s">
        <v>57</v>
      </c>
      <c r="C123" s="38" t="s">
        <v>57</v>
      </c>
      <c r="D123" s="38" t="s">
        <v>57</v>
      </c>
      <c r="E123" s="38" t="s">
        <v>57</v>
      </c>
      <c r="F123" s="38" t="s">
        <v>57</v>
      </c>
      <c r="G123" s="38" t="s">
        <v>57</v>
      </c>
      <c r="H123" s="108" t="s">
        <v>57</v>
      </c>
      <c r="I123" s="108"/>
    </row>
    <row r="124" spans="1:9" ht="12" customHeight="1">
      <c r="A124" s="51" t="s">
        <v>935</v>
      </c>
      <c r="B124" s="84"/>
      <c r="C124" s="52" t="s">
        <v>1134</v>
      </c>
      <c r="D124" s="52" t="s">
        <v>1186</v>
      </c>
      <c r="E124" s="52" t="s">
        <v>1186</v>
      </c>
      <c r="F124" s="52" t="s">
        <v>1186</v>
      </c>
      <c r="G124" s="52" t="s">
        <v>1186</v>
      </c>
      <c r="H124" s="52" t="s">
        <v>1186</v>
      </c>
      <c r="I124" s="52"/>
    </row>
    <row r="125" spans="1:9" ht="22.5" customHeight="1">
      <c r="A125" s="12" t="s">
        <v>133</v>
      </c>
      <c r="B125" s="145" t="s">
        <v>57</v>
      </c>
      <c r="C125" s="38" t="s">
        <v>57</v>
      </c>
      <c r="D125" s="38" t="s">
        <v>57</v>
      </c>
      <c r="E125" s="38" t="s">
        <v>57</v>
      </c>
      <c r="F125" s="38" t="s">
        <v>57</v>
      </c>
      <c r="G125" s="38" t="s">
        <v>57</v>
      </c>
      <c r="H125" s="108" t="s">
        <v>57</v>
      </c>
      <c r="I125" s="108"/>
    </row>
    <row r="126" spans="1:9" ht="12" customHeight="1">
      <c r="A126" s="51" t="s">
        <v>935</v>
      </c>
      <c r="B126" s="84"/>
      <c r="C126" s="52" t="s">
        <v>1134</v>
      </c>
      <c r="D126" s="52" t="s">
        <v>1186</v>
      </c>
      <c r="E126" s="52" t="s">
        <v>1186</v>
      </c>
      <c r="F126" s="52" t="s">
        <v>1186</v>
      </c>
      <c r="G126" s="52" t="s">
        <v>1186</v>
      </c>
      <c r="H126" s="52" t="s">
        <v>1186</v>
      </c>
      <c r="I126" s="52"/>
    </row>
    <row r="127" spans="1:9" ht="22.5" customHeight="1">
      <c r="A127" s="12" t="s">
        <v>134</v>
      </c>
      <c r="B127" s="145" t="s">
        <v>5493</v>
      </c>
      <c r="C127" s="38" t="s">
        <v>0</v>
      </c>
      <c r="D127" s="38" t="s">
        <v>0</v>
      </c>
      <c r="E127" s="38" t="s">
        <v>0</v>
      </c>
      <c r="F127" s="38" t="s">
        <v>0</v>
      </c>
      <c r="G127" s="38" t="s">
        <v>0</v>
      </c>
      <c r="H127" s="108" t="s">
        <v>0</v>
      </c>
      <c r="I127" s="108"/>
    </row>
    <row r="128" spans="1:9" ht="12" customHeight="1">
      <c r="A128" s="51" t="s">
        <v>935</v>
      </c>
      <c r="B128" s="84"/>
      <c r="C128" s="52" t="s">
        <v>0</v>
      </c>
      <c r="D128" s="52" t="s">
        <v>0</v>
      </c>
      <c r="E128" s="52" t="s">
        <v>0</v>
      </c>
      <c r="F128" s="52" t="s">
        <v>0</v>
      </c>
      <c r="G128" s="52" t="s">
        <v>0</v>
      </c>
      <c r="H128" s="52" t="s">
        <v>0</v>
      </c>
      <c r="I128" s="52"/>
    </row>
    <row r="129" spans="1:9" ht="22.5" customHeight="1">
      <c r="A129" s="12" t="s">
        <v>135</v>
      </c>
      <c r="B129" s="145" t="s">
        <v>57</v>
      </c>
      <c r="C129" s="38" t="s">
        <v>57</v>
      </c>
      <c r="D129" s="38" t="s">
        <v>0</v>
      </c>
      <c r="E129" s="38" t="s">
        <v>0</v>
      </c>
      <c r="F129" s="38" t="s">
        <v>0</v>
      </c>
      <c r="G129" s="38" t="s">
        <v>57</v>
      </c>
      <c r="H129" s="108" t="s">
        <v>57</v>
      </c>
      <c r="I129" s="108"/>
    </row>
    <row r="130" spans="1:9" ht="12" customHeight="1">
      <c r="A130" s="51" t="s">
        <v>935</v>
      </c>
      <c r="B130" s="84"/>
      <c r="C130" s="52" t="s">
        <v>1064</v>
      </c>
      <c r="D130" s="52" t="s">
        <v>0</v>
      </c>
      <c r="E130" s="52" t="s">
        <v>0</v>
      </c>
      <c r="F130" s="52" t="s">
        <v>0</v>
      </c>
      <c r="G130" s="52" t="s">
        <v>1186</v>
      </c>
      <c r="H130" s="52" t="s">
        <v>1186</v>
      </c>
      <c r="I130" s="52"/>
    </row>
    <row r="131" spans="1:9" ht="22.5" customHeight="1">
      <c r="A131" s="12" t="s">
        <v>136</v>
      </c>
      <c r="B131" s="145" t="s">
        <v>5493</v>
      </c>
      <c r="C131" s="38" t="s">
        <v>0</v>
      </c>
      <c r="D131" s="38" t="s">
        <v>0</v>
      </c>
      <c r="E131" s="38" t="s">
        <v>0</v>
      </c>
      <c r="F131" s="38" t="s">
        <v>0</v>
      </c>
      <c r="G131" s="38" t="s">
        <v>0</v>
      </c>
      <c r="H131" s="108" t="s">
        <v>0</v>
      </c>
      <c r="I131" s="108"/>
    </row>
    <row r="132" spans="1:9" ht="12" customHeight="1">
      <c r="A132" s="51" t="s">
        <v>935</v>
      </c>
      <c r="B132" s="84"/>
      <c r="C132" s="52" t="s">
        <v>0</v>
      </c>
      <c r="D132" s="52" t="s">
        <v>0</v>
      </c>
      <c r="E132" s="52" t="s">
        <v>0</v>
      </c>
      <c r="F132" s="52" t="s">
        <v>0</v>
      </c>
      <c r="G132" s="52" t="s">
        <v>0</v>
      </c>
      <c r="H132" s="52" t="s">
        <v>0</v>
      </c>
      <c r="I132" s="52"/>
    </row>
    <row r="133" spans="1:9" ht="22.5" customHeight="1">
      <c r="A133" s="12" t="s">
        <v>137</v>
      </c>
      <c r="B133" s="145" t="s">
        <v>57</v>
      </c>
      <c r="C133" s="38" t="s">
        <v>57</v>
      </c>
      <c r="D133" s="38" t="s">
        <v>57</v>
      </c>
      <c r="E133" s="38" t="s">
        <v>57</v>
      </c>
      <c r="F133" s="38" t="s">
        <v>57</v>
      </c>
      <c r="G133" s="38" t="s">
        <v>57</v>
      </c>
      <c r="H133" s="108" t="s">
        <v>57</v>
      </c>
      <c r="I133" s="108"/>
    </row>
    <row r="134" spans="1:9" ht="12" customHeight="1">
      <c r="A134" s="51" t="s">
        <v>935</v>
      </c>
      <c r="B134" s="84"/>
      <c r="C134" s="52" t="s">
        <v>1134</v>
      </c>
      <c r="D134" s="52" t="s">
        <v>1187</v>
      </c>
      <c r="E134" s="52" t="s">
        <v>1188</v>
      </c>
      <c r="F134" s="52" t="s">
        <v>1188</v>
      </c>
      <c r="G134" s="52" t="s">
        <v>1186</v>
      </c>
      <c r="H134" s="52" t="s">
        <v>1186</v>
      </c>
      <c r="I134" s="52"/>
    </row>
    <row r="135" spans="1:9" ht="22.5" customHeight="1">
      <c r="A135" s="12" t="s">
        <v>138</v>
      </c>
      <c r="B135" s="145" t="s">
        <v>57</v>
      </c>
      <c r="C135" s="38" t="s">
        <v>0</v>
      </c>
      <c r="D135" s="38" t="s">
        <v>0</v>
      </c>
      <c r="E135" s="38" t="s">
        <v>0</v>
      </c>
      <c r="F135" s="38" t="s">
        <v>0</v>
      </c>
      <c r="G135" s="38" t="s">
        <v>57</v>
      </c>
      <c r="H135" s="108" t="s">
        <v>57</v>
      </c>
      <c r="I135" s="108"/>
    </row>
    <row r="136" spans="1:9" ht="12" customHeight="1">
      <c r="A136" s="51" t="s">
        <v>935</v>
      </c>
      <c r="B136" s="84"/>
      <c r="C136" s="52" t="s">
        <v>0</v>
      </c>
      <c r="D136" s="52" t="s">
        <v>0</v>
      </c>
      <c r="E136" s="52" t="s">
        <v>0</v>
      </c>
      <c r="F136" s="52" t="s">
        <v>0</v>
      </c>
      <c r="G136" s="52" t="s">
        <v>1186</v>
      </c>
      <c r="H136" s="52" t="s">
        <v>1186</v>
      </c>
      <c r="I136" s="52"/>
    </row>
    <row r="137" spans="1:9" ht="22.5" customHeight="1">
      <c r="A137" s="12" t="s">
        <v>139</v>
      </c>
      <c r="B137" s="145" t="s">
        <v>5493</v>
      </c>
      <c r="C137" s="38" t="s">
        <v>0</v>
      </c>
      <c r="D137" s="38" t="s">
        <v>0</v>
      </c>
      <c r="E137" s="38" t="s">
        <v>0</v>
      </c>
      <c r="F137" s="38" t="s">
        <v>0</v>
      </c>
      <c r="G137" s="38" t="s">
        <v>0</v>
      </c>
      <c r="H137" s="108" t="s">
        <v>0</v>
      </c>
      <c r="I137" s="108"/>
    </row>
    <row r="138" spans="1:9" ht="12" customHeight="1">
      <c r="A138" s="51" t="s">
        <v>935</v>
      </c>
      <c r="B138" s="84"/>
      <c r="C138" s="52" t="s">
        <v>0</v>
      </c>
      <c r="D138" s="52" t="s">
        <v>0</v>
      </c>
      <c r="E138" s="52" t="s">
        <v>0</v>
      </c>
      <c r="F138" s="52" t="s">
        <v>0</v>
      </c>
      <c r="G138" s="52" t="s">
        <v>0</v>
      </c>
      <c r="H138" s="52" t="s">
        <v>0</v>
      </c>
      <c r="I138" s="52"/>
    </row>
    <row r="139" spans="1:9" ht="22.5" customHeight="1">
      <c r="A139" s="12" t="s">
        <v>141</v>
      </c>
      <c r="B139" s="145" t="s">
        <v>5493</v>
      </c>
      <c r="C139" s="38" t="s">
        <v>0</v>
      </c>
      <c r="D139" s="38" t="s">
        <v>0</v>
      </c>
      <c r="E139" s="38" t="s">
        <v>0</v>
      </c>
      <c r="F139" s="38" t="s">
        <v>0</v>
      </c>
      <c r="G139" s="38" t="s">
        <v>0</v>
      </c>
      <c r="H139" s="108" t="s">
        <v>0</v>
      </c>
      <c r="I139" s="108"/>
    </row>
    <row r="140" spans="1:9" ht="12" customHeight="1">
      <c r="A140" s="51" t="s">
        <v>935</v>
      </c>
      <c r="B140" s="84"/>
      <c r="C140" s="52" t="s">
        <v>1135</v>
      </c>
      <c r="D140" s="52" t="s">
        <v>1189</v>
      </c>
      <c r="E140" s="52" t="s">
        <v>1189</v>
      </c>
      <c r="F140" s="52" t="s">
        <v>1189</v>
      </c>
      <c r="G140" s="52" t="s">
        <v>1215</v>
      </c>
      <c r="H140" s="52" t="s">
        <v>1215</v>
      </c>
      <c r="I140" s="52"/>
    </row>
    <row r="141" spans="1:9" s="40" customFormat="1" ht="22.5" customHeight="1">
      <c r="A141" s="29" t="s">
        <v>128</v>
      </c>
      <c r="B141" s="147"/>
      <c r="C141" s="38" t="s">
        <v>140</v>
      </c>
      <c r="D141" s="38" t="s">
        <v>0</v>
      </c>
      <c r="E141" s="38" t="s">
        <v>0</v>
      </c>
      <c r="F141" s="38" t="s">
        <v>0</v>
      </c>
      <c r="G141" s="38" t="s">
        <v>140</v>
      </c>
      <c r="H141" s="108" t="s">
        <v>352</v>
      </c>
      <c r="I141" s="108"/>
    </row>
    <row r="142" spans="1:9" ht="12" customHeight="1">
      <c r="A142" s="51" t="s">
        <v>935</v>
      </c>
      <c r="B142" s="84"/>
      <c r="C142" s="52" t="s">
        <v>0</v>
      </c>
      <c r="D142" s="52" t="s">
        <v>0</v>
      </c>
      <c r="E142" s="52" t="s">
        <v>0</v>
      </c>
      <c r="F142" s="52" t="s">
        <v>0</v>
      </c>
      <c r="G142" s="52" t="s">
        <v>0</v>
      </c>
      <c r="H142" s="52" t="s">
        <v>0</v>
      </c>
      <c r="I142" s="52"/>
    </row>
    <row r="143" spans="1:9" s="40" customFormat="1" ht="22.5" customHeight="1">
      <c r="A143" s="6" t="s">
        <v>134</v>
      </c>
      <c r="B143" s="143" t="s">
        <v>5493</v>
      </c>
      <c r="C143" s="38" t="s">
        <v>0</v>
      </c>
      <c r="D143" s="38" t="s">
        <v>0</v>
      </c>
      <c r="E143" s="38" t="s">
        <v>0</v>
      </c>
      <c r="F143" s="38" t="s">
        <v>0</v>
      </c>
      <c r="G143" s="38" t="s">
        <v>0</v>
      </c>
      <c r="H143" s="108" t="s">
        <v>0</v>
      </c>
      <c r="I143" s="108"/>
    </row>
    <row r="144" spans="1:9" ht="12" customHeight="1">
      <c r="A144" s="51" t="s">
        <v>935</v>
      </c>
      <c r="B144" s="84"/>
      <c r="C144" s="52" t="s">
        <v>0</v>
      </c>
      <c r="D144" s="52" t="s">
        <v>0</v>
      </c>
      <c r="E144" s="52" t="s">
        <v>0</v>
      </c>
      <c r="F144" s="52" t="s">
        <v>0</v>
      </c>
      <c r="G144" s="52" t="s">
        <v>0</v>
      </c>
      <c r="H144" s="52" t="s">
        <v>0</v>
      </c>
      <c r="I144" s="52"/>
    </row>
    <row r="145" spans="1:9" s="40" customFormat="1" ht="22.5" customHeight="1">
      <c r="A145" s="6" t="s">
        <v>135</v>
      </c>
      <c r="B145" s="143" t="s">
        <v>5493</v>
      </c>
      <c r="C145" s="38" t="s">
        <v>57</v>
      </c>
      <c r="D145" s="38" t="s">
        <v>0</v>
      </c>
      <c r="E145" s="38" t="s">
        <v>0</v>
      </c>
      <c r="F145" s="38" t="s">
        <v>0</v>
      </c>
      <c r="G145" s="38" t="s">
        <v>57</v>
      </c>
      <c r="H145" s="108" t="s">
        <v>57</v>
      </c>
      <c r="I145" s="108"/>
    </row>
    <row r="146" spans="1:9" ht="12" customHeight="1">
      <c r="A146" s="51" t="s">
        <v>935</v>
      </c>
      <c r="B146" s="84"/>
      <c r="C146" s="52" t="s">
        <v>1064</v>
      </c>
      <c r="D146" s="52" t="s">
        <v>0</v>
      </c>
      <c r="E146" s="52" t="s">
        <v>0</v>
      </c>
      <c r="F146" s="52" t="s">
        <v>0</v>
      </c>
      <c r="G146" s="52" t="s">
        <v>1186</v>
      </c>
      <c r="H146" s="52" t="s">
        <v>1186</v>
      </c>
      <c r="I146" s="52"/>
    </row>
    <row r="147" spans="1:9" ht="22.5" customHeight="1">
      <c r="B147" s="146"/>
    </row>
    <row r="148" spans="1:9" ht="22.5" customHeight="1">
      <c r="A148" s="26" t="s">
        <v>142</v>
      </c>
      <c r="B148" s="156"/>
      <c r="C148" s="60"/>
      <c r="D148" s="60"/>
      <c r="E148" s="60"/>
      <c r="F148" s="60"/>
      <c r="G148" s="60"/>
      <c r="H148" s="60"/>
      <c r="I148" s="60"/>
    </row>
    <row r="149" spans="1:9" ht="22.5" customHeight="1">
      <c r="A149" s="28" t="s">
        <v>143</v>
      </c>
      <c r="B149" s="148"/>
      <c r="C149" s="53"/>
      <c r="D149" s="53"/>
      <c r="E149" s="53"/>
      <c r="F149" s="53"/>
      <c r="G149" s="53"/>
      <c r="H149" s="53"/>
      <c r="I149" s="53"/>
    </row>
    <row r="150" spans="1:9" ht="22.5" customHeight="1">
      <c r="A150" s="12" t="s">
        <v>130</v>
      </c>
      <c r="B150" s="145" t="s">
        <v>57</v>
      </c>
      <c r="C150" s="38" t="s">
        <v>57</v>
      </c>
      <c r="D150" s="38" t="s">
        <v>57</v>
      </c>
      <c r="E150" s="38" t="s">
        <v>57</v>
      </c>
      <c r="F150" s="38" t="s">
        <v>57</v>
      </c>
      <c r="G150" s="38" t="s">
        <v>57</v>
      </c>
      <c r="H150" s="108" t="s">
        <v>57</v>
      </c>
      <c r="I150" s="108"/>
    </row>
    <row r="151" spans="1:9" ht="12" customHeight="1">
      <c r="A151" s="51" t="s">
        <v>935</v>
      </c>
      <c r="B151" s="84"/>
      <c r="C151" s="52" t="s">
        <v>1136</v>
      </c>
      <c r="D151" s="52" t="s">
        <v>1190</v>
      </c>
      <c r="E151" s="52" t="s">
        <v>1190</v>
      </c>
      <c r="F151" s="52" t="s">
        <v>2291</v>
      </c>
      <c r="G151" s="52" t="s">
        <v>2291</v>
      </c>
      <c r="H151" s="52" t="s">
        <v>1190</v>
      </c>
      <c r="I151" s="52"/>
    </row>
    <row r="152" spans="1:9" ht="22.5" customHeight="1">
      <c r="A152" s="12" t="s">
        <v>144</v>
      </c>
      <c r="B152" s="145" t="s">
        <v>525</v>
      </c>
      <c r="C152" s="38" t="s">
        <v>0</v>
      </c>
      <c r="D152" s="38" t="s">
        <v>525</v>
      </c>
      <c r="E152" s="38" t="s">
        <v>525</v>
      </c>
      <c r="F152" s="38" t="s">
        <v>525</v>
      </c>
      <c r="G152" s="38" t="s">
        <v>57</v>
      </c>
      <c r="H152" s="108" t="s">
        <v>57</v>
      </c>
      <c r="I152" s="108"/>
    </row>
    <row r="153" spans="1:9" ht="12" customHeight="1">
      <c r="A153" s="51" t="s">
        <v>935</v>
      </c>
      <c r="B153" s="84"/>
      <c r="C153" s="52" t="s">
        <v>0</v>
      </c>
      <c r="D153" s="52" t="s">
        <v>1191</v>
      </c>
      <c r="E153" s="52" t="s">
        <v>1191</v>
      </c>
      <c r="F153" s="52" t="s">
        <v>1191</v>
      </c>
      <c r="G153" s="52" t="s">
        <v>1243</v>
      </c>
      <c r="H153" s="52" t="s">
        <v>1150</v>
      </c>
      <c r="I153" s="52"/>
    </row>
    <row r="154" spans="1:9" ht="22.5" customHeight="1">
      <c r="A154" s="12" t="s">
        <v>145</v>
      </c>
      <c r="B154" s="145" t="s">
        <v>57</v>
      </c>
      <c r="C154" s="38" t="s">
        <v>57</v>
      </c>
      <c r="D154" s="38" t="s">
        <v>57</v>
      </c>
      <c r="E154" s="38" t="s">
        <v>57</v>
      </c>
      <c r="F154" s="38" t="s">
        <v>57</v>
      </c>
      <c r="G154" s="38" t="s">
        <v>57</v>
      </c>
      <c r="H154" s="108" t="s">
        <v>57</v>
      </c>
      <c r="I154" s="108"/>
    </row>
    <row r="155" spans="1:9" ht="12" customHeight="1">
      <c r="A155" s="51" t="s">
        <v>935</v>
      </c>
      <c r="B155" s="84"/>
      <c r="C155" s="52" t="s">
        <v>1137</v>
      </c>
      <c r="D155" s="52" t="s">
        <v>1192</v>
      </c>
      <c r="E155" s="52" t="s">
        <v>1192</v>
      </c>
      <c r="F155" s="52" t="s">
        <v>1192</v>
      </c>
      <c r="G155" s="52" t="s">
        <v>1192</v>
      </c>
      <c r="H155" s="52" t="s">
        <v>1192</v>
      </c>
      <c r="I155" s="52"/>
    </row>
    <row r="156" spans="1:9" ht="22.5" customHeight="1">
      <c r="A156" s="12" t="s">
        <v>146</v>
      </c>
      <c r="B156" s="145" t="s">
        <v>57</v>
      </c>
      <c r="C156" s="38" t="s">
        <v>57</v>
      </c>
      <c r="D156" s="38" t="s">
        <v>57</v>
      </c>
      <c r="E156" s="38" t="s">
        <v>57</v>
      </c>
      <c r="F156" s="38" t="s">
        <v>57</v>
      </c>
      <c r="G156" s="38" t="s">
        <v>57</v>
      </c>
      <c r="H156" s="108" t="s">
        <v>57</v>
      </c>
      <c r="I156" s="108"/>
    </row>
    <row r="157" spans="1:9" ht="12" customHeight="1">
      <c r="A157" s="51" t="s">
        <v>935</v>
      </c>
      <c r="B157" s="84"/>
      <c r="C157" s="52" t="s">
        <v>1138</v>
      </c>
      <c r="D157" s="52" t="s">
        <v>1193</v>
      </c>
      <c r="E157" s="52" t="s">
        <v>1193</v>
      </c>
      <c r="F157" s="52" t="s">
        <v>1193</v>
      </c>
      <c r="G157" s="52" t="s">
        <v>1193</v>
      </c>
      <c r="H157" s="52" t="s">
        <v>1193</v>
      </c>
      <c r="I157" s="52"/>
    </row>
    <row r="158" spans="1:9" ht="22.5" customHeight="1">
      <c r="A158" s="12" t="s">
        <v>134</v>
      </c>
      <c r="B158" s="145" t="s">
        <v>5493</v>
      </c>
      <c r="C158" s="38" t="s">
        <v>0</v>
      </c>
      <c r="D158" s="38" t="s">
        <v>0</v>
      </c>
      <c r="E158" s="38" t="s">
        <v>0</v>
      </c>
      <c r="F158" s="38" t="s">
        <v>0</v>
      </c>
      <c r="G158" s="38" t="s">
        <v>0</v>
      </c>
      <c r="H158" s="108" t="s">
        <v>0</v>
      </c>
      <c r="I158" s="108"/>
    </row>
    <row r="159" spans="1:9" ht="12" customHeight="1">
      <c r="A159" s="51" t="s">
        <v>935</v>
      </c>
      <c r="B159" s="84"/>
      <c r="C159" s="52" t="s">
        <v>0</v>
      </c>
      <c r="D159" s="52" t="s">
        <v>0</v>
      </c>
      <c r="E159" s="52" t="s">
        <v>0</v>
      </c>
      <c r="F159" s="52" t="s">
        <v>0</v>
      </c>
      <c r="G159" s="52" t="s">
        <v>0</v>
      </c>
      <c r="H159" s="52" t="s">
        <v>0</v>
      </c>
      <c r="I159" s="52"/>
    </row>
    <row r="160" spans="1:9" ht="22.5" customHeight="1">
      <c r="A160" s="12" t="s">
        <v>135</v>
      </c>
      <c r="B160" s="145" t="s">
        <v>5493</v>
      </c>
      <c r="C160" s="38" t="s">
        <v>0</v>
      </c>
      <c r="D160" s="38" t="s">
        <v>0</v>
      </c>
      <c r="E160" s="38" t="s">
        <v>0</v>
      </c>
      <c r="F160" s="38" t="s">
        <v>0</v>
      </c>
      <c r="G160" s="38" t="s">
        <v>0</v>
      </c>
      <c r="H160" s="108" t="s">
        <v>57</v>
      </c>
      <c r="I160" s="108"/>
    </row>
    <row r="161" spans="1:36" ht="12" customHeight="1">
      <c r="A161" s="51" t="s">
        <v>935</v>
      </c>
      <c r="B161" s="84"/>
      <c r="C161" s="52" t="s">
        <v>0</v>
      </c>
      <c r="D161" s="52" t="s">
        <v>0</v>
      </c>
      <c r="E161" s="52" t="s">
        <v>0</v>
      </c>
      <c r="F161" s="52" t="s">
        <v>0</v>
      </c>
      <c r="G161" s="52" t="s">
        <v>0</v>
      </c>
      <c r="H161" s="52" t="s">
        <v>5133</v>
      </c>
      <c r="I161" s="52"/>
    </row>
    <row r="162" spans="1:36" ht="22.5" customHeight="1">
      <c r="A162" s="12" t="s">
        <v>136</v>
      </c>
      <c r="B162" s="145" t="s">
        <v>5493</v>
      </c>
      <c r="C162" s="38" t="s">
        <v>0</v>
      </c>
      <c r="D162" s="38" t="s">
        <v>0</v>
      </c>
      <c r="E162" s="38" t="s">
        <v>0</v>
      </c>
      <c r="F162" s="38" t="s">
        <v>0</v>
      </c>
      <c r="G162" s="38" t="s">
        <v>0</v>
      </c>
      <c r="H162" s="108" t="s">
        <v>1158</v>
      </c>
      <c r="I162" s="108"/>
    </row>
    <row r="163" spans="1:36" ht="12" customHeight="1">
      <c r="A163" s="51" t="s">
        <v>935</v>
      </c>
      <c r="B163" s="84"/>
      <c r="C163" s="52" t="s">
        <v>0</v>
      </c>
      <c r="D163" s="52" t="s">
        <v>0</v>
      </c>
      <c r="E163" s="52" t="s">
        <v>0</v>
      </c>
      <c r="F163" s="52" t="s">
        <v>0</v>
      </c>
      <c r="G163" s="52" t="s">
        <v>0</v>
      </c>
      <c r="H163" s="52" t="s">
        <v>1150</v>
      </c>
      <c r="I163" s="52"/>
    </row>
    <row r="164" spans="1:36" ht="22.5" customHeight="1">
      <c r="A164" s="28" t="s">
        <v>147</v>
      </c>
      <c r="B164" s="148"/>
      <c r="C164" s="53"/>
      <c r="D164" s="53"/>
      <c r="E164" s="53"/>
      <c r="F164" s="53"/>
      <c r="G164" s="53"/>
      <c r="H164" s="53"/>
      <c r="I164" s="53"/>
    </row>
    <row r="165" spans="1:36" ht="22.5" customHeight="1">
      <c r="A165" s="12" t="s">
        <v>148</v>
      </c>
      <c r="B165" s="145" t="s">
        <v>57</v>
      </c>
      <c r="C165" s="38" t="s">
        <v>57</v>
      </c>
      <c r="D165" s="38" t="s">
        <v>57</v>
      </c>
      <c r="E165" s="38" t="s">
        <v>57</v>
      </c>
      <c r="F165" s="38" t="s">
        <v>57</v>
      </c>
      <c r="G165" s="38" t="s">
        <v>57</v>
      </c>
      <c r="H165" s="108" t="s">
        <v>57</v>
      </c>
      <c r="I165" s="108"/>
    </row>
    <row r="166" spans="1:36" ht="12" customHeight="1">
      <c r="A166" s="51" t="s">
        <v>935</v>
      </c>
      <c r="B166" s="84"/>
      <c r="C166" s="52" t="s">
        <v>1139</v>
      </c>
      <c r="D166" s="52" t="s">
        <v>1191</v>
      </c>
      <c r="E166" s="52" t="s">
        <v>1191</v>
      </c>
      <c r="F166" s="52" t="s">
        <v>1191</v>
      </c>
      <c r="G166" s="52" t="s">
        <v>1191</v>
      </c>
      <c r="H166" s="52" t="s">
        <v>1191</v>
      </c>
      <c r="I166" s="52"/>
    </row>
    <row r="167" spans="1:36" ht="22.5" customHeight="1">
      <c r="A167" s="12" t="s">
        <v>149</v>
      </c>
      <c r="B167" s="145" t="s">
        <v>57</v>
      </c>
      <c r="C167" s="38" t="s">
        <v>57</v>
      </c>
      <c r="D167" s="38" t="s">
        <v>57</v>
      </c>
      <c r="E167" s="38" t="s">
        <v>57</v>
      </c>
      <c r="F167" s="38" t="s">
        <v>57</v>
      </c>
      <c r="G167" s="38" t="s">
        <v>57</v>
      </c>
      <c r="H167" s="108" t="s">
        <v>57</v>
      </c>
      <c r="I167" s="108"/>
    </row>
    <row r="168" spans="1:36" ht="12" customHeight="1">
      <c r="A168" s="51" t="s">
        <v>935</v>
      </c>
      <c r="B168" s="84"/>
      <c r="C168" s="52" t="s">
        <v>1140</v>
      </c>
      <c r="D168" s="52" t="s">
        <v>1194</v>
      </c>
      <c r="E168" s="52" t="s">
        <v>1194</v>
      </c>
      <c r="F168" s="52" t="s">
        <v>1194</v>
      </c>
      <c r="G168" s="52" t="s">
        <v>1194</v>
      </c>
      <c r="H168" s="52" t="s">
        <v>1194</v>
      </c>
      <c r="I168" s="52"/>
    </row>
    <row r="169" spans="1:36" ht="22.5" customHeight="1">
      <c r="A169" s="12"/>
      <c r="B169" s="73"/>
      <c r="C169" s="60"/>
      <c r="D169" s="60"/>
      <c r="E169" s="60"/>
      <c r="F169" s="60"/>
      <c r="G169" s="60"/>
      <c r="H169" s="60"/>
      <c r="I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1"/>
    </row>
    <row r="170" spans="1:36" ht="22.5" customHeight="1">
      <c r="A170" s="26" t="s">
        <v>644</v>
      </c>
      <c r="B170" s="156"/>
      <c r="C170" s="60"/>
      <c r="D170" s="60"/>
      <c r="E170" s="60"/>
      <c r="F170" s="60"/>
      <c r="G170" s="60"/>
      <c r="H170" s="60"/>
      <c r="I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1"/>
    </row>
    <row r="171" spans="1:36" ht="22.5" customHeight="1">
      <c r="A171" s="6" t="s">
        <v>643</v>
      </c>
      <c r="B171" s="143" t="s">
        <v>5727</v>
      </c>
      <c r="C171" s="36" t="s">
        <v>1065</v>
      </c>
      <c r="D171" s="36" t="s">
        <v>648</v>
      </c>
      <c r="E171" s="36" t="s">
        <v>648</v>
      </c>
      <c r="F171" s="36" t="s">
        <v>648</v>
      </c>
      <c r="G171" s="36" t="s">
        <v>648</v>
      </c>
      <c r="H171" s="97" t="s">
        <v>648</v>
      </c>
      <c r="I171" s="97"/>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1"/>
    </row>
    <row r="172" spans="1:36" ht="12" customHeight="1">
      <c r="A172" s="51" t="s">
        <v>935</v>
      </c>
      <c r="B172" s="84"/>
      <c r="C172" s="52" t="s">
        <v>1066</v>
      </c>
      <c r="D172" s="52" t="s">
        <v>1024</v>
      </c>
      <c r="E172" s="52" t="s">
        <v>1024</v>
      </c>
      <c r="F172" s="52" t="s">
        <v>1024</v>
      </c>
      <c r="G172" s="52" t="s">
        <v>1024</v>
      </c>
      <c r="H172" s="52" t="s">
        <v>1442</v>
      </c>
      <c r="I172" s="52"/>
    </row>
    <row r="173" spans="1:36" ht="22.5" customHeight="1">
      <c r="B173" s="146"/>
    </row>
    <row r="174" spans="1:36" ht="22.5" customHeight="1">
      <c r="A174" s="26" t="s">
        <v>150</v>
      </c>
      <c r="B174" s="156"/>
      <c r="C174" s="60"/>
      <c r="D174" s="60"/>
      <c r="E174" s="60"/>
      <c r="F174" s="60"/>
      <c r="G174" s="60"/>
      <c r="H174" s="60"/>
      <c r="I174" s="60"/>
    </row>
    <row r="175" spans="1:36" ht="22.5" customHeight="1">
      <c r="A175" s="12" t="s">
        <v>151</v>
      </c>
      <c r="B175" s="145">
        <v>8</v>
      </c>
      <c r="C175" s="38" t="s">
        <v>152</v>
      </c>
      <c r="D175" s="38" t="s">
        <v>152</v>
      </c>
      <c r="E175" s="38" t="s">
        <v>152</v>
      </c>
      <c r="F175" s="38" t="s">
        <v>152</v>
      </c>
      <c r="G175" s="38" t="s">
        <v>152</v>
      </c>
      <c r="H175" s="108" t="s">
        <v>152</v>
      </c>
      <c r="I175" s="108"/>
    </row>
    <row r="176" spans="1:36" ht="12" customHeight="1">
      <c r="A176" s="51" t="s">
        <v>935</v>
      </c>
      <c r="B176" s="84"/>
      <c r="C176" s="52" t="s">
        <v>1127</v>
      </c>
      <c r="D176" s="52" t="s">
        <v>1195</v>
      </c>
      <c r="E176" s="52" t="s">
        <v>1195</v>
      </c>
      <c r="F176" s="52" t="s">
        <v>1195</v>
      </c>
      <c r="G176" s="52" t="s">
        <v>1195</v>
      </c>
      <c r="H176" s="52" t="s">
        <v>5134</v>
      </c>
      <c r="I176" s="52"/>
    </row>
    <row r="177" spans="1:9" ht="15" customHeight="1">
      <c r="B177" s="146"/>
    </row>
    <row r="178" spans="1:9" ht="22.5" customHeight="1">
      <c r="A178" s="26" t="s">
        <v>190</v>
      </c>
      <c r="B178" s="156"/>
      <c r="C178" s="60"/>
      <c r="D178" s="60"/>
      <c r="E178" s="60"/>
      <c r="F178" s="60"/>
      <c r="G178" s="60"/>
      <c r="H178" s="60"/>
      <c r="I178" s="60"/>
    </row>
    <row r="179" spans="1:9" ht="22.5" customHeight="1">
      <c r="A179" s="12" t="s">
        <v>154</v>
      </c>
      <c r="B179" s="145" t="s">
        <v>57</v>
      </c>
      <c r="C179" s="36" t="s">
        <v>1061</v>
      </c>
      <c r="D179" s="38" t="s">
        <v>57</v>
      </c>
      <c r="E179" s="38" t="s">
        <v>57</v>
      </c>
      <c r="F179" s="38" t="s">
        <v>57</v>
      </c>
      <c r="G179" s="38" t="s">
        <v>57</v>
      </c>
      <c r="H179" s="108" t="s">
        <v>57</v>
      </c>
      <c r="I179" s="108"/>
    </row>
    <row r="180" spans="1:9" ht="12" customHeight="1">
      <c r="A180" s="51" t="s">
        <v>935</v>
      </c>
      <c r="B180" s="84"/>
      <c r="C180" s="52" t="s">
        <v>1141</v>
      </c>
      <c r="D180" s="52" t="s">
        <v>1196</v>
      </c>
      <c r="E180" s="52" t="s">
        <v>1196</v>
      </c>
      <c r="F180" s="52" t="s">
        <v>1196</v>
      </c>
      <c r="G180" s="52" t="s">
        <v>1196</v>
      </c>
      <c r="H180" s="52" t="s">
        <v>1196</v>
      </c>
      <c r="I180" s="52"/>
    </row>
    <row r="181" spans="1:9" ht="22.5" customHeight="1">
      <c r="A181" s="12" t="s">
        <v>155</v>
      </c>
      <c r="B181" s="145" t="s">
        <v>57</v>
      </c>
      <c r="C181" s="38" t="s">
        <v>57</v>
      </c>
      <c r="D181" s="38" t="s">
        <v>57</v>
      </c>
      <c r="E181" s="38" t="s">
        <v>57</v>
      </c>
      <c r="F181" s="38" t="s">
        <v>57</v>
      </c>
      <c r="G181" s="38" t="s">
        <v>57</v>
      </c>
      <c r="H181" s="108" t="s">
        <v>57</v>
      </c>
      <c r="I181" s="108"/>
    </row>
    <row r="182" spans="1:9" ht="12" customHeight="1">
      <c r="A182" s="51" t="s">
        <v>935</v>
      </c>
      <c r="B182" s="84"/>
      <c r="C182" s="52" t="s">
        <v>1142</v>
      </c>
      <c r="D182" s="52" t="s">
        <v>1197</v>
      </c>
      <c r="E182" s="52" t="s">
        <v>1197</v>
      </c>
      <c r="F182" s="52" t="s">
        <v>1197</v>
      </c>
      <c r="G182" s="52" t="s">
        <v>1197</v>
      </c>
      <c r="H182" s="52" t="s">
        <v>1197</v>
      </c>
      <c r="I182" s="52"/>
    </row>
    <row r="183" spans="1:9" ht="22.5" customHeight="1">
      <c r="A183" s="12" t="s">
        <v>156</v>
      </c>
      <c r="B183" s="145" t="s">
        <v>57</v>
      </c>
      <c r="C183" s="38" t="s">
        <v>1045</v>
      </c>
      <c r="D183" s="38" t="s">
        <v>57</v>
      </c>
      <c r="E183" s="38" t="s">
        <v>57</v>
      </c>
      <c r="F183" s="38" t="s">
        <v>57</v>
      </c>
      <c r="G183" s="38" t="s">
        <v>0</v>
      </c>
      <c r="H183" s="108" t="s">
        <v>0</v>
      </c>
      <c r="I183" s="108"/>
    </row>
    <row r="184" spans="1:9" ht="12" customHeight="1">
      <c r="A184" s="51" t="s">
        <v>935</v>
      </c>
      <c r="B184" s="84"/>
      <c r="C184" s="52" t="s">
        <v>1046</v>
      </c>
      <c r="D184" s="52" t="s">
        <v>962</v>
      </c>
      <c r="E184" s="52" t="s">
        <v>975</v>
      </c>
      <c r="F184" s="52" t="s">
        <v>975</v>
      </c>
      <c r="G184" s="52" t="s">
        <v>1212</v>
      </c>
      <c r="H184" s="52" t="s">
        <v>1212</v>
      </c>
      <c r="I184" s="52"/>
    </row>
    <row r="185" spans="1:9" ht="22.5" customHeight="1">
      <c r="A185" s="12" t="s">
        <v>157</v>
      </c>
      <c r="B185" s="145" t="s">
        <v>5493</v>
      </c>
      <c r="C185" s="38" t="s">
        <v>0</v>
      </c>
      <c r="D185" s="38" t="s">
        <v>0</v>
      </c>
      <c r="E185" s="38" t="s">
        <v>0</v>
      </c>
      <c r="F185" s="38" t="s">
        <v>0</v>
      </c>
      <c r="G185" s="38" t="s">
        <v>0</v>
      </c>
      <c r="H185" s="97" t="s">
        <v>2708</v>
      </c>
      <c r="I185" s="97"/>
    </row>
    <row r="186" spans="1:9" ht="12" customHeight="1">
      <c r="A186" s="51" t="s">
        <v>935</v>
      </c>
      <c r="B186" s="84"/>
      <c r="C186" s="52" t="s">
        <v>0</v>
      </c>
      <c r="D186" s="52" t="s">
        <v>0</v>
      </c>
      <c r="E186" s="52" t="s">
        <v>0</v>
      </c>
      <c r="F186" s="52" t="s">
        <v>0</v>
      </c>
      <c r="G186" s="52" t="s">
        <v>0</v>
      </c>
      <c r="H186" s="52" t="s">
        <v>1196</v>
      </c>
      <c r="I186" s="52"/>
    </row>
    <row r="187" spans="1:9" ht="46.5" customHeight="1">
      <c r="A187" s="12" t="s">
        <v>3</v>
      </c>
      <c r="B187" s="145" t="s">
        <v>5728</v>
      </c>
      <c r="C187" s="36" t="s">
        <v>430</v>
      </c>
      <c r="D187" s="36" t="s">
        <v>430</v>
      </c>
      <c r="E187" s="36" t="s">
        <v>969</v>
      </c>
      <c r="F187" s="36" t="s">
        <v>969</v>
      </c>
      <c r="G187" s="36" t="s">
        <v>0</v>
      </c>
      <c r="H187" s="97" t="s">
        <v>5103</v>
      </c>
      <c r="I187" s="97"/>
    </row>
    <row r="188" spans="1:9" ht="12" customHeight="1">
      <c r="A188" s="51" t="s">
        <v>935</v>
      </c>
      <c r="B188" s="84"/>
      <c r="C188" s="52" t="s">
        <v>1107</v>
      </c>
      <c r="D188" s="52" t="s">
        <v>948</v>
      </c>
      <c r="E188" s="52" t="s">
        <v>968</v>
      </c>
      <c r="F188" s="52" t="s">
        <v>968</v>
      </c>
      <c r="G188" s="52" t="s">
        <v>0</v>
      </c>
      <c r="H188" s="52" t="s">
        <v>5104</v>
      </c>
      <c r="I188" s="52"/>
    </row>
    <row r="189" spans="1:9" ht="22.5" customHeight="1">
      <c r="A189" s="12" t="s">
        <v>8</v>
      </c>
      <c r="B189" s="145" t="s">
        <v>5729</v>
      </c>
      <c r="C189" s="36" t="s">
        <v>1048</v>
      </c>
      <c r="D189" s="36" t="s">
        <v>1016</v>
      </c>
      <c r="E189" s="36" t="s">
        <v>314</v>
      </c>
      <c r="F189" s="36" t="s">
        <v>111</v>
      </c>
      <c r="G189" s="36" t="s">
        <v>6</v>
      </c>
      <c r="H189" s="114" t="s">
        <v>5099</v>
      </c>
      <c r="I189" s="114"/>
    </row>
    <row r="190" spans="1:9" ht="12" customHeight="1">
      <c r="A190" s="51" t="s">
        <v>935</v>
      </c>
      <c r="B190" s="84"/>
      <c r="C190" s="52" t="s">
        <v>1047</v>
      </c>
      <c r="D190" s="52" t="s">
        <v>1015</v>
      </c>
      <c r="E190" s="52" t="s">
        <v>974</v>
      </c>
      <c r="F190" s="52" t="s">
        <v>974</v>
      </c>
      <c r="G190" s="52" t="s">
        <v>1243</v>
      </c>
      <c r="H190" s="52" t="s">
        <v>1155</v>
      </c>
      <c r="I190" s="52"/>
    </row>
    <row r="191" spans="1:9" ht="112.5" customHeight="1">
      <c r="A191" s="12" t="s">
        <v>158</v>
      </c>
      <c r="B191" s="145" t="s">
        <v>223</v>
      </c>
      <c r="C191" s="36" t="s">
        <v>1048</v>
      </c>
      <c r="D191" s="36" t="s">
        <v>1016</v>
      </c>
      <c r="E191" s="36" t="s">
        <v>314</v>
      </c>
      <c r="F191" s="36" t="s">
        <v>111</v>
      </c>
      <c r="G191" s="36" t="s">
        <v>6</v>
      </c>
      <c r="H191" s="114" t="s">
        <v>5099</v>
      </c>
      <c r="I191" s="114"/>
    </row>
    <row r="192" spans="1:9" ht="12" customHeight="1">
      <c r="A192" s="51" t="s">
        <v>935</v>
      </c>
      <c r="B192" s="84"/>
      <c r="C192" s="52" t="s">
        <v>1047</v>
      </c>
      <c r="D192" s="52" t="s">
        <v>1015</v>
      </c>
      <c r="E192" s="52" t="s">
        <v>974</v>
      </c>
      <c r="F192" s="52" t="s">
        <v>974</v>
      </c>
      <c r="G192" s="52" t="s">
        <v>1243</v>
      </c>
      <c r="H192" s="52" t="s">
        <v>1153</v>
      </c>
      <c r="I192" s="52"/>
    </row>
    <row r="193" spans="1:9" ht="22.5" customHeight="1">
      <c r="A193" s="12" t="s">
        <v>206</v>
      </c>
      <c r="B193" s="145" t="s">
        <v>5718</v>
      </c>
      <c r="C193" s="38" t="s">
        <v>0</v>
      </c>
      <c r="D193" s="38" t="s">
        <v>0</v>
      </c>
      <c r="E193" s="38" t="s">
        <v>0</v>
      </c>
      <c r="F193" s="38" t="s">
        <v>0</v>
      </c>
      <c r="G193" s="36" t="s">
        <v>6</v>
      </c>
      <c r="H193" s="114" t="s">
        <v>5099</v>
      </c>
      <c r="I193" s="114"/>
    </row>
    <row r="194" spans="1:9" ht="12" customHeight="1">
      <c r="A194" s="51" t="s">
        <v>935</v>
      </c>
      <c r="B194" s="84"/>
      <c r="C194" s="52" t="s">
        <v>0</v>
      </c>
      <c r="D194" s="52" t="s">
        <v>0</v>
      </c>
      <c r="E194" s="52" t="s">
        <v>0</v>
      </c>
      <c r="F194" s="52" t="s">
        <v>0</v>
      </c>
      <c r="G194" s="52" t="s">
        <v>1243</v>
      </c>
      <c r="H194" s="52" t="s">
        <v>1150</v>
      </c>
      <c r="I194" s="52"/>
    </row>
    <row r="195" spans="1:9" ht="45" customHeight="1">
      <c r="A195" s="12" t="s">
        <v>160</v>
      </c>
      <c r="B195" s="149" t="s">
        <v>5731</v>
      </c>
      <c r="C195" s="36" t="s">
        <v>1049</v>
      </c>
      <c r="D195" s="36" t="s">
        <v>233</v>
      </c>
      <c r="E195" s="36" t="s">
        <v>233</v>
      </c>
      <c r="F195" s="36" t="s">
        <v>233</v>
      </c>
      <c r="G195" s="36" t="s">
        <v>0</v>
      </c>
      <c r="H195" s="97" t="s">
        <v>5100</v>
      </c>
      <c r="I195" s="97"/>
    </row>
    <row r="196" spans="1:9" ht="12" customHeight="1">
      <c r="A196" s="51" t="s">
        <v>935</v>
      </c>
      <c r="B196" s="84"/>
      <c r="C196" s="52" t="s">
        <v>1143</v>
      </c>
      <c r="D196" s="52" t="s">
        <v>1012</v>
      </c>
      <c r="E196" s="52" t="s">
        <v>957</v>
      </c>
      <c r="F196" s="52" t="s">
        <v>957</v>
      </c>
      <c r="G196" s="52" t="s">
        <v>0</v>
      </c>
      <c r="H196" s="52" t="s">
        <v>1150</v>
      </c>
      <c r="I196" s="52"/>
    </row>
    <row r="197" spans="1:9" ht="36">
      <c r="A197" s="30" t="s">
        <v>162</v>
      </c>
      <c r="B197" s="145" t="s">
        <v>5730</v>
      </c>
      <c r="C197" s="36" t="s">
        <v>1050</v>
      </c>
      <c r="D197" s="36" t="s">
        <v>1014</v>
      </c>
      <c r="E197" s="36" t="s">
        <v>997</v>
      </c>
      <c r="F197" s="36" t="s">
        <v>2226</v>
      </c>
      <c r="G197" s="36" t="s">
        <v>0</v>
      </c>
      <c r="H197" s="97" t="s">
        <v>5101</v>
      </c>
      <c r="I197" s="97"/>
    </row>
    <row r="198" spans="1:9" ht="12" customHeight="1">
      <c r="A198" s="51" t="s">
        <v>935</v>
      </c>
      <c r="B198" s="84"/>
      <c r="C198" s="52" t="s">
        <v>1144</v>
      </c>
      <c r="D198" s="52" t="s">
        <v>1013</v>
      </c>
      <c r="E198" s="52" t="s">
        <v>958</v>
      </c>
      <c r="F198" s="52" t="s">
        <v>958</v>
      </c>
      <c r="G198" s="52" t="s">
        <v>0</v>
      </c>
      <c r="H198" s="52" t="s">
        <v>5102</v>
      </c>
      <c r="I198" s="52"/>
    </row>
    <row r="199" spans="1:9" ht="22.5" customHeight="1">
      <c r="A199" s="30" t="s">
        <v>163</v>
      </c>
      <c r="B199" s="145" t="s">
        <v>5730</v>
      </c>
      <c r="C199" s="38" t="s">
        <v>0</v>
      </c>
      <c r="D199" s="38" t="s">
        <v>0</v>
      </c>
      <c r="E199" s="38" t="s">
        <v>0</v>
      </c>
      <c r="F199" s="38" t="s">
        <v>0</v>
      </c>
      <c r="G199" s="38" t="s">
        <v>0</v>
      </c>
      <c r="H199" s="108" t="s">
        <v>0</v>
      </c>
      <c r="I199" s="108"/>
    </row>
    <row r="200" spans="1:9" ht="12" customHeight="1">
      <c r="A200" s="51" t="s">
        <v>935</v>
      </c>
      <c r="B200" s="84"/>
      <c r="C200" s="52" t="s">
        <v>0</v>
      </c>
      <c r="D200" s="52" t="s">
        <v>0</v>
      </c>
      <c r="E200" s="52" t="s">
        <v>0</v>
      </c>
      <c r="F200" s="52" t="s">
        <v>0</v>
      </c>
      <c r="G200" s="52" t="s">
        <v>0</v>
      </c>
      <c r="H200" s="52" t="s">
        <v>0</v>
      </c>
      <c r="I200" s="52"/>
    </row>
    <row r="201" spans="1:9" ht="22.5" customHeight="1">
      <c r="A201" s="11" t="s">
        <v>10</v>
      </c>
      <c r="B201" s="145" t="s">
        <v>5718</v>
      </c>
      <c r="C201" s="36" t="s">
        <v>57</v>
      </c>
      <c r="D201" s="36" t="s">
        <v>27</v>
      </c>
      <c r="E201" s="36" t="s">
        <v>111</v>
      </c>
      <c r="F201" s="36" t="s">
        <v>18</v>
      </c>
      <c r="G201" s="36" t="s">
        <v>111</v>
      </c>
      <c r="H201" s="114" t="s">
        <v>5107</v>
      </c>
      <c r="I201" s="114"/>
    </row>
    <row r="202" spans="1:9" ht="12" customHeight="1">
      <c r="A202" s="51" t="s">
        <v>935</v>
      </c>
      <c r="B202" s="84"/>
      <c r="C202" s="52" t="s">
        <v>1051</v>
      </c>
      <c r="D202" s="52" t="s">
        <v>1010</v>
      </c>
      <c r="E202" s="52" t="s">
        <v>953</v>
      </c>
      <c r="F202" s="52" t="s">
        <v>953</v>
      </c>
      <c r="G202" s="52" t="s">
        <v>1243</v>
      </c>
      <c r="H202" s="52" t="s">
        <v>1150</v>
      </c>
      <c r="I202" s="52"/>
    </row>
    <row r="203" spans="1:9" ht="22.5" customHeight="1">
      <c r="A203" s="11" t="s">
        <v>164</v>
      </c>
      <c r="B203" s="145" t="s">
        <v>5493</v>
      </c>
      <c r="C203" s="36" t="s">
        <v>0</v>
      </c>
      <c r="D203" s="36" t="s">
        <v>0</v>
      </c>
      <c r="E203" s="36" t="s">
        <v>0</v>
      </c>
      <c r="F203" s="36" t="s">
        <v>0</v>
      </c>
      <c r="G203" s="36" t="s">
        <v>0</v>
      </c>
      <c r="H203" s="114" t="s">
        <v>5108</v>
      </c>
      <c r="I203" s="114"/>
    </row>
    <row r="204" spans="1:9" ht="12" customHeight="1">
      <c r="A204" s="51" t="s">
        <v>935</v>
      </c>
      <c r="B204" s="84"/>
      <c r="C204" s="52" t="s">
        <v>0</v>
      </c>
      <c r="D204" s="52" t="s">
        <v>0</v>
      </c>
      <c r="E204" s="52" t="s">
        <v>0</v>
      </c>
      <c r="F204" s="52" t="s">
        <v>0</v>
      </c>
      <c r="G204" s="52" t="s">
        <v>0</v>
      </c>
      <c r="H204" s="52" t="s">
        <v>1150</v>
      </c>
      <c r="I204" s="52"/>
    </row>
    <row r="205" spans="1:9" ht="22.5" customHeight="1">
      <c r="A205" s="11" t="s">
        <v>9</v>
      </c>
      <c r="B205" s="145" t="s">
        <v>5718</v>
      </c>
      <c r="C205" s="36" t="s">
        <v>1053</v>
      </c>
      <c r="D205" s="36" t="s">
        <v>1008</v>
      </c>
      <c r="E205" s="36" t="s">
        <v>834</v>
      </c>
      <c r="F205" s="36" t="s">
        <v>951</v>
      </c>
      <c r="G205" s="36" t="s">
        <v>111</v>
      </c>
      <c r="H205" s="114" t="s">
        <v>5107</v>
      </c>
      <c r="I205" s="114"/>
    </row>
    <row r="206" spans="1:9" ht="12" customHeight="1">
      <c r="A206" s="51" t="s">
        <v>935</v>
      </c>
      <c r="B206" s="84"/>
      <c r="C206" s="52" t="s">
        <v>1052</v>
      </c>
      <c r="D206" s="52" t="s">
        <v>1009</v>
      </c>
      <c r="E206" s="52" t="s">
        <v>952</v>
      </c>
      <c r="F206" s="52" t="s">
        <v>952</v>
      </c>
      <c r="G206" s="52" t="s">
        <v>1243</v>
      </c>
      <c r="H206" s="52" t="s">
        <v>1150</v>
      </c>
      <c r="I206" s="52"/>
    </row>
    <row r="207" spans="1:9" ht="22.5" customHeight="1">
      <c r="A207" s="11" t="s">
        <v>168</v>
      </c>
      <c r="B207" s="145" t="s">
        <v>5741</v>
      </c>
      <c r="C207" s="36" t="s">
        <v>0</v>
      </c>
      <c r="D207" s="36" t="s">
        <v>0</v>
      </c>
      <c r="E207" s="36" t="s">
        <v>0</v>
      </c>
      <c r="F207" s="36" t="s">
        <v>0</v>
      </c>
      <c r="G207" s="36" t="s">
        <v>0</v>
      </c>
      <c r="H207" s="97" t="s">
        <v>0</v>
      </c>
      <c r="I207" s="97"/>
    </row>
    <row r="208" spans="1:9" ht="12" customHeight="1">
      <c r="A208" s="51" t="s">
        <v>935</v>
      </c>
      <c r="B208" s="84"/>
      <c r="C208" s="52" t="s">
        <v>0</v>
      </c>
      <c r="D208" s="52" t="s">
        <v>0</v>
      </c>
      <c r="E208" s="52" t="s">
        <v>0</v>
      </c>
      <c r="F208" s="52" t="s">
        <v>0</v>
      </c>
      <c r="G208" s="52" t="s">
        <v>0</v>
      </c>
      <c r="H208" s="52" t="s">
        <v>0</v>
      </c>
      <c r="I208" s="52"/>
    </row>
    <row r="209" spans="1:9" ht="22.5" customHeight="1">
      <c r="A209" s="11" t="s">
        <v>169</v>
      </c>
      <c r="B209" s="145" t="s">
        <v>5718</v>
      </c>
      <c r="C209" s="36" t="s">
        <v>0</v>
      </c>
      <c r="D209" s="36" t="s">
        <v>0</v>
      </c>
      <c r="E209" s="36" t="s">
        <v>0</v>
      </c>
      <c r="F209" s="36" t="s">
        <v>0</v>
      </c>
      <c r="G209" s="36" t="s">
        <v>0</v>
      </c>
      <c r="H209" s="97" t="s">
        <v>0</v>
      </c>
      <c r="I209" s="115"/>
    </row>
    <row r="210" spans="1:9" ht="12" customHeight="1">
      <c r="A210" s="51" t="s">
        <v>935</v>
      </c>
      <c r="B210" s="84"/>
      <c r="C210" s="52" t="s">
        <v>0</v>
      </c>
      <c r="D210" s="52" t="s">
        <v>0</v>
      </c>
      <c r="E210" s="52" t="s">
        <v>0</v>
      </c>
      <c r="F210" s="52" t="s">
        <v>0</v>
      </c>
      <c r="G210" s="52" t="s">
        <v>0</v>
      </c>
      <c r="H210" s="52" t="s">
        <v>0</v>
      </c>
      <c r="I210" s="52"/>
    </row>
    <row r="211" spans="1:9" ht="45" customHeight="1">
      <c r="A211" s="11" t="s">
        <v>170</v>
      </c>
      <c r="B211" s="145" t="s">
        <v>5732</v>
      </c>
      <c r="C211" s="36" t="s">
        <v>0</v>
      </c>
      <c r="D211" s="36" t="s">
        <v>0</v>
      </c>
      <c r="E211" s="36" t="s">
        <v>0</v>
      </c>
      <c r="F211" s="36" t="s">
        <v>0</v>
      </c>
      <c r="G211" s="36" t="s">
        <v>0</v>
      </c>
      <c r="H211" s="97" t="s">
        <v>0</v>
      </c>
      <c r="I211" s="97"/>
    </row>
    <row r="212" spans="1:9" ht="12" customHeight="1">
      <c r="A212" s="51" t="s">
        <v>935</v>
      </c>
      <c r="B212" s="84"/>
      <c r="C212" s="52" t="s">
        <v>0</v>
      </c>
      <c r="D212" s="52" t="s">
        <v>0</v>
      </c>
      <c r="E212" s="52" t="s">
        <v>0</v>
      </c>
      <c r="F212" s="52" t="s">
        <v>0</v>
      </c>
      <c r="G212" s="52" t="s">
        <v>0</v>
      </c>
      <c r="H212" s="52" t="s">
        <v>0</v>
      </c>
      <c r="I212" s="52"/>
    </row>
    <row r="213" spans="1:9" ht="22.5" customHeight="1">
      <c r="A213" s="12" t="s">
        <v>4</v>
      </c>
      <c r="B213" s="145" t="s">
        <v>5493</v>
      </c>
      <c r="C213" s="36" t="s">
        <v>57</v>
      </c>
      <c r="D213" s="36" t="s">
        <v>0</v>
      </c>
      <c r="E213" s="36" t="s">
        <v>0</v>
      </c>
      <c r="F213" s="36" t="s">
        <v>0</v>
      </c>
      <c r="G213" s="36" t="s">
        <v>0</v>
      </c>
      <c r="H213" s="97" t="s">
        <v>57</v>
      </c>
      <c r="I213" s="97"/>
    </row>
    <row r="214" spans="1:9" ht="12" customHeight="1">
      <c r="A214" s="51" t="s">
        <v>935</v>
      </c>
      <c r="B214" s="84"/>
      <c r="C214" s="52" t="s">
        <v>1054</v>
      </c>
      <c r="D214" s="52" t="s">
        <v>0</v>
      </c>
      <c r="E214" s="52" t="s">
        <v>0</v>
      </c>
      <c r="F214" s="52" t="s">
        <v>0</v>
      </c>
      <c r="G214" s="52" t="s">
        <v>0</v>
      </c>
      <c r="H214" s="52" t="s">
        <v>1150</v>
      </c>
      <c r="I214" s="52"/>
    </row>
    <row r="215" spans="1:9" ht="22.5" customHeight="1">
      <c r="A215" s="12" t="s">
        <v>165</v>
      </c>
      <c r="B215" s="145" t="s">
        <v>5733</v>
      </c>
      <c r="C215" s="36" t="s">
        <v>1056</v>
      </c>
      <c r="D215" s="36" t="s">
        <v>1018</v>
      </c>
      <c r="E215" s="36" t="s">
        <v>996</v>
      </c>
      <c r="F215" s="36" t="s">
        <v>954</v>
      </c>
      <c r="G215" s="36" t="s">
        <v>0</v>
      </c>
      <c r="H215" s="114" t="s">
        <v>5109</v>
      </c>
      <c r="I215" s="114"/>
    </row>
    <row r="216" spans="1:9" ht="12" customHeight="1">
      <c r="A216" s="51" t="s">
        <v>935</v>
      </c>
      <c r="B216" s="84"/>
      <c r="C216" s="52" t="s">
        <v>1055</v>
      </c>
      <c r="D216" s="52" t="s">
        <v>1017</v>
      </c>
      <c r="E216" s="52" t="s">
        <v>955</v>
      </c>
      <c r="F216" s="52" t="s">
        <v>955</v>
      </c>
      <c r="G216" s="52" t="s">
        <v>0</v>
      </c>
      <c r="H216" s="52" t="s">
        <v>1150</v>
      </c>
      <c r="I216" s="52"/>
    </row>
    <row r="217" spans="1:9" ht="22.5" customHeight="1">
      <c r="A217" s="12" t="s">
        <v>167</v>
      </c>
      <c r="B217" s="145" t="s">
        <v>223</v>
      </c>
      <c r="C217" s="36" t="s">
        <v>1059</v>
      </c>
      <c r="D217" s="38" t="s">
        <v>0</v>
      </c>
      <c r="E217" s="38" t="s">
        <v>0</v>
      </c>
      <c r="F217" s="36" t="s">
        <v>981</v>
      </c>
      <c r="G217" s="36" t="s">
        <v>0</v>
      </c>
      <c r="H217" s="97" t="s">
        <v>5116</v>
      </c>
      <c r="I217" s="97"/>
    </row>
    <row r="218" spans="1:9" ht="12" customHeight="1">
      <c r="A218" s="51" t="s">
        <v>935</v>
      </c>
      <c r="B218" s="84"/>
      <c r="C218" s="52" t="s">
        <v>1060</v>
      </c>
      <c r="D218" s="52" t="s">
        <v>0</v>
      </c>
      <c r="E218" s="52" t="s">
        <v>0</v>
      </c>
      <c r="F218" s="52" t="s">
        <v>982</v>
      </c>
      <c r="G218" s="52" t="s">
        <v>0</v>
      </c>
      <c r="H218" s="52" t="s">
        <v>1155</v>
      </c>
      <c r="I218" s="52"/>
    </row>
    <row r="219" spans="1:9" ht="22.5" customHeight="1">
      <c r="A219" s="12" t="s">
        <v>31</v>
      </c>
      <c r="B219" s="145" t="s">
        <v>5734</v>
      </c>
      <c r="C219" s="38" t="s">
        <v>0</v>
      </c>
      <c r="D219" s="36" t="s">
        <v>0</v>
      </c>
      <c r="E219" s="36" t="s">
        <v>0</v>
      </c>
      <c r="F219" s="36" t="s">
        <v>0</v>
      </c>
      <c r="G219" s="36" t="s">
        <v>0</v>
      </c>
      <c r="H219" s="97" t="s">
        <v>5135</v>
      </c>
      <c r="I219" s="97"/>
    </row>
    <row r="220" spans="1:9" ht="12" customHeight="1">
      <c r="A220" s="51" t="s">
        <v>935</v>
      </c>
      <c r="B220" s="84"/>
      <c r="C220" s="52" t="s">
        <v>1145</v>
      </c>
      <c r="D220" s="52" t="s">
        <v>1198</v>
      </c>
      <c r="E220" s="52" t="s">
        <v>1198</v>
      </c>
      <c r="F220" s="52" t="s">
        <v>1198</v>
      </c>
      <c r="G220" s="52" t="s">
        <v>0</v>
      </c>
      <c r="H220" s="52" t="s">
        <v>5136</v>
      </c>
      <c r="I220" s="52"/>
    </row>
    <row r="221" spans="1:9" ht="22.5" customHeight="1">
      <c r="A221" s="12" t="s">
        <v>207</v>
      </c>
      <c r="B221" s="145" t="s">
        <v>5735</v>
      </c>
      <c r="C221" s="38" t="s">
        <v>195</v>
      </c>
      <c r="D221" s="38" t="s">
        <v>0</v>
      </c>
      <c r="E221" s="38" t="s">
        <v>0</v>
      </c>
      <c r="F221" s="38" t="s">
        <v>0</v>
      </c>
      <c r="G221" s="38" t="s">
        <v>0</v>
      </c>
      <c r="H221" s="114" t="s">
        <v>5113</v>
      </c>
      <c r="I221" s="114"/>
    </row>
    <row r="222" spans="1:9" ht="12" customHeight="1">
      <c r="A222" s="51" t="s">
        <v>935</v>
      </c>
      <c r="B222" s="84"/>
      <c r="C222" s="52" t="s">
        <v>1100</v>
      </c>
      <c r="D222" s="52" t="s">
        <v>0</v>
      </c>
      <c r="E222" s="52" t="s">
        <v>0</v>
      </c>
      <c r="F222" s="52" t="s">
        <v>0</v>
      </c>
      <c r="G222" s="52" t="s">
        <v>0</v>
      </c>
      <c r="H222" s="52" t="s">
        <v>1150</v>
      </c>
      <c r="I222" s="52"/>
    </row>
    <row r="223" spans="1:9" ht="22.5" customHeight="1">
      <c r="A223" s="11" t="s">
        <v>5222</v>
      </c>
      <c r="B223" s="145" t="s">
        <v>57</v>
      </c>
      <c r="C223" s="38" t="s">
        <v>57</v>
      </c>
      <c r="D223" s="38" t="s">
        <v>685</v>
      </c>
      <c r="E223" s="38" t="s">
        <v>27</v>
      </c>
      <c r="F223" s="38" t="s">
        <v>6</v>
      </c>
      <c r="G223" s="38" t="s">
        <v>0</v>
      </c>
      <c r="H223" s="114" t="s">
        <v>5113</v>
      </c>
      <c r="I223" s="114"/>
    </row>
    <row r="224" spans="1:9" ht="12" customHeight="1">
      <c r="A224" s="51" t="s">
        <v>935</v>
      </c>
      <c r="B224" s="84"/>
      <c r="C224" s="52" t="s">
        <v>1077</v>
      </c>
      <c r="D224" s="52" t="s">
        <v>1021</v>
      </c>
      <c r="E224" s="52" t="s">
        <v>972</v>
      </c>
      <c r="F224" s="52" t="s">
        <v>972</v>
      </c>
      <c r="G224" s="52" t="s">
        <v>0</v>
      </c>
      <c r="H224" s="52" t="s">
        <v>1150</v>
      </c>
      <c r="I224" s="52"/>
    </row>
    <row r="225" spans="1:9" ht="15" customHeight="1">
      <c r="B225" s="146"/>
    </row>
    <row r="226" spans="1:9" ht="22.5" customHeight="1">
      <c r="A226" s="26" t="s">
        <v>334</v>
      </c>
      <c r="B226" s="156"/>
      <c r="C226" s="60"/>
      <c r="D226" s="60"/>
      <c r="E226" s="60"/>
      <c r="F226" s="60"/>
      <c r="G226" s="60"/>
      <c r="H226" s="60"/>
      <c r="I226" s="60"/>
    </row>
    <row r="227" spans="1:9" ht="22.5" customHeight="1">
      <c r="A227" s="12" t="s">
        <v>171</v>
      </c>
      <c r="B227" s="145" t="s">
        <v>5724</v>
      </c>
      <c r="C227" s="36" t="s">
        <v>1129</v>
      </c>
      <c r="D227" s="38" t="s">
        <v>57</v>
      </c>
      <c r="E227" s="38" t="s">
        <v>57</v>
      </c>
      <c r="F227" s="38" t="s">
        <v>57</v>
      </c>
      <c r="G227" s="38" t="s">
        <v>57</v>
      </c>
      <c r="H227" s="108" t="s">
        <v>57</v>
      </c>
      <c r="I227" s="108"/>
    </row>
    <row r="228" spans="1:9" ht="12" customHeight="1">
      <c r="A228" s="51" t="s">
        <v>935</v>
      </c>
      <c r="B228" s="84"/>
      <c r="C228" s="52" t="s">
        <v>1130</v>
      </c>
      <c r="D228" s="52" t="s">
        <v>1027</v>
      </c>
      <c r="E228" s="52" t="s">
        <v>1027</v>
      </c>
      <c r="F228" s="52" t="s">
        <v>2297</v>
      </c>
      <c r="G228" s="52" t="s">
        <v>1213</v>
      </c>
      <c r="H228" s="52" t="s">
        <v>1213</v>
      </c>
      <c r="I228" s="52"/>
    </row>
    <row r="229" spans="1:9" ht="33.75" customHeight="1">
      <c r="A229" s="11" t="s">
        <v>172</v>
      </c>
      <c r="B229" s="145" t="s">
        <v>5724</v>
      </c>
      <c r="C229" s="38" t="s">
        <v>57</v>
      </c>
      <c r="D229" s="38" t="s">
        <v>57</v>
      </c>
      <c r="E229" s="38" t="s">
        <v>57</v>
      </c>
      <c r="F229" s="38" t="s">
        <v>57</v>
      </c>
      <c r="G229" s="38" t="s">
        <v>57</v>
      </c>
      <c r="H229" s="108" t="s">
        <v>57</v>
      </c>
      <c r="I229" s="108"/>
    </row>
    <row r="230" spans="1:9" ht="12" customHeight="1">
      <c r="A230" s="51" t="s">
        <v>935</v>
      </c>
      <c r="B230" s="84"/>
      <c r="C230" s="52" t="s">
        <v>1131</v>
      </c>
      <c r="D230" s="52" t="s">
        <v>1028</v>
      </c>
      <c r="E230" s="52" t="s">
        <v>1028</v>
      </c>
      <c r="F230" s="52" t="s">
        <v>1028</v>
      </c>
      <c r="G230" s="52" t="s">
        <v>1214</v>
      </c>
      <c r="H230" s="52" t="s">
        <v>1214</v>
      </c>
      <c r="I230" s="52"/>
    </row>
    <row r="231" spans="1:9" ht="22.5" customHeight="1">
      <c r="A231" s="62" t="s">
        <v>646</v>
      </c>
      <c r="B231" s="143" t="s">
        <v>5736</v>
      </c>
      <c r="C231" s="36" t="s">
        <v>1133</v>
      </c>
      <c r="D231" s="36" t="s">
        <v>1030</v>
      </c>
      <c r="E231" s="36" t="s">
        <v>1030</v>
      </c>
      <c r="F231" s="36" t="s">
        <v>1030</v>
      </c>
      <c r="G231" s="36" t="s">
        <v>1242</v>
      </c>
      <c r="H231" s="97" t="s">
        <v>5140</v>
      </c>
      <c r="I231" s="97"/>
    </row>
    <row r="232" spans="1:9" ht="12" customHeight="1">
      <c r="A232" s="51" t="s">
        <v>935</v>
      </c>
      <c r="B232" s="84"/>
      <c r="C232" s="52" t="s">
        <v>1132</v>
      </c>
      <c r="D232" s="52" t="s">
        <v>1029</v>
      </c>
      <c r="E232" s="52" t="s">
        <v>1029</v>
      </c>
      <c r="F232" s="52" t="s">
        <v>1029</v>
      </c>
      <c r="G232" s="52" t="s">
        <v>1243</v>
      </c>
      <c r="H232" s="52" t="s">
        <v>5139</v>
      </c>
      <c r="I232" s="52"/>
    </row>
    <row r="233" spans="1:9" s="40" customFormat="1" ht="15" customHeight="1">
      <c r="A233" s="63"/>
      <c r="B233" s="71"/>
      <c r="C233" s="5"/>
      <c r="D233" s="5"/>
      <c r="E233" s="5"/>
      <c r="F233" s="5"/>
      <c r="G233" s="5"/>
      <c r="H233" s="5"/>
      <c r="I233" s="5"/>
    </row>
    <row r="234" spans="1:9" ht="22.5" customHeight="1">
      <c r="A234" s="22" t="s">
        <v>15</v>
      </c>
      <c r="B234" s="144"/>
      <c r="C234" s="48"/>
      <c r="D234" s="64"/>
      <c r="E234" s="48"/>
      <c r="F234" s="48"/>
      <c r="G234" s="48"/>
      <c r="H234" s="48"/>
      <c r="I234" s="48"/>
    </row>
    <row r="235" spans="1:9" ht="22.5" customHeight="1">
      <c r="A235" s="62" t="s">
        <v>2745</v>
      </c>
      <c r="B235" s="143" t="s">
        <v>57</v>
      </c>
      <c r="C235" s="38" t="s">
        <v>57</v>
      </c>
      <c r="D235" s="38" t="s">
        <v>57</v>
      </c>
      <c r="E235" s="38" t="s">
        <v>57</v>
      </c>
      <c r="F235" s="38" t="s">
        <v>57</v>
      </c>
      <c r="G235" s="38" t="s">
        <v>57</v>
      </c>
      <c r="H235" s="108" t="s">
        <v>57</v>
      </c>
      <c r="I235" s="108"/>
    </row>
    <row r="236" spans="1:9" ht="12" customHeight="1">
      <c r="A236" s="51" t="s">
        <v>935</v>
      </c>
      <c r="B236" s="84"/>
      <c r="C236" s="52" t="s">
        <v>1146</v>
      </c>
      <c r="D236" s="52" t="s">
        <v>1199</v>
      </c>
      <c r="E236" s="52" t="s">
        <v>1199</v>
      </c>
      <c r="F236" s="52" t="s">
        <v>1199</v>
      </c>
      <c r="G236" s="52" t="s">
        <v>1232</v>
      </c>
      <c r="H236" s="52" t="s">
        <v>1232</v>
      </c>
      <c r="I236" s="52"/>
    </row>
    <row r="237" spans="1:9" ht="22.5" customHeight="1">
      <c r="A237" s="11" t="s">
        <v>38</v>
      </c>
      <c r="B237" s="145" t="s">
        <v>5737</v>
      </c>
      <c r="C237" s="36" t="s">
        <v>1088</v>
      </c>
      <c r="D237" s="38" t="s">
        <v>1032</v>
      </c>
      <c r="E237" s="38" t="s">
        <v>1032</v>
      </c>
      <c r="F237" s="38" t="s">
        <v>1032</v>
      </c>
      <c r="G237" s="38" t="s">
        <v>1032</v>
      </c>
      <c r="H237" s="108" t="s">
        <v>851</v>
      </c>
      <c r="I237" s="108"/>
    </row>
    <row r="238" spans="1:9" ht="12" customHeight="1">
      <c r="A238" s="51" t="s">
        <v>935</v>
      </c>
      <c r="B238" s="84"/>
      <c r="C238" s="52" t="s">
        <v>1087</v>
      </c>
      <c r="D238" s="52" t="s">
        <v>1200</v>
      </c>
      <c r="E238" s="52" t="s">
        <v>1200</v>
      </c>
      <c r="F238" s="52" t="s">
        <v>1200</v>
      </c>
      <c r="G238" s="52" t="s">
        <v>1236</v>
      </c>
      <c r="H238" s="52" t="s">
        <v>1150</v>
      </c>
      <c r="I238" s="52"/>
    </row>
    <row r="239" spans="1:9" ht="22.5" customHeight="1">
      <c r="A239" s="11" t="s">
        <v>42</v>
      </c>
      <c r="B239" s="145" t="s">
        <v>57</v>
      </c>
      <c r="C239" s="38" t="s">
        <v>57</v>
      </c>
      <c r="D239" s="38" t="s">
        <v>366</v>
      </c>
      <c r="E239" s="38" t="s">
        <v>208</v>
      </c>
      <c r="F239" s="38" t="s">
        <v>111</v>
      </c>
      <c r="G239" s="38" t="s">
        <v>57</v>
      </c>
      <c r="H239" s="108" t="s">
        <v>57</v>
      </c>
      <c r="I239" s="108"/>
    </row>
    <row r="240" spans="1:9" ht="12" customHeight="1">
      <c r="A240" s="51" t="s">
        <v>935</v>
      </c>
      <c r="B240" s="84"/>
      <c r="C240" s="52" t="s">
        <v>1084</v>
      </c>
      <c r="D240" s="52" t="s">
        <v>966</v>
      </c>
      <c r="E240" s="52" t="s">
        <v>964</v>
      </c>
      <c r="F240" s="52" t="s">
        <v>964</v>
      </c>
      <c r="G240" s="52" t="s">
        <v>1237</v>
      </c>
      <c r="H240" s="52" t="s">
        <v>1237</v>
      </c>
      <c r="I240" s="52"/>
    </row>
    <row r="241" spans="1:9" ht="22.5" customHeight="1">
      <c r="A241" s="11" t="s">
        <v>174</v>
      </c>
      <c r="B241" s="145" t="s">
        <v>5738</v>
      </c>
      <c r="C241" s="36" t="s">
        <v>1089</v>
      </c>
      <c r="D241" s="38" t="s">
        <v>0</v>
      </c>
      <c r="E241" s="38" t="s">
        <v>0</v>
      </c>
      <c r="F241" s="38" t="s">
        <v>0</v>
      </c>
      <c r="G241" s="38" t="s">
        <v>0</v>
      </c>
      <c r="H241" s="108" t="s">
        <v>57</v>
      </c>
      <c r="I241" s="108"/>
    </row>
    <row r="242" spans="1:9" ht="12" customHeight="1">
      <c r="A242" s="51" t="s">
        <v>935</v>
      </c>
      <c r="B242" s="84"/>
      <c r="C242" s="52" t="s">
        <v>1090</v>
      </c>
      <c r="D242" s="52" t="s">
        <v>0</v>
      </c>
      <c r="E242" s="52" t="s">
        <v>0</v>
      </c>
      <c r="F242" s="52" t="s">
        <v>0</v>
      </c>
      <c r="G242" s="52" t="s">
        <v>0</v>
      </c>
      <c r="H242" s="52" t="s">
        <v>5142</v>
      </c>
      <c r="I242" s="52"/>
    </row>
    <row r="243" spans="1:9" ht="22.5" customHeight="1">
      <c r="A243" s="11" t="s">
        <v>43</v>
      </c>
      <c r="B243" s="145" t="s">
        <v>57</v>
      </c>
      <c r="C243" s="36" t="s">
        <v>1092</v>
      </c>
      <c r="D243" s="38" t="s">
        <v>57</v>
      </c>
      <c r="E243" s="38" t="s">
        <v>57</v>
      </c>
      <c r="F243" s="38" t="s">
        <v>57</v>
      </c>
      <c r="G243" s="38" t="s">
        <v>57</v>
      </c>
      <c r="H243" s="108" t="s">
        <v>57</v>
      </c>
      <c r="I243" s="108"/>
    </row>
    <row r="244" spans="1:9" ht="12" customHeight="1">
      <c r="A244" s="51" t="s">
        <v>935</v>
      </c>
      <c r="B244" s="84"/>
      <c r="C244" s="52" t="s">
        <v>1147</v>
      </c>
      <c r="D244" s="52" t="s">
        <v>1201</v>
      </c>
      <c r="E244" s="52" t="s">
        <v>1201</v>
      </c>
      <c r="F244" s="52" t="s">
        <v>1201</v>
      </c>
      <c r="G244" s="52" t="s">
        <v>1235</v>
      </c>
      <c r="H244" s="52" t="s">
        <v>1235</v>
      </c>
      <c r="I244" s="52"/>
    </row>
    <row r="245" spans="1:9" ht="22.5" customHeight="1">
      <c r="A245" s="11" t="s">
        <v>175</v>
      </c>
      <c r="B245" s="145" t="s">
        <v>5493</v>
      </c>
      <c r="C245" s="36" t="s">
        <v>1080</v>
      </c>
      <c r="D245" s="38" t="s">
        <v>27</v>
      </c>
      <c r="E245" s="38" t="s">
        <v>6</v>
      </c>
      <c r="F245" s="38" t="s">
        <v>111</v>
      </c>
      <c r="G245" s="38" t="s">
        <v>0</v>
      </c>
      <c r="H245" s="97" t="s">
        <v>5125</v>
      </c>
      <c r="I245" s="97"/>
    </row>
    <row r="246" spans="1:9" ht="12" customHeight="1">
      <c r="A246" s="51" t="s">
        <v>935</v>
      </c>
      <c r="B246" s="84"/>
      <c r="C246" s="52" t="s">
        <v>1081</v>
      </c>
      <c r="D246" s="52" t="s">
        <v>971</v>
      </c>
      <c r="E246" s="52" t="s">
        <v>965</v>
      </c>
      <c r="F246" s="52" t="s">
        <v>965</v>
      </c>
      <c r="G246" s="52" t="s">
        <v>0</v>
      </c>
      <c r="H246" s="52" t="s">
        <v>5124</v>
      </c>
      <c r="I246" s="52"/>
    </row>
    <row r="247" spans="1:9" ht="37.5" customHeight="1">
      <c r="A247" s="11" t="s">
        <v>176</v>
      </c>
      <c r="B247" s="145" t="s">
        <v>5739</v>
      </c>
      <c r="C247" s="38" t="s">
        <v>1085</v>
      </c>
      <c r="D247" s="38" t="s">
        <v>0</v>
      </c>
      <c r="E247" s="38" t="s">
        <v>27</v>
      </c>
      <c r="F247" s="38" t="s">
        <v>6</v>
      </c>
      <c r="G247" s="38" t="s">
        <v>0</v>
      </c>
      <c r="H247" s="97" t="s">
        <v>1165</v>
      </c>
      <c r="I247" s="97"/>
    </row>
    <row r="248" spans="1:9" ht="12" customHeight="1">
      <c r="A248" s="51" t="s">
        <v>935</v>
      </c>
      <c r="B248" s="84"/>
      <c r="C248" s="52" t="s">
        <v>1086</v>
      </c>
      <c r="D248" s="52" t="s">
        <v>0</v>
      </c>
      <c r="E248" s="52" t="s">
        <v>1002</v>
      </c>
      <c r="F248" s="52" t="s">
        <v>987</v>
      </c>
      <c r="G248" s="52" t="s">
        <v>0</v>
      </c>
      <c r="H248" s="52" t="s">
        <v>1150</v>
      </c>
      <c r="I248" s="52"/>
    </row>
    <row r="249" spans="1:9" ht="22.5" customHeight="1">
      <c r="A249" s="11" t="s">
        <v>177</v>
      </c>
      <c r="B249" s="145" t="s">
        <v>57</v>
      </c>
      <c r="C249" s="38" t="s">
        <v>57</v>
      </c>
      <c r="D249" s="38" t="s">
        <v>40</v>
      </c>
      <c r="E249" s="38" t="s">
        <v>336</v>
      </c>
      <c r="F249" s="38" t="s">
        <v>41</v>
      </c>
      <c r="G249" s="38" t="s">
        <v>220</v>
      </c>
      <c r="H249" s="108" t="s">
        <v>275</v>
      </c>
      <c r="I249" s="108"/>
    </row>
    <row r="250" spans="1:9" ht="12" customHeight="1">
      <c r="A250" s="51" t="s">
        <v>935</v>
      </c>
      <c r="B250" s="84"/>
      <c r="C250" s="52" t="s">
        <v>1075</v>
      </c>
      <c r="D250" s="52" t="s">
        <v>976</v>
      </c>
      <c r="E250" s="52" t="s">
        <v>963</v>
      </c>
      <c r="F250" s="52" t="s">
        <v>963</v>
      </c>
      <c r="G250" s="52" t="s">
        <v>1234</v>
      </c>
      <c r="H250" s="52" t="s">
        <v>1150</v>
      </c>
      <c r="I250" s="52"/>
    </row>
    <row r="251" spans="1:9" ht="22.5" customHeight="1">
      <c r="A251" s="12" t="s">
        <v>11</v>
      </c>
      <c r="B251" s="145" t="s">
        <v>5740</v>
      </c>
      <c r="C251" s="36" t="s">
        <v>1079</v>
      </c>
      <c r="D251" s="36" t="s">
        <v>1020</v>
      </c>
      <c r="E251" s="36" t="s">
        <v>296</v>
      </c>
      <c r="F251" s="36" t="s">
        <v>35</v>
      </c>
      <c r="G251" s="36" t="s">
        <v>0</v>
      </c>
      <c r="H251" s="114" t="s">
        <v>5122</v>
      </c>
      <c r="I251" s="114"/>
    </row>
    <row r="252" spans="1:9" ht="12" customHeight="1">
      <c r="A252" s="51" t="s">
        <v>935</v>
      </c>
      <c r="B252" s="84"/>
      <c r="C252" s="52" t="s">
        <v>1078</v>
      </c>
      <c r="D252" s="52" t="s">
        <v>1019</v>
      </c>
      <c r="E252" s="52" t="s">
        <v>967</v>
      </c>
      <c r="F252" s="52" t="s">
        <v>967</v>
      </c>
      <c r="G252" s="52" t="s">
        <v>0</v>
      </c>
      <c r="H252" s="52" t="s">
        <v>1150</v>
      </c>
      <c r="I252" s="52"/>
    </row>
    <row r="253" spans="1:9" ht="31.5" customHeight="1">
      <c r="A253" s="12" t="s">
        <v>12</v>
      </c>
      <c r="B253" s="145" t="s">
        <v>5739</v>
      </c>
      <c r="C253" s="36" t="s">
        <v>1073</v>
      </c>
      <c r="D253" s="36" t="s">
        <v>1023</v>
      </c>
      <c r="E253" s="36" t="s">
        <v>999</v>
      </c>
      <c r="F253" s="36" t="s">
        <v>961</v>
      </c>
      <c r="G253" s="36" t="s">
        <v>1161</v>
      </c>
      <c r="H253" s="114" t="s">
        <v>5121</v>
      </c>
      <c r="I253" s="114"/>
    </row>
    <row r="254" spans="1:9" ht="12" customHeight="1">
      <c r="A254" s="51" t="s">
        <v>935</v>
      </c>
      <c r="B254" s="84"/>
      <c r="C254" s="52" t="s">
        <v>1074</v>
      </c>
      <c r="D254" s="52" t="s">
        <v>975</v>
      </c>
      <c r="E254" s="52" t="s">
        <v>962</v>
      </c>
      <c r="F254" s="52" t="s">
        <v>962</v>
      </c>
      <c r="G254" s="52" t="s">
        <v>1233</v>
      </c>
      <c r="H254" s="52" t="s">
        <v>1150</v>
      </c>
      <c r="I254" s="52"/>
    </row>
    <row r="255" spans="1:9" ht="22.5" customHeight="1">
      <c r="A255" s="12" t="s">
        <v>49</v>
      </c>
      <c r="B255" s="145" t="s">
        <v>5493</v>
      </c>
      <c r="C255" s="36" t="s">
        <v>1082</v>
      </c>
      <c r="D255" s="36" t="s">
        <v>978</v>
      </c>
      <c r="E255" s="36" t="s">
        <v>978</v>
      </c>
      <c r="F255" s="36" t="s">
        <v>978</v>
      </c>
      <c r="G255" s="36" t="s">
        <v>0</v>
      </c>
      <c r="H255" s="114" t="s">
        <v>5123</v>
      </c>
      <c r="I255" s="114"/>
    </row>
    <row r="256" spans="1:9" ht="12" customHeight="1">
      <c r="A256" s="51" t="s">
        <v>935</v>
      </c>
      <c r="B256" s="84"/>
      <c r="C256" s="52" t="s">
        <v>1083</v>
      </c>
      <c r="D256" s="52" t="s">
        <v>947</v>
      </c>
      <c r="E256" s="52" t="s">
        <v>979</v>
      </c>
      <c r="F256" s="52" t="s">
        <v>979</v>
      </c>
      <c r="G256" s="52" t="s">
        <v>1241</v>
      </c>
      <c r="H256" s="52" t="s">
        <v>1245</v>
      </c>
      <c r="I256" s="52"/>
    </row>
    <row r="257" spans="1:9" ht="22.5" customHeight="1">
      <c r="A257" s="12" t="s">
        <v>33</v>
      </c>
      <c r="B257" s="145" t="s">
        <v>5719</v>
      </c>
      <c r="C257" s="36" t="s">
        <v>57</v>
      </c>
      <c r="D257" s="38" t="s">
        <v>0</v>
      </c>
      <c r="E257" s="36" t="s">
        <v>6</v>
      </c>
      <c r="F257" s="36" t="s">
        <v>6</v>
      </c>
      <c r="G257" s="36" t="s">
        <v>0</v>
      </c>
      <c r="H257" s="97" t="s">
        <v>195</v>
      </c>
      <c r="I257" s="97"/>
    </row>
    <row r="258" spans="1:9" ht="12" customHeight="1">
      <c r="A258" s="51" t="s">
        <v>935</v>
      </c>
      <c r="B258" s="84"/>
      <c r="C258" s="52" t="s">
        <v>1091</v>
      </c>
      <c r="D258" s="52" t="s">
        <v>0</v>
      </c>
      <c r="E258" s="52" t="s">
        <v>984</v>
      </c>
      <c r="F258" s="52" t="s">
        <v>988</v>
      </c>
      <c r="G258" s="52" t="s">
        <v>0</v>
      </c>
      <c r="H258" s="52" t="s">
        <v>5124</v>
      </c>
      <c r="I258" s="52"/>
    </row>
    <row r="259" spans="1:9" ht="22.5" customHeight="1">
      <c r="A259" s="12" t="s">
        <v>34</v>
      </c>
      <c r="B259" s="145" t="s">
        <v>5493</v>
      </c>
      <c r="C259" s="36" t="s">
        <v>0</v>
      </c>
      <c r="D259" s="36" t="s">
        <v>0</v>
      </c>
      <c r="E259" s="36" t="s">
        <v>0</v>
      </c>
      <c r="F259" s="36" t="s">
        <v>0</v>
      </c>
      <c r="G259" s="36" t="s">
        <v>0</v>
      </c>
      <c r="H259" s="97" t="s">
        <v>0</v>
      </c>
      <c r="I259" s="97"/>
    </row>
    <row r="260" spans="1:9" ht="12" customHeight="1">
      <c r="A260" s="51" t="s">
        <v>935</v>
      </c>
      <c r="B260" s="84"/>
      <c r="C260" s="52" t="s">
        <v>0</v>
      </c>
      <c r="D260" s="52" t="s">
        <v>0</v>
      </c>
      <c r="E260" s="52" t="s">
        <v>0</v>
      </c>
      <c r="F260" s="52" t="s">
        <v>0</v>
      </c>
      <c r="G260" s="52" t="s">
        <v>0</v>
      </c>
      <c r="H260" s="52" t="s">
        <v>0</v>
      </c>
      <c r="I260" s="52"/>
    </row>
    <row r="261" spans="1:9" ht="22.5" customHeight="1">
      <c r="A261" s="12" t="s">
        <v>182</v>
      </c>
      <c r="B261" s="145" t="s">
        <v>5493</v>
      </c>
      <c r="C261" s="38" t="s">
        <v>57</v>
      </c>
      <c r="D261" s="38" t="s">
        <v>57</v>
      </c>
      <c r="E261" s="38" t="s">
        <v>57</v>
      </c>
      <c r="F261" s="38" t="s">
        <v>57</v>
      </c>
      <c r="G261" s="38" t="s">
        <v>57</v>
      </c>
      <c r="H261" s="108" t="s">
        <v>57</v>
      </c>
      <c r="I261" s="108"/>
    </row>
    <row r="262" spans="1:9" ht="12" customHeight="1">
      <c r="A262" s="51" t="s">
        <v>935</v>
      </c>
      <c r="B262" s="84"/>
      <c r="C262" s="52" t="s">
        <v>1148</v>
      </c>
      <c r="D262" s="52" t="s">
        <v>1202</v>
      </c>
      <c r="E262" s="52" t="s">
        <v>1202</v>
      </c>
      <c r="F262" s="52" t="s">
        <v>1202</v>
      </c>
      <c r="G262" s="52" t="s">
        <v>1238</v>
      </c>
      <c r="H262" s="52" t="s">
        <v>1238</v>
      </c>
      <c r="I262" s="52"/>
    </row>
    <row r="263" spans="1:9" ht="22.5" customHeight="1">
      <c r="A263" s="11" t="s">
        <v>183</v>
      </c>
      <c r="B263" s="145" t="s">
        <v>5493</v>
      </c>
      <c r="C263" s="38" t="s">
        <v>57</v>
      </c>
      <c r="D263" s="38" t="s">
        <v>0</v>
      </c>
      <c r="E263" s="38" t="s">
        <v>0</v>
      </c>
      <c r="F263" s="38" t="s">
        <v>0</v>
      </c>
      <c r="G263" s="36" t="s">
        <v>1253</v>
      </c>
      <c r="H263" s="114" t="s">
        <v>5114</v>
      </c>
      <c r="I263" s="114"/>
    </row>
    <row r="264" spans="1:9" ht="12" customHeight="1">
      <c r="A264" s="51" t="s">
        <v>935</v>
      </c>
      <c r="B264" s="84"/>
      <c r="C264" s="52" t="s">
        <v>1076</v>
      </c>
      <c r="D264" s="52" t="s">
        <v>0</v>
      </c>
      <c r="E264" s="52" t="s">
        <v>0</v>
      </c>
      <c r="F264" s="52" t="s">
        <v>0</v>
      </c>
      <c r="G264" s="52" t="s">
        <v>1243</v>
      </c>
      <c r="H264" s="52" t="s">
        <v>1252</v>
      </c>
      <c r="I264" s="52"/>
    </row>
    <row r="265" spans="1:9" ht="22.5" customHeight="1">
      <c r="A265" s="11" t="s">
        <v>184</v>
      </c>
      <c r="B265" s="145" t="s">
        <v>5735</v>
      </c>
      <c r="C265" s="38" t="s">
        <v>0</v>
      </c>
      <c r="D265" s="38" t="s">
        <v>0</v>
      </c>
      <c r="E265" s="38" t="s">
        <v>27</v>
      </c>
      <c r="F265" s="38" t="s">
        <v>111</v>
      </c>
      <c r="G265" s="38" t="s">
        <v>0</v>
      </c>
      <c r="H265" s="97" t="s">
        <v>5135</v>
      </c>
      <c r="I265" s="97"/>
    </row>
    <row r="266" spans="1:9" ht="12" customHeight="1">
      <c r="A266" s="51" t="s">
        <v>935</v>
      </c>
      <c r="B266" s="84"/>
      <c r="C266" s="52" t="s">
        <v>0</v>
      </c>
      <c r="D266" s="52" t="s">
        <v>0</v>
      </c>
      <c r="E266" s="52" t="s">
        <v>1003</v>
      </c>
      <c r="F266" s="52" t="s">
        <v>983</v>
      </c>
      <c r="G266" s="52" t="s">
        <v>0</v>
      </c>
      <c r="H266" s="52" t="s">
        <v>5136</v>
      </c>
      <c r="I266" s="52"/>
    </row>
    <row r="267" spans="1:9" s="41" customFormat="1" ht="15" customHeight="1">
      <c r="A267" s="31"/>
      <c r="B267" s="77"/>
      <c r="C267" s="65"/>
      <c r="D267" s="65"/>
      <c r="E267" s="65"/>
      <c r="F267" s="65"/>
      <c r="G267" s="65"/>
      <c r="H267" s="65"/>
      <c r="I267" s="65"/>
    </row>
    <row r="268" spans="1:9" ht="22.5" customHeight="1">
      <c r="A268" s="10" t="s">
        <v>20</v>
      </c>
      <c r="B268" s="144"/>
      <c r="C268" s="48"/>
      <c r="D268" s="49"/>
      <c r="E268" s="48"/>
      <c r="F268" s="48"/>
      <c r="G268" s="48"/>
      <c r="H268" s="48"/>
      <c r="I268" s="48"/>
    </row>
    <row r="269" spans="1:9" ht="22.5" customHeight="1">
      <c r="A269" s="66" t="s">
        <v>21</v>
      </c>
      <c r="B269" s="73" t="s">
        <v>57</v>
      </c>
      <c r="C269" s="38" t="s">
        <v>275</v>
      </c>
      <c r="D269" s="38" t="s">
        <v>220</v>
      </c>
      <c r="E269" s="38" t="s">
        <v>220</v>
      </c>
      <c r="F269" s="38" t="s">
        <v>57</v>
      </c>
      <c r="G269" s="38" t="s">
        <v>0</v>
      </c>
      <c r="H269" s="108" t="s">
        <v>57</v>
      </c>
      <c r="I269" s="108"/>
    </row>
    <row r="270" spans="1:9" ht="12" customHeight="1">
      <c r="A270" s="51" t="s">
        <v>935</v>
      </c>
      <c r="B270" s="84"/>
      <c r="C270" s="52" t="s">
        <v>1101</v>
      </c>
      <c r="D270" s="52" t="s">
        <v>1022</v>
      </c>
      <c r="E270" s="52" t="s">
        <v>989</v>
      </c>
      <c r="F270" s="52" t="s">
        <v>992</v>
      </c>
      <c r="G270" s="52" t="s">
        <v>0</v>
      </c>
      <c r="H270" s="52" t="s">
        <v>5143</v>
      </c>
      <c r="I270" s="52"/>
    </row>
    <row r="271" spans="1:9" ht="22.5" customHeight="1">
      <c r="A271" s="67" t="s">
        <v>5</v>
      </c>
      <c r="B271" s="73" t="s">
        <v>5493</v>
      </c>
      <c r="C271" s="68" t="s">
        <v>0</v>
      </c>
      <c r="D271" s="68" t="s">
        <v>0</v>
      </c>
      <c r="E271" s="68" t="s">
        <v>0</v>
      </c>
      <c r="F271" s="68" t="s">
        <v>0</v>
      </c>
      <c r="G271" s="38" t="s">
        <v>0</v>
      </c>
      <c r="H271" s="108" t="s">
        <v>0</v>
      </c>
      <c r="I271" s="108"/>
    </row>
    <row r="272" spans="1:9" ht="12" customHeight="1">
      <c r="A272" s="51" t="s">
        <v>935</v>
      </c>
      <c r="B272" s="84"/>
      <c r="C272" s="52" t="s">
        <v>1149</v>
      </c>
      <c r="D272" s="52" t="s">
        <v>1203</v>
      </c>
      <c r="E272" s="52" t="s">
        <v>1203</v>
      </c>
      <c r="F272" s="52" t="s">
        <v>1203</v>
      </c>
      <c r="G272" s="52" t="s">
        <v>1239</v>
      </c>
      <c r="H272" s="52" t="s">
        <v>1239</v>
      </c>
      <c r="I272" s="52"/>
    </row>
    <row r="273" spans="1:9" ht="22.5" customHeight="1">
      <c r="A273" s="12" t="s">
        <v>216</v>
      </c>
      <c r="B273" s="145" t="s">
        <v>57</v>
      </c>
      <c r="C273" s="36" t="s">
        <v>1104</v>
      </c>
      <c r="D273" s="38" t="s">
        <v>197</v>
      </c>
      <c r="E273" s="38" t="s">
        <v>113</v>
      </c>
      <c r="F273" s="38" t="s">
        <v>57</v>
      </c>
      <c r="G273" s="38" t="s">
        <v>0</v>
      </c>
      <c r="H273" s="108" t="s">
        <v>57</v>
      </c>
      <c r="I273" s="108"/>
    </row>
    <row r="274" spans="1:9" ht="12" customHeight="1">
      <c r="A274" s="51" t="s">
        <v>935</v>
      </c>
      <c r="B274" s="84"/>
      <c r="C274" s="52" t="s">
        <v>1103</v>
      </c>
      <c r="D274" s="52" t="s">
        <v>1005</v>
      </c>
      <c r="E274" s="52" t="s">
        <v>980</v>
      </c>
      <c r="F274" s="52" t="s">
        <v>980</v>
      </c>
      <c r="G274" s="52" t="s">
        <v>1240</v>
      </c>
      <c r="H274" s="52" t="s">
        <v>1150</v>
      </c>
      <c r="I274" s="52"/>
    </row>
    <row r="275" spans="1:9" s="41" customFormat="1" ht="15" customHeight="1">
      <c r="A275" s="31"/>
      <c r="B275" s="77"/>
      <c r="C275" s="53"/>
      <c r="D275" s="53"/>
      <c r="E275" s="53"/>
      <c r="F275" s="53"/>
      <c r="G275" s="53"/>
      <c r="H275" s="53"/>
      <c r="I275" s="53"/>
    </row>
    <row r="276" spans="1:9" s="41" customFormat="1" ht="22.5" customHeight="1">
      <c r="A276" s="10" t="s">
        <v>186</v>
      </c>
      <c r="B276" s="144"/>
      <c r="C276" s="48"/>
      <c r="D276" s="49"/>
      <c r="E276" s="48"/>
      <c r="F276" s="48"/>
      <c r="G276" s="48"/>
      <c r="H276" s="48"/>
      <c r="I276" s="48"/>
    </row>
    <row r="277" spans="1:9" s="41" customFormat="1" ht="22.5" customHeight="1">
      <c r="A277" s="66" t="s">
        <v>187</v>
      </c>
      <c r="B277" s="73" t="s">
        <v>392</v>
      </c>
      <c r="C277" s="36" t="s">
        <v>317</v>
      </c>
      <c r="D277" s="69" t="s">
        <v>317</v>
      </c>
      <c r="E277" s="69" t="s">
        <v>317</v>
      </c>
      <c r="F277" s="36" t="s">
        <v>317</v>
      </c>
      <c r="G277" s="36" t="s">
        <v>317</v>
      </c>
      <c r="H277" s="109" t="s">
        <v>317</v>
      </c>
      <c r="I277" s="109"/>
    </row>
    <row r="278" spans="1:9" ht="12" customHeight="1">
      <c r="A278" s="51" t="s">
        <v>935</v>
      </c>
      <c r="B278" s="84"/>
      <c r="C278" s="52" t="s">
        <v>1128</v>
      </c>
      <c r="D278" s="52" t="s">
        <v>1031</v>
      </c>
      <c r="E278" s="52" t="s">
        <v>1031</v>
      </c>
      <c r="F278" s="52" t="s">
        <v>1031</v>
      </c>
      <c r="G278" s="52" t="s">
        <v>1031</v>
      </c>
      <c r="H278" s="52" t="s">
        <v>1031</v>
      </c>
      <c r="I278" s="52"/>
    </row>
    <row r="279" spans="1:9" s="41" customFormat="1" ht="22.5" customHeight="1">
      <c r="A279" s="23"/>
      <c r="B279" s="73"/>
      <c r="C279" s="65"/>
      <c r="D279" s="65"/>
      <c r="E279" s="65"/>
      <c r="F279" s="65"/>
      <c r="G279" s="65"/>
      <c r="H279" s="65"/>
      <c r="I279" s="65"/>
    </row>
    <row r="280" spans="1:9" s="41" customFormat="1" ht="22.5" customHeight="1">
      <c r="A280" s="10" t="s">
        <v>267</v>
      </c>
      <c r="B280" s="144"/>
      <c r="C280" s="48"/>
      <c r="D280" s="49"/>
      <c r="E280" s="48"/>
      <c r="F280" s="48"/>
      <c r="G280" s="48"/>
      <c r="H280" s="48"/>
      <c r="I280" s="48"/>
    </row>
    <row r="281" spans="1:9" s="41" customFormat="1" ht="216">
      <c r="A281" s="66"/>
      <c r="B281" s="73"/>
      <c r="C281" s="70" t="s">
        <v>1062</v>
      </c>
      <c r="D281" s="69" t="s">
        <v>0</v>
      </c>
      <c r="E281" s="69" t="s">
        <v>0</v>
      </c>
      <c r="F281" s="36" t="s">
        <v>0</v>
      </c>
      <c r="G281" s="36" t="s">
        <v>1255</v>
      </c>
      <c r="H281" s="110" t="s">
        <v>5141</v>
      </c>
      <c r="I281" s="110"/>
    </row>
    <row r="282" spans="1:9">
      <c r="A282" s="51" t="s">
        <v>935</v>
      </c>
      <c r="B282" s="84"/>
      <c r="C282" s="52" t="s">
        <v>1063</v>
      </c>
      <c r="D282" s="52" t="s">
        <v>0</v>
      </c>
      <c r="E282" s="52" t="s">
        <v>0</v>
      </c>
      <c r="F282" s="52" t="s">
        <v>0</v>
      </c>
      <c r="G282" s="52" t="s">
        <v>1257</v>
      </c>
      <c r="H282" s="52" t="s">
        <v>5124</v>
      </c>
      <c r="I282" s="52"/>
    </row>
    <row r="283" spans="1:9" s="41" customFormat="1" ht="22.5" customHeight="1">
      <c r="A283" s="31"/>
      <c r="B283" s="77"/>
      <c r="C283" s="71"/>
      <c r="D283" s="71"/>
      <c r="E283" s="71"/>
      <c r="F283" s="71"/>
      <c r="G283" s="71"/>
      <c r="H283" s="71"/>
      <c r="I283" s="71"/>
    </row>
    <row r="284" spans="1:9" ht="22.5" customHeight="1">
      <c r="A284" s="22" t="s">
        <v>70</v>
      </c>
      <c r="B284" s="144"/>
      <c r="C284" s="50"/>
      <c r="D284" s="72"/>
      <c r="E284" s="50"/>
      <c r="F284" s="50"/>
      <c r="G284" s="50"/>
      <c r="H284" s="50"/>
      <c r="I284" s="50"/>
    </row>
    <row r="285" spans="1:9" ht="22.5" customHeight="1">
      <c r="A285" s="12"/>
      <c r="B285" s="145"/>
      <c r="C285" s="36" t="s">
        <v>1035</v>
      </c>
      <c r="D285" s="69" t="s">
        <v>938</v>
      </c>
      <c r="E285" s="36" t="s">
        <v>937</v>
      </c>
      <c r="F285" s="36" t="s">
        <v>936</v>
      </c>
      <c r="G285" s="36" t="s">
        <v>1166</v>
      </c>
      <c r="H285" s="97" t="s">
        <v>5097</v>
      </c>
      <c r="I285" s="97"/>
    </row>
    <row r="286" spans="1:9">
      <c r="A286" s="31"/>
      <c r="B286" s="31"/>
      <c r="C286" s="73"/>
      <c r="D286" s="73" t="s">
        <v>65</v>
      </c>
      <c r="E286" s="73"/>
      <c r="F286" s="73"/>
      <c r="G286" s="73"/>
      <c r="H286" s="73"/>
      <c r="I286" s="73"/>
    </row>
    <row r="287" spans="1:9" ht="18">
      <c r="H287" s="99" t="s">
        <v>5064</v>
      </c>
      <c r="I287" s="99"/>
    </row>
  </sheetData>
  <customSheetViews>
    <customSheetView guid="{7F75E596-18F6-4BB0-8B05-898440E130DF}" state="hidden">
      <pageMargins left="0.7" right="0.7" top="0.78740157499999996" bottom="0.78740157499999996" header="0.3" footer="0.3"/>
      <pageSetup paperSize="9" orientation="portrait" verticalDpi="0" r:id="rId1"/>
    </customSheetView>
  </customSheetViews>
  <conditionalFormatting sqref="C84 C86 G86:I86 G84:I84 C72:I72 C8:I8 C74:I74 C99:I99 C195:I195 C66:I66 C251:I251 C257:I257 C227:I227 C277:I277 C26:I26 C97:I97 C105:I105 C95:I95 C113:I113 C107:I107 C111:I111 C197:I197 C199:I199 C201:I201 C203:I203 C215:I215 C68:I68 C179:I179 C183:I183 C219:I219 C127:I127 C129:I129 C131:I131 C137:I137 C135:I135 C139:I139 C34:I34 C32:I32 C62:I62 C76:I76 C255:I255 C245:I245 C263:I263 C259:I259 C241:I241 C273:I273 C269:I269 C78:I78 C12:I12 C16:I16 C20:I20 C22:I22 C24:I24 C36:I36 C40:I40 C46:I46 C28:I28 C64:I64 C70:I70 C82:I82 C91:I91 C93:I93 C150:I150 C167:I167 C165:I165 C154:I154 C156:I156 C119:I119 C121:I121 C123:I123 C125:I125 C133:I133 C141:I141 C143:I143 C158:I158 C162:I162 C181:I181 C217:I217 C223:I223 C235:I235 C237:I237 C239:I239 C243:I243 C249:I249 C253:I253 C261:I261 C281:I281 C285:I285 C187:I187 C152:I152 C145:I145 C38:I38 C10:I10 C213:I213 C209:I209 C271:I271 C42:I42 C44:I44 C48:I48 C50:I50 C52:I52 C54:I54 C56:I56 C60:I60 C229:I229 C191:I191 C207:I207 C193:I193 C189:I189 C205:I205 C221:I221 C109:I109 C160:I160 C185:I185 C211:I211 C247:I247 C265:I265 C175:I175 C171:I171 C231:I231 C2:I2 C117:I117 C103:I103 C101:I101 B4:I4 B6:I6 B30:I30">
    <cfRule type="containsBlanks" dxfId="1" priority="354" stopIfTrue="1">
      <formula>LEN(TRIM(B2))=0</formula>
    </cfRule>
  </conditionalFormatting>
  <pageMargins left="0.7" right="0.7" top="0.78740157499999996" bottom="0.78740157499999996"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7"/>
  <sheetViews>
    <sheetView topLeftCell="A11" workbookViewId="0">
      <selection activeCell="A30" sqref="A30"/>
    </sheetView>
  </sheetViews>
  <sheetFormatPr baseColWidth="10" defaultRowHeight="12.75"/>
  <cols>
    <col min="1" max="1" width="42.28515625" style="5" customWidth="1"/>
    <col min="2" max="3" width="21.7109375" style="5" customWidth="1"/>
  </cols>
  <sheetData>
    <row r="1" spans="1:3">
      <c r="A1" s="47"/>
      <c r="B1" s="103" t="s">
        <v>5490</v>
      </c>
      <c r="C1" s="103" t="s">
        <v>5491</v>
      </c>
    </row>
    <row r="2" spans="1:3">
      <c r="A2" s="6" t="s">
        <v>5641</v>
      </c>
      <c r="B2" s="36" t="s">
        <v>1349</v>
      </c>
      <c r="C2" s="36" t="s">
        <v>1349</v>
      </c>
    </row>
    <row r="3" spans="1:3">
      <c r="A3" s="51" t="s">
        <v>935</v>
      </c>
      <c r="B3" s="52" t="s">
        <v>1476</v>
      </c>
      <c r="C3" s="52" t="s">
        <v>1476</v>
      </c>
    </row>
    <row r="4" spans="1:3" ht="18">
      <c r="A4" s="6" t="s">
        <v>71</v>
      </c>
      <c r="B4" s="36" t="s">
        <v>74</v>
      </c>
      <c r="C4" s="36" t="s">
        <v>693</v>
      </c>
    </row>
    <row r="5" spans="1:3">
      <c r="A5" s="51" t="s">
        <v>935</v>
      </c>
      <c r="B5" s="52" t="s">
        <v>1419</v>
      </c>
      <c r="C5" s="52" t="s">
        <v>1407</v>
      </c>
    </row>
    <row r="6" spans="1:3">
      <c r="A6" s="6" t="s">
        <v>77</v>
      </c>
      <c r="B6" s="38" t="s">
        <v>214</v>
      </c>
      <c r="C6" s="38" t="s">
        <v>215</v>
      </c>
    </row>
    <row r="7" spans="1:3">
      <c r="A7" s="51" t="s">
        <v>935</v>
      </c>
      <c r="B7" s="52" t="s">
        <v>1427</v>
      </c>
      <c r="C7" s="52" t="s">
        <v>1413</v>
      </c>
    </row>
    <row r="8" spans="1:3" ht="18">
      <c r="A8" s="6" t="s">
        <v>78</v>
      </c>
      <c r="B8" s="36" t="s">
        <v>5492</v>
      </c>
      <c r="C8" s="36" t="s">
        <v>224</v>
      </c>
    </row>
    <row r="9" spans="1:3">
      <c r="A9" s="51" t="s">
        <v>935</v>
      </c>
      <c r="B9" s="52" t="s">
        <v>0</v>
      </c>
      <c r="C9" s="52" t="s">
        <v>1408</v>
      </c>
    </row>
    <row r="10" spans="1:3" ht="18">
      <c r="A10" s="6" t="s">
        <v>76</v>
      </c>
      <c r="B10" s="36" t="s">
        <v>1482</v>
      </c>
      <c r="C10" s="36" t="s">
        <v>1482</v>
      </c>
    </row>
    <row r="11" spans="1:3">
      <c r="A11" s="51" t="s">
        <v>935</v>
      </c>
      <c r="B11" s="52" t="s">
        <v>1479</v>
      </c>
      <c r="C11" s="52" t="s">
        <v>1479</v>
      </c>
    </row>
    <row r="12" spans="1:3">
      <c r="A12" s="6" t="s">
        <v>54</v>
      </c>
      <c r="B12" s="38" t="s">
        <v>57</v>
      </c>
      <c r="C12" s="38" t="s">
        <v>57</v>
      </c>
    </row>
    <row r="13" spans="1:3">
      <c r="A13" s="51" t="s">
        <v>935</v>
      </c>
      <c r="B13" s="52" t="s">
        <v>5507</v>
      </c>
      <c r="C13" s="52" t="s">
        <v>5507</v>
      </c>
    </row>
    <row r="14" spans="1:3" ht="18">
      <c r="A14" s="62" t="s">
        <v>5488</v>
      </c>
      <c r="B14" s="38" t="s">
        <v>5493</v>
      </c>
      <c r="C14" s="38" t="s">
        <v>5493</v>
      </c>
    </row>
    <row r="15" spans="1:3">
      <c r="A15" s="51" t="s">
        <v>935</v>
      </c>
      <c r="B15" s="52"/>
      <c r="C15" s="52"/>
    </row>
    <row r="16" spans="1:3">
      <c r="A16" s="62" t="s">
        <v>75</v>
      </c>
      <c r="B16" s="38" t="s">
        <v>57</v>
      </c>
      <c r="C16" s="38" t="s">
        <v>57</v>
      </c>
    </row>
    <row r="17" spans="1:3">
      <c r="A17" s="51" t="s">
        <v>935</v>
      </c>
      <c r="B17" s="52" t="s">
        <v>1159</v>
      </c>
      <c r="C17" s="52" t="s">
        <v>1159</v>
      </c>
    </row>
    <row r="18" spans="1:3">
      <c r="A18" s="20"/>
      <c r="B18" s="53"/>
      <c r="C18" s="53"/>
    </row>
    <row r="19" spans="1:3">
      <c r="A19" s="10" t="s">
        <v>1</v>
      </c>
      <c r="B19" s="54"/>
      <c r="C19" s="54"/>
    </row>
    <row r="20" spans="1:3">
      <c r="A20" s="62" t="s">
        <v>85</v>
      </c>
      <c r="B20" s="36" t="s">
        <v>57</v>
      </c>
      <c r="C20" s="36" t="s">
        <v>57</v>
      </c>
    </row>
    <row r="21" spans="1:3">
      <c r="A21" s="51" t="s">
        <v>935</v>
      </c>
      <c r="B21" s="52" t="s">
        <v>1455</v>
      </c>
      <c r="C21" s="52" t="s">
        <v>1455</v>
      </c>
    </row>
    <row r="22" spans="1:3" ht="18">
      <c r="A22" s="86" t="s">
        <v>86</v>
      </c>
      <c r="B22" s="36" t="s">
        <v>57</v>
      </c>
      <c r="C22" s="36" t="s">
        <v>57</v>
      </c>
    </row>
    <row r="23" spans="1:3">
      <c r="A23" s="51" t="s">
        <v>935</v>
      </c>
      <c r="B23" s="52" t="s">
        <v>1456</v>
      </c>
      <c r="C23" s="52" t="s">
        <v>1456</v>
      </c>
    </row>
    <row r="24" spans="1:3">
      <c r="A24" s="6" t="s">
        <v>87</v>
      </c>
      <c r="B24" s="36" t="s">
        <v>57</v>
      </c>
      <c r="C24" s="36" t="s">
        <v>57</v>
      </c>
    </row>
    <row r="25" spans="1:3">
      <c r="A25" s="51" t="s">
        <v>935</v>
      </c>
      <c r="B25" s="52" t="s">
        <v>1457</v>
      </c>
      <c r="C25" s="52" t="s">
        <v>1457</v>
      </c>
    </row>
    <row r="26" spans="1:3">
      <c r="A26" s="62" t="s">
        <v>403</v>
      </c>
      <c r="B26" s="36" t="s">
        <v>3740</v>
      </c>
      <c r="C26" s="36" t="s">
        <v>225</v>
      </c>
    </row>
    <row r="27" spans="1:3">
      <c r="A27" s="51" t="s">
        <v>935</v>
      </c>
      <c r="B27" s="52" t="s">
        <v>1478</v>
      </c>
      <c r="C27" s="52" t="s">
        <v>3309</v>
      </c>
    </row>
    <row r="28" spans="1:3" ht="36">
      <c r="A28" s="87" t="s">
        <v>52</v>
      </c>
      <c r="B28" s="13" t="s">
        <v>5494</v>
      </c>
      <c r="C28" s="13" t="s">
        <v>5495</v>
      </c>
    </row>
    <row r="29" spans="1:3">
      <c r="A29" s="51" t="s">
        <v>935</v>
      </c>
      <c r="B29" s="52" t="s">
        <v>1477</v>
      </c>
      <c r="C29" s="52" t="s">
        <v>3309</v>
      </c>
    </row>
    <row r="30" spans="1:3" ht="36">
      <c r="A30" s="6" t="s">
        <v>89</v>
      </c>
      <c r="B30" s="36" t="s">
        <v>1421</v>
      </c>
      <c r="C30" s="36" t="s">
        <v>1424</v>
      </c>
    </row>
    <row r="31" spans="1:3">
      <c r="A31" s="51" t="s">
        <v>935</v>
      </c>
      <c r="B31" s="52" t="s">
        <v>1425</v>
      </c>
      <c r="C31" s="52" t="s">
        <v>1426</v>
      </c>
    </row>
    <row r="32" spans="1:3">
      <c r="A32" s="6" t="s">
        <v>90</v>
      </c>
      <c r="B32" s="36" t="s">
        <v>57</v>
      </c>
      <c r="C32" s="36" t="s">
        <v>57</v>
      </c>
    </row>
    <row r="33" spans="1:3">
      <c r="A33" s="51" t="s">
        <v>935</v>
      </c>
      <c r="B33" s="52" t="s">
        <v>1459</v>
      </c>
      <c r="C33" s="52" t="s">
        <v>1459</v>
      </c>
    </row>
    <row r="34" spans="1:3">
      <c r="A34" s="6" t="s">
        <v>91</v>
      </c>
      <c r="B34" s="36" t="s">
        <v>0</v>
      </c>
      <c r="C34" s="36" t="s">
        <v>113</v>
      </c>
    </row>
    <row r="35" spans="1:3">
      <c r="A35" s="51" t="s">
        <v>935</v>
      </c>
      <c r="B35" s="52" t="s">
        <v>1459</v>
      </c>
      <c r="C35" s="52" t="s">
        <v>1413</v>
      </c>
    </row>
    <row r="36" spans="1:3">
      <c r="A36" s="6" t="s">
        <v>92</v>
      </c>
      <c r="B36" s="36" t="s">
        <v>57</v>
      </c>
      <c r="C36" s="36" t="s">
        <v>57</v>
      </c>
    </row>
    <row r="37" spans="1:3">
      <c r="A37" s="51" t="s">
        <v>935</v>
      </c>
      <c r="B37" s="52" t="s">
        <v>1458</v>
      </c>
      <c r="C37" s="52" t="s">
        <v>1458</v>
      </c>
    </row>
    <row r="38" spans="1:3">
      <c r="A38" s="6" t="s">
        <v>93</v>
      </c>
      <c r="B38" s="36" t="s">
        <v>57</v>
      </c>
      <c r="C38" s="36" t="s">
        <v>57</v>
      </c>
    </row>
    <row r="39" spans="1:3">
      <c r="A39" s="51" t="s">
        <v>935</v>
      </c>
      <c r="B39" s="52" t="s">
        <v>1455</v>
      </c>
      <c r="C39" s="52" t="s">
        <v>1455</v>
      </c>
    </row>
    <row r="40" spans="1:3">
      <c r="A40" s="6" t="s">
        <v>94</v>
      </c>
      <c r="B40" s="36" t="s">
        <v>57</v>
      </c>
      <c r="C40" s="36" t="s">
        <v>57</v>
      </c>
    </row>
    <row r="41" spans="1:3">
      <c r="A41" s="51" t="s">
        <v>935</v>
      </c>
      <c r="B41" s="52" t="s">
        <v>1462</v>
      </c>
      <c r="C41" s="52" t="s">
        <v>1462</v>
      </c>
    </row>
    <row r="42" spans="1:3">
      <c r="A42" s="6" t="s">
        <v>582</v>
      </c>
      <c r="B42" s="36" t="s">
        <v>57</v>
      </c>
      <c r="C42" s="36" t="s">
        <v>57</v>
      </c>
    </row>
    <row r="43" spans="1:3">
      <c r="A43" s="51" t="s">
        <v>935</v>
      </c>
      <c r="B43" s="52" t="s">
        <v>1462</v>
      </c>
      <c r="C43" s="52" t="s">
        <v>1462</v>
      </c>
    </row>
    <row r="44" spans="1:3">
      <c r="A44" s="6" t="s">
        <v>4406</v>
      </c>
      <c r="B44" s="36" t="s">
        <v>57</v>
      </c>
      <c r="C44" s="36" t="s">
        <v>57</v>
      </c>
    </row>
    <row r="45" spans="1:3">
      <c r="A45" s="51" t="s">
        <v>935</v>
      </c>
      <c r="B45" s="52" t="s">
        <v>1462</v>
      </c>
      <c r="C45" s="52" t="s">
        <v>1462</v>
      </c>
    </row>
    <row r="46" spans="1:3" ht="18">
      <c r="A46" s="62" t="s">
        <v>95</v>
      </c>
      <c r="B46" s="36" t="s">
        <v>0</v>
      </c>
      <c r="C46" s="36" t="s">
        <v>0</v>
      </c>
    </row>
    <row r="47" spans="1:3">
      <c r="A47" s="51" t="s">
        <v>935</v>
      </c>
      <c r="B47" s="52" t="s">
        <v>0</v>
      </c>
      <c r="C47" s="52" t="s">
        <v>0</v>
      </c>
    </row>
    <row r="48" spans="1:3">
      <c r="A48" s="6" t="s">
        <v>96</v>
      </c>
      <c r="B48" s="36" t="s">
        <v>57</v>
      </c>
      <c r="C48" s="36" t="s">
        <v>57</v>
      </c>
    </row>
    <row r="49" spans="1:3">
      <c r="A49" s="51" t="s">
        <v>935</v>
      </c>
      <c r="B49" s="52" t="s">
        <v>1461</v>
      </c>
      <c r="C49" s="52" t="s">
        <v>1461</v>
      </c>
    </row>
    <row r="50" spans="1:3">
      <c r="A50" s="6" t="s">
        <v>97</v>
      </c>
      <c r="B50" s="36" t="s">
        <v>57</v>
      </c>
      <c r="C50" s="36" t="s">
        <v>57</v>
      </c>
    </row>
    <row r="51" spans="1:3">
      <c r="A51" s="51" t="s">
        <v>935</v>
      </c>
      <c r="B51" s="52" t="s">
        <v>1461</v>
      </c>
      <c r="C51" s="52" t="s">
        <v>1461</v>
      </c>
    </row>
    <row r="52" spans="1:3">
      <c r="A52" s="6" t="s">
        <v>98</v>
      </c>
      <c r="B52" s="36" t="s">
        <v>57</v>
      </c>
      <c r="C52" s="36" t="s">
        <v>57</v>
      </c>
    </row>
    <row r="53" spans="1:3">
      <c r="A53" s="51" t="s">
        <v>935</v>
      </c>
      <c r="B53" s="52" t="s">
        <v>1461</v>
      </c>
      <c r="C53" s="52" t="s">
        <v>1461</v>
      </c>
    </row>
    <row r="54" spans="1:3">
      <c r="A54" s="6" t="s">
        <v>99</v>
      </c>
      <c r="B54" s="36" t="s">
        <v>57</v>
      </c>
      <c r="C54" s="36" t="s">
        <v>57</v>
      </c>
    </row>
    <row r="55" spans="1:3">
      <c r="A55" s="51" t="s">
        <v>935</v>
      </c>
      <c r="B55" s="52" t="s">
        <v>1460</v>
      </c>
      <c r="C55" s="52" t="s">
        <v>1460</v>
      </c>
    </row>
    <row r="56" spans="1:3">
      <c r="A56" s="6" t="s">
        <v>100</v>
      </c>
      <c r="B56" s="36" t="s">
        <v>57</v>
      </c>
      <c r="C56" s="36" t="s">
        <v>57</v>
      </c>
    </row>
    <row r="57" spans="1:3">
      <c r="A57" s="51" t="s">
        <v>935</v>
      </c>
      <c r="B57" s="52" t="s">
        <v>1460</v>
      </c>
      <c r="C57" s="52" t="s">
        <v>1460</v>
      </c>
    </row>
    <row r="58" spans="1:3">
      <c r="A58" s="20"/>
      <c r="B58" s="53"/>
      <c r="C58" s="53"/>
    </row>
    <row r="59" spans="1:3">
      <c r="A59" s="10" t="s">
        <v>101</v>
      </c>
      <c r="B59" s="54"/>
      <c r="C59" s="54"/>
    </row>
    <row r="60" spans="1:3" ht="36">
      <c r="A60" s="62" t="s">
        <v>102</v>
      </c>
      <c r="B60" s="36" t="s">
        <v>529</v>
      </c>
      <c r="C60" s="36" t="s">
        <v>1416</v>
      </c>
    </row>
    <row r="61" spans="1:3">
      <c r="A61" s="51" t="s">
        <v>935</v>
      </c>
      <c r="B61" s="52" t="s">
        <v>1464</v>
      </c>
      <c r="C61" s="52" t="s">
        <v>1413</v>
      </c>
    </row>
    <row r="62" spans="1:3" ht="27">
      <c r="A62" s="88" t="s">
        <v>103</v>
      </c>
      <c r="B62" s="36" t="s">
        <v>792</v>
      </c>
      <c r="C62" s="36" t="s">
        <v>792</v>
      </c>
    </row>
    <row r="63" spans="1:3">
      <c r="A63" s="51" t="s">
        <v>935</v>
      </c>
      <c r="B63" s="52" t="s">
        <v>1465</v>
      </c>
      <c r="C63" s="52" t="s">
        <v>1465</v>
      </c>
    </row>
    <row r="64" spans="1:3">
      <c r="A64" s="88" t="s">
        <v>467</v>
      </c>
      <c r="B64" s="38" t="s">
        <v>57</v>
      </c>
      <c r="C64" s="38" t="s">
        <v>57</v>
      </c>
    </row>
    <row r="65" spans="1:3">
      <c r="A65" s="51" t="s">
        <v>935</v>
      </c>
      <c r="B65" s="52" t="s">
        <v>1463</v>
      </c>
      <c r="C65" s="52" t="s">
        <v>1463</v>
      </c>
    </row>
    <row r="66" spans="1:3" ht="18">
      <c r="A66" s="88" t="s">
        <v>7</v>
      </c>
      <c r="B66" s="36" t="s">
        <v>5496</v>
      </c>
      <c r="C66" s="36" t="s">
        <v>5497</v>
      </c>
    </row>
    <row r="67" spans="1:3">
      <c r="A67" s="51" t="s">
        <v>935</v>
      </c>
      <c r="B67" s="52" t="s">
        <v>1466</v>
      </c>
      <c r="C67" s="52" t="s">
        <v>1413</v>
      </c>
    </row>
    <row r="68" spans="1:3" ht="27">
      <c r="A68" s="88" t="s">
        <v>321</v>
      </c>
      <c r="B68" s="36" t="s">
        <v>5501</v>
      </c>
      <c r="C68" s="36" t="s">
        <v>5502</v>
      </c>
    </row>
    <row r="69" spans="1:3">
      <c r="A69" s="51" t="s">
        <v>935</v>
      </c>
      <c r="B69" s="52" t="s">
        <v>1407</v>
      </c>
      <c r="C69" s="52" t="s">
        <v>1407</v>
      </c>
    </row>
    <row r="70" spans="1:3" ht="18">
      <c r="A70" s="88" t="s">
        <v>451</v>
      </c>
      <c r="B70" s="38" t="s">
        <v>57</v>
      </c>
      <c r="C70" s="38" t="s">
        <v>57</v>
      </c>
    </row>
    <row r="71" spans="1:3">
      <c r="A71" s="51" t="s">
        <v>935</v>
      </c>
      <c r="B71" s="52" t="s">
        <v>1467</v>
      </c>
      <c r="C71" s="52" t="s">
        <v>1467</v>
      </c>
    </row>
    <row r="72" spans="1:3">
      <c r="A72" s="6" t="s">
        <v>63</v>
      </c>
      <c r="B72" s="38" t="s">
        <v>0</v>
      </c>
      <c r="C72" s="38" t="s">
        <v>0</v>
      </c>
    </row>
    <row r="73" spans="1:3">
      <c r="A73" s="51" t="s">
        <v>935</v>
      </c>
      <c r="B73" s="52" t="s">
        <v>0</v>
      </c>
      <c r="C73" s="52" t="s">
        <v>0</v>
      </c>
    </row>
    <row r="74" spans="1:3">
      <c r="A74" s="88" t="s">
        <v>107</v>
      </c>
      <c r="B74" s="38" t="s">
        <v>0</v>
      </c>
      <c r="C74" s="38" t="s">
        <v>210</v>
      </c>
    </row>
    <row r="75" spans="1:3">
      <c r="A75" s="51" t="s">
        <v>935</v>
      </c>
      <c r="B75" s="118"/>
      <c r="C75" s="52" t="s">
        <v>1413</v>
      </c>
    </row>
    <row r="76" spans="1:3">
      <c r="A76" s="88" t="s">
        <v>108</v>
      </c>
      <c r="B76" s="38" t="s">
        <v>200</v>
      </c>
      <c r="C76" s="36" t="s">
        <v>5498</v>
      </c>
    </row>
    <row r="77" spans="1:3">
      <c r="A77" s="51" t="s">
        <v>935</v>
      </c>
      <c r="B77" s="52" t="s">
        <v>1025</v>
      </c>
      <c r="C77" s="52" t="s">
        <v>1413</v>
      </c>
    </row>
    <row r="78" spans="1:3">
      <c r="A78" s="88" t="s">
        <v>109</v>
      </c>
      <c r="B78" s="38" t="s">
        <v>221</v>
      </c>
      <c r="C78" s="38" t="s">
        <v>30</v>
      </c>
    </row>
    <row r="79" spans="1:3">
      <c r="A79" s="51" t="s">
        <v>935</v>
      </c>
      <c r="B79" s="52" t="s">
        <v>1483</v>
      </c>
      <c r="C79" s="52" t="s">
        <v>1407</v>
      </c>
    </row>
    <row r="80" spans="1:3">
      <c r="A80" s="23"/>
      <c r="B80" s="53"/>
      <c r="C80" s="53"/>
    </row>
    <row r="81" spans="1:3">
      <c r="A81" s="10" t="s">
        <v>114</v>
      </c>
      <c r="B81" s="59"/>
      <c r="C81" s="59"/>
    </row>
    <row r="82" spans="1:3">
      <c r="A82" s="6" t="s">
        <v>115</v>
      </c>
      <c r="B82" s="38" t="s">
        <v>57</v>
      </c>
      <c r="C82" s="38" t="s">
        <v>57</v>
      </c>
    </row>
    <row r="83" spans="1:3">
      <c r="A83" s="51" t="s">
        <v>935</v>
      </c>
      <c r="B83" s="52" t="s">
        <v>1438</v>
      </c>
      <c r="C83" s="52" t="s">
        <v>1438</v>
      </c>
    </row>
    <row r="84" spans="1:3">
      <c r="A84" s="6" t="s">
        <v>116</v>
      </c>
      <c r="B84" s="38" t="s">
        <v>56</v>
      </c>
      <c r="C84" s="38" t="s">
        <v>56</v>
      </c>
    </row>
    <row r="85" spans="1:3">
      <c r="A85" s="51" t="s">
        <v>935</v>
      </c>
      <c r="B85" s="52" t="s">
        <v>5499</v>
      </c>
      <c r="C85" s="52" t="s">
        <v>5500</v>
      </c>
    </row>
    <row r="86" spans="1:3">
      <c r="A86" s="6" t="s">
        <v>117</v>
      </c>
      <c r="B86" s="38" t="s">
        <v>56</v>
      </c>
      <c r="C86" s="38" t="s">
        <v>56</v>
      </c>
    </row>
    <row r="87" spans="1:3">
      <c r="A87" s="51" t="s">
        <v>935</v>
      </c>
      <c r="B87" s="52" t="s">
        <v>1443</v>
      </c>
      <c r="C87" s="52" t="s">
        <v>1443</v>
      </c>
    </row>
    <row r="88" spans="1:3">
      <c r="A88" s="20"/>
      <c r="B88" s="60"/>
      <c r="C88" s="60"/>
    </row>
    <row r="89" spans="1:3">
      <c r="A89" s="22" t="s">
        <v>119</v>
      </c>
      <c r="B89" s="98"/>
      <c r="C89" s="98"/>
    </row>
    <row r="90" spans="1:3">
      <c r="A90" s="26" t="s">
        <v>118</v>
      </c>
      <c r="B90" s="60"/>
      <c r="C90" s="60"/>
    </row>
    <row r="91" spans="1:3">
      <c r="A91" s="6" t="s">
        <v>191</v>
      </c>
      <c r="B91" s="38" t="s">
        <v>57</v>
      </c>
      <c r="C91" s="38" t="s">
        <v>57</v>
      </c>
    </row>
    <row r="92" spans="1:3">
      <c r="A92" s="51" t="s">
        <v>935</v>
      </c>
      <c r="B92" s="52" t="s">
        <v>1438</v>
      </c>
      <c r="C92" s="52" t="s">
        <v>1437</v>
      </c>
    </row>
    <row r="93" spans="1:3">
      <c r="A93" s="6" t="s">
        <v>120</v>
      </c>
      <c r="B93" s="38" t="s">
        <v>57</v>
      </c>
      <c r="C93" s="38" t="s">
        <v>57</v>
      </c>
    </row>
    <row r="94" spans="1:3">
      <c r="A94" s="51" t="s">
        <v>935</v>
      </c>
      <c r="B94" s="52" t="s">
        <v>1403</v>
      </c>
      <c r="C94" s="52" t="s">
        <v>1403</v>
      </c>
    </row>
    <row r="95" spans="1:3">
      <c r="A95" s="6" t="s">
        <v>2</v>
      </c>
      <c r="B95" s="38" t="s">
        <v>57</v>
      </c>
      <c r="C95" s="38" t="s">
        <v>57</v>
      </c>
    </row>
    <row r="96" spans="1:3">
      <c r="A96" s="51" t="s">
        <v>935</v>
      </c>
      <c r="B96" s="52" t="s">
        <v>1403</v>
      </c>
      <c r="C96" s="52" t="s">
        <v>1403</v>
      </c>
    </row>
    <row r="97" spans="1:3">
      <c r="A97" s="6" t="s">
        <v>121</v>
      </c>
      <c r="B97" s="38" t="s">
        <v>192</v>
      </c>
      <c r="C97" s="38" t="s">
        <v>251</v>
      </c>
    </row>
    <row r="98" spans="1:3">
      <c r="A98" s="51" t="s">
        <v>935</v>
      </c>
      <c r="B98" s="52" t="s">
        <v>1408</v>
      </c>
      <c r="C98" s="52" t="s">
        <v>1408</v>
      </c>
    </row>
    <row r="99" spans="1:3">
      <c r="A99" s="6" t="s">
        <v>122</v>
      </c>
      <c r="B99" s="38" t="s">
        <v>659</v>
      </c>
      <c r="C99" s="36" t="s">
        <v>251</v>
      </c>
    </row>
    <row r="100" spans="1:3">
      <c r="A100" s="51" t="s">
        <v>935</v>
      </c>
      <c r="B100" s="52" t="s">
        <v>0</v>
      </c>
      <c r="C100" s="52" t="s">
        <v>1408</v>
      </c>
    </row>
    <row r="101" spans="1:3">
      <c r="A101" s="62" t="s">
        <v>23</v>
      </c>
      <c r="B101" s="38" t="s">
        <v>57</v>
      </c>
      <c r="C101" s="38" t="s">
        <v>57</v>
      </c>
    </row>
    <row r="102" spans="1:3">
      <c r="A102" s="51" t="s">
        <v>935</v>
      </c>
      <c r="B102" s="52" t="s">
        <v>1417</v>
      </c>
      <c r="C102" s="52" t="s">
        <v>1417</v>
      </c>
    </row>
    <row r="103" spans="1:3">
      <c r="A103" s="62" t="s">
        <v>19</v>
      </c>
      <c r="B103" s="38" t="s">
        <v>5504</v>
      </c>
      <c r="C103" s="36" t="s">
        <v>5503</v>
      </c>
    </row>
    <row r="104" spans="1:3">
      <c r="A104" s="51" t="s">
        <v>935</v>
      </c>
      <c r="B104" s="52" t="s">
        <v>1436</v>
      </c>
      <c r="C104" s="52" t="s">
        <v>1408</v>
      </c>
    </row>
    <row r="105" spans="1:3">
      <c r="A105" s="62" t="s">
        <v>16</v>
      </c>
      <c r="B105" s="38" t="s">
        <v>57</v>
      </c>
      <c r="C105" s="38" t="s">
        <v>57</v>
      </c>
    </row>
    <row r="106" spans="1:3">
      <c r="A106" s="51" t="s">
        <v>935</v>
      </c>
      <c r="B106" s="52" t="s">
        <v>1417</v>
      </c>
      <c r="C106" s="52" t="s">
        <v>1417</v>
      </c>
    </row>
    <row r="107" spans="1:3">
      <c r="A107" s="62" t="s">
        <v>124</v>
      </c>
      <c r="B107" s="38" t="s">
        <v>57</v>
      </c>
      <c r="C107" s="38" t="s">
        <v>57</v>
      </c>
    </row>
    <row r="108" spans="1:3">
      <c r="A108" s="51" t="s">
        <v>935</v>
      </c>
      <c r="B108" s="52" t="s">
        <v>5505</v>
      </c>
      <c r="C108" s="52" t="s">
        <v>5505</v>
      </c>
    </row>
    <row r="109" spans="1:3">
      <c r="A109" s="62" t="s">
        <v>25</v>
      </c>
      <c r="B109" s="38" t="s">
        <v>57</v>
      </c>
      <c r="C109" s="36" t="s">
        <v>57</v>
      </c>
    </row>
    <row r="110" spans="1:3">
      <c r="A110" s="51" t="s">
        <v>935</v>
      </c>
      <c r="B110" s="52" t="s">
        <v>1413</v>
      </c>
      <c r="C110" s="52" t="s">
        <v>1413</v>
      </c>
    </row>
    <row r="111" spans="1:3">
      <c r="A111" s="62" t="s">
        <v>125</v>
      </c>
      <c r="B111" s="38" t="s">
        <v>0</v>
      </c>
      <c r="C111" s="38" t="s">
        <v>57</v>
      </c>
    </row>
    <row r="112" spans="1:3">
      <c r="A112" s="51" t="s">
        <v>935</v>
      </c>
      <c r="B112" s="52" t="s">
        <v>1440</v>
      </c>
      <c r="C112" s="52" t="s">
        <v>1417</v>
      </c>
    </row>
    <row r="113" spans="1:3">
      <c r="A113" s="62" t="s">
        <v>126</v>
      </c>
      <c r="B113" s="36" t="s">
        <v>57</v>
      </c>
      <c r="C113" s="36" t="s">
        <v>57</v>
      </c>
    </row>
    <row r="114" spans="1:3">
      <c r="A114" s="51" t="s">
        <v>935</v>
      </c>
      <c r="B114" s="52" t="s">
        <v>5505</v>
      </c>
      <c r="C114" s="52" t="s">
        <v>5505</v>
      </c>
    </row>
    <row r="116" spans="1:3">
      <c r="A116" s="26" t="s">
        <v>127</v>
      </c>
      <c r="B116" s="60"/>
      <c r="C116" s="60"/>
    </row>
    <row r="117" spans="1:3" ht="18">
      <c r="A117" s="29" t="s">
        <v>128</v>
      </c>
      <c r="B117" s="36" t="s">
        <v>5217</v>
      </c>
      <c r="C117" s="36" t="s">
        <v>5217</v>
      </c>
    </row>
    <row r="118" spans="1:3">
      <c r="A118" s="51" t="s">
        <v>935</v>
      </c>
      <c r="B118" s="52" t="s">
        <v>1452</v>
      </c>
      <c r="C118" s="52" t="s">
        <v>1452</v>
      </c>
    </row>
    <row r="119" spans="1:3">
      <c r="A119" s="6" t="s">
        <v>130</v>
      </c>
      <c r="B119" s="38" t="s">
        <v>57</v>
      </c>
      <c r="C119" s="38" t="s">
        <v>57</v>
      </c>
    </row>
    <row r="120" spans="1:3">
      <c r="A120" s="51" t="s">
        <v>935</v>
      </c>
      <c r="B120" s="52" t="s">
        <v>1452</v>
      </c>
      <c r="C120" s="52" t="s">
        <v>1452</v>
      </c>
    </row>
    <row r="121" spans="1:3">
      <c r="A121" s="6" t="s">
        <v>131</v>
      </c>
      <c r="B121" s="38" t="s">
        <v>57</v>
      </c>
      <c r="C121" s="38" t="s">
        <v>57</v>
      </c>
    </row>
    <row r="122" spans="1:3">
      <c r="A122" s="51" t="s">
        <v>935</v>
      </c>
      <c r="B122" s="52" t="s">
        <v>1452</v>
      </c>
      <c r="C122" s="52" t="s">
        <v>1452</v>
      </c>
    </row>
    <row r="123" spans="1:3" ht="18">
      <c r="A123" s="62" t="s">
        <v>132</v>
      </c>
      <c r="B123" s="38" t="s">
        <v>57</v>
      </c>
      <c r="C123" s="38" t="s">
        <v>57</v>
      </c>
    </row>
    <row r="124" spans="1:3">
      <c r="A124" s="51" t="s">
        <v>935</v>
      </c>
      <c r="B124" s="52" t="s">
        <v>1452</v>
      </c>
      <c r="C124" s="52" t="s">
        <v>1452</v>
      </c>
    </row>
    <row r="125" spans="1:3">
      <c r="A125" s="6" t="s">
        <v>133</v>
      </c>
      <c r="B125" s="38" t="s">
        <v>57</v>
      </c>
      <c r="C125" s="38" t="s">
        <v>57</v>
      </c>
    </row>
    <row r="126" spans="1:3">
      <c r="A126" s="51" t="s">
        <v>935</v>
      </c>
      <c r="B126" s="52" t="s">
        <v>1452</v>
      </c>
      <c r="C126" s="52" t="s">
        <v>1452</v>
      </c>
    </row>
    <row r="127" spans="1:3">
      <c r="A127" s="6" t="s">
        <v>134</v>
      </c>
      <c r="B127" s="38" t="s">
        <v>0</v>
      </c>
      <c r="C127" s="38" t="s">
        <v>0</v>
      </c>
    </row>
    <row r="128" spans="1:3">
      <c r="A128" s="51" t="s">
        <v>935</v>
      </c>
      <c r="B128" s="52" t="s">
        <v>0</v>
      </c>
      <c r="C128" s="52" t="s">
        <v>0</v>
      </c>
    </row>
    <row r="129" spans="1:3">
      <c r="A129" s="6" t="s">
        <v>135</v>
      </c>
      <c r="B129" s="38" t="s">
        <v>5506</v>
      </c>
      <c r="C129" s="38" t="s">
        <v>57</v>
      </c>
    </row>
    <row r="130" spans="1:3">
      <c r="A130" s="51" t="s">
        <v>935</v>
      </c>
      <c r="B130" s="52" t="s">
        <v>5507</v>
      </c>
      <c r="C130" s="52" t="s">
        <v>5508</v>
      </c>
    </row>
    <row r="131" spans="1:3">
      <c r="A131" s="6" t="s">
        <v>136</v>
      </c>
      <c r="B131" s="38" t="s">
        <v>0</v>
      </c>
      <c r="C131" s="38" t="s">
        <v>0</v>
      </c>
    </row>
    <row r="132" spans="1:3">
      <c r="A132" s="51" t="s">
        <v>935</v>
      </c>
      <c r="B132" s="52" t="s">
        <v>0</v>
      </c>
      <c r="C132" s="52" t="s">
        <v>0</v>
      </c>
    </row>
    <row r="133" spans="1:3">
      <c r="A133" s="6" t="s">
        <v>137</v>
      </c>
      <c r="B133" s="38" t="s">
        <v>57</v>
      </c>
      <c r="C133" s="38" t="s">
        <v>57</v>
      </c>
    </row>
    <row r="134" spans="1:3">
      <c r="A134" s="51" t="s">
        <v>935</v>
      </c>
      <c r="B134" s="52" t="s">
        <v>1452</v>
      </c>
      <c r="C134" s="52" t="s">
        <v>1452</v>
      </c>
    </row>
    <row r="135" spans="1:3">
      <c r="A135" s="6" t="s">
        <v>138</v>
      </c>
      <c r="B135" s="38" t="s">
        <v>57</v>
      </c>
      <c r="C135" s="38" t="s">
        <v>57</v>
      </c>
    </row>
    <row r="136" spans="1:3">
      <c r="A136" s="51" t="s">
        <v>935</v>
      </c>
      <c r="B136" s="52" t="s">
        <v>1403</v>
      </c>
      <c r="C136" s="52" t="s">
        <v>1403</v>
      </c>
    </row>
    <row r="137" spans="1:3">
      <c r="A137" s="6" t="s">
        <v>139</v>
      </c>
      <c r="B137" s="38" t="s">
        <v>0</v>
      </c>
      <c r="C137" s="38" t="s">
        <v>0</v>
      </c>
    </row>
    <row r="138" spans="1:3">
      <c r="A138" s="51" t="s">
        <v>935</v>
      </c>
      <c r="B138" s="52" t="s">
        <v>0</v>
      </c>
      <c r="C138" s="52" t="s">
        <v>0</v>
      </c>
    </row>
    <row r="139" spans="1:3">
      <c r="A139" s="6" t="s">
        <v>141</v>
      </c>
      <c r="B139" s="38" t="s">
        <v>0</v>
      </c>
      <c r="C139" s="38" t="s">
        <v>0</v>
      </c>
    </row>
    <row r="140" spans="1:3">
      <c r="A140" s="51" t="s">
        <v>935</v>
      </c>
      <c r="B140" s="52" t="s">
        <v>1453</v>
      </c>
      <c r="C140" s="52" t="s">
        <v>1453</v>
      </c>
    </row>
    <row r="141" spans="1:3">
      <c r="A141" s="29" t="s">
        <v>128</v>
      </c>
      <c r="B141" s="38" t="s">
        <v>0</v>
      </c>
      <c r="C141" s="38" t="s">
        <v>140</v>
      </c>
    </row>
    <row r="142" spans="1:3">
      <c r="A142" s="51" t="s">
        <v>935</v>
      </c>
      <c r="B142" s="52" t="s">
        <v>0</v>
      </c>
      <c r="C142" s="52" t="s">
        <v>0</v>
      </c>
    </row>
    <row r="143" spans="1:3">
      <c r="A143" s="6" t="s">
        <v>134</v>
      </c>
      <c r="B143" s="38" t="s">
        <v>0</v>
      </c>
      <c r="C143" s="38" t="s">
        <v>0</v>
      </c>
    </row>
    <row r="144" spans="1:3">
      <c r="A144" s="51" t="s">
        <v>935</v>
      </c>
      <c r="B144" s="52" t="s">
        <v>0</v>
      </c>
      <c r="C144" s="52" t="s">
        <v>0</v>
      </c>
    </row>
    <row r="145" spans="1:3">
      <c r="A145" s="6" t="s">
        <v>135</v>
      </c>
      <c r="B145" s="38" t="s">
        <v>5509</v>
      </c>
      <c r="C145" s="38" t="s">
        <v>57</v>
      </c>
    </row>
    <row r="146" spans="1:3">
      <c r="A146" s="51" t="s">
        <v>935</v>
      </c>
      <c r="B146" s="52" t="s">
        <v>5510</v>
      </c>
      <c r="C146" s="52" t="s">
        <v>5508</v>
      </c>
    </row>
    <row r="148" spans="1:3">
      <c r="A148" s="26" t="s">
        <v>142</v>
      </c>
      <c r="B148" s="60"/>
      <c r="C148" s="60"/>
    </row>
    <row r="149" spans="1:3">
      <c r="A149" s="28" t="s">
        <v>143</v>
      </c>
      <c r="B149" s="53"/>
      <c r="C149" s="53"/>
    </row>
    <row r="150" spans="1:3">
      <c r="A150" s="6" t="s">
        <v>130</v>
      </c>
      <c r="B150" s="38" t="s">
        <v>57</v>
      </c>
      <c r="C150" s="38" t="s">
        <v>57</v>
      </c>
    </row>
    <row r="151" spans="1:3">
      <c r="A151" s="51" t="s">
        <v>935</v>
      </c>
      <c r="B151" s="52" t="s">
        <v>1447</v>
      </c>
      <c r="C151" s="52" t="s">
        <v>1447</v>
      </c>
    </row>
    <row r="152" spans="1:3">
      <c r="A152" s="6" t="s">
        <v>144</v>
      </c>
      <c r="B152" s="38" t="s">
        <v>5511</v>
      </c>
      <c r="C152" s="38" t="s">
        <v>6</v>
      </c>
    </row>
    <row r="153" spans="1:3">
      <c r="A153" s="51" t="s">
        <v>935</v>
      </c>
      <c r="B153" s="52" t="s">
        <v>1408</v>
      </c>
      <c r="C153" s="52" t="s">
        <v>1408</v>
      </c>
    </row>
    <row r="154" spans="1:3">
      <c r="A154" s="6" t="s">
        <v>145</v>
      </c>
      <c r="B154" s="38" t="s">
        <v>57</v>
      </c>
      <c r="C154" s="38" t="s">
        <v>57</v>
      </c>
    </row>
    <row r="155" spans="1:3">
      <c r="A155" s="51" t="s">
        <v>935</v>
      </c>
      <c r="B155" s="52" t="s">
        <v>1448</v>
      </c>
      <c r="C155" s="52" t="s">
        <v>1448</v>
      </c>
    </row>
    <row r="156" spans="1:3">
      <c r="A156" s="6" t="s">
        <v>146</v>
      </c>
      <c r="B156" s="38" t="s">
        <v>57</v>
      </c>
      <c r="C156" s="38" t="s">
        <v>57</v>
      </c>
    </row>
    <row r="157" spans="1:3">
      <c r="A157" s="51" t="s">
        <v>935</v>
      </c>
      <c r="B157" s="52" t="s">
        <v>1449</v>
      </c>
      <c r="C157" s="52" t="s">
        <v>1449</v>
      </c>
    </row>
    <row r="158" spans="1:3">
      <c r="A158" s="6" t="s">
        <v>134</v>
      </c>
      <c r="B158" s="38" t="s">
        <v>0</v>
      </c>
      <c r="C158" s="38" t="s">
        <v>0</v>
      </c>
    </row>
    <row r="159" spans="1:3">
      <c r="A159" s="51" t="s">
        <v>935</v>
      </c>
      <c r="B159" s="52" t="s">
        <v>0</v>
      </c>
      <c r="C159" s="52" t="s">
        <v>0</v>
      </c>
    </row>
    <row r="160" spans="1:3">
      <c r="A160" s="6" t="s">
        <v>135</v>
      </c>
      <c r="B160" s="38" t="s">
        <v>0</v>
      </c>
      <c r="C160" s="38" t="s">
        <v>0</v>
      </c>
    </row>
    <row r="161" spans="1:3">
      <c r="A161" s="51" t="s">
        <v>935</v>
      </c>
      <c r="B161" s="52" t="s">
        <v>0</v>
      </c>
      <c r="C161" s="52" t="s">
        <v>0</v>
      </c>
    </row>
    <row r="162" spans="1:3">
      <c r="A162" s="6" t="s">
        <v>136</v>
      </c>
      <c r="B162" s="38" t="s">
        <v>0</v>
      </c>
      <c r="C162" s="38" t="s">
        <v>0</v>
      </c>
    </row>
    <row r="163" spans="1:3">
      <c r="A163" s="51" t="s">
        <v>935</v>
      </c>
      <c r="B163" s="52" t="s">
        <v>0</v>
      </c>
      <c r="C163" s="52" t="s">
        <v>0</v>
      </c>
    </row>
    <row r="164" spans="1:3">
      <c r="A164" s="28" t="s">
        <v>147</v>
      </c>
      <c r="B164" s="53"/>
      <c r="C164" s="53"/>
    </row>
    <row r="165" spans="1:3">
      <c r="A165" s="6" t="s">
        <v>148</v>
      </c>
      <c r="B165" s="38" t="s">
        <v>57</v>
      </c>
      <c r="C165" s="38" t="s">
        <v>57</v>
      </c>
    </row>
    <row r="166" spans="1:3">
      <c r="A166" s="51" t="s">
        <v>935</v>
      </c>
      <c r="B166" s="52" t="s">
        <v>1450</v>
      </c>
      <c r="C166" s="52" t="s">
        <v>1450</v>
      </c>
    </row>
    <row r="167" spans="1:3">
      <c r="A167" s="6" t="s">
        <v>149</v>
      </c>
      <c r="B167" s="38" t="s">
        <v>57</v>
      </c>
      <c r="C167" s="38" t="s">
        <v>57</v>
      </c>
    </row>
    <row r="168" spans="1:3">
      <c r="A168" s="51" t="s">
        <v>935</v>
      </c>
      <c r="B168" s="52" t="s">
        <v>1451</v>
      </c>
      <c r="C168" s="52" t="s">
        <v>1451</v>
      </c>
    </row>
    <row r="169" spans="1:3">
      <c r="A169" s="12"/>
      <c r="B169" s="60"/>
      <c r="C169" s="60"/>
    </row>
    <row r="170" spans="1:3">
      <c r="A170" s="26" t="s">
        <v>644</v>
      </c>
      <c r="B170" s="60"/>
      <c r="C170" s="60"/>
    </row>
    <row r="171" spans="1:3" ht="18">
      <c r="A171" s="6" t="s">
        <v>643</v>
      </c>
      <c r="B171" s="36" t="s">
        <v>648</v>
      </c>
      <c r="C171" s="36" t="s">
        <v>648</v>
      </c>
    </row>
    <row r="172" spans="1:3">
      <c r="A172" s="51" t="s">
        <v>935</v>
      </c>
      <c r="B172" s="52" t="s">
        <v>1434</v>
      </c>
      <c r="C172" s="52" t="s">
        <v>1434</v>
      </c>
    </row>
    <row r="174" spans="1:3">
      <c r="A174" s="26" t="s">
        <v>150</v>
      </c>
      <c r="B174" s="60"/>
      <c r="C174" s="60"/>
    </row>
    <row r="175" spans="1:3">
      <c r="A175" s="6" t="s">
        <v>151</v>
      </c>
      <c r="B175" s="38" t="s">
        <v>152</v>
      </c>
      <c r="C175" s="38" t="s">
        <v>152</v>
      </c>
    </row>
    <row r="176" spans="1:3">
      <c r="A176" s="51" t="s">
        <v>935</v>
      </c>
      <c r="B176" s="52" t="s">
        <v>1454</v>
      </c>
      <c r="C176" s="52" t="s">
        <v>1454</v>
      </c>
    </row>
    <row r="178" spans="1:3">
      <c r="A178" s="26" t="s">
        <v>190</v>
      </c>
      <c r="B178" s="60"/>
      <c r="C178" s="60"/>
    </row>
    <row r="179" spans="1:3">
      <c r="A179" s="6" t="s">
        <v>154</v>
      </c>
      <c r="B179" s="38" t="s">
        <v>57</v>
      </c>
      <c r="C179" s="38" t="s">
        <v>57</v>
      </c>
    </row>
    <row r="180" spans="1:3">
      <c r="A180" s="51" t="s">
        <v>935</v>
      </c>
      <c r="B180" s="52" t="s">
        <v>1444</v>
      </c>
      <c r="C180" s="52" t="s">
        <v>1444</v>
      </c>
    </row>
    <row r="181" spans="1:3">
      <c r="A181" s="6" t="s">
        <v>155</v>
      </c>
      <c r="B181" s="36" t="s">
        <v>57</v>
      </c>
      <c r="C181" s="36" t="s">
        <v>57</v>
      </c>
    </row>
    <row r="182" spans="1:3">
      <c r="A182" s="51" t="s">
        <v>935</v>
      </c>
      <c r="B182" s="52" t="s">
        <v>1445</v>
      </c>
      <c r="C182" s="52" t="s">
        <v>1445</v>
      </c>
    </row>
    <row r="183" spans="1:3">
      <c r="A183" s="6" t="s">
        <v>156</v>
      </c>
      <c r="B183" s="38" t="s">
        <v>0</v>
      </c>
      <c r="C183" s="38" t="s">
        <v>0</v>
      </c>
    </row>
    <row r="184" spans="1:3">
      <c r="A184" s="51" t="s">
        <v>935</v>
      </c>
      <c r="B184" s="52" t="s">
        <v>1446</v>
      </c>
      <c r="C184" s="52" t="s">
        <v>1446</v>
      </c>
    </row>
    <row r="185" spans="1:3">
      <c r="A185" s="6" t="s">
        <v>157</v>
      </c>
      <c r="B185" s="38" t="s">
        <v>0</v>
      </c>
      <c r="C185" s="38" t="s">
        <v>0</v>
      </c>
    </row>
    <row r="186" spans="1:3">
      <c r="A186" s="51" t="s">
        <v>935</v>
      </c>
      <c r="B186" s="52" t="s">
        <v>0</v>
      </c>
      <c r="C186" s="52" t="s">
        <v>0</v>
      </c>
    </row>
    <row r="187" spans="1:3" ht="18">
      <c r="A187" s="6" t="s">
        <v>3</v>
      </c>
      <c r="B187" s="38" t="s">
        <v>56</v>
      </c>
      <c r="C187" s="36" t="s">
        <v>245</v>
      </c>
    </row>
    <row r="188" spans="1:3">
      <c r="A188" s="51" t="s">
        <v>935</v>
      </c>
      <c r="B188" s="52" t="s">
        <v>0</v>
      </c>
      <c r="C188" s="52" t="s">
        <v>1413</v>
      </c>
    </row>
    <row r="189" spans="1:3">
      <c r="A189" s="6" t="s">
        <v>8</v>
      </c>
      <c r="B189" s="38" t="s">
        <v>5512</v>
      </c>
      <c r="C189" s="38" t="s">
        <v>210</v>
      </c>
    </row>
    <row r="190" spans="1:3">
      <c r="A190" s="51" t="s">
        <v>935</v>
      </c>
      <c r="B190" s="52" t="s">
        <v>1413</v>
      </c>
      <c r="C190" s="52" t="s">
        <v>1413</v>
      </c>
    </row>
    <row r="191" spans="1:3">
      <c r="A191" s="6" t="s">
        <v>158</v>
      </c>
      <c r="B191" s="38" t="s">
        <v>5513</v>
      </c>
      <c r="C191" s="38" t="s">
        <v>18</v>
      </c>
    </row>
    <row r="192" spans="1:3">
      <c r="A192" s="51" t="s">
        <v>935</v>
      </c>
      <c r="B192" s="52" t="s">
        <v>1413</v>
      </c>
      <c r="C192" s="52" t="s">
        <v>1413</v>
      </c>
    </row>
    <row r="193" spans="1:3" ht="18">
      <c r="A193" s="6" t="s">
        <v>206</v>
      </c>
      <c r="B193" s="36" t="s">
        <v>213</v>
      </c>
      <c r="C193" s="36" t="s">
        <v>5514</v>
      </c>
    </row>
    <row r="194" spans="1:3">
      <c r="A194" s="51" t="s">
        <v>935</v>
      </c>
      <c r="B194" s="52" t="s">
        <v>0</v>
      </c>
      <c r="C194" s="52" t="s">
        <v>1413</v>
      </c>
    </row>
    <row r="195" spans="1:3" ht="27">
      <c r="A195" s="6" t="s">
        <v>5489</v>
      </c>
      <c r="B195" s="36" t="s">
        <v>243</v>
      </c>
      <c r="C195" s="36" t="s">
        <v>243</v>
      </c>
    </row>
    <row r="196" spans="1:3">
      <c r="A196" s="51" t="s">
        <v>935</v>
      </c>
      <c r="B196" s="52" t="s">
        <v>1413</v>
      </c>
      <c r="C196" s="52" t="s">
        <v>1413</v>
      </c>
    </row>
    <row r="197" spans="1:3" ht="36">
      <c r="A197" s="89" t="s">
        <v>162</v>
      </c>
      <c r="B197" s="36" t="s">
        <v>5515</v>
      </c>
      <c r="C197" s="36" t="s">
        <v>5515</v>
      </c>
    </row>
    <row r="198" spans="1:3">
      <c r="A198" s="51" t="s">
        <v>935</v>
      </c>
      <c r="B198" s="52" t="s">
        <v>1413</v>
      </c>
      <c r="C198" s="52" t="s">
        <v>1413</v>
      </c>
    </row>
    <row r="199" spans="1:3">
      <c r="A199" s="89" t="s">
        <v>163</v>
      </c>
      <c r="B199" s="38" t="s">
        <v>0</v>
      </c>
      <c r="C199" s="38" t="s">
        <v>0</v>
      </c>
    </row>
    <row r="200" spans="1:3">
      <c r="A200" s="51" t="s">
        <v>935</v>
      </c>
      <c r="B200" s="52" t="s">
        <v>0</v>
      </c>
      <c r="C200" s="52" t="s">
        <v>0</v>
      </c>
    </row>
    <row r="201" spans="1:3" ht="18">
      <c r="A201" s="62" t="s">
        <v>10</v>
      </c>
      <c r="B201" s="36" t="s">
        <v>859</v>
      </c>
      <c r="C201" s="36" t="s">
        <v>18</v>
      </c>
    </row>
    <row r="202" spans="1:3">
      <c r="A202" s="51" t="s">
        <v>935</v>
      </c>
      <c r="B202" s="52" t="s">
        <v>1413</v>
      </c>
      <c r="C202" s="52" t="s">
        <v>1413</v>
      </c>
    </row>
    <row r="203" spans="1:3">
      <c r="A203" s="62" t="s">
        <v>164</v>
      </c>
      <c r="B203" s="36" t="s">
        <v>5516</v>
      </c>
      <c r="C203" s="36" t="s">
        <v>5517</v>
      </c>
    </row>
    <row r="204" spans="1:3">
      <c r="A204" s="51" t="s">
        <v>935</v>
      </c>
      <c r="B204" s="52" t="s">
        <v>0</v>
      </c>
      <c r="C204" s="52" t="s">
        <v>0</v>
      </c>
    </row>
    <row r="205" spans="1:3">
      <c r="A205" s="62" t="s">
        <v>9</v>
      </c>
      <c r="B205" s="36" t="s">
        <v>208</v>
      </c>
      <c r="C205" s="36" t="s">
        <v>223</v>
      </c>
    </row>
    <row r="206" spans="1:3">
      <c r="A206" s="51" t="s">
        <v>935</v>
      </c>
      <c r="B206" s="52" t="s">
        <v>1413</v>
      </c>
      <c r="C206" s="52" t="s">
        <v>1413</v>
      </c>
    </row>
    <row r="207" spans="1:3">
      <c r="A207" s="62" t="s">
        <v>168</v>
      </c>
      <c r="B207" s="36" t="s">
        <v>57</v>
      </c>
      <c r="C207" s="36" t="s">
        <v>57</v>
      </c>
    </row>
    <row r="208" spans="1:3">
      <c r="A208" s="51" t="s">
        <v>935</v>
      </c>
      <c r="B208" s="52" t="s">
        <v>5518</v>
      </c>
      <c r="C208" s="52" t="s">
        <v>5518</v>
      </c>
    </row>
    <row r="209" spans="1:3">
      <c r="A209" s="62" t="s">
        <v>169</v>
      </c>
      <c r="B209" s="36" t="s">
        <v>57</v>
      </c>
      <c r="C209" s="36" t="s">
        <v>57</v>
      </c>
    </row>
    <row r="210" spans="1:3">
      <c r="A210" s="51" t="s">
        <v>935</v>
      </c>
      <c r="B210" s="52" t="s">
        <v>5518</v>
      </c>
      <c r="C210" s="52" t="s">
        <v>5518</v>
      </c>
    </row>
    <row r="211" spans="1:3" ht="27">
      <c r="A211" s="62" t="s">
        <v>170</v>
      </c>
      <c r="B211" s="36" t="s">
        <v>57</v>
      </c>
      <c r="C211" s="36" t="s">
        <v>57</v>
      </c>
    </row>
    <row r="212" spans="1:3">
      <c r="A212" s="51" t="s">
        <v>935</v>
      </c>
      <c r="B212" s="52" t="s">
        <v>5518</v>
      </c>
      <c r="C212" s="52" t="s">
        <v>5518</v>
      </c>
    </row>
    <row r="213" spans="1:3" ht="18">
      <c r="A213" s="6" t="s">
        <v>4</v>
      </c>
      <c r="B213" s="36" t="s">
        <v>3307</v>
      </c>
      <c r="C213" s="36" t="s">
        <v>3307</v>
      </c>
    </row>
    <row r="214" spans="1:3">
      <c r="A214" s="51" t="s">
        <v>935</v>
      </c>
      <c r="B214" s="52" t="s">
        <v>1407</v>
      </c>
      <c r="C214" s="52" t="s">
        <v>1407</v>
      </c>
    </row>
    <row r="215" spans="1:3" ht="18">
      <c r="A215" s="6" t="s">
        <v>165</v>
      </c>
      <c r="B215" s="36" t="s">
        <v>5520</v>
      </c>
      <c r="C215" s="36" t="s">
        <v>5519</v>
      </c>
    </row>
    <row r="216" spans="1:3">
      <c r="A216" s="51" t="s">
        <v>935</v>
      </c>
      <c r="B216" s="52" t="s">
        <v>1408</v>
      </c>
      <c r="C216" s="52" t="s">
        <v>1408</v>
      </c>
    </row>
    <row r="217" spans="1:3" ht="18">
      <c r="A217" s="6" t="s">
        <v>167</v>
      </c>
      <c r="B217" s="38" t="s">
        <v>0</v>
      </c>
      <c r="C217" s="36" t="s">
        <v>1414</v>
      </c>
    </row>
    <row r="218" spans="1:3">
      <c r="A218" s="51" t="s">
        <v>935</v>
      </c>
      <c r="B218" s="52" t="s">
        <v>0</v>
      </c>
      <c r="C218" s="52" t="s">
        <v>1413</v>
      </c>
    </row>
    <row r="219" spans="1:3">
      <c r="A219" s="6" t="s">
        <v>31</v>
      </c>
      <c r="B219" s="38" t="s">
        <v>0</v>
      </c>
      <c r="C219" s="38" t="s">
        <v>859</v>
      </c>
    </row>
    <row r="220" spans="1:3">
      <c r="A220" s="51" t="s">
        <v>935</v>
      </c>
      <c r="B220" s="52" t="s">
        <v>3308</v>
      </c>
      <c r="C220" s="52" t="s">
        <v>3308</v>
      </c>
    </row>
    <row r="221" spans="1:3">
      <c r="A221" s="6" t="s">
        <v>207</v>
      </c>
      <c r="B221" s="38" t="s">
        <v>0</v>
      </c>
      <c r="C221" s="38" t="s">
        <v>223</v>
      </c>
    </row>
    <row r="222" spans="1:3">
      <c r="A222" s="51" t="s">
        <v>935</v>
      </c>
      <c r="B222" s="52" t="s">
        <v>0</v>
      </c>
      <c r="C222" s="52" t="s">
        <v>1408</v>
      </c>
    </row>
    <row r="223" spans="1:3" ht="18">
      <c r="A223" s="62" t="s">
        <v>5221</v>
      </c>
      <c r="B223" s="38" t="s">
        <v>659</v>
      </c>
      <c r="C223" s="38" t="s">
        <v>111</v>
      </c>
    </row>
    <row r="224" spans="1:3">
      <c r="A224" s="51" t="s">
        <v>935</v>
      </c>
      <c r="B224" s="52" t="s">
        <v>1413</v>
      </c>
      <c r="C224" s="52" t="s">
        <v>1413</v>
      </c>
    </row>
    <row r="226" spans="1:3">
      <c r="A226" s="26" t="s">
        <v>334</v>
      </c>
      <c r="B226" s="60"/>
      <c r="C226" s="60"/>
    </row>
    <row r="227" spans="1:3">
      <c r="A227" s="6" t="s">
        <v>171</v>
      </c>
      <c r="B227" s="38" t="s">
        <v>57</v>
      </c>
      <c r="C227" s="38" t="s">
        <v>57</v>
      </c>
    </row>
    <row r="228" spans="1:3">
      <c r="A228" s="51" t="s">
        <v>935</v>
      </c>
      <c r="B228" s="52" t="s">
        <v>1434</v>
      </c>
      <c r="C228" s="52" t="s">
        <v>1434</v>
      </c>
    </row>
    <row r="229" spans="1:3" ht="18">
      <c r="A229" s="62" t="s">
        <v>172</v>
      </c>
      <c r="B229" s="38" t="s">
        <v>57</v>
      </c>
      <c r="C229" s="38" t="s">
        <v>57</v>
      </c>
    </row>
    <row r="230" spans="1:3">
      <c r="A230" s="51" t="s">
        <v>935</v>
      </c>
      <c r="B230" s="52" t="s">
        <v>1435</v>
      </c>
      <c r="C230" s="52" t="s">
        <v>1435</v>
      </c>
    </row>
    <row r="231" spans="1:3" ht="18">
      <c r="A231" s="62" t="s">
        <v>651</v>
      </c>
      <c r="B231" s="36" t="s">
        <v>2524</v>
      </c>
      <c r="C231" s="36" t="s">
        <v>2524</v>
      </c>
    </row>
    <row r="232" spans="1:3">
      <c r="A232" s="51" t="s">
        <v>935</v>
      </c>
      <c r="B232" s="52" t="s">
        <v>1433</v>
      </c>
      <c r="C232" s="52" t="s">
        <v>1433</v>
      </c>
    </row>
    <row r="234" spans="1:3">
      <c r="A234" s="22" t="s">
        <v>15</v>
      </c>
      <c r="B234" s="64"/>
      <c r="C234" s="64"/>
    </row>
    <row r="235" spans="1:3">
      <c r="A235" s="62" t="s">
        <v>2745</v>
      </c>
      <c r="B235" s="38" t="s">
        <v>57</v>
      </c>
      <c r="C235" s="38" t="s">
        <v>57</v>
      </c>
    </row>
    <row r="236" spans="1:3">
      <c r="A236" s="51" t="s">
        <v>935</v>
      </c>
      <c r="B236" s="52" t="s">
        <v>5521</v>
      </c>
      <c r="C236" s="52" t="s">
        <v>5521</v>
      </c>
    </row>
    <row r="237" spans="1:3">
      <c r="A237" s="62" t="s">
        <v>38</v>
      </c>
      <c r="B237" s="36" t="s">
        <v>57</v>
      </c>
      <c r="C237" s="36" t="s">
        <v>57</v>
      </c>
    </row>
    <row r="238" spans="1:3">
      <c r="A238" s="51" t="s">
        <v>935</v>
      </c>
      <c r="B238" s="52" t="s">
        <v>5522</v>
      </c>
      <c r="C238" s="52" t="s">
        <v>5522</v>
      </c>
    </row>
    <row r="239" spans="1:3">
      <c r="A239" s="62" t="s">
        <v>42</v>
      </c>
      <c r="B239" s="38" t="s">
        <v>57</v>
      </c>
      <c r="C239" s="36" t="s">
        <v>57</v>
      </c>
    </row>
    <row r="240" spans="1:3">
      <c r="A240" s="51" t="s">
        <v>935</v>
      </c>
      <c r="B240" s="52" t="s">
        <v>5523</v>
      </c>
      <c r="C240" s="52" t="s">
        <v>5523</v>
      </c>
    </row>
    <row r="241" spans="1:3">
      <c r="A241" s="62" t="s">
        <v>174</v>
      </c>
      <c r="B241" s="38" t="s">
        <v>0</v>
      </c>
      <c r="C241" s="38" t="s">
        <v>0</v>
      </c>
    </row>
    <row r="242" spans="1:3">
      <c r="A242" s="51" t="s">
        <v>935</v>
      </c>
      <c r="B242" s="52" t="s">
        <v>0</v>
      </c>
      <c r="C242" s="52" t="s">
        <v>0</v>
      </c>
    </row>
    <row r="243" spans="1:3">
      <c r="A243" s="62" t="s">
        <v>43</v>
      </c>
      <c r="B243" s="38" t="s">
        <v>57</v>
      </c>
      <c r="C243" s="38" t="s">
        <v>57</v>
      </c>
    </row>
    <row r="244" spans="1:3">
      <c r="A244" s="51" t="s">
        <v>935</v>
      </c>
      <c r="B244" s="52" t="s">
        <v>1470</v>
      </c>
      <c r="C244" s="52" t="s">
        <v>1470</v>
      </c>
    </row>
    <row r="245" spans="1:3">
      <c r="A245" s="62" t="s">
        <v>175</v>
      </c>
      <c r="B245" s="38" t="s">
        <v>5524</v>
      </c>
      <c r="C245" s="36" t="s">
        <v>5525</v>
      </c>
    </row>
    <row r="246" spans="1:3">
      <c r="A246" s="51" t="s">
        <v>935</v>
      </c>
      <c r="B246" s="52" t="s">
        <v>1408</v>
      </c>
      <c r="C246" s="52" t="s">
        <v>1408</v>
      </c>
    </row>
    <row r="247" spans="1:3" ht="18">
      <c r="A247" s="62" t="s">
        <v>176</v>
      </c>
      <c r="B247" s="38" t="s">
        <v>0</v>
      </c>
      <c r="C247" s="36" t="s">
        <v>5526</v>
      </c>
    </row>
    <row r="248" spans="1:3">
      <c r="A248" s="51" t="s">
        <v>935</v>
      </c>
      <c r="B248" s="52" t="s">
        <v>0</v>
      </c>
      <c r="C248" s="52" t="s">
        <v>5508</v>
      </c>
    </row>
    <row r="249" spans="1:3">
      <c r="A249" s="62" t="s">
        <v>177</v>
      </c>
      <c r="B249" s="38" t="s">
        <v>336</v>
      </c>
      <c r="C249" s="38" t="s">
        <v>41</v>
      </c>
    </row>
    <row r="250" spans="1:3">
      <c r="A250" s="51" t="s">
        <v>935</v>
      </c>
      <c r="B250" s="52" t="s">
        <v>5527</v>
      </c>
      <c r="C250" s="52" t="s">
        <v>5527</v>
      </c>
    </row>
    <row r="251" spans="1:3">
      <c r="A251" s="6" t="s">
        <v>3075</v>
      </c>
      <c r="B251" s="36" t="s">
        <v>5528</v>
      </c>
      <c r="C251" s="36" t="s">
        <v>5529</v>
      </c>
    </row>
    <row r="252" spans="1:3">
      <c r="A252" s="51" t="s">
        <v>935</v>
      </c>
      <c r="B252" s="52" t="s">
        <v>1408</v>
      </c>
      <c r="C252" s="52" t="s">
        <v>1408</v>
      </c>
    </row>
    <row r="253" spans="1:3">
      <c r="A253" s="6" t="s">
        <v>3076</v>
      </c>
      <c r="B253" s="36" t="s">
        <v>5530</v>
      </c>
      <c r="C253" s="36" t="s">
        <v>5531</v>
      </c>
    </row>
    <row r="254" spans="1:3">
      <c r="A254" s="51" t="s">
        <v>935</v>
      </c>
      <c r="B254" s="52" t="s">
        <v>1413</v>
      </c>
      <c r="C254" s="52" t="s">
        <v>1413</v>
      </c>
    </row>
    <row r="255" spans="1:3" ht="18">
      <c r="A255" s="6" t="s">
        <v>49</v>
      </c>
      <c r="B255" s="36" t="s">
        <v>5533</v>
      </c>
      <c r="C255" s="36" t="s">
        <v>5532</v>
      </c>
    </row>
    <row r="256" spans="1:3">
      <c r="A256" s="51" t="s">
        <v>935</v>
      </c>
      <c r="B256" s="52" t="s">
        <v>1413</v>
      </c>
      <c r="C256" s="52" t="s">
        <v>1413</v>
      </c>
    </row>
    <row r="257" spans="1:3">
      <c r="A257" s="6" t="s">
        <v>33</v>
      </c>
      <c r="B257" s="38" t="s">
        <v>6</v>
      </c>
      <c r="C257" s="38" t="s">
        <v>111</v>
      </c>
    </row>
    <row r="258" spans="1:3">
      <c r="A258" s="51" t="s">
        <v>935</v>
      </c>
      <c r="B258" s="52" t="s">
        <v>0</v>
      </c>
      <c r="C258" s="52" t="s">
        <v>1413</v>
      </c>
    </row>
    <row r="259" spans="1:3">
      <c r="A259" s="6" t="s">
        <v>34</v>
      </c>
      <c r="B259" s="38" t="s">
        <v>0</v>
      </c>
      <c r="C259" s="38" t="s">
        <v>0</v>
      </c>
    </row>
    <row r="260" spans="1:3">
      <c r="A260" s="51" t="s">
        <v>935</v>
      </c>
      <c r="B260" s="52" t="s">
        <v>0</v>
      </c>
      <c r="C260" s="52" t="s">
        <v>0</v>
      </c>
    </row>
    <row r="261" spans="1:3">
      <c r="A261" s="6" t="s">
        <v>182</v>
      </c>
      <c r="B261" s="38" t="s">
        <v>57</v>
      </c>
      <c r="C261" s="38" t="s">
        <v>57</v>
      </c>
    </row>
    <row r="262" spans="1:3">
      <c r="A262" s="51" t="s">
        <v>935</v>
      </c>
      <c r="B262" s="52" t="s">
        <v>5534</v>
      </c>
      <c r="C262" s="52" t="s">
        <v>5534</v>
      </c>
    </row>
    <row r="263" spans="1:3" ht="18">
      <c r="A263" s="62" t="s">
        <v>183</v>
      </c>
      <c r="B263" s="38" t="s">
        <v>6</v>
      </c>
      <c r="C263" s="38" t="s">
        <v>111</v>
      </c>
    </row>
    <row r="264" spans="1:3">
      <c r="A264" s="51" t="s">
        <v>935</v>
      </c>
      <c r="B264" s="52" t="s">
        <v>1413</v>
      </c>
      <c r="C264" s="52" t="s">
        <v>1413</v>
      </c>
    </row>
    <row r="265" spans="1:3">
      <c r="A265" s="62" t="s">
        <v>184</v>
      </c>
      <c r="B265" s="38" t="s">
        <v>0</v>
      </c>
      <c r="C265" s="38" t="s">
        <v>0</v>
      </c>
    </row>
    <row r="266" spans="1:3">
      <c r="A266" s="51" t="s">
        <v>935</v>
      </c>
      <c r="B266" s="52" t="s">
        <v>0</v>
      </c>
      <c r="C266" s="52" t="s">
        <v>0</v>
      </c>
    </row>
    <row r="267" spans="1:3">
      <c r="A267" s="31"/>
      <c r="B267" s="65"/>
      <c r="C267" s="65"/>
    </row>
    <row r="268" spans="1:3">
      <c r="A268" s="10" t="s">
        <v>20</v>
      </c>
      <c r="B268" s="49"/>
      <c r="C268" s="49"/>
    </row>
    <row r="269" spans="1:3">
      <c r="A269" s="90" t="s">
        <v>21</v>
      </c>
      <c r="B269" s="38" t="s">
        <v>57</v>
      </c>
      <c r="C269" s="38" t="s">
        <v>57</v>
      </c>
    </row>
    <row r="270" spans="1:3">
      <c r="A270" s="51" t="s">
        <v>935</v>
      </c>
      <c r="B270" s="52" t="s">
        <v>5505</v>
      </c>
      <c r="C270" s="52" t="s">
        <v>5505</v>
      </c>
    </row>
    <row r="271" spans="1:3">
      <c r="A271" s="91" t="s">
        <v>5</v>
      </c>
      <c r="B271" s="38" t="s">
        <v>0</v>
      </c>
      <c r="C271" s="38" t="s">
        <v>0</v>
      </c>
    </row>
    <row r="272" spans="1:3">
      <c r="A272" s="51" t="s">
        <v>935</v>
      </c>
      <c r="B272" s="52" t="s">
        <v>1475</v>
      </c>
      <c r="C272" s="52" t="s">
        <v>1475</v>
      </c>
    </row>
    <row r="273" spans="1:3">
      <c r="A273" s="62" t="s">
        <v>216</v>
      </c>
      <c r="B273" s="38" t="s">
        <v>57</v>
      </c>
      <c r="C273" s="36" t="s">
        <v>57</v>
      </c>
    </row>
    <row r="274" spans="1:3">
      <c r="A274" s="51" t="s">
        <v>935</v>
      </c>
      <c r="B274" s="52" t="s">
        <v>1417</v>
      </c>
      <c r="C274" s="52" t="s">
        <v>1417</v>
      </c>
    </row>
    <row r="275" spans="1:3">
      <c r="A275" s="31"/>
      <c r="B275" s="53"/>
      <c r="C275" s="53"/>
    </row>
    <row r="276" spans="1:3">
      <c r="A276" s="10" t="s">
        <v>186</v>
      </c>
      <c r="B276" s="49"/>
      <c r="C276" s="49"/>
    </row>
    <row r="277" spans="1:3">
      <c r="A277" s="90" t="s">
        <v>187</v>
      </c>
      <c r="B277" s="38" t="s">
        <v>300</v>
      </c>
      <c r="C277" s="38" t="s">
        <v>300</v>
      </c>
    </row>
    <row r="278" spans="1:3">
      <c r="A278" s="51" t="s">
        <v>935</v>
      </c>
      <c r="B278" s="52"/>
      <c r="C278" s="52"/>
    </row>
    <row r="279" spans="1:3">
      <c r="A279" s="23"/>
      <c r="B279" s="53"/>
      <c r="C279" s="53"/>
    </row>
    <row r="280" spans="1:3">
      <c r="A280" s="10" t="s">
        <v>267</v>
      </c>
      <c r="B280" s="49"/>
      <c r="C280" s="49"/>
    </row>
    <row r="281" spans="1:3" ht="36">
      <c r="A281" s="90"/>
      <c r="B281" s="70" t="s">
        <v>1431</v>
      </c>
      <c r="C281" s="70" t="s">
        <v>1431</v>
      </c>
    </row>
    <row r="282" spans="1:3">
      <c r="A282" s="51" t="s">
        <v>935</v>
      </c>
      <c r="B282" s="52" t="s">
        <v>1428</v>
      </c>
      <c r="C282" s="52" t="s">
        <v>1428</v>
      </c>
    </row>
    <row r="283" spans="1:3">
      <c r="A283" s="31"/>
      <c r="B283" s="71"/>
      <c r="C283" s="71"/>
    </row>
    <row r="284" spans="1:3">
      <c r="A284" s="22" t="s">
        <v>70</v>
      </c>
      <c r="B284" s="72"/>
      <c r="C284" s="72"/>
    </row>
    <row r="285" spans="1:3" ht="18">
      <c r="A285" s="6"/>
      <c r="B285" s="36" t="s">
        <v>5535</v>
      </c>
      <c r="C285" s="36" t="s">
        <v>5535</v>
      </c>
    </row>
    <row r="286" spans="1:3">
      <c r="A286" s="31"/>
      <c r="B286" s="73" t="s">
        <v>65</v>
      </c>
      <c r="C286" s="73" t="s">
        <v>65</v>
      </c>
    </row>
    <row r="287" spans="1:3" ht="18">
      <c r="A287" s="94" t="s">
        <v>3183</v>
      </c>
      <c r="B287" s="99" t="s">
        <v>5536</v>
      </c>
      <c r="C287" s="99" t="s">
        <v>5536</v>
      </c>
    </row>
  </sheetData>
  <conditionalFormatting sqref="B277:C277 B273:C273 B271:C271 B265:C265 B263:C263 B259:C259 B241:C241 B239:C239 B261:C261 B243:C243 B235:C235 B223:C223 B221:C221 B285:C285 B227:C227 B251:C251 B237:C237 B255:C255 B245:C245 B257:C257 B281:C281 B253:C253 B231:C231 B86:C86 B84:C84 B141:C141 B113:C113 B60:C60 B56:C56 B54:C54 B52:C52 B50:C50 B48:C48 B46:C46 B44:C44 B42:C42 B40:C40 B36:C36 B34:C34 B32:C32 B10:C10 B187:C187 B219:C219 B205:C205 B201:C201 B199:C199 B185:C185 B183:C183 B181:C181 B179:C179 B160:C160 B158:C158 B167:C167 B165:C165 B152:C152 B162:C162 B156:C156 B154:C154 B150:C150 B145:C145 B143:C143 B139:C139 B135:C135 B131:C131 B129:C129 B127:C127 B137:C137 B133:C133 B125:C125 B123:C123 B121:C121 B119:C119 B111:C111 B107:C107 B103:C103 B93:C93 B91:C91 B82:C82 B74:C74 B70:C70 B64:C64 B38:C38 B24:C24 B22:C22 B20:C20 B16:C16 B68:C68 B109:C109 B101:C101 B26:C26 B66:C66 B189:C189 B12:C12 B105:C105 B76:C76 B8:C8 B99:C99 B97:C97 B95:C95 B171:C171 B117:C117 B2:C2 B72:C72 B14:C14 B195:C195 B209:C209 B211:C211 B213:C213 B62:C62 B78:C78 B191:C191 B193:C193 B197:C197 B203:C203 B207:C207 B217:C217 B215:C215 B229:C229 B247:C247 B249:C249 B269:C269 B28:C28 B4:C4 B6:C6 B30:C30 B175:C175">
    <cfRule type="containsBlanks" dxfId="0" priority="1" stopIfTrue="1">
      <formula>LEN(TRIM(B2))=0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HSR-Druck</vt:lpstr>
      <vt:lpstr>HSR-Daten</vt:lpstr>
      <vt:lpstr>HSR-Archiv Daten ab 2020 </vt:lpstr>
      <vt:lpstr>Archiv bis 2018-12</vt:lpstr>
      <vt:lpstr>Definitionen</vt:lpstr>
      <vt:lpstr>Gesellschaften</vt:lpstr>
      <vt:lpstr>Aufbau 2019 NeuAlt</vt:lpstr>
      <vt:lpstr>in Bearbeitung</vt:lpstr>
      <vt:lpstr>Tabelle1</vt:lpstr>
      <vt:lpstr>Auswahl1HR</vt:lpstr>
      <vt:lpstr>Auswahl2HR</vt:lpstr>
      <vt:lpstr>Auswahl3HR</vt:lpstr>
      <vt:lpstr>AuswMatrixHR</vt:lpstr>
      <vt:lpstr>'HSR-Druck'!Druckbereich</vt:lpstr>
      <vt:lpstr>'HSR-Druck'!Drucktitel</vt:lpstr>
      <vt:lpstr>GesMatrixHR</vt:lpstr>
      <vt:lpstr>VergleichMatrixHR</vt:lpstr>
    </vt:vector>
  </TitlesOfParts>
  <Company>afm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Kiss</dc:creator>
  <cp:lastModifiedBy>Andreas Kiss</cp:lastModifiedBy>
  <cp:lastPrinted>2020-11-05T13:04:46Z</cp:lastPrinted>
  <dcterms:created xsi:type="dcterms:W3CDTF">2006-03-21T16:51:38Z</dcterms:created>
  <dcterms:modified xsi:type="dcterms:W3CDTF">2022-04-21T09:03:24Z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295876812</vt:i4>
  </property>
  <property fmtid="{D5CDD505-2E9C-101B-9397-08002B2CF9AE}" pid="3" name="_EmailSubject">
    <vt:lpwstr/>
  </property>
  <property fmtid="{D5CDD505-2E9C-101B-9397-08002B2CF9AE}" pid="4" name="_AuthorEmail">
    <vt:lpwstr>Huber@afm-gruppe.de</vt:lpwstr>
  </property>
  <property fmtid="{D5CDD505-2E9C-101B-9397-08002B2CF9AE}" pid="5" name="_AuthorEmailDisplayName">
    <vt:lpwstr>Huber, Christoph</vt:lpwstr>
  </property>
  <property fmtid="{D5CDD505-2E9C-101B-9397-08002B2CF9AE}" pid="6" name="_NewReviewCycle">
    <vt:lpwstr/>
  </property>
  <property fmtid="{D5CDD505-2E9C-101B-9397-08002B2CF9AE}" pid="7" name="_PreviousAdHocReviewCycleID">
    <vt:i4>-1148003869</vt:i4>
  </property>
  <property fmtid="{D5CDD505-2E9C-101B-9397-08002B2CF9AE}" pid="8" name="_ReviewingToolsShownOnce">
    <vt:lpwstr/>
  </property>
</Properties>
</file>