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Vertriebssupport\Privatversicherungen\Marktanalyse\Leistungsvergleiche\Cyber Privat\"/>
    </mc:Choice>
  </mc:AlternateContent>
  <workbookProtection workbookPassword="98DB" lockStructure="1"/>
  <bookViews>
    <workbookView xWindow="1860" yWindow="0" windowWidth="25200" windowHeight="12030"/>
  </bookViews>
  <sheets>
    <sheet name="P-Cyber-Druck" sheetId="5" r:id="rId1"/>
    <sheet name="P-Cyber-Daten" sheetId="1" state="hidden" r:id="rId2"/>
    <sheet name="Gesellschaften" sheetId="7" state="hidden" r:id="rId3"/>
    <sheet name="P-Cyber-Archiv" sheetId="6" state="hidden" r:id="rId4"/>
  </sheets>
  <definedNames>
    <definedName name="Auswahl1">'P-Cyber-Daten'!$S$3</definedName>
    <definedName name="Auswahl2">'P-Cyber-Daten'!$T$3</definedName>
    <definedName name="Auswahl3">'P-Cyber-Daten'!$U$3</definedName>
    <definedName name="AuswMatrix">'P-Cyber-Daten'!$O$2:$P$67</definedName>
    <definedName name="_xlnm.Print_Titles" localSheetId="0">'P-Cyber-Druck'!$A:$A,'P-Cyber-Druck'!$1:$1</definedName>
    <definedName name="Gesmatrix">'P-Cyber-Daten'!$P$2:$P$17</definedName>
    <definedName name="VergleichMatrix">'P-Cyber-Daten'!$B$1:$M$245</definedName>
  </definedNames>
  <calcPr calcId="152511"/>
</workbook>
</file>

<file path=xl/calcChain.xml><?xml version="1.0" encoding="utf-8"?>
<calcChain xmlns="http://schemas.openxmlformats.org/spreadsheetml/2006/main">
  <c r="H92" i="1" l="1"/>
  <c r="H86" i="1"/>
  <c r="F96" i="6"/>
  <c r="E96" i="6"/>
  <c r="D96" i="6"/>
  <c r="F92" i="6"/>
  <c r="E92" i="6"/>
  <c r="D92" i="6"/>
  <c r="F86" i="6"/>
  <c r="E86" i="6"/>
  <c r="D86" i="6"/>
  <c r="F76" i="6"/>
  <c r="E76" i="6"/>
  <c r="D76" i="6"/>
  <c r="F72" i="6"/>
  <c r="E72" i="6"/>
  <c r="D72" i="6"/>
  <c r="F68" i="6"/>
  <c r="E68" i="6"/>
  <c r="D68" i="6"/>
  <c r="F60" i="6"/>
  <c r="E60" i="6"/>
  <c r="D60" i="6"/>
  <c r="F52" i="6"/>
  <c r="E52" i="6"/>
  <c r="D52" i="6"/>
  <c r="F48" i="6"/>
  <c r="E48" i="6"/>
  <c r="D48" i="6"/>
  <c r="F44" i="6"/>
  <c r="E44" i="6"/>
  <c r="D44" i="6"/>
  <c r="F36" i="6"/>
  <c r="E36" i="6"/>
  <c r="D36" i="6"/>
  <c r="F28" i="6"/>
  <c r="E28" i="6"/>
  <c r="D28" i="6"/>
  <c r="F18" i="6"/>
  <c r="E18" i="6"/>
  <c r="D18" i="6"/>
  <c r="F4" i="6"/>
  <c r="E4" i="6"/>
  <c r="D4" i="6"/>
  <c r="H76" i="1"/>
  <c r="H72" i="1"/>
  <c r="H68" i="1"/>
  <c r="H60" i="1"/>
  <c r="H52" i="1"/>
  <c r="H48" i="1"/>
  <c r="H44" i="1"/>
  <c r="H36" i="1"/>
  <c r="H28" i="1"/>
  <c r="H18" i="1"/>
  <c r="H96" i="1"/>
  <c r="H4" i="1"/>
  <c r="F52" i="1" l="1"/>
  <c r="F48" i="1"/>
  <c r="F44" i="1"/>
  <c r="F36" i="1"/>
  <c r="B4" i="6" l="1"/>
  <c r="C4" i="6"/>
  <c r="B18" i="6"/>
  <c r="C18" i="6"/>
  <c r="B28" i="6"/>
  <c r="C28" i="6"/>
  <c r="B36" i="6"/>
  <c r="C36" i="6"/>
  <c r="B44" i="6"/>
  <c r="C44" i="6"/>
  <c r="B48" i="6"/>
  <c r="C48" i="6"/>
  <c r="B52" i="6"/>
  <c r="C52" i="6"/>
  <c r="B60" i="6"/>
  <c r="C60" i="6"/>
  <c r="B68" i="6"/>
  <c r="C68" i="6"/>
  <c r="B72" i="6"/>
  <c r="C72" i="6"/>
  <c r="B76" i="6"/>
  <c r="C76" i="6"/>
  <c r="B86" i="6"/>
  <c r="C86" i="6"/>
  <c r="B92" i="6"/>
  <c r="C92" i="6"/>
  <c r="B96" i="6"/>
  <c r="C96" i="6"/>
  <c r="D96" i="1"/>
  <c r="C96" i="1"/>
  <c r="B96" i="1"/>
  <c r="D92" i="1"/>
  <c r="C92" i="1"/>
  <c r="B92" i="1"/>
  <c r="D86" i="1"/>
  <c r="C86" i="1"/>
  <c r="B86" i="1"/>
  <c r="D76" i="1"/>
  <c r="C76" i="1"/>
  <c r="B76" i="1"/>
  <c r="D72" i="1"/>
  <c r="C72" i="1"/>
  <c r="B72" i="1"/>
  <c r="D68" i="1"/>
  <c r="C68" i="1"/>
  <c r="B68" i="1"/>
  <c r="D60" i="1"/>
  <c r="C60" i="1"/>
  <c r="B60" i="1"/>
  <c r="D52" i="1"/>
  <c r="C52" i="1"/>
  <c r="B52" i="1"/>
  <c r="D48" i="1"/>
  <c r="C48" i="1"/>
  <c r="B48" i="1"/>
  <c r="D44" i="1"/>
  <c r="C44" i="1"/>
  <c r="B44" i="1"/>
  <c r="D36" i="1"/>
  <c r="C36" i="1"/>
  <c r="B36" i="1"/>
  <c r="D28" i="1"/>
  <c r="C28" i="1"/>
  <c r="B28" i="1"/>
  <c r="D18" i="1"/>
  <c r="C18" i="1"/>
  <c r="B18" i="1"/>
  <c r="D4" i="1"/>
  <c r="C4" i="1"/>
  <c r="B4" i="1"/>
  <c r="K68" i="1" l="1"/>
  <c r="K72" i="1"/>
  <c r="K76" i="1"/>
  <c r="K86" i="1"/>
  <c r="K96" i="1"/>
  <c r="K92" i="1"/>
  <c r="K60" i="1"/>
  <c r="K52" i="1"/>
  <c r="K36" i="1"/>
  <c r="K44" i="1"/>
  <c r="K48" i="1"/>
  <c r="K18" i="1"/>
  <c r="K4" i="1"/>
  <c r="M36" i="1" l="1"/>
  <c r="M44" i="1"/>
  <c r="M48" i="1"/>
  <c r="M52" i="1"/>
  <c r="M60" i="1"/>
  <c r="F60" i="1"/>
  <c r="M68" i="1"/>
  <c r="M72" i="1"/>
  <c r="M76" i="1"/>
  <c r="M86" i="1"/>
  <c r="M92" i="1"/>
  <c r="M96" i="1"/>
  <c r="L96" i="1"/>
  <c r="J96" i="1"/>
  <c r="L92" i="1"/>
  <c r="J92" i="1"/>
  <c r="L86" i="1"/>
  <c r="J86" i="1"/>
  <c r="L76" i="1"/>
  <c r="J76" i="1"/>
  <c r="L72" i="1"/>
  <c r="J72" i="1"/>
  <c r="L68" i="1"/>
  <c r="J68" i="1"/>
  <c r="L60" i="1"/>
  <c r="J60" i="1"/>
  <c r="L52" i="1"/>
  <c r="J52" i="1"/>
  <c r="L48" i="1"/>
  <c r="J48" i="1"/>
  <c r="L44" i="1"/>
  <c r="J44" i="1"/>
  <c r="L36" i="1"/>
  <c r="J36" i="1"/>
  <c r="L28" i="1"/>
  <c r="J28" i="1"/>
  <c r="L18" i="1"/>
  <c r="J18" i="1"/>
  <c r="L4" i="1"/>
  <c r="J4" i="1"/>
  <c r="M28" i="1"/>
  <c r="M18" i="1"/>
  <c r="M4" i="1"/>
  <c r="E4" i="1"/>
  <c r="E18" i="1"/>
  <c r="E28" i="1"/>
  <c r="E36" i="1"/>
  <c r="E44" i="1"/>
  <c r="E48" i="1"/>
  <c r="E52" i="1"/>
  <c r="E60" i="1"/>
  <c r="E68" i="1"/>
  <c r="E72" i="1"/>
  <c r="E76" i="1"/>
  <c r="E86" i="1"/>
  <c r="E92" i="1"/>
  <c r="E96" i="1"/>
  <c r="I96" i="1"/>
  <c r="G96" i="1"/>
  <c r="F96" i="1"/>
  <c r="I92" i="1"/>
  <c r="G92" i="1"/>
  <c r="F92" i="1"/>
  <c r="I86" i="1"/>
  <c r="G86" i="1"/>
  <c r="F86" i="1"/>
  <c r="I76" i="1"/>
  <c r="G76" i="1"/>
  <c r="F76" i="1"/>
  <c r="I72" i="1"/>
  <c r="G72" i="1"/>
  <c r="F72" i="1"/>
  <c r="I68" i="1"/>
  <c r="G68" i="1"/>
  <c r="F68" i="1"/>
  <c r="I60" i="1"/>
  <c r="G60" i="1"/>
  <c r="I52" i="1"/>
  <c r="G52" i="1"/>
  <c r="I48" i="1"/>
  <c r="G48" i="1"/>
  <c r="I44" i="1"/>
  <c r="G44" i="1"/>
  <c r="I36" i="1"/>
  <c r="G36" i="1"/>
  <c r="I28" i="1"/>
  <c r="G28" i="1"/>
  <c r="F28" i="1"/>
  <c r="I18" i="1"/>
  <c r="G18" i="1"/>
  <c r="F18" i="1"/>
  <c r="I4" i="1"/>
  <c r="G4" i="1"/>
  <c r="F4" i="1"/>
  <c r="E64" i="5" l="1"/>
  <c r="E61" i="5"/>
  <c r="E54" i="5"/>
  <c r="E51" i="5"/>
  <c r="E48" i="5"/>
  <c r="E42" i="5"/>
  <c r="E37" i="5"/>
  <c r="E34" i="5"/>
  <c r="E31" i="5"/>
  <c r="E26" i="5"/>
  <c r="S3" i="1"/>
  <c r="B28" i="5" l="1"/>
  <c r="B27" i="5"/>
  <c r="B17" i="5"/>
  <c r="B23" i="5"/>
  <c r="B19" i="5"/>
  <c r="B22" i="5"/>
  <c r="B24" i="5"/>
  <c r="B18" i="5"/>
  <c r="B29" i="5"/>
  <c r="B65" i="5"/>
  <c r="B12" i="5"/>
  <c r="B9" i="5"/>
  <c r="B13" i="5"/>
  <c r="B38" i="5"/>
  <c r="B44" i="5"/>
  <c r="B55" i="5"/>
  <c r="B39" i="5"/>
  <c r="B45" i="5"/>
  <c r="B56" i="5"/>
  <c r="B10" i="5"/>
  <c r="B11" i="5"/>
  <c r="B16" i="5"/>
  <c r="B32" i="5"/>
  <c r="B40" i="5"/>
  <c r="B49" i="5"/>
  <c r="B57" i="5"/>
  <c r="B62" i="5"/>
  <c r="B8" i="5"/>
  <c r="B35" i="5"/>
  <c r="B43" i="5"/>
  <c r="B52" i="5"/>
  <c r="B58" i="5"/>
  <c r="E15" i="5"/>
  <c r="E7" i="5" l="1"/>
  <c r="E21" i="5"/>
  <c r="T3" i="1" l="1"/>
  <c r="U3" i="1"/>
  <c r="D22" i="5" l="1"/>
  <c r="D24" i="5"/>
  <c r="D18" i="5"/>
  <c r="D17" i="5"/>
  <c r="D29" i="5"/>
  <c r="D23" i="5"/>
  <c r="D19" i="5"/>
  <c r="D28" i="5"/>
  <c r="D27" i="5"/>
  <c r="C27" i="5"/>
  <c r="C23" i="5"/>
  <c r="C17" i="5"/>
  <c r="C22" i="5"/>
  <c r="C18" i="5"/>
  <c r="C28" i="5"/>
  <c r="C29" i="5"/>
  <c r="C19" i="5"/>
  <c r="C24" i="5"/>
  <c r="D62" i="5"/>
  <c r="C62" i="5"/>
  <c r="D8" i="5"/>
  <c r="D9" i="5"/>
  <c r="D65" i="5"/>
  <c r="D57" i="5"/>
  <c r="D49" i="5"/>
  <c r="D40" i="5"/>
  <c r="D32" i="5"/>
  <c r="D11" i="5"/>
  <c r="D52" i="5"/>
  <c r="D56" i="5"/>
  <c r="D45" i="5"/>
  <c r="D39" i="5"/>
  <c r="D16" i="5"/>
  <c r="D10" i="5"/>
  <c r="D55" i="5"/>
  <c r="D44" i="5"/>
  <c r="D38" i="5"/>
  <c r="D13" i="5"/>
  <c r="D58" i="5"/>
  <c r="D43" i="5"/>
  <c r="D35" i="5"/>
  <c r="D12" i="5"/>
  <c r="C56" i="5"/>
  <c r="C39" i="5"/>
  <c r="C13" i="5"/>
  <c r="C65" i="5"/>
  <c r="C55" i="5"/>
  <c r="C49" i="5"/>
  <c r="C45" i="5"/>
  <c r="C38" i="5"/>
  <c r="C32" i="5"/>
  <c r="C10" i="5"/>
  <c r="C52" i="5"/>
  <c r="C43" i="5"/>
  <c r="C35" i="5"/>
  <c r="C16" i="5"/>
  <c r="C8" i="5"/>
  <c r="C58" i="5"/>
  <c r="C44" i="5"/>
  <c r="C12" i="5"/>
  <c r="C9" i="5"/>
  <c r="C57" i="5"/>
  <c r="C40" i="5"/>
  <c r="C11" i="5"/>
  <c r="B5" i="5"/>
  <c r="C4" i="5"/>
  <c r="D4" i="5"/>
  <c r="B4" i="5"/>
  <c r="D5" i="5"/>
  <c r="C5" i="5"/>
  <c r="C61" i="5" l="1"/>
  <c r="C48" i="5"/>
  <c r="C31" i="5"/>
  <c r="C34" i="5"/>
  <c r="C64" i="5"/>
  <c r="C54" i="5"/>
  <c r="C37" i="5"/>
  <c r="C26" i="5"/>
  <c r="C51" i="5"/>
  <c r="C42" i="5"/>
  <c r="B61" i="5"/>
  <c r="B64" i="5"/>
  <c r="B51" i="5"/>
  <c r="B42" i="5"/>
  <c r="B34" i="5"/>
  <c r="B54" i="5"/>
  <c r="B37" i="5"/>
  <c r="B26" i="5"/>
  <c r="B48" i="5"/>
  <c r="B31" i="5"/>
  <c r="D64" i="5"/>
  <c r="D51" i="5"/>
  <c r="D42" i="5"/>
  <c r="D34" i="5"/>
  <c r="D54" i="5"/>
  <c r="D37" i="5"/>
  <c r="D26" i="5"/>
  <c r="D61" i="5"/>
  <c r="D48" i="5"/>
  <c r="D31" i="5"/>
  <c r="D15" i="5"/>
  <c r="B15" i="5"/>
  <c r="C15" i="5"/>
  <c r="D21" i="5"/>
  <c r="D7" i="5"/>
  <c r="B21" i="5"/>
  <c r="B7" i="5"/>
  <c r="C21" i="5"/>
  <c r="C7" i="5"/>
</calcChain>
</file>

<file path=xl/sharedStrings.xml><?xml version="1.0" encoding="utf-8"?>
<sst xmlns="http://schemas.openxmlformats.org/spreadsheetml/2006/main" count="1509" uniqueCount="407">
  <si>
    <t>-</t>
  </si>
  <si>
    <t>Keine</t>
  </si>
  <si>
    <t>Auswahl 1</t>
  </si>
  <si>
    <t>Auswahl 2</t>
  </si>
  <si>
    <t>Auswahl 3</t>
  </si>
  <si>
    <t>ja</t>
  </si>
  <si>
    <t>Kunde:</t>
  </si>
  <si>
    <t>Datum:</t>
  </si>
  <si>
    <t>Bedingungswerk</t>
  </si>
  <si>
    <t>Besonderheiten</t>
  </si>
  <si>
    <t>Quelle:</t>
  </si>
  <si>
    <t>Individuell</t>
  </si>
  <si>
    <t>Aktualität der Bedingungswerke</t>
  </si>
  <si>
    <t>10.000 €</t>
  </si>
  <si>
    <t>15.000 €</t>
  </si>
  <si>
    <t>im Rahmen der VS</t>
  </si>
  <si>
    <t>Allgemein</t>
  </si>
  <si>
    <t>Gesellschaft / Tarif</t>
  </si>
  <si>
    <t>Jahresprämie (inkl. 19% VSt.)</t>
  </si>
  <si>
    <t>Versicherungscharacter</t>
  </si>
  <si>
    <t>Versicherungssumme Rechtsschutz / Deckungssumme Leistung</t>
  </si>
  <si>
    <t xml:space="preserve">Vermögensschäden bis </t>
  </si>
  <si>
    <t>Mediation</t>
  </si>
  <si>
    <t>Versicherte Person</t>
  </si>
  <si>
    <t>Geltungsbereich</t>
  </si>
  <si>
    <t>Daten- und Identitätsmissbrauch</t>
  </si>
  <si>
    <t>Schadensersatzrechtsschutz</t>
  </si>
  <si>
    <t>Aktiver Strafrechtschutz
z.B. Strafanzeige durch Rae</t>
  </si>
  <si>
    <t>Schäden durch Pharming, Phishing, Skimming, unbefugte Verwendung von Krdeit-, Bank-, Debitkarten oder elektonischen Bezahlsystemen</t>
  </si>
  <si>
    <t>Erstattung der Gebührenfür Austausch oder Wiederbeschaffung von Zahlungskarten (z.B. Kreditkarte) und Identitätsdokumenten (z.B. Ausweispapiere)</t>
  </si>
  <si>
    <t>Betrug beim Kauf und Verkauf im Online-Handel</t>
  </si>
  <si>
    <t>Vertragsrechtschutz</t>
  </si>
  <si>
    <t>Bei Warenkauf Erstattung des Kaufpreises. 
Ausgeschl. z.B. Strom Gas Telefon Internet Geld/Gold Konzerttickets Onlinedienste/Downloads</t>
  </si>
  <si>
    <t>Bei Warenverkauf Erstattung des Zeitwertes (begrenzt auf den Verkaufspreis)</t>
  </si>
  <si>
    <t>Hardwareschäden durch Cyberangriffe</t>
  </si>
  <si>
    <t>Reparatur- bzw. Wiederbeschaffungskosten (auch für Mobile Devices und Peripheriegeräte)</t>
  </si>
  <si>
    <t>Datenbeschädigung bzw. -zerstörung durch Cyperangriffe</t>
  </si>
  <si>
    <t>Wiederherstellung von Computersystem und Internetzugang inkl. Rückspielung gespeicherter Daten aus Datenträgern oder Sicherungs-Cloud</t>
  </si>
  <si>
    <t>Wiederbeschaffung von Software nach Cyperangriffen</t>
  </si>
  <si>
    <t>Kosten für Datenträger und Kopierschutzstecker (Dongle)</t>
  </si>
  <si>
    <t>Cypermobbing</t>
  </si>
  <si>
    <t>Anwaltliche Erstberatung
Freie Wahl des Anwaltes oder über Hotline</t>
  </si>
  <si>
    <t>Schadensersatzrechtschutz</t>
  </si>
  <si>
    <t>Psychologische Beratung
Freie Wahl des Psychologen oder über Hotline</t>
  </si>
  <si>
    <t>Rechtswidrige Veröffentlichung persönlicher Daten im Internet</t>
  </si>
  <si>
    <t>Reputationswiederherstellung durch Löschen missbräuchlich verwendeter persönlicher Daten
Freie Wahl des Dienstleisters oder durch Hotline</t>
  </si>
  <si>
    <t>Abmahnung von Urheberrechtsverstößen</t>
  </si>
  <si>
    <t>Verbreitung von Schadsoftware (Haftpflichtansprüche)</t>
  </si>
  <si>
    <t>Smart-Home-Schutz</t>
  </si>
  <si>
    <t>Reparatur- bzw. Wiederbeschaffungskosten nach Cyberangriffen auf Smart-Home-Geräte</t>
  </si>
  <si>
    <t>Energiemehrkosten durch Cyberangriffe (z.B. Heiz- und Stromkosten)</t>
  </si>
  <si>
    <t>Schadensersatzansprüche aufgrund Missbrauch von Smart-Home-Geräten durch die Verbreitung von Schadsoftware bei Dritten</t>
  </si>
  <si>
    <t>Sicherheitssoftware</t>
  </si>
  <si>
    <t>Anbieter</t>
  </si>
  <si>
    <t>Anzahl geschützter Endgeräte</t>
  </si>
  <si>
    <t>ARAG Web aktiv</t>
  </si>
  <si>
    <t>ARAG Web aktiv plus</t>
  </si>
  <si>
    <t>BavariaDirekt Cyperschutz</t>
  </si>
  <si>
    <t>Familie 101,83 €
Single 86,55 €</t>
  </si>
  <si>
    <t>Familie 133,61 €
Single 116,27 €</t>
  </si>
  <si>
    <t>29,73 €</t>
  </si>
  <si>
    <t>59,88 €</t>
  </si>
  <si>
    <t>Rechtsschutz
bzw. Ergänzung zum Rechtsschutz</t>
  </si>
  <si>
    <t>Baustein
BoxFlex Hausrat</t>
  </si>
  <si>
    <t>Schutzbrief</t>
  </si>
  <si>
    <t>5000,- € Beratung und Recherche</t>
  </si>
  <si>
    <t>ARB 2016 S. 8 LÜ</t>
  </si>
  <si>
    <t>siehe einzelne Leistungspunkte</t>
  </si>
  <si>
    <t>3.000,- € 
max 10.000,- € pro Jahr
ab Schadenshöhe 50,- €</t>
  </si>
  <si>
    <t>Recherche, Löschung und Reporting
3 Fälle (VR stellt Dienstleister)
max. 5.000,- € pro Jahr</t>
  </si>
  <si>
    <t>SB 12a § 2 (2) + SB 19</t>
  </si>
  <si>
    <t>3.000,- €
max. 6.000,- € pro Jahr
nur in Deutschland</t>
  </si>
  <si>
    <t>SB 12 § 4 + ARB § 5 a)</t>
  </si>
  <si>
    <t>VN und Partner
inkl. Kinder
(Single: VN und mindj. Kinder)</t>
  </si>
  <si>
    <t>VN
und alle im Haushalt gemeldeten Personen</t>
  </si>
  <si>
    <t>SB 12 § 3</t>
  </si>
  <si>
    <t>BB § 2 a)</t>
  </si>
  <si>
    <t>FAQ-Seite Bavaria</t>
  </si>
  <si>
    <t xml:space="preserve"> vor Behörden und Gerichten
Europa, Mittelmeeranrainer, Kanarischen Inseln, Madeira, Azoren</t>
  </si>
  <si>
    <t>deutsches Recht bzw.
Onlinehändler lt. Impressum in EU ansässig</t>
  </si>
  <si>
    <t>SB 12 § 6 (1)</t>
  </si>
  <si>
    <t>BB § 7a) aa) + § 8 b)</t>
  </si>
  <si>
    <t>3 Erstberatungen a 30 Minuten
Honorar nach RVG
vermittelt durch VR</t>
  </si>
  <si>
    <t>SB 12 § 2 a)</t>
  </si>
  <si>
    <t>BB § 9 b) + § 3</t>
  </si>
  <si>
    <t>max. 1.000,- € pro jahr</t>
  </si>
  <si>
    <t>SB 12 § 2 c)</t>
  </si>
  <si>
    <t>3.000,- € 
max 10.000,- € pro Jahr</t>
  </si>
  <si>
    <t>SB 12a § 2 (2) + SB 19 § 2 (3)</t>
  </si>
  <si>
    <t>BB § 6 b) + d)</t>
  </si>
  <si>
    <t xml:space="preserve">max. 250 €
2 Fälle pro Kalenderjahr  </t>
  </si>
  <si>
    <t>SB 12 § 2 b)</t>
  </si>
  <si>
    <t>Mindest-Kaufpreis 50,-€
3 Fälle /max. 5.000,- € pro Jahr
keine Ersteigerungen</t>
  </si>
  <si>
    <t>max 3.000 ,- € pro Kalenderjahr
Warenwert 50 € bis 3.000 €</t>
  </si>
  <si>
    <t>SB 12a § 2 (2) + SB 19 § 2 (2)</t>
  </si>
  <si>
    <t>BB § 7 a)cc) + c) +d)</t>
  </si>
  <si>
    <t>3.000,- € 
max 10.000,- € pro Jahr
(nur Daten und Dateien)</t>
  </si>
  <si>
    <t>SB 12a § 2 (2) + SB 19 § 2 (5)</t>
  </si>
  <si>
    <t>ARAG JuraTel
Honorar nach RVG</t>
  </si>
  <si>
    <t>SB 12 § 2 f)</t>
  </si>
  <si>
    <t>im Rahmen der VS
inkl. Unterlassungserklärung
bzgl. "E-Reputation"
(Ausschluss: Onlinepresse)</t>
  </si>
  <si>
    <t>SB 12 § 2 a) aa)</t>
  </si>
  <si>
    <t>max 3 Erstberatungen a 45 Minurten
im Kalenderjahr durch VR vermittelt</t>
  </si>
  <si>
    <t>BB § 4</t>
  </si>
  <si>
    <t>SB 12 § 2 a) bb)</t>
  </si>
  <si>
    <t>100 € je Fall
max. 1000 € pro Jahr</t>
  </si>
  <si>
    <t>3 Fälle (VR stellt Dienstleister)
max. 5.000,- € pro Jahr</t>
  </si>
  <si>
    <t>SB 12 § 4</t>
  </si>
  <si>
    <t>SB 12a § 4</t>
  </si>
  <si>
    <t>BB § 4 b) + c)</t>
  </si>
  <si>
    <t>max 500 € pro Kalenderjahr</t>
  </si>
  <si>
    <t>max 1.000 € pro Kalenderjahr</t>
  </si>
  <si>
    <t>SB 12 § 2 d)</t>
  </si>
  <si>
    <t>SB 12 § 2 (1) e)</t>
  </si>
  <si>
    <t>BB § 8</t>
  </si>
  <si>
    <t>erhebliche Ausschlüsse im Bedindungswerk
Produkt auch über mehrerer Onlinehändler erhältlich
Cyperport 118,90
Notebookbolliger.de 119 €
incl. Software von F-Secure</t>
  </si>
  <si>
    <t>ARB 2016 SSB 12
Stand 2016-01</t>
  </si>
  <si>
    <t>ARB 2016 SSB 12 a
Stand 2016-01</t>
  </si>
  <si>
    <t>VHB 2014 / BB Internetschutz 09.14
Stand 2017-04</t>
  </si>
  <si>
    <t>04.07.2018</t>
  </si>
  <si>
    <t>keine Bedingungen / FAQ Liste</t>
  </si>
  <si>
    <t>BGV Onlineschutz</t>
  </si>
  <si>
    <t>INTER CyberGuard Basis</t>
  </si>
  <si>
    <t>INTER CyberGuard Exklusiv</t>
  </si>
  <si>
    <t>INTER CyberGuard Premium</t>
  </si>
  <si>
    <t>Janitos Online-Schutz</t>
  </si>
  <si>
    <t>Roland Websecure</t>
  </si>
  <si>
    <t>39,90 €</t>
  </si>
  <si>
    <t>99 €</t>
  </si>
  <si>
    <t>129 €</t>
  </si>
  <si>
    <t>159 €</t>
  </si>
  <si>
    <t>55,- €</t>
  </si>
  <si>
    <t>Baustein
Hausrat oder Privathaftpflicht</t>
  </si>
  <si>
    <t>5.000,- €</t>
  </si>
  <si>
    <t>max. 10.000 €</t>
  </si>
  <si>
    <t>A1 Ziff. 1.6</t>
  </si>
  <si>
    <t>VN
und alle im Haushalt gemeldeten Personen (PHV-Regelung)</t>
  </si>
  <si>
    <t>VN</t>
  </si>
  <si>
    <t>VN
und 1 weitere Person in häusl. Gem.</t>
  </si>
  <si>
    <t>VN
und Familie in häusl. Gem.</t>
  </si>
  <si>
    <t>§ 1 (1) + (2)</t>
  </si>
  <si>
    <t>A2 Ziff. 2.1</t>
  </si>
  <si>
    <t>A2 Ziff. 2.2</t>
  </si>
  <si>
    <t>A2 Ziff. 2.3</t>
  </si>
  <si>
    <t>1.7 § 2 (2)</t>
  </si>
  <si>
    <t>Onlinekauf/-verkauf: Firmen-EU</t>
  </si>
  <si>
    <t>Deutschland
bzw. deutsches Recht</t>
  </si>
  <si>
    <t>§ 2 c) + 3 c)</t>
  </si>
  <si>
    <t>BBR § 14.6 (2) + 14.5 (1)</t>
  </si>
  <si>
    <t xml:space="preserve">1.7 § 4 + 3 A (2) </t>
  </si>
  <si>
    <t>telefonsiche Erstberatung 
vermittelt durch VR</t>
  </si>
  <si>
    <t>BBR § 14.7 (2) + 14.1</t>
  </si>
  <si>
    <t xml:space="preserve">1.7 § 3 A (2) </t>
  </si>
  <si>
    <t>10.000 €
2 Fälle pro Jahr</t>
  </si>
  <si>
    <t>15.000 €
2 Fälle pro Jahr</t>
  </si>
  <si>
    <t>A 6.1 + A 1.6</t>
  </si>
  <si>
    <t>10.000 €
3 Fälle pro Jahr</t>
  </si>
  <si>
    <t>Online-Schutz-Radar
Scaning des Interents vorbeugend</t>
  </si>
  <si>
    <t>§ 4 c)</t>
  </si>
  <si>
    <t>BBR § 14.4 (2) + (3)</t>
  </si>
  <si>
    <t xml:space="preserve">1.7 § 3 A (1) </t>
  </si>
  <si>
    <t>250 € pro Versicherungsjahr</t>
  </si>
  <si>
    <t>§ 5 b)</t>
  </si>
  <si>
    <t>A 6.3 + A 1.6</t>
  </si>
  <si>
    <t>500 €
2 Fälle pro Jahr</t>
  </si>
  <si>
    <t>1.000 €
2 Fälle pro Jahr</t>
  </si>
  <si>
    <t>A 5.5</t>
  </si>
  <si>
    <t>telefonische Erstberatung
3 Fälle pro Versicherungsjahr
auch bei Abofallen</t>
  </si>
  <si>
    <t>§ 10</t>
  </si>
  <si>
    <t>10.000 € ab Warenwert 50 €
2 Fälle pro Jahr</t>
  </si>
  <si>
    <t>15.000 € ab Warenwert 50 €
2 Fälle pro Jahr</t>
  </si>
  <si>
    <t>§ 2</t>
  </si>
  <si>
    <t>A 7</t>
  </si>
  <si>
    <t>BBR § 14.5 (1) + (4) + (5)</t>
  </si>
  <si>
    <t>max 3.000,- € pro Versicherungsjahr</t>
  </si>
  <si>
    <t>§ 3 b)</t>
  </si>
  <si>
    <t>A 5.1 + A 1.6</t>
  </si>
  <si>
    <t>A 5.1.1</t>
  </si>
  <si>
    <t>max 1.500 € pro Versicherungsjahr
(Ersthilfe durch Wiederherstelungssoftware)</t>
  </si>
  <si>
    <t>750 €
2 Fälle pro Jahr</t>
  </si>
  <si>
    <t>500,- € 1 Fall in 3 Jahren
nur Datenrettung auch Hardwaredefekt
Wartezeit 3 Monate
SB 50,- € für Smartphone und Tablets</t>
  </si>
  <si>
    <t>§ 7 d) + a)</t>
  </si>
  <si>
    <t>A 5.6</t>
  </si>
  <si>
    <t xml:space="preserve">1.7 § 3 B (2) </t>
  </si>
  <si>
    <t>telefonische Erstberatung
3 Fälle pro Versicherungsjahr</t>
  </si>
  <si>
    <t>Honorar nach RVG
2 Fälle pro Jahr</t>
  </si>
  <si>
    <t>Honorar nach RVG
3 Fälle pro Jahr</t>
  </si>
  <si>
    <t>Honorar nach RVG
4 Fälle pro Jahr</t>
  </si>
  <si>
    <t>A 8.1 b) + 8.3</t>
  </si>
  <si>
    <t>max 1 telefonische Erstberatung pro Versicherungsjahr</t>
  </si>
  <si>
    <t>500 €
3 Fälle pro Jahr</t>
  </si>
  <si>
    <t>500 €
4 Fälle pro Jahr</t>
  </si>
  <si>
    <t>Vermittlung zur Akutintervention</t>
  </si>
  <si>
    <t>§ 8 b)</t>
  </si>
  <si>
    <t>A 8.1 a) + 8.4</t>
  </si>
  <si>
    <t>BB § 14.2 (2)</t>
  </si>
  <si>
    <t>1.7 § 3 B (1) b) aa)</t>
  </si>
  <si>
    <t>A 9.1 a) + 9.2 + 1.6</t>
  </si>
  <si>
    <t>max. 1.500 € pro Versicherungsjahr
(VR stellt Dienstleister)</t>
  </si>
  <si>
    <t>1.000 €
3 Fälle pro Jahr</t>
  </si>
  <si>
    <t>1.000 €
4 Fälle pro Jahr</t>
  </si>
  <si>
    <t xml:space="preserve">5000,- € SB 50,- € je Kalenderjahr
3 Löschversuche </t>
  </si>
  <si>
    <t>§ 9 b)</t>
  </si>
  <si>
    <t>A 9.1 B) + 9.3 + 1.6</t>
  </si>
  <si>
    <t>BBR § 14.2 (2) +(3)</t>
  </si>
  <si>
    <t>BBR § 14.6</t>
  </si>
  <si>
    <t>2.500 €
2 Fälle pro Jahr</t>
  </si>
  <si>
    <t>2.500 €
3 Fälle pro Jahr</t>
  </si>
  <si>
    <t>2.500 €
4 Fälle pro Jahr</t>
  </si>
  <si>
    <t>A 11</t>
  </si>
  <si>
    <t>A 5.4 + A 1.6</t>
  </si>
  <si>
    <t>Norton Security Online</t>
  </si>
  <si>
    <t>3</t>
  </si>
  <si>
    <t>5</t>
  </si>
  <si>
    <t>10</t>
  </si>
  <si>
    <t>NUTZUNG der Sicherheitssoftware ist verpflichtend</t>
  </si>
  <si>
    <t>über Roland-Shop
Vergünstigungen auf KaperskyLab</t>
  </si>
  <si>
    <t>A 1.2 + B 2.2</t>
  </si>
  <si>
    <t>1.7 § 3 Vorsorge</t>
  </si>
  <si>
    <t>AVB Onlineschutz 01/17
Stand 2018-05</t>
  </si>
  <si>
    <t>AVB CyberGuard 2017
Stand 2018-02-05</t>
  </si>
  <si>
    <t>ASB 2016 WebSecure
Stand 2017-08-16</t>
  </si>
  <si>
    <t>Jahresprämie</t>
  </si>
  <si>
    <t>Geltungsbereich vor Behörden und Gerichten</t>
  </si>
  <si>
    <t>Bei Warenkauf Erstattung des Kaufpreises.</t>
  </si>
  <si>
    <t>Jahresprämie inkl. VSt.</t>
  </si>
  <si>
    <t>Energiemehrkosten durch Cyberangriffe 
(z.B. Heiz- und Stromkosten)</t>
  </si>
  <si>
    <t>R+V SicherOnline</t>
  </si>
  <si>
    <t>AXA BoxFlex</t>
  </si>
  <si>
    <t>LÜ Angebot R+V Connect</t>
  </si>
  <si>
    <t>Baustein Hausrat
comfort und classic</t>
  </si>
  <si>
    <t>Tarif</t>
  </si>
  <si>
    <t>29.2.1</t>
  </si>
  <si>
    <t>Onlinekauf/-verkauf: EWR
Konten: nur Inländisch</t>
  </si>
  <si>
    <t>29.6.2 + 29.10. (7)</t>
  </si>
  <si>
    <t>10.000,- €
keine Schäden unter 50 €</t>
  </si>
  <si>
    <t>HR Comfort HRB 01/18
Stand  2018</t>
  </si>
  <si>
    <t>29.8.1</t>
  </si>
  <si>
    <t>Onlinekauf/-verkauf: EWR
Konten:EWR</t>
  </si>
  <si>
    <t>A 7.1 a) + 7.2 l)</t>
  </si>
  <si>
    <t xml:space="preserve"> - siehe AXA
 - erhebliche Ausschlüsse im Bedindungswerk</t>
  </si>
  <si>
    <t>Produkt-Art</t>
  </si>
  <si>
    <t>eigenständig</t>
  </si>
  <si>
    <t>Annex</t>
  </si>
  <si>
    <t>nein</t>
  </si>
  <si>
    <t>HSR</t>
  </si>
  <si>
    <t>Barmenia</t>
  </si>
  <si>
    <t>Gesellschaft</t>
  </si>
  <si>
    <t>ARAG</t>
  </si>
  <si>
    <t>AXA</t>
  </si>
  <si>
    <t>BGV</t>
  </si>
  <si>
    <t>INTER</t>
  </si>
  <si>
    <t>Janitos</t>
  </si>
  <si>
    <t>Roland</t>
  </si>
  <si>
    <t>Bavaria Direkt</t>
  </si>
  <si>
    <t xml:space="preserve">R+V </t>
  </si>
  <si>
    <t>Sicher-Online</t>
  </si>
  <si>
    <t>Websecure</t>
  </si>
  <si>
    <t>Online-Schutz</t>
  </si>
  <si>
    <t>Onlineschutz</t>
  </si>
  <si>
    <t>Cyberschutz</t>
  </si>
  <si>
    <t>BoxFlex</t>
  </si>
  <si>
    <t>HSR + PH</t>
  </si>
  <si>
    <t>ERGO Direkt</t>
  </si>
  <si>
    <t>Internet-Schutzbrief</t>
  </si>
  <si>
    <t>Cosmos</t>
  </si>
  <si>
    <t>Finanz-Schutz</t>
  </si>
  <si>
    <t>RS mit Cyber-Erweiterung</t>
  </si>
  <si>
    <t>SV Sparkassenversicherung</t>
  </si>
  <si>
    <t>Advocard</t>
  </si>
  <si>
    <t>RS</t>
  </si>
  <si>
    <t>Erweiterung</t>
  </si>
  <si>
    <t>DEVK</t>
  </si>
  <si>
    <t>Vergleich</t>
  </si>
  <si>
    <t>VGH</t>
  </si>
  <si>
    <t>Gothaer</t>
  </si>
  <si>
    <t>Änderungen</t>
  </si>
  <si>
    <t>Allianz</t>
  </si>
  <si>
    <t>in Planung</t>
  </si>
  <si>
    <t>K&amp;M Konzept &amp;Marketing</t>
  </si>
  <si>
    <t>I / 2019 eingeführt</t>
  </si>
  <si>
    <t>II / 2019 geplant</t>
  </si>
  <si>
    <t>Anzahl</t>
  </si>
  <si>
    <t>GDV</t>
  </si>
  <si>
    <t>Musterbedingungen geplant</t>
  </si>
  <si>
    <t>DMB</t>
  </si>
  <si>
    <t>Cyber-Rechtsschutz</t>
  </si>
  <si>
    <t>ÖVB Öffentliche Braunschweig</t>
  </si>
  <si>
    <t>Digital-Schutz</t>
  </si>
  <si>
    <t>A. Kiss</t>
  </si>
  <si>
    <t xml:space="preserve">geprüft von </t>
  </si>
  <si>
    <t>Öff. Braunschweig DigitalSchutz</t>
  </si>
  <si>
    <t>weltweit, jedoch müssen Ansprüche im EWR geltend gemacht werden</t>
  </si>
  <si>
    <t>B4-5</t>
  </si>
  <si>
    <t>A1-1.5</t>
  </si>
  <si>
    <t>A1-1.8</t>
  </si>
  <si>
    <t>OEVB DigitalSchutz</t>
  </si>
  <si>
    <t xml:space="preserve">Baustein
Hausrat oder Privathaftpflicht
(Einzel-Vertrag nur Direktkunden) </t>
  </si>
  <si>
    <t>Makler-Info 2019-08</t>
  </si>
  <si>
    <t>3.000 € ab Warenwert 50 €
2 Fälle pro Jahr
(kein Ratenkauf)
weitere Ausschlüsse Warengruppen</t>
  </si>
  <si>
    <t>Mindest-Kaufpreis 50,-€
3 Fälle /max. 5.000,- € pro Jahr
keine Ersteigerungen
weitere Ausschlüsse Warengruppen</t>
  </si>
  <si>
    <t>A1 - 1.1.1 + 1.1.2 + 1.1.6</t>
  </si>
  <si>
    <t>3.000 € 
2 Fälle pro Jahr
Ausschlüsse Warengruppen gem.Kauf</t>
  </si>
  <si>
    <t>A1 - 1.2.2 + 1.2.5</t>
  </si>
  <si>
    <t>A1 - 1 .3.2</t>
  </si>
  <si>
    <t>15.000 €
2 Fälle pro Jahr
auch SB-Übernahme</t>
  </si>
  <si>
    <t>A1 - 1 .3.2 + 1.4</t>
  </si>
  <si>
    <t>300 €
2 Fälle pro Jahr</t>
  </si>
  <si>
    <t>A1. - 1.7.3</t>
  </si>
  <si>
    <t>2.000 €
2 Fälle pro Jahr
(nicht Spielekonsole)</t>
  </si>
  <si>
    <t>telefonische Erstberatung bis 3 Stunden
anschließende Behandlung bis 300 €</t>
  </si>
  <si>
    <t>A1 - 1.9.3</t>
  </si>
  <si>
    <t>telefonsiche Erstberatung 
vermittelt durch VR
2 Fälle pro Jahr</t>
  </si>
  <si>
    <t>je Website innerhalb 6 Monaten 
3 Löschversuche 
Dienstleister des VR</t>
  </si>
  <si>
    <t>A1 - 1.9.2</t>
  </si>
  <si>
    <t>A1 - 2</t>
  </si>
  <si>
    <t>max 30.000 € im Jahr
über alle Leistungen</t>
  </si>
  <si>
    <t>A1 - 1.5.1</t>
  </si>
  <si>
    <t>Serviceleistungen im Zusammenhang
mit Sperrungen von Konten,  Zahlungsmitteln
über normale Ausschlüsse hinaus 
auch Cyberterrorismus</t>
  </si>
  <si>
    <t>A1 - 1.6 + A 1 - 16.6</t>
  </si>
  <si>
    <t>Öffentliche Braunschweig
CBP 2018</t>
  </si>
  <si>
    <t>A2 - 1.1.1 bis 4 + 1.2</t>
  </si>
  <si>
    <t>3.000 € 
auch Datenschutzverletzungen
Vermögenschäden aus Personenrechnten  / Mobbing</t>
  </si>
  <si>
    <t>Hadtpflichtansprüche aus Urheber-
Rechtsverletzungen bis 3.000 €</t>
  </si>
  <si>
    <t>A2 - 1.1.3</t>
  </si>
  <si>
    <t>ARAG Web aktiv Basis</t>
  </si>
  <si>
    <t>ARAG Web aktiv Komfort</t>
  </si>
  <si>
    <t>ARAG Web aktiv Premium</t>
  </si>
  <si>
    <t>Familie 44,10 € bzw. ab 33,08 €
Single 37,49 € bzw. ab 28,11 €</t>
  </si>
  <si>
    <t>Familie 134,10 € bzw. ab 100,58 €
Single 113,99 € bzw. ab 85,49 €</t>
  </si>
  <si>
    <t>Tarif 2019-06 S 77</t>
  </si>
  <si>
    <t>Tarif 2019-06 S 75</t>
  </si>
  <si>
    <t>Tarif 2019-06 S 79+80</t>
  </si>
  <si>
    <t>Familie 224,10 € bzw. ab 168,08 €
Single 190,49 € bzw. ab 142,86 €</t>
  </si>
  <si>
    <t>ARB 2019 S.8 LÜ</t>
  </si>
  <si>
    <t>VN und Partner inkl. Kinder 
auch gemeldete Familienangehörige
(Single: VN und mindj. Kinder)</t>
  </si>
  <si>
    <t xml:space="preserve"> vor Behörden und Gerichten
Europa, Mittelmeeranrainer, Kanarischen Inseln, Madeira, Azoren
(weltweit 100.000 €)</t>
  </si>
  <si>
    <t xml:space="preserve">SB 12 § 6 (1) (+2) </t>
  </si>
  <si>
    <t>Vermögensschäden durch Pharming, Phishing, Skimming, unbefugte Verwendung von Krdeit-, Bank-, Debitkarten oder elektonischen Bezahlsystemen</t>
  </si>
  <si>
    <t>im Rahmen der VS
inkl. Unterlassungserklärung
bzgl. "E-Reputation"</t>
  </si>
  <si>
    <t>SB 12 § 2 e)</t>
  </si>
  <si>
    <t>250 € 
max 500 € pro Jahr</t>
  </si>
  <si>
    <t>SB 12a § 2 (2) + SB 19 § 2 (6)</t>
  </si>
  <si>
    <t>SB 12a § 2 (2) + SB 19 § 2 (1)</t>
  </si>
  <si>
    <t>max 10.000 € pro Kalenderjahr</t>
  </si>
  <si>
    <t>ARB 2019 SSB 12 a zu  
web@aktiv Komfort
Stand 2019-06</t>
  </si>
  <si>
    <t>ARB 2019 SSB 12 a zu  
web@aktiv Basis
Stand 2019-06</t>
  </si>
  <si>
    <t>ARB 2019 SSB 12 a zu  
web@aktiv Premium
Stand 2019-06</t>
  </si>
  <si>
    <t xml:space="preserve">SB 12a § 2 g) + 4 </t>
  </si>
  <si>
    <t xml:space="preserve">SB 12a § 2 H) + 4 </t>
  </si>
  <si>
    <t>* erweiterter Strafrechtschutz</t>
  </si>
  <si>
    <t>max 15.000 € pro Kalenderjahr</t>
  </si>
  <si>
    <t>* Arbeitsrecht Internet 1.000€
* erweiterter Strafrechtschutz
* digitaler Nachlass 
einmalig 500 €</t>
  </si>
  <si>
    <t>SB 12 § 2 b)
SB 12 § 2 f)
SB 12 § 2 i)</t>
  </si>
  <si>
    <t>SB 12 § 2 b)
SB 12 § 2 f)
SB 12 § 2 i)
SB 12 § 2 j)
AB 12 § 2 k)</t>
  </si>
  <si>
    <t>Web aktiv Basis</t>
  </si>
  <si>
    <t>Web aktiv Komfort</t>
  </si>
  <si>
    <t>Web aktiv Premium</t>
  </si>
  <si>
    <t>03.03.2020 überarbeitet</t>
  </si>
  <si>
    <t>02.03.2020 überarbeitet</t>
  </si>
  <si>
    <t>* Arbeitsrecht Internet 1.000€
* erweiterter Strafrechtschutz
* selbst.Nebentätigkeit bis 
bis 17.500 € Umsatz 
kein Vertrags- und Sachenrecht
* digitaler Nachlass 
einmalig 500 €
* WebCheck 100€ 1x pro Jahr
INKLUSIVE  Gegenstandsversicherung
Eletronikdeckung 5.000 € max 20.000€</t>
  </si>
  <si>
    <t>exemplarisch aus Hausrattarif
BBR Best Selection 2017
Stand 2017-04</t>
  </si>
  <si>
    <t>ARB § 5 (6) e) bb)</t>
  </si>
  <si>
    <t>ja
nur VR vermittelt</t>
  </si>
  <si>
    <t>1.000,- €
keine Schäden unter 50 €</t>
  </si>
  <si>
    <t>25,32 €
Stand  2018-07</t>
  </si>
  <si>
    <t>STAND 2020-03-06</t>
  </si>
  <si>
    <t>Nein, dafür aber
Elektronik-Deckung 
bis 5.000 € pro Gerät (max 20.000€)</t>
  </si>
  <si>
    <t>LÜ Internet</t>
  </si>
  <si>
    <t xml:space="preserve"> telefonische Erstberatung
durch VR vermittelt bis 300 €</t>
  </si>
  <si>
    <t>VersichererHotline
für ersten Rat</t>
  </si>
  <si>
    <t>Leistungsübersicht des VR
im Internet vom 2020-03</t>
  </si>
  <si>
    <t>INTER CyberGuard</t>
  </si>
  <si>
    <t>AVB CyberGuard 2020
Stand 2020-03-01</t>
  </si>
  <si>
    <t>A1 Ziff. 1.5</t>
  </si>
  <si>
    <t>A2</t>
  </si>
  <si>
    <t>Übernahme von Verzugskosten für die durch Cyberangriffe nicht ausgeführten Zahlungsanweisungen</t>
  </si>
  <si>
    <t>CyberGuard</t>
  </si>
  <si>
    <t>19.05.2020 ersetzt B/E/P</t>
  </si>
  <si>
    <t>A 6.1 + A 1.5</t>
  </si>
  <si>
    <t>A 6.13+ A 1.5</t>
  </si>
  <si>
    <t>ab 8. Tag
max 250 €
2 Fälle pro Jahr</t>
  </si>
  <si>
    <t>Mietkosten für Ersatzcomputer 
bei durch VR veranlasste Untersuchungen ab…..</t>
  </si>
  <si>
    <t>A 5.1.2</t>
  </si>
  <si>
    <t xml:space="preserve">Reparatur- bzw. Wiederbeschaffungskosten (auch für Mobile Devices und Peripheriegeräte) zum Neuwert </t>
  </si>
  <si>
    <t>15.000 €
2 Fälle pro Jahr
bis 1.000 € Mehrkosten</t>
  </si>
  <si>
    <t>A 5.1  + A 5.1..1 + A 1.5</t>
  </si>
  <si>
    <t>2.000 €
2 Fälle pro Jahr</t>
  </si>
  <si>
    <t>nur im Rahmen der Erstberatung</t>
  </si>
  <si>
    <t>A 9.1 a) + 9.2 + 1.5</t>
  </si>
  <si>
    <t>A 8.1 b) + 8.3 + A 1.5</t>
  </si>
  <si>
    <t>A 8.1 a) + 8.4 + A 1.5</t>
  </si>
  <si>
    <t>A 5.2 + A 1.5</t>
  </si>
  <si>
    <t>A 5.2 + A 1.6</t>
  </si>
  <si>
    <t>A 9.1 B) + 9.3 + 1.5</t>
  </si>
  <si>
    <t>A 10 + A 1.5</t>
  </si>
  <si>
    <t>A 10 + A 1.6</t>
  </si>
  <si>
    <t>A 11 + A 1.5</t>
  </si>
  <si>
    <t>A 11 + A 1.6</t>
  </si>
  <si>
    <t>Schadensersatzansprüche aus Übermittlung und Bereitstellung elektronischer Daten z.B. über Internet, E-Mail, Datenträger
(innerhalb EU/EWR und dessen Recht)</t>
  </si>
  <si>
    <t>Im Rahmen von Hardwaereschäden 
bei Cyberangriff</t>
  </si>
  <si>
    <t>A 5.4 + A 1.5</t>
  </si>
  <si>
    <t>Im Rahmen von 
Verbreitung Schadsoftware</t>
  </si>
  <si>
    <t>Verbreitung Schadsoftware 
(Haftpflichtansprüche)</t>
  </si>
  <si>
    <t>59,88 € 
(4,99 € monatlich kündbar)</t>
  </si>
  <si>
    <t>Anbieter
(nicht mehr im Vergleich seit 20.05.2020)</t>
  </si>
  <si>
    <t>Anzahl geschützter Endgeräte
(nicht mehr im Vergleich seit 20.05.2020)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</si>
</sst>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0\ &quot;€&quot;;[Red]\-#,##0\ &quot;€&quot;"/>
    <numFmt numFmtId="8" formatCode="#,##0.00\ &quot;€&quot;;[Red]\-#,##0.00\ &quot;€&quot;"/>
    <numFmt numFmtId="44" formatCode="_-* #,##0.00\ &quot;€&quot;_-;\-* #,##0.00\ &quot;€&quot;_-;_-* &quot;-&quot;??\ &quot;€&quot;_-;_-@_-"/>
    <numFmt numFmtId="164" formatCode="#,##0\ [$€-1];[Red]\-#,##0\ [$€-1]"/>
    <numFmt numFmtId="165" formatCode="#,##0.00\ &quot;€&quot;"/>
  </numFmts>
  <fonts count="20">
    <font>
      <sz val="10"/>
      <name val="Arial"/>
    </font>
    <font>
      <sz val="8"/>
      <name val="Arial"/>
      <family val="2"/>
    </font>
    <font>
      <b/>
      <sz val="10"/>
      <name val="Arial"/>
      <family val="2"/>
    </font>
    <font>
      <sz val="8"/>
      <name val="Arial"/>
      <family val="2"/>
    </font>
    <font>
      <b/>
      <sz val="10"/>
      <color indexed="23"/>
      <name val="Wingdings"/>
      <charset val="2"/>
    </font>
    <font>
      <b/>
      <sz val="10"/>
      <name val="Wingdings 2"/>
      <family val="1"/>
      <charset val="2"/>
    </font>
    <font>
      <sz val="10"/>
      <name val="Arial"/>
      <family val="2"/>
    </font>
    <font>
      <sz val="8"/>
      <name val="Wingdings 2"/>
      <family val="1"/>
      <charset val="2"/>
    </font>
    <font>
      <b/>
      <sz val="7"/>
      <color indexed="9"/>
      <name val="Arial"/>
      <family val="2"/>
    </font>
    <font>
      <sz val="7"/>
      <name val="Arial"/>
      <family val="2"/>
    </font>
    <font>
      <b/>
      <sz val="7"/>
      <name val="Arial"/>
      <family val="2"/>
    </font>
    <font>
      <b/>
      <sz val="7"/>
      <color indexed="23"/>
      <name val="Wingdings"/>
      <charset val="2"/>
    </font>
    <font>
      <sz val="10"/>
      <color rgb="FFFF0000"/>
      <name val="Arial"/>
      <family val="2"/>
    </font>
    <font>
      <sz val="7"/>
      <color theme="1"/>
      <name val="Arial"/>
      <family val="2"/>
    </font>
    <font>
      <sz val="10"/>
      <name val="Arial"/>
    </font>
    <font>
      <b/>
      <sz val="7"/>
      <color rgb="FFFFFFFF"/>
      <name val="Arial"/>
      <family val="2"/>
    </font>
    <font>
      <sz val="10"/>
      <color rgb="FF006100"/>
      <name val="Arial"/>
      <family val="2"/>
    </font>
    <font>
      <sz val="10"/>
      <color rgb="FF9C0006"/>
      <name val="Arial"/>
      <family val="2"/>
    </font>
    <font>
      <sz val="10"/>
      <color theme="0"/>
      <name val="Arial"/>
      <family val="2"/>
    </font>
    <font>
      <b/>
      <sz val="8"/>
      <color theme="1"/>
      <name val="Arial"/>
      <family val="2"/>
    </font>
  </fonts>
  <fills count="13">
    <fill>
      <patternFill patternType="none"/>
    </fill>
    <fill>
      <patternFill patternType="gray125"/>
    </fill>
    <fill>
      <patternFill patternType="solid">
        <fgColor indexed="63"/>
        <bgColor indexed="64"/>
      </patternFill>
    </fill>
    <fill>
      <patternFill patternType="solid">
        <fgColor theme="9"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1D2D4B"/>
        <bgColor rgb="FF000000"/>
      </patternFill>
    </fill>
    <fill>
      <patternFill patternType="solid">
        <fgColor rgb="FFC6EFCE"/>
      </patternFill>
    </fill>
    <fill>
      <patternFill patternType="solid">
        <fgColor rgb="FFFFC7CE"/>
      </patternFill>
    </fill>
    <fill>
      <patternFill patternType="solid">
        <fgColor theme="4" tint="-0.499984740745262"/>
        <bgColor indexed="64"/>
      </patternFill>
    </fill>
    <fill>
      <patternFill patternType="solid">
        <fgColor rgb="FFFF0000"/>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3"/>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3"/>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s>
  <cellStyleXfs count="4">
    <xf numFmtId="0" fontId="0" fillId="0" borderId="0"/>
    <xf numFmtId="44" fontId="14" fillId="0" borderId="0" applyFont="0" applyFill="0" applyBorder="0" applyAlignment="0" applyProtection="0"/>
    <xf numFmtId="0" fontId="16" fillId="8" borderId="0" applyNumberFormat="0" applyBorder="0" applyAlignment="0" applyProtection="0"/>
    <xf numFmtId="0" fontId="17" fillId="9" borderId="0" applyNumberFormat="0" applyBorder="0" applyAlignment="0" applyProtection="0"/>
  </cellStyleXfs>
  <cellXfs count="150">
    <xf numFmtId="0" fontId="0" fillId="0" borderId="0" xfId="0"/>
    <xf numFmtId="0" fontId="2" fillId="0" borderId="0" xfId="0" applyNumberFormat="1" applyFont="1" applyBorder="1" applyAlignment="1">
      <alignment horizontal="center" vertical="center" wrapText="1"/>
    </xf>
    <xf numFmtId="0" fontId="0" fillId="0" borderId="0" xfId="0" applyBorder="1"/>
    <xf numFmtId="0" fontId="4" fillId="0" borderId="0" xfId="0" applyNumberFormat="1" applyFont="1" applyBorder="1" applyAlignment="1">
      <alignment horizontal="center" vertical="center"/>
    </xf>
    <xf numFmtId="0" fontId="0" fillId="0" borderId="0" xfId="0" applyFill="1" applyBorder="1"/>
    <xf numFmtId="0" fontId="7" fillId="0" borderId="0" xfId="0" applyNumberFormat="1" applyFont="1" applyFill="1" applyBorder="1" applyAlignment="1">
      <alignment horizontal="center" vertical="center" wrapText="1"/>
    </xf>
    <xf numFmtId="0" fontId="3" fillId="0" borderId="0" xfId="0" applyFont="1" applyBorder="1"/>
    <xf numFmtId="0" fontId="9" fillId="0" borderId="0" xfId="0" applyFont="1" applyBorder="1"/>
    <xf numFmtId="0" fontId="10" fillId="0" borderId="0" xfId="0" applyFont="1" applyBorder="1" applyAlignment="1" applyProtection="1">
      <alignment horizontal="right" vertical="center" indent="3"/>
    </xf>
    <xf numFmtId="14" fontId="9" fillId="0" borderId="1" xfId="0" applyNumberFormat="1" applyFont="1" applyBorder="1" applyAlignment="1" applyProtection="1">
      <alignment horizontal="center" vertical="center"/>
      <protection locked="0"/>
    </xf>
    <xf numFmtId="0" fontId="9" fillId="0" borderId="1" xfId="0" applyNumberFormat="1" applyFont="1" applyFill="1" applyBorder="1" applyAlignment="1">
      <alignment horizontal="center" vertical="center" wrapText="1"/>
    </xf>
    <xf numFmtId="0" fontId="9" fillId="0" borderId="0" xfId="0" applyFont="1" applyFill="1" applyBorder="1"/>
    <xf numFmtId="0" fontId="8" fillId="2" borderId="2" xfId="0" applyNumberFormat="1" applyFont="1" applyFill="1" applyBorder="1" applyAlignment="1" applyProtection="1">
      <alignment horizontal="center" vertical="center" wrapText="1"/>
      <protection locked="0"/>
    </xf>
    <xf numFmtId="0" fontId="6" fillId="0" borderId="0" xfId="0" applyFont="1" applyFill="1" applyBorder="1" applyAlignment="1">
      <alignment horizontal="left"/>
    </xf>
    <xf numFmtId="0" fontId="9"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3" fillId="0" borderId="0" xfId="0" applyFont="1" applyFill="1" applyBorder="1"/>
    <xf numFmtId="0" fontId="9" fillId="0" borderId="0" xfId="0" applyFont="1" applyFill="1" applyBorder="1" applyAlignment="1">
      <alignment horizontal="left"/>
    </xf>
    <xf numFmtId="49" fontId="9" fillId="0" borderId="0" xfId="0" applyNumberFormat="1" applyFont="1" applyFill="1" applyBorder="1"/>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9" fillId="0" borderId="1" xfId="0"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wrapText="1"/>
      <protection locked="0"/>
    </xf>
    <xf numFmtId="0" fontId="9" fillId="0" borderId="0" xfId="0" applyFont="1" applyFill="1" applyBorder="1" applyAlignment="1">
      <alignment horizontal="center" vertical="center" wrapText="1"/>
    </xf>
    <xf numFmtId="49" fontId="9" fillId="3" borderId="1" xfId="0" applyNumberFormat="1" applyFont="1" applyFill="1" applyBorder="1" applyAlignment="1">
      <alignment horizontal="center" vertical="center"/>
    </xf>
    <xf numFmtId="164" fontId="9" fillId="0" borderId="1" xfId="0" applyNumberFormat="1" applyFont="1" applyFill="1" applyBorder="1" applyAlignment="1" applyProtection="1">
      <alignment horizontal="center" vertical="center"/>
      <protection locked="0"/>
    </xf>
    <xf numFmtId="49" fontId="9" fillId="0" borderId="1" xfId="0" applyNumberFormat="1" applyFont="1" applyFill="1" applyBorder="1" applyAlignment="1" applyProtection="1">
      <alignment horizontal="center" vertical="center"/>
      <protection locked="0"/>
    </xf>
    <xf numFmtId="0" fontId="8" fillId="2" borderId="1" xfId="0" applyFont="1" applyFill="1" applyBorder="1" applyAlignment="1">
      <alignment vertical="center" wrapText="1"/>
    </xf>
    <xf numFmtId="0" fontId="9" fillId="3" borderId="1" xfId="0" applyFont="1" applyFill="1" applyBorder="1" applyAlignment="1">
      <alignment horizontal="right" vertical="center" wrapText="1" indent="1"/>
    </xf>
    <xf numFmtId="0" fontId="9" fillId="0" borderId="0" xfId="0" applyFont="1" applyBorder="1" applyAlignment="1">
      <alignment vertical="center" wrapText="1"/>
    </xf>
    <xf numFmtId="49" fontId="9"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Border="1" applyAlignment="1">
      <alignment horizontal="center"/>
    </xf>
    <xf numFmtId="0" fontId="9" fillId="0" borderId="0" xfId="0" applyFont="1" applyFill="1" applyBorder="1" applyAlignment="1" applyProtection="1">
      <alignment horizontal="center" vertical="center" wrapText="1"/>
      <protection locked="0"/>
    </xf>
    <xf numFmtId="0" fontId="9" fillId="0" borderId="0" xfId="0" applyFont="1" applyBorder="1" applyAlignment="1" applyProtection="1">
      <alignment horizontal="center" vertical="center"/>
      <protection locked="0"/>
    </xf>
    <xf numFmtId="0" fontId="9" fillId="0" borderId="0" xfId="0" applyFont="1" applyFill="1" applyBorder="1" applyAlignment="1">
      <alignment wrapText="1"/>
    </xf>
    <xf numFmtId="0" fontId="9" fillId="0" borderId="0" xfId="0" applyFont="1" applyBorder="1" applyProtection="1"/>
    <xf numFmtId="0" fontId="0" fillId="0" borderId="0" xfId="0" applyBorder="1" applyProtection="1"/>
    <xf numFmtId="0" fontId="0" fillId="0" borderId="0" xfId="0" applyFill="1" applyBorder="1" applyProtection="1"/>
    <xf numFmtId="0" fontId="2" fillId="0" borderId="0" xfId="0" applyFont="1" applyBorder="1" applyAlignment="1" applyProtection="1">
      <alignment vertical="top"/>
    </xf>
    <xf numFmtId="0" fontId="5" fillId="0" borderId="0" xfId="0" applyFont="1" applyBorder="1" applyAlignment="1" applyProtection="1">
      <alignment vertical="center"/>
    </xf>
    <xf numFmtId="0" fontId="8" fillId="0" borderId="0" xfId="0" applyNumberFormat="1" applyFont="1" applyFill="1" applyBorder="1" applyAlignment="1" applyProtection="1">
      <alignment horizontal="center" vertical="center" wrapText="1"/>
    </xf>
    <xf numFmtId="0" fontId="8" fillId="2" borderId="4"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vertical="center" wrapText="1"/>
    </xf>
    <xf numFmtId="0" fontId="9" fillId="0" borderId="3" xfId="0" applyFont="1" applyFill="1" applyBorder="1" applyAlignment="1">
      <alignment vertical="center" wrapText="1"/>
    </xf>
    <xf numFmtId="0" fontId="10" fillId="0" borderId="1" xfId="0" applyNumberFormat="1" applyFont="1" applyFill="1" applyBorder="1" applyAlignment="1" applyProtection="1">
      <alignment horizontal="center" vertical="center" wrapText="1"/>
      <protection locked="0"/>
    </xf>
    <xf numFmtId="0" fontId="0" fillId="6" borderId="0" xfId="0" applyFill="1" applyBorder="1"/>
    <xf numFmtId="0" fontId="9" fillId="6" borderId="0" xfId="0" applyFont="1" applyFill="1" applyBorder="1"/>
    <xf numFmtId="0" fontId="0" fillId="3" borderId="0" xfId="0" applyFill="1" applyBorder="1"/>
    <xf numFmtId="0" fontId="9" fillId="0" borderId="0" xfId="0" applyFont="1" applyBorder="1" applyAlignment="1">
      <alignment wrapText="1"/>
    </xf>
    <xf numFmtId="0" fontId="10" fillId="0" borderId="0" xfId="0" applyFont="1" applyBorder="1" applyAlignment="1">
      <alignment wrapText="1"/>
    </xf>
    <xf numFmtId="0" fontId="10" fillId="0" borderId="0" xfId="0" applyFont="1" applyFill="1" applyBorder="1" applyAlignment="1">
      <alignment horizontal="left" wrapText="1"/>
    </xf>
    <xf numFmtId="0" fontId="12" fillId="0" borderId="0" xfId="0" applyFont="1" applyBorder="1" applyAlignment="1">
      <alignment horizontal="center" vertical="center" wrapText="1"/>
    </xf>
    <xf numFmtId="0" fontId="9" fillId="0" borderId="0" xfId="0" applyFont="1" applyFill="1" applyBorder="1" applyAlignment="1">
      <alignment horizontal="center" vertical="center"/>
    </xf>
    <xf numFmtId="0" fontId="13" fillId="0" borderId="0" xfId="0" applyFont="1" applyFill="1" applyBorder="1" applyAlignment="1">
      <alignment horizontal="left"/>
    </xf>
    <xf numFmtId="0" fontId="9" fillId="0" borderId="0" xfId="0" applyFont="1" applyFill="1" applyBorder="1" applyAlignment="1" applyProtection="1">
      <alignment vertical="center" wrapText="1"/>
    </xf>
    <xf numFmtId="0" fontId="9" fillId="6" borderId="1" xfId="0" applyFont="1" applyFill="1" applyBorder="1" applyAlignment="1">
      <alignment vertical="center" wrapText="1"/>
    </xf>
    <xf numFmtId="0" fontId="0" fillId="0" borderId="0" xfId="0" applyFill="1" applyBorder="1" applyAlignment="1">
      <alignment horizontal="left"/>
    </xf>
    <xf numFmtId="0" fontId="0" fillId="0" borderId="0" xfId="0" applyBorder="1" applyAlignment="1">
      <alignment horizontal="left"/>
    </xf>
    <xf numFmtId="0" fontId="0" fillId="6" borderId="0" xfId="0" applyFill="1" applyBorder="1" applyAlignment="1">
      <alignment horizontal="left"/>
    </xf>
    <xf numFmtId="0" fontId="3" fillId="0" borderId="0" xfId="0" applyFont="1" applyFill="1" applyBorder="1" applyAlignment="1">
      <alignment horizontal="left"/>
    </xf>
    <xf numFmtId="0" fontId="9" fillId="0" borderId="0" xfId="0" applyFont="1" applyBorder="1" applyAlignment="1">
      <alignment horizontal="left"/>
    </xf>
    <xf numFmtId="0" fontId="3" fillId="0" borderId="0" xfId="0" applyFont="1" applyBorder="1" applyAlignment="1">
      <alignment horizontal="left"/>
    </xf>
    <xf numFmtId="0" fontId="13" fillId="0" borderId="0" xfId="0" applyFont="1" applyFill="1" applyBorder="1" applyAlignment="1">
      <alignment horizontal="left" wrapText="1"/>
    </xf>
    <xf numFmtId="0" fontId="9" fillId="5" borderId="0" xfId="0" applyFont="1" applyFill="1" applyBorder="1"/>
    <xf numFmtId="0" fontId="0" fillId="0" borderId="0" xfId="0" applyFill="1" applyBorder="1" applyAlignment="1">
      <alignment wrapText="1"/>
    </xf>
    <xf numFmtId="0" fontId="0" fillId="0" borderId="0" xfId="0" applyFill="1" applyBorder="1" applyAlignment="1">
      <alignment horizontal="left" wrapText="1"/>
    </xf>
    <xf numFmtId="0" fontId="0" fillId="0" borderId="0" xfId="0" applyBorder="1" applyAlignment="1">
      <alignment wrapText="1"/>
    </xf>
    <xf numFmtId="0" fontId="9" fillId="6" borderId="1" xfId="0" applyNumberFormat="1" applyFont="1" applyFill="1" applyBorder="1" applyAlignment="1">
      <alignment horizontal="center" vertical="center" wrapText="1"/>
    </xf>
    <xf numFmtId="0" fontId="13" fillId="0" borderId="0" xfId="0" applyFont="1" applyBorder="1" applyAlignment="1"/>
    <xf numFmtId="0" fontId="13" fillId="0" borderId="0" xfId="0" applyFont="1" applyFill="1" applyBorder="1" applyAlignment="1"/>
    <xf numFmtId="0" fontId="13" fillId="0" borderId="0" xfId="0" applyFont="1" applyFill="1" applyBorder="1" applyAlignment="1">
      <alignment wrapText="1"/>
    </xf>
    <xf numFmtId="0" fontId="13" fillId="0" borderId="0" xfId="0" applyFont="1" applyBorder="1" applyAlignment="1">
      <alignment wrapText="1"/>
    </xf>
    <xf numFmtId="49" fontId="9" fillId="0" borderId="0" xfId="0" applyNumberFormat="1"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protection locked="0"/>
    </xf>
    <xf numFmtId="0" fontId="9" fillId="6" borderId="1" xfId="0" applyFont="1" applyFill="1" applyBorder="1" applyAlignment="1" applyProtection="1">
      <alignment horizontal="center" vertical="center"/>
      <protection locked="0"/>
    </xf>
    <xf numFmtId="49" fontId="9" fillId="6" borderId="1" xfId="0" applyNumberFormat="1" applyFont="1" applyFill="1" applyBorder="1" applyAlignment="1" applyProtection="1">
      <alignment horizontal="center" vertical="center" wrapText="1"/>
      <protection locked="0"/>
    </xf>
    <xf numFmtId="0" fontId="9" fillId="6" borderId="1" xfId="0" applyFont="1" applyFill="1" applyBorder="1" applyAlignment="1" applyProtection="1">
      <alignment horizontal="center" vertical="center" wrapText="1"/>
      <protection locked="0"/>
    </xf>
    <xf numFmtId="49" fontId="9" fillId="6" borderId="1" xfId="0" applyNumberFormat="1" applyFont="1" applyFill="1" applyBorder="1" applyAlignment="1" applyProtection="1">
      <alignment horizontal="center" vertical="center"/>
      <protection locked="0"/>
    </xf>
    <xf numFmtId="0" fontId="15" fillId="7" borderId="8" xfId="0" applyFont="1" applyFill="1" applyBorder="1" applyAlignment="1" applyProtection="1">
      <alignment vertical="center" wrapText="1"/>
    </xf>
    <xf numFmtId="44" fontId="9" fillId="3" borderId="1" xfId="1" applyFont="1" applyFill="1" applyBorder="1" applyAlignment="1">
      <alignment horizontal="right" vertical="center" wrapText="1" indent="1"/>
    </xf>
    <xf numFmtId="0" fontId="9" fillId="6" borderId="7" xfId="0" applyFont="1" applyFill="1" applyBorder="1" applyAlignment="1">
      <alignment horizontal="right" vertical="center" wrapText="1" indent="1"/>
    </xf>
    <xf numFmtId="0" fontId="9" fillId="0" borderId="7" xfId="0" applyFont="1" applyFill="1" applyBorder="1" applyAlignment="1">
      <alignment horizontal="left" vertical="center" wrapText="1" indent="2"/>
    </xf>
    <xf numFmtId="0" fontId="9" fillId="0" borderId="0" xfId="0" applyFont="1"/>
    <xf numFmtId="0" fontId="9" fillId="3" borderId="1" xfId="0" applyNumberFormat="1" applyFont="1" applyFill="1" applyBorder="1" applyAlignment="1">
      <alignment horizontal="center" vertical="center"/>
    </xf>
    <xf numFmtId="0" fontId="9" fillId="3" borderId="1" xfId="0" applyNumberFormat="1" applyFont="1" applyFill="1" applyBorder="1" applyAlignment="1">
      <alignment horizontal="right" vertical="center" wrapText="1" indent="1"/>
    </xf>
    <xf numFmtId="0" fontId="15" fillId="7" borderId="8" xfId="0" applyNumberFormat="1" applyFont="1" applyFill="1" applyBorder="1" applyAlignment="1" applyProtection="1">
      <alignment vertical="center"/>
    </xf>
    <xf numFmtId="0" fontId="15" fillId="7" borderId="8" xfId="0" applyNumberFormat="1" applyFont="1" applyFill="1" applyBorder="1" applyAlignment="1" applyProtection="1">
      <alignment horizontal="center" vertical="center"/>
    </xf>
    <xf numFmtId="0" fontId="9" fillId="0" borderId="1" xfId="0" applyNumberFormat="1" applyFont="1" applyFill="1" applyBorder="1" applyAlignment="1">
      <alignment vertical="center" wrapText="1"/>
    </xf>
    <xf numFmtId="0" fontId="9" fillId="0" borderId="1" xfId="0" applyNumberFormat="1" applyFont="1" applyFill="1" applyBorder="1" applyAlignment="1">
      <alignment horizontal="center" vertical="center"/>
    </xf>
    <xf numFmtId="0" fontId="9" fillId="0" borderId="0" xfId="0" applyNumberFormat="1" applyFont="1" applyBorder="1"/>
    <xf numFmtId="0" fontId="9" fillId="0" borderId="0" xfId="0" applyNumberFormat="1" applyFont="1" applyFill="1" applyBorder="1" applyAlignment="1">
      <alignment horizontal="center"/>
    </xf>
    <xf numFmtId="0" fontId="9" fillId="6" borderId="0" xfId="0" applyNumberFormat="1" applyFont="1" applyFill="1" applyBorder="1" applyAlignment="1">
      <alignment horizontal="center"/>
    </xf>
    <xf numFmtId="0" fontId="9" fillId="0" borderId="0" xfId="0" applyNumberFormat="1" applyFont="1" applyBorder="1" applyAlignment="1">
      <alignment horizontal="center"/>
    </xf>
    <xf numFmtId="0" fontId="15" fillId="7" borderId="8" xfId="0" applyNumberFormat="1" applyFont="1" applyFill="1" applyBorder="1" applyAlignment="1" applyProtection="1">
      <alignment vertical="center" wrapText="1"/>
    </xf>
    <xf numFmtId="0" fontId="15" fillId="7" borderId="8" xfId="0" applyNumberFormat="1" applyFont="1" applyFill="1" applyBorder="1" applyAlignment="1" applyProtection="1">
      <alignment horizontal="center" vertical="center" wrapText="1"/>
    </xf>
    <xf numFmtId="0" fontId="9" fillId="5" borderId="1" xfId="0" applyNumberFormat="1" applyFont="1" applyFill="1" applyBorder="1" applyAlignment="1">
      <alignment horizontal="center" vertical="center" wrapText="1"/>
    </xf>
    <xf numFmtId="0" fontId="9" fillId="0" borderId="0" xfId="0" applyNumberFormat="1" applyFont="1" applyBorder="1" applyAlignment="1">
      <alignment vertical="center" wrapText="1"/>
    </xf>
    <xf numFmtId="0" fontId="9" fillId="0" borderId="0" xfId="0" applyNumberFormat="1" applyFont="1" applyBorder="1" applyAlignment="1">
      <alignment horizontal="center" vertical="center"/>
    </xf>
    <xf numFmtId="0" fontId="9" fillId="0" borderId="0" xfId="0" applyNumberFormat="1" applyFont="1" applyFill="1" applyBorder="1" applyAlignment="1">
      <alignment horizontal="center" vertical="center" wrapText="1"/>
    </xf>
    <xf numFmtId="0" fontId="9" fillId="5" borderId="1" xfId="0" applyNumberFormat="1" applyFont="1" applyFill="1" applyBorder="1" applyAlignment="1">
      <alignment horizontal="center" vertical="center"/>
    </xf>
    <xf numFmtId="0" fontId="9" fillId="0" borderId="3" xfId="0" applyNumberFormat="1" applyFont="1" applyFill="1" applyBorder="1" applyAlignment="1">
      <alignment vertical="center" wrapText="1"/>
    </xf>
    <xf numFmtId="0" fontId="9" fillId="0" borderId="3"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xf>
    <xf numFmtId="0" fontId="9" fillId="6" borderId="7" xfId="0" applyNumberFormat="1" applyFont="1" applyFill="1" applyBorder="1" applyAlignment="1">
      <alignment horizontal="right" vertical="center" wrapText="1" indent="1"/>
    </xf>
    <xf numFmtId="0" fontId="9" fillId="6" borderId="7" xfId="0" applyNumberFormat="1" applyFont="1" applyFill="1" applyBorder="1" applyAlignment="1">
      <alignment horizontal="center" vertical="center"/>
    </xf>
    <xf numFmtId="0" fontId="9" fillId="0" borderId="7" xfId="0" applyNumberFormat="1" applyFont="1" applyFill="1" applyBorder="1" applyAlignment="1">
      <alignment horizontal="left" vertical="center" wrapText="1" indent="2"/>
    </xf>
    <xf numFmtId="0" fontId="9" fillId="0" borderId="7" xfId="0" applyNumberFormat="1" applyFont="1" applyFill="1" applyBorder="1" applyAlignment="1">
      <alignment horizontal="center" vertical="center" wrapText="1"/>
    </xf>
    <xf numFmtId="0" fontId="9" fillId="0" borderId="7" xfId="0" applyNumberFormat="1" applyFont="1" applyFill="1" applyBorder="1" applyAlignment="1">
      <alignment horizontal="center" vertical="center"/>
    </xf>
    <xf numFmtId="0" fontId="9" fillId="6" borderId="1" xfId="0" applyNumberFormat="1" applyFont="1" applyFill="1" applyBorder="1" applyAlignment="1">
      <alignment vertical="center" wrapText="1"/>
    </xf>
    <xf numFmtId="0" fontId="9" fillId="6" borderId="1" xfId="0" applyNumberFormat="1" applyFont="1" applyFill="1" applyBorder="1" applyAlignment="1">
      <alignment horizontal="center" vertical="center"/>
    </xf>
    <xf numFmtId="0" fontId="9" fillId="0" borderId="0" xfId="0" applyNumberFormat="1" applyFont="1" applyFill="1" applyBorder="1" applyAlignment="1">
      <alignment vertical="center" wrapText="1"/>
    </xf>
    <xf numFmtId="0" fontId="9" fillId="0" borderId="0" xfId="0" applyNumberFormat="1" applyFont="1" applyFill="1" applyBorder="1" applyAlignment="1">
      <alignment horizontal="center" vertical="center"/>
    </xf>
    <xf numFmtId="0" fontId="11" fillId="0" borderId="0"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0" fontId="9" fillId="0" borderId="1" xfId="0" quotePrefix="1" applyNumberFormat="1" applyFont="1" applyFill="1" applyBorder="1" applyAlignment="1">
      <alignment horizontal="center" vertical="center" wrapText="1"/>
    </xf>
    <xf numFmtId="0" fontId="9" fillId="5" borderId="1" xfId="0" quotePrefix="1" applyNumberFormat="1" applyFont="1" applyFill="1" applyBorder="1" applyAlignment="1">
      <alignment horizontal="center" vertical="center" wrapText="1"/>
    </xf>
    <xf numFmtId="0" fontId="9" fillId="4" borderId="1" xfId="0" applyNumberFormat="1" applyFont="1" applyFill="1" applyBorder="1" applyAlignment="1">
      <alignment horizontal="center" vertical="center" wrapText="1"/>
    </xf>
    <xf numFmtId="8" fontId="9" fillId="0" borderId="1" xfId="0" applyNumberFormat="1" applyFont="1" applyFill="1" applyBorder="1" applyAlignment="1">
      <alignment horizontal="center" vertical="center" wrapText="1"/>
    </xf>
    <xf numFmtId="14" fontId="9" fillId="4" borderId="1" xfId="0" applyNumberFormat="1" applyFont="1" applyFill="1" applyBorder="1" applyAlignment="1">
      <alignment horizontal="center" vertical="center" wrapText="1"/>
    </xf>
    <xf numFmtId="0" fontId="9" fillId="6" borderId="0" xfId="0" applyFont="1" applyFill="1" applyBorder="1" applyAlignment="1">
      <alignment vertical="center" wrapText="1"/>
    </xf>
    <xf numFmtId="6" fontId="9" fillId="0" borderId="1" xfId="0" applyNumberFormat="1" applyFont="1" applyFill="1" applyBorder="1" applyAlignment="1">
      <alignment horizontal="center" vertical="center" wrapText="1"/>
    </xf>
    <xf numFmtId="0" fontId="0" fillId="0" borderId="0" xfId="0" applyAlignment="1">
      <alignment horizontal="center"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19" fillId="0" borderId="0" xfId="0" applyNumberFormat="1" applyFont="1" applyFill="1" applyBorder="1" applyAlignment="1" applyProtection="1">
      <alignment horizontal="center" vertical="center"/>
    </xf>
    <xf numFmtId="0" fontId="18" fillId="10" borderId="0" xfId="0" applyFont="1" applyFill="1" applyBorder="1" applyAlignment="1">
      <alignment horizontal="center" vertical="center"/>
    </xf>
    <xf numFmtId="0" fontId="6" fillId="0" borderId="0" xfId="0" applyFont="1" applyFill="1" applyBorder="1" applyAlignment="1">
      <alignment horizontal="center" vertical="center"/>
    </xf>
    <xf numFmtId="0" fontId="6" fillId="4" borderId="0" xfId="0" applyFont="1" applyFill="1" applyBorder="1" applyAlignment="1">
      <alignment horizontal="center" vertical="center"/>
    </xf>
    <xf numFmtId="0" fontId="17" fillId="11" borderId="0" xfId="3" applyFill="1" applyBorder="1" applyAlignment="1">
      <alignment horizontal="center" vertical="center"/>
    </xf>
    <xf numFmtId="0" fontId="17" fillId="9" borderId="0" xfId="3" applyNumberFormat="1" applyBorder="1" applyAlignment="1" applyProtection="1">
      <alignment horizontal="center" vertical="center"/>
    </xf>
    <xf numFmtId="0" fontId="16" fillId="8" borderId="0" xfId="2" applyAlignment="1">
      <alignment horizontal="center" vertical="center"/>
    </xf>
    <xf numFmtId="0" fontId="10" fillId="0" borderId="0" xfId="0" applyFont="1" applyFill="1" applyBorder="1" applyAlignment="1" applyProtection="1">
      <alignment horizontal="left"/>
    </xf>
    <xf numFmtId="0" fontId="8" fillId="0" borderId="0" xfId="0" applyFont="1" applyFill="1" applyBorder="1" applyAlignment="1">
      <alignment horizontal="center" vertical="center" wrapText="1"/>
    </xf>
    <xf numFmtId="0" fontId="9" fillId="3" borderId="1" xfId="0" applyNumberFormat="1" applyFont="1" applyFill="1" applyBorder="1" applyAlignment="1">
      <alignment horizontal="center" vertical="center" wrapText="1"/>
    </xf>
    <xf numFmtId="165" fontId="9" fillId="0" borderId="1" xfId="0" applyNumberFormat="1" applyFont="1" applyFill="1" applyBorder="1" applyAlignment="1" applyProtection="1">
      <alignment horizontal="center" vertical="center" wrapText="1"/>
    </xf>
    <xf numFmtId="165" fontId="9" fillId="6" borderId="1" xfId="0" applyNumberFormat="1" applyFont="1" applyFill="1" applyBorder="1" applyAlignment="1" applyProtection="1">
      <alignment horizontal="center" vertical="center" wrapText="1"/>
    </xf>
    <xf numFmtId="6" fontId="9" fillId="5" borderId="1" xfId="0" applyNumberFormat="1" applyFont="1" applyFill="1" applyBorder="1" applyAlignment="1">
      <alignment horizontal="center" vertical="center" wrapText="1"/>
    </xf>
    <xf numFmtId="165" fontId="9" fillId="0" borderId="9" xfId="0" applyNumberFormat="1" applyFont="1" applyBorder="1" applyAlignment="1" applyProtection="1">
      <alignment horizontal="center" vertical="center"/>
    </xf>
    <xf numFmtId="0" fontId="9" fillId="0" borderId="5"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165" fontId="9" fillId="0" borderId="0" xfId="0" applyNumberFormat="1" applyFont="1" applyBorder="1" applyAlignment="1" applyProtection="1">
      <alignment horizontal="center" vertical="center"/>
    </xf>
    <xf numFmtId="0" fontId="9" fillId="12" borderId="1" xfId="0" applyNumberFormat="1" applyFont="1" applyFill="1" applyBorder="1" applyAlignment="1">
      <alignment vertical="center" wrapText="1"/>
    </xf>
    <xf numFmtId="0" fontId="15" fillId="7" borderId="1" xfId="0" applyFont="1" applyFill="1" applyBorder="1" applyAlignment="1" applyProtection="1">
      <alignment vertical="center" wrapText="1"/>
    </xf>
    <xf numFmtId="0" fontId="8" fillId="2" borderId="1" xfId="0" applyNumberFormat="1" applyFont="1" applyFill="1" applyBorder="1" applyAlignment="1" applyProtection="1">
      <alignment horizontal="center" vertical="center"/>
    </xf>
    <xf numFmtId="0" fontId="8" fillId="2" borderId="1" xfId="0" applyFont="1" applyFill="1" applyBorder="1" applyAlignment="1" applyProtection="1">
      <alignment vertical="center" wrapText="1"/>
    </xf>
    <xf numFmtId="0" fontId="15" fillId="7" borderId="1" xfId="0" applyFont="1" applyFill="1" applyBorder="1" applyAlignment="1" applyProtection="1">
      <alignment horizontal="center" vertical="center" wrapText="1"/>
    </xf>
    <xf numFmtId="0" fontId="15" fillId="7" borderId="1" xfId="0" applyNumberFormat="1" applyFont="1" applyFill="1" applyBorder="1" applyAlignment="1" applyProtection="1">
      <alignment vertical="center" wrapText="1"/>
    </xf>
    <xf numFmtId="0" fontId="9" fillId="0" borderId="1" xfId="0" applyFont="1" applyFill="1" applyBorder="1" applyAlignment="1" applyProtection="1">
      <alignment vertical="center" wrapText="1"/>
    </xf>
  </cellXfs>
  <cellStyles count="4">
    <cellStyle name="Gut" xfId="2" builtinId="26"/>
    <cellStyle name="Schlecht" xfId="3" builtinId="27"/>
    <cellStyle name="Standard" xfId="0" builtinId="0"/>
    <cellStyle name="Währung" xfId="1" builtinId="4"/>
  </cellStyles>
  <dxfs count="51">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BFB088"/>
      <rgbColor rgb="0000FFFF"/>
      <rgbColor rgb="006E0717"/>
      <rgbColor rgb="00008000"/>
      <rgbColor rgb="001D2D4B"/>
      <rgbColor rgb="00808000"/>
      <rgbColor rgb="00800080"/>
      <rgbColor rgb="00008080"/>
      <rgbColor rgb="00D6D6D6"/>
      <rgbColor rgb="00777777"/>
      <rgbColor rgb="001D2D4B"/>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7D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D2D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Drop" dropLines="20" dropStyle="combo" dx="16" fmlaLink="'P-Cyber-Daten'!$S$2" fmlaRange="Gesmatrix" sel="1" val="0"/>
</file>

<file path=xl/ctrlProps/ctrlProp2.xml><?xml version="1.0" encoding="utf-8"?>
<formControlPr xmlns="http://schemas.microsoft.com/office/spreadsheetml/2009/9/main" objectType="Drop" dropLines="20" dropStyle="combo" dx="16" fmlaLink="'P-Cyber-Daten'!$T$2" fmlaRange="Gesmatrix" sel="1" val="0"/>
</file>

<file path=xl/ctrlProps/ctrlProp3.xml><?xml version="1.0" encoding="utf-8"?>
<formControlPr xmlns="http://schemas.microsoft.com/office/spreadsheetml/2009/9/main" objectType="Drop" dropLines="20" dropStyle="combo" dx="16" fmlaLink="'P-Cyber-Daten'!$U$2" fmlaRange="Gesmatrix" sel="1" val="0"/>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2</xdr:row>
          <xdr:rowOff>28575</xdr:rowOff>
        </xdr:from>
        <xdr:to>
          <xdr:col>1</xdr:col>
          <xdr:colOff>1428750</xdr:colOff>
          <xdr:row>2</xdr:row>
          <xdr:rowOff>257175</xdr:rowOff>
        </xdr:to>
        <xdr:sp macro="" textlink="">
          <xdr:nvSpPr>
            <xdr:cNvPr id="4097" name="Drop Down 1" hidden="1">
              <a:extLst>
                <a:ext uri="{63B3BB69-23CF-44E3-9099-C40C66FF867C}">
                  <a14:compatExt spid="_x0000_s40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xdr:row>
          <xdr:rowOff>28575</xdr:rowOff>
        </xdr:from>
        <xdr:to>
          <xdr:col>2</xdr:col>
          <xdr:colOff>1428750</xdr:colOff>
          <xdr:row>2</xdr:row>
          <xdr:rowOff>247650</xdr:rowOff>
        </xdr:to>
        <xdr:sp macro="" textlink="">
          <xdr:nvSpPr>
            <xdr:cNvPr id="4098" name="Drop Down 2" hidden="1">
              <a:extLst>
                <a:ext uri="{63B3BB69-23CF-44E3-9099-C40C66FF867C}">
                  <a14:compatExt spid="_x0000_s40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xdr:row>
          <xdr:rowOff>28575</xdr:rowOff>
        </xdr:from>
        <xdr:to>
          <xdr:col>3</xdr:col>
          <xdr:colOff>1428750</xdr:colOff>
          <xdr:row>2</xdr:row>
          <xdr:rowOff>247650</xdr:rowOff>
        </xdr:to>
        <xdr:sp macro="" textlink="">
          <xdr:nvSpPr>
            <xdr:cNvPr id="4099" name="Drop Down 3" hidden="1">
              <a:extLst>
                <a:ext uri="{63B3BB69-23CF-44E3-9099-C40C66FF867C}">
                  <a14:compatExt spid="_x0000_s40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89"/>
  <sheetViews>
    <sheetView showGridLines="0" tabSelected="1" zoomScaleNormal="100" zoomScaleSheetLayoutView="100" workbookViewId="0">
      <selection activeCell="D40" sqref="D40"/>
    </sheetView>
  </sheetViews>
  <sheetFormatPr baseColWidth="10" defaultRowHeight="12.75"/>
  <cols>
    <col min="1" max="1" width="37.7109375" style="37" customWidth="1"/>
    <col min="2" max="5" width="23.7109375" style="37" customWidth="1"/>
    <col min="6" max="16384" width="11.42578125" style="37"/>
  </cols>
  <sheetData>
    <row r="1" spans="1:5" ht="12" customHeight="1">
      <c r="A1" s="36"/>
      <c r="B1" s="36"/>
      <c r="C1" s="36"/>
      <c r="D1" s="36"/>
      <c r="E1" s="36"/>
    </row>
    <row r="2" spans="1:5" s="38" customFormat="1" ht="20.100000000000001" customHeight="1">
      <c r="A2" s="8" t="s">
        <v>6</v>
      </c>
      <c r="B2" s="140"/>
      <c r="C2" s="141"/>
      <c r="D2" s="8" t="s">
        <v>7</v>
      </c>
      <c r="E2" s="9"/>
    </row>
    <row r="3" spans="1:5" ht="22.5" customHeight="1">
      <c r="A3" s="39"/>
      <c r="B3"/>
      <c r="C3" s="40"/>
    </row>
    <row r="4" spans="1:5" s="36" customFormat="1" ht="20.100000000000001" customHeight="1">
      <c r="A4" s="41"/>
      <c r="B4" s="42" t="str">
        <f>Auswahl1</f>
        <v>Keine</v>
      </c>
      <c r="C4" s="42" t="str">
        <f>Auswahl2</f>
        <v>Keine</v>
      </c>
      <c r="D4" s="42" t="str">
        <f>Auswahl3</f>
        <v>Keine</v>
      </c>
      <c r="E4" s="12" t="s">
        <v>11</v>
      </c>
    </row>
    <row r="5" spans="1:5" s="36" customFormat="1" ht="19.5" customHeight="1">
      <c r="A5" s="8" t="s">
        <v>225</v>
      </c>
      <c r="B5" s="43" t="str">
        <f>HLOOKUP(Auswahl1,VergleichMatrix,2)</f>
        <v>-</v>
      </c>
      <c r="C5" s="43" t="str">
        <f>HLOOKUP(Auswahl2,VergleichMatrix,2)</f>
        <v>-</v>
      </c>
      <c r="D5" s="43" t="str">
        <f>HLOOKUP(Auswahl3,VergleichMatrix,2)</f>
        <v>-</v>
      </c>
      <c r="E5" s="26"/>
    </row>
    <row r="6" spans="1:5" s="36" customFormat="1" ht="10.5" customHeight="1">
      <c r="A6" s="8"/>
      <c r="B6" s="142"/>
      <c r="C6" s="142"/>
      <c r="D6" s="142"/>
      <c r="E6" s="142"/>
    </row>
    <row r="7" spans="1:5" s="36" customFormat="1" ht="20.100000000000001" customHeight="1">
      <c r="A7" s="146" t="s">
        <v>16</v>
      </c>
      <c r="B7" s="145" t="str">
        <f>B4</f>
        <v>Keine</v>
      </c>
      <c r="C7" s="145" t="str">
        <f>C4</f>
        <v>Keine</v>
      </c>
      <c r="D7" s="145" t="str">
        <f>D4</f>
        <v>Keine</v>
      </c>
      <c r="E7" s="145" t="str">
        <f>E4</f>
        <v>Individuell</v>
      </c>
    </row>
    <row r="8" spans="1:5" s="7" customFormat="1" ht="36" customHeight="1">
      <c r="A8" s="19" t="s">
        <v>19</v>
      </c>
      <c r="B8" s="136" t="str">
        <f>HLOOKUP(Auswahl1,VergleichMatrix,5)</f>
        <v>-</v>
      </c>
      <c r="C8" s="136" t="str">
        <f>HLOOKUP(Auswahl2,VergleichMatrix,5)</f>
        <v>-</v>
      </c>
      <c r="D8" s="136" t="str">
        <f>HLOOKUP(Auswahl3,VergleichMatrix,5)</f>
        <v>-</v>
      </c>
      <c r="E8" s="25"/>
    </row>
    <row r="9" spans="1:5" s="7" customFormat="1" ht="36" customHeight="1">
      <c r="A9" s="19" t="s">
        <v>20</v>
      </c>
      <c r="B9" s="136" t="str">
        <f>HLOOKUP(Auswahl1,VergleichMatrix,7)</f>
        <v>-</v>
      </c>
      <c r="C9" s="136" t="str">
        <f>HLOOKUP(Auswahl2,VergleichMatrix,7)</f>
        <v>-</v>
      </c>
      <c r="D9" s="136" t="str">
        <f>HLOOKUP(Auswahl3,VergleichMatrix,7)</f>
        <v>-</v>
      </c>
      <c r="E9" s="25"/>
    </row>
    <row r="10" spans="1:5" s="7" customFormat="1" ht="36" customHeight="1">
      <c r="A10" s="19" t="s">
        <v>21</v>
      </c>
      <c r="B10" s="136" t="str">
        <f>HLOOKUP(Auswahl1,VergleichMatrix,9)</f>
        <v>-</v>
      </c>
      <c r="C10" s="136" t="str">
        <f>HLOOKUP(Auswahl2,VergleichMatrix,9)</f>
        <v>-</v>
      </c>
      <c r="D10" s="136" t="str">
        <f>HLOOKUP(Auswahl3,VergleichMatrix,9)</f>
        <v>-</v>
      </c>
      <c r="E10" s="15"/>
    </row>
    <row r="11" spans="1:5" s="84" customFormat="1" ht="36" customHeight="1">
      <c r="A11" s="19" t="s">
        <v>22</v>
      </c>
      <c r="B11" s="137" t="str">
        <f>HLOOKUP(Auswahl1,VergleichMatrix,11)</f>
        <v>-</v>
      </c>
      <c r="C11" s="137" t="str">
        <f>HLOOKUP(Auswahl2,VergleichMatrix,11)</f>
        <v>-</v>
      </c>
      <c r="D11" s="137" t="str">
        <f>HLOOKUP(Auswahl3,VergleichMatrix,11)</f>
        <v>-</v>
      </c>
      <c r="E11" s="76"/>
    </row>
    <row r="12" spans="1:5" s="84" customFormat="1" ht="36" customHeight="1">
      <c r="A12" s="19" t="s">
        <v>23</v>
      </c>
      <c r="B12" s="136" t="str">
        <f>HLOOKUP(Auswahl1,VergleichMatrix,13)</f>
        <v>-</v>
      </c>
      <c r="C12" s="137" t="str">
        <f>HLOOKUP(Auswahl2,VergleichMatrix,13)</f>
        <v>-</v>
      </c>
      <c r="D12" s="137" t="str">
        <f>HLOOKUP(Auswahl3,VergleichMatrix,13)</f>
        <v>-</v>
      </c>
      <c r="E12" s="15"/>
    </row>
    <row r="13" spans="1:5" s="84" customFormat="1" ht="36" customHeight="1">
      <c r="A13" s="19" t="s">
        <v>223</v>
      </c>
      <c r="B13" s="137" t="str">
        <f>HLOOKUP(Auswahl1,VergleichMatrix,15)</f>
        <v>-</v>
      </c>
      <c r="C13" s="137" t="str">
        <f>HLOOKUP(Auswahl2,VergleichMatrix,15)</f>
        <v>-</v>
      </c>
      <c r="D13" s="137" t="str">
        <f>HLOOKUP(Auswahl3,VergleichMatrix,15)</f>
        <v>-</v>
      </c>
      <c r="E13" s="77"/>
    </row>
    <row r="14" spans="1:5" s="36" customFormat="1" ht="12" customHeight="1">
      <c r="A14" s="56"/>
      <c r="B14" s="44"/>
      <c r="C14" s="44"/>
      <c r="D14" s="44"/>
      <c r="E14" s="34"/>
    </row>
    <row r="15" spans="1:5" s="36" customFormat="1" ht="20.100000000000001" customHeight="1">
      <c r="A15" s="144" t="s">
        <v>25</v>
      </c>
      <c r="B15" s="145" t="str">
        <f>B4</f>
        <v>Keine</v>
      </c>
      <c r="C15" s="145" t="str">
        <f>C4</f>
        <v>Keine</v>
      </c>
      <c r="D15" s="145" t="str">
        <f>D4</f>
        <v>Keine</v>
      </c>
      <c r="E15" s="145" t="str">
        <f>E4</f>
        <v>Individuell</v>
      </c>
    </row>
    <row r="16" spans="1:5" s="84" customFormat="1" ht="36.75" customHeight="1">
      <c r="A16" s="89" t="s">
        <v>26</v>
      </c>
      <c r="B16" s="137" t="str">
        <f>HLOOKUP(Auswahl1,VergleichMatrix,19)</f>
        <v>-</v>
      </c>
      <c r="C16" s="137" t="str">
        <f>HLOOKUP(Auswahl2,VergleichMatrix,19)</f>
        <v>-</v>
      </c>
      <c r="D16" s="137" t="str">
        <f>HLOOKUP(Auswahl3,VergleichMatrix,19)</f>
        <v>-</v>
      </c>
      <c r="E16" s="14"/>
    </row>
    <row r="17" spans="1:5" s="84" customFormat="1" ht="36.75" customHeight="1">
      <c r="A17" s="19" t="s">
        <v>27</v>
      </c>
      <c r="B17" s="136" t="str">
        <f>HLOOKUP(Auswahl1,VergleichMatrix,21)</f>
        <v>-</v>
      </c>
      <c r="C17" s="136" t="str">
        <f>HLOOKUP(Auswahl2,VergleichMatrix,21)</f>
        <v>-</v>
      </c>
      <c r="D17" s="136" t="str">
        <f>HLOOKUP(Auswahl3,VergleichMatrix,21)</f>
        <v>-</v>
      </c>
      <c r="E17" s="14"/>
    </row>
    <row r="18" spans="1:5" s="84" customFormat="1" ht="36" customHeight="1">
      <c r="A18" s="89" t="s">
        <v>338</v>
      </c>
      <c r="B18" s="137" t="str">
        <f>HLOOKUP(Auswahl1,VergleichMatrix,23)</f>
        <v>-</v>
      </c>
      <c r="C18" s="137" t="str">
        <f>HLOOKUP(Auswahl2,VergleichMatrix,23)</f>
        <v>-</v>
      </c>
      <c r="D18" s="137" t="str">
        <f>HLOOKUP(Auswahl3,VergleichMatrix,23)</f>
        <v>-</v>
      </c>
      <c r="E18" s="46"/>
    </row>
    <row r="19" spans="1:5" s="7" customFormat="1" ht="36" customHeight="1">
      <c r="A19" s="89" t="s">
        <v>29</v>
      </c>
      <c r="B19" s="137" t="str">
        <f>HLOOKUP(Auswahl1,VergleichMatrix,25)</f>
        <v>-</v>
      </c>
      <c r="C19" s="137" t="str">
        <f>HLOOKUP(Auswahl2,VergleichMatrix,25)</f>
        <v>-</v>
      </c>
      <c r="D19" s="137" t="str">
        <f>HLOOKUP(Auswahl3,VergleichMatrix,25)</f>
        <v>-</v>
      </c>
      <c r="E19" s="78"/>
    </row>
    <row r="20" spans="1:5" s="36" customFormat="1" ht="12" customHeight="1">
      <c r="A20" s="31"/>
      <c r="B20" s="44"/>
      <c r="C20" s="44"/>
      <c r="D20" s="44"/>
      <c r="E20" s="33"/>
    </row>
    <row r="21" spans="1:5" s="36" customFormat="1" ht="20.100000000000001" customHeight="1">
      <c r="A21" s="144" t="s">
        <v>30</v>
      </c>
      <c r="B21" s="145" t="str">
        <f>B4</f>
        <v>Keine</v>
      </c>
      <c r="C21" s="145" t="str">
        <f>C4</f>
        <v>Keine</v>
      </c>
      <c r="D21" s="145" t="str">
        <f>D4</f>
        <v>Keine</v>
      </c>
      <c r="E21" s="145" t="str">
        <f>E4</f>
        <v>Individuell</v>
      </c>
    </row>
    <row r="22" spans="1:5" s="84" customFormat="1" ht="36" customHeight="1">
      <c r="A22" s="19" t="s">
        <v>31</v>
      </c>
      <c r="B22" s="136" t="str">
        <f>HLOOKUP(Auswahl1,VergleichMatrix,29)</f>
        <v>-</v>
      </c>
      <c r="C22" s="136" t="str">
        <f>HLOOKUP(Auswahl2,VergleichMatrix,29)</f>
        <v>-</v>
      </c>
      <c r="D22" s="136" t="str">
        <f>HLOOKUP(Auswahl3,VergleichMatrix,29)</f>
        <v>-</v>
      </c>
      <c r="E22" s="22"/>
    </row>
    <row r="23" spans="1:5" s="84" customFormat="1" ht="48" customHeight="1">
      <c r="A23" s="89" t="s">
        <v>32</v>
      </c>
      <c r="B23" s="136" t="str">
        <f>HLOOKUP(Auswahl1,VergleichMatrix,31)</f>
        <v>-</v>
      </c>
      <c r="C23" s="136" t="str">
        <f>HLOOKUP(Auswahl2,VergleichMatrix,31)</f>
        <v>-</v>
      </c>
      <c r="D23" s="136" t="str">
        <f>HLOOKUP(Auswahl3,VergleichMatrix,31)</f>
        <v>-</v>
      </c>
      <c r="E23" s="22"/>
    </row>
    <row r="24" spans="1:5" s="84" customFormat="1" ht="36" customHeight="1">
      <c r="A24" s="89" t="s">
        <v>33</v>
      </c>
      <c r="B24" s="136" t="str">
        <f>HLOOKUP(Auswahl1,VergleichMatrix,33)</f>
        <v>-</v>
      </c>
      <c r="C24" s="136" t="str">
        <f>HLOOKUP(Auswahl2,VergleichMatrix,33)</f>
        <v>-</v>
      </c>
      <c r="D24" s="136" t="str">
        <f>HLOOKUP(Auswahl3,VergleichMatrix,33)</f>
        <v>-</v>
      </c>
      <c r="E24" s="22"/>
    </row>
    <row r="25" spans="1:5" s="36" customFormat="1" ht="12" customHeight="1">
      <c r="A25" s="56"/>
      <c r="B25" s="44"/>
      <c r="C25" s="44"/>
      <c r="D25" s="44"/>
      <c r="E25" s="74"/>
    </row>
    <row r="26" spans="1:5" s="84" customFormat="1" ht="20.100000000000001" customHeight="1">
      <c r="A26" s="144" t="s">
        <v>34</v>
      </c>
      <c r="B26" s="147" t="str">
        <f>B4</f>
        <v>Keine</v>
      </c>
      <c r="C26" s="147" t="str">
        <f>C4</f>
        <v>Keine</v>
      </c>
      <c r="D26" s="147" t="str">
        <f>D4</f>
        <v>Keine</v>
      </c>
      <c r="E26" s="147" t="str">
        <f>E4</f>
        <v>Individuell</v>
      </c>
    </row>
    <row r="27" spans="1:5" s="7" customFormat="1" ht="36" customHeight="1">
      <c r="A27" s="89" t="s">
        <v>384</v>
      </c>
      <c r="B27" s="136" t="str">
        <f>HLOOKUP(Auswahl1,VergleichMatrix,37)</f>
        <v>-</v>
      </c>
      <c r="C27" s="136" t="str">
        <f>HLOOKUP(Auswahl2,VergleichMatrix,37)</f>
        <v>-</v>
      </c>
      <c r="D27" s="136" t="str">
        <f>HLOOKUP(Auswahl3,VergleichMatrix,37)</f>
        <v>-</v>
      </c>
      <c r="E27" s="46"/>
    </row>
    <row r="28" spans="1:5" s="7" customFormat="1" ht="36" customHeight="1">
      <c r="A28" s="89" t="s">
        <v>382</v>
      </c>
      <c r="B28" s="136" t="str">
        <f>HLOOKUP(Auswahl1,VergleichMatrix,39)</f>
        <v>-</v>
      </c>
      <c r="C28" s="136" t="str">
        <f>HLOOKUP(Auswahl2,VergleichMatrix,39)</f>
        <v>-</v>
      </c>
      <c r="D28" s="136" t="str">
        <f>HLOOKUP(Auswahl3,VergleichMatrix,39)</f>
        <v>-</v>
      </c>
      <c r="E28" s="26"/>
    </row>
    <row r="29" spans="1:5" s="7" customFormat="1" ht="36" customHeight="1">
      <c r="A29" s="89" t="s">
        <v>376</v>
      </c>
      <c r="B29" s="136" t="str">
        <f>HLOOKUP(Auswahl1,VergleichMatrix,41)</f>
        <v>-</v>
      </c>
      <c r="C29" s="136" t="str">
        <f>HLOOKUP(Auswahl2,VergleichMatrix,41)</f>
        <v>-</v>
      </c>
      <c r="D29" s="136" t="str">
        <f>HLOOKUP(Auswahl3,VergleichMatrix,41)</f>
        <v>-</v>
      </c>
      <c r="E29" s="22"/>
    </row>
    <row r="30" spans="1:5" s="7" customFormat="1" ht="12" customHeight="1">
      <c r="A30" s="56"/>
      <c r="B30" s="44"/>
      <c r="C30" s="44"/>
      <c r="D30" s="44"/>
      <c r="E30" s="74"/>
    </row>
    <row r="31" spans="1:5" s="7" customFormat="1" ht="20.100000000000001" customHeight="1">
      <c r="A31" s="144" t="s">
        <v>36</v>
      </c>
      <c r="B31" s="147" t="str">
        <f>B4</f>
        <v>Keine</v>
      </c>
      <c r="C31" s="147" t="str">
        <f>C4</f>
        <v>Keine</v>
      </c>
      <c r="D31" s="147" t="str">
        <f>D4</f>
        <v>Keine</v>
      </c>
      <c r="E31" s="147" t="str">
        <f>E4</f>
        <v>Individuell</v>
      </c>
    </row>
    <row r="32" spans="1:5" s="84" customFormat="1" ht="36" customHeight="1">
      <c r="A32" s="57" t="s">
        <v>37</v>
      </c>
      <c r="B32" s="136" t="str">
        <f>HLOOKUP(Auswahl1,VergleichMatrix,45)</f>
        <v>-</v>
      </c>
      <c r="C32" s="136" t="str">
        <f>HLOOKUP(Auswahl2,VergleichMatrix,45)</f>
        <v>-</v>
      </c>
      <c r="D32" s="136" t="str">
        <f>HLOOKUP(Auswahl3,VergleichMatrix,45)</f>
        <v>-</v>
      </c>
      <c r="E32" s="46"/>
    </row>
    <row r="33" spans="1:5" s="84" customFormat="1" ht="12" customHeight="1">
      <c r="A33" s="8"/>
      <c r="B33" s="142"/>
      <c r="C33" s="142"/>
      <c r="D33" s="142"/>
      <c r="E33" s="142"/>
    </row>
    <row r="34" spans="1:5" s="84" customFormat="1" ht="20.100000000000001" customHeight="1">
      <c r="A34" s="144" t="s">
        <v>38</v>
      </c>
      <c r="B34" s="147" t="str">
        <f>B4</f>
        <v>Keine</v>
      </c>
      <c r="C34" s="147" t="str">
        <f>C4</f>
        <v>Keine</v>
      </c>
      <c r="D34" s="147" t="str">
        <f>D4</f>
        <v>Keine</v>
      </c>
      <c r="E34" s="147" t="str">
        <f>E4</f>
        <v>Individuell</v>
      </c>
    </row>
    <row r="35" spans="1:5" s="84" customFormat="1" ht="36" customHeight="1">
      <c r="A35" s="19" t="s">
        <v>39</v>
      </c>
      <c r="B35" s="137" t="str">
        <f>HLOOKUP(Auswahl1,VergleichMatrix,49)</f>
        <v>-</v>
      </c>
      <c r="C35" s="137" t="str">
        <f>HLOOKUP(Auswahl2,VergleichMatrix,49)</f>
        <v>-</v>
      </c>
      <c r="D35" s="137" t="str">
        <f>HLOOKUP(Auswahl3,VergleichMatrix,49)</f>
        <v>-</v>
      </c>
      <c r="E35" s="79"/>
    </row>
    <row r="36" spans="1:5" s="84" customFormat="1" ht="12" customHeight="1">
      <c r="A36" s="8"/>
      <c r="B36" s="142"/>
      <c r="C36" s="142"/>
      <c r="D36" s="142"/>
      <c r="E36" s="142"/>
    </row>
    <row r="37" spans="1:5" s="84" customFormat="1" ht="20.100000000000001" customHeight="1">
      <c r="A37" s="144" t="s">
        <v>40</v>
      </c>
      <c r="B37" s="147" t="str">
        <f>B4</f>
        <v>Keine</v>
      </c>
      <c r="C37" s="147" t="str">
        <f>C4</f>
        <v>Keine</v>
      </c>
      <c r="D37" s="147" t="str">
        <f>D4</f>
        <v>Keine</v>
      </c>
      <c r="E37" s="147" t="str">
        <f>E4</f>
        <v>Individuell</v>
      </c>
    </row>
    <row r="38" spans="1:5" s="84" customFormat="1" ht="36" customHeight="1">
      <c r="A38" s="19" t="s">
        <v>41</v>
      </c>
      <c r="B38" s="137" t="str">
        <f>HLOOKUP(Auswahl1,VergleichMatrix,53)</f>
        <v>-</v>
      </c>
      <c r="C38" s="137" t="str">
        <f>HLOOKUP(Auswahl2,VergleichMatrix,53)</f>
        <v>-</v>
      </c>
      <c r="D38" s="137" t="str">
        <f>HLOOKUP(Auswahl3,VergleichMatrix,53)</f>
        <v>-</v>
      </c>
      <c r="E38" s="79"/>
    </row>
    <row r="39" spans="1:5" s="84" customFormat="1" ht="48" customHeight="1">
      <c r="A39" s="19" t="s">
        <v>42</v>
      </c>
      <c r="B39" s="137" t="str">
        <f>HLOOKUP(Auswahl1,VergleichMatrix,55)</f>
        <v>-</v>
      </c>
      <c r="C39" s="137" t="str">
        <f>HLOOKUP(Auswahl2,VergleichMatrix,55)</f>
        <v>-</v>
      </c>
      <c r="D39" s="137" t="str">
        <f>HLOOKUP(Auswahl3,VergleichMatrix,55)</f>
        <v>-</v>
      </c>
      <c r="E39" s="79"/>
    </row>
    <row r="40" spans="1:5" s="84" customFormat="1" ht="36" customHeight="1">
      <c r="A40" s="19" t="s">
        <v>43</v>
      </c>
      <c r="B40" s="137" t="str">
        <f>HLOOKUP(Auswahl1,VergleichMatrix,57)</f>
        <v>-</v>
      </c>
      <c r="C40" s="137" t="str">
        <f>HLOOKUP(Auswahl2,VergleichMatrix,57)</f>
        <v>-</v>
      </c>
      <c r="D40" s="137" t="str">
        <f>HLOOKUP(Auswahl3,VergleichMatrix,57)</f>
        <v>-</v>
      </c>
      <c r="E40" s="77"/>
    </row>
    <row r="41" spans="1:5" s="84" customFormat="1" ht="12" customHeight="1">
      <c r="A41" s="56"/>
      <c r="B41" s="44"/>
      <c r="C41" s="44"/>
      <c r="D41" s="44"/>
      <c r="E41" s="34"/>
    </row>
    <row r="42" spans="1:5" s="84" customFormat="1" ht="20.100000000000001" customHeight="1">
      <c r="A42" s="144" t="s">
        <v>44</v>
      </c>
      <c r="B42" s="147" t="str">
        <f>B4</f>
        <v>Keine</v>
      </c>
      <c r="C42" s="147" t="str">
        <f>C4</f>
        <v>Keine</v>
      </c>
      <c r="D42" s="147" t="str">
        <f>D4</f>
        <v>Keine</v>
      </c>
      <c r="E42" s="147" t="str">
        <f>E4</f>
        <v>Individuell</v>
      </c>
    </row>
    <row r="43" spans="1:5" s="7" customFormat="1" ht="36" customHeight="1">
      <c r="A43" s="19" t="s">
        <v>41</v>
      </c>
      <c r="B43" s="136" t="str">
        <f>HLOOKUP(Auswahl1,VergleichMatrix,61)</f>
        <v>-</v>
      </c>
      <c r="C43" s="136" t="str">
        <f>HLOOKUP(Auswahl2,VergleichMatrix,61)</f>
        <v>-</v>
      </c>
      <c r="D43" s="136" t="str">
        <f>HLOOKUP(Auswahl3,VergleichMatrix,61)</f>
        <v>-</v>
      </c>
      <c r="E43" s="46"/>
    </row>
    <row r="44" spans="1:5" s="84" customFormat="1" ht="48" customHeight="1">
      <c r="A44" s="19" t="s">
        <v>42</v>
      </c>
      <c r="B44" s="136" t="str">
        <f>HLOOKUP(Auswahl1,VergleichMatrix,63)</f>
        <v>-</v>
      </c>
      <c r="C44" s="136" t="str">
        <f>HLOOKUP(Auswahl2,VergleichMatrix,63)</f>
        <v>-</v>
      </c>
      <c r="D44" s="136" t="str">
        <f>HLOOKUP(Auswahl3,VergleichMatrix,63)</f>
        <v>-</v>
      </c>
      <c r="E44" s="26"/>
    </row>
    <row r="45" spans="1:5" s="84" customFormat="1" ht="36" customHeight="1">
      <c r="A45" s="19" t="s">
        <v>45</v>
      </c>
      <c r="B45" s="136" t="str">
        <f>HLOOKUP(Auswahl1,VergleichMatrix,65)</f>
        <v>-</v>
      </c>
      <c r="C45" s="136" t="str">
        <f>HLOOKUP(Auswahl2,VergleichMatrix,65)</f>
        <v>-</v>
      </c>
      <c r="D45" s="136" t="str">
        <f>HLOOKUP(Auswahl3,VergleichMatrix,65)</f>
        <v>-</v>
      </c>
      <c r="E45" s="21"/>
    </row>
    <row r="46" spans="1:5" s="84" customFormat="1" ht="12" customHeight="1">
      <c r="A46" s="31"/>
      <c r="B46" s="44"/>
      <c r="C46" s="44"/>
      <c r="D46" s="44"/>
      <c r="E46" s="75"/>
    </row>
    <row r="47" spans="1:5" s="84" customFormat="1" ht="12" customHeight="1">
      <c r="A47" s="56"/>
      <c r="B47" s="44"/>
      <c r="C47" s="44"/>
      <c r="D47" s="44"/>
      <c r="E47" s="75"/>
    </row>
    <row r="48" spans="1:5" s="7" customFormat="1" ht="20.100000000000001" customHeight="1">
      <c r="A48" s="144" t="s">
        <v>46</v>
      </c>
      <c r="B48" s="147" t="str">
        <f>B4</f>
        <v>Keine</v>
      </c>
      <c r="C48" s="147" t="str">
        <f>C4</f>
        <v>Keine</v>
      </c>
      <c r="D48" s="147" t="str">
        <f>D4</f>
        <v>Keine</v>
      </c>
      <c r="E48" s="147" t="str">
        <f>E4</f>
        <v>Individuell</v>
      </c>
    </row>
    <row r="49" spans="1:5" s="7" customFormat="1" ht="36" customHeight="1">
      <c r="A49" s="19" t="s">
        <v>41</v>
      </c>
      <c r="B49" s="136" t="str">
        <f>HLOOKUP(Auswahl1,VergleichMatrix,69)</f>
        <v>-</v>
      </c>
      <c r="C49" s="136" t="str">
        <f>HLOOKUP(Auswahl2,VergleichMatrix,69)</f>
        <v>-</v>
      </c>
      <c r="D49" s="136" t="str">
        <f>HLOOKUP(Auswahl3,VergleichMatrix,69)</f>
        <v>-</v>
      </c>
      <c r="E49" s="14"/>
    </row>
    <row r="50" spans="1:5" s="7" customFormat="1" ht="12" customHeight="1">
      <c r="A50" s="56"/>
      <c r="B50" s="44"/>
      <c r="C50" s="44"/>
      <c r="D50" s="44"/>
      <c r="E50" s="34"/>
    </row>
    <row r="51" spans="1:5" s="7" customFormat="1" ht="20.100000000000001" customHeight="1">
      <c r="A51" s="148" t="s">
        <v>403</v>
      </c>
      <c r="B51" s="147" t="str">
        <f>B4</f>
        <v>Keine</v>
      </c>
      <c r="C51" s="147" t="str">
        <f>C4</f>
        <v>Keine</v>
      </c>
      <c r="D51" s="147" t="str">
        <f>D4</f>
        <v>Keine</v>
      </c>
      <c r="E51" s="147" t="str">
        <f>E4</f>
        <v>Individuell</v>
      </c>
    </row>
    <row r="52" spans="1:5" s="84" customFormat="1" ht="36" customHeight="1">
      <c r="A52" s="89" t="s">
        <v>399</v>
      </c>
      <c r="B52" s="136" t="str">
        <f>HLOOKUP(Auswahl1,VergleichMatrix,73)</f>
        <v>-</v>
      </c>
      <c r="C52" s="136" t="str">
        <f>HLOOKUP(Auswahl2,VergleichMatrix,73)</f>
        <v>-</v>
      </c>
      <c r="D52" s="136" t="str">
        <f>HLOOKUP(Auswahl3,VergleichMatrix,73)</f>
        <v>-</v>
      </c>
      <c r="E52" s="26"/>
    </row>
    <row r="53" spans="1:5" s="7" customFormat="1" ht="12" customHeight="1">
      <c r="A53" s="56"/>
      <c r="B53" s="44"/>
      <c r="C53" s="44"/>
      <c r="D53" s="44"/>
      <c r="E53" s="75"/>
    </row>
    <row r="54" spans="1:5" s="7" customFormat="1" ht="20.100000000000001" customHeight="1">
      <c r="A54" s="144" t="s">
        <v>48</v>
      </c>
      <c r="B54" s="147" t="str">
        <f>B4</f>
        <v>Keine</v>
      </c>
      <c r="C54" s="147" t="str">
        <f>C4</f>
        <v>Keine</v>
      </c>
      <c r="D54" s="147" t="str">
        <f>D4</f>
        <v>Keine</v>
      </c>
      <c r="E54" s="147" t="str">
        <f>E4</f>
        <v>Individuell</v>
      </c>
    </row>
    <row r="55" spans="1:5" s="7" customFormat="1" ht="36" customHeight="1">
      <c r="A55" s="19" t="s">
        <v>42</v>
      </c>
      <c r="B55" s="136" t="str">
        <f>HLOOKUP(Auswahl1,VergleichMatrix,77)</f>
        <v>-</v>
      </c>
      <c r="C55" s="136" t="str">
        <f>HLOOKUP(Auswahl2,VergleichMatrix,77)</f>
        <v>-</v>
      </c>
      <c r="D55" s="136" t="str">
        <f>HLOOKUP(Auswahl3,VergleichMatrix,77)</f>
        <v>-</v>
      </c>
      <c r="E55" s="21"/>
    </row>
    <row r="56" spans="1:5" s="84" customFormat="1" ht="36" customHeight="1">
      <c r="A56" s="19" t="s">
        <v>49</v>
      </c>
      <c r="B56" s="136" t="str">
        <f>HLOOKUP(Auswahl1,VergleichMatrix,79)</f>
        <v>-</v>
      </c>
      <c r="C56" s="136" t="str">
        <f>HLOOKUP(Auswahl2,VergleichMatrix,79)</f>
        <v>-</v>
      </c>
      <c r="D56" s="136" t="str">
        <f>HLOOKUP(Auswahl3,VergleichMatrix,79)</f>
        <v>-</v>
      </c>
      <c r="E56" s="26"/>
    </row>
    <row r="57" spans="1:5" s="84" customFormat="1" ht="36" customHeight="1">
      <c r="A57" s="19" t="s">
        <v>226</v>
      </c>
      <c r="B57" s="137" t="str">
        <f>HLOOKUP(Auswahl1,VergleichMatrix,81)</f>
        <v>-</v>
      </c>
      <c r="C57" s="137" t="str">
        <f>HLOOKUP(Auswahl2,VergleichMatrix,81)</f>
        <v>-</v>
      </c>
      <c r="D57" s="137" t="str">
        <f>HLOOKUP(Auswahl3,VergleichMatrix,81)</f>
        <v>-</v>
      </c>
      <c r="E57" s="79"/>
    </row>
    <row r="58" spans="1:5" s="84" customFormat="1" ht="36" customHeight="1">
      <c r="A58" s="19" t="s">
        <v>51</v>
      </c>
      <c r="B58" s="136" t="str">
        <f>HLOOKUP(Auswahl1,VergleichMatrix,83)</f>
        <v>-</v>
      </c>
      <c r="C58" s="136" t="str">
        <f>HLOOKUP(Auswahl2,VergleichMatrix,83)</f>
        <v>-</v>
      </c>
      <c r="D58" s="136" t="str">
        <f>HLOOKUP(Auswahl3,VergleichMatrix,83)</f>
        <v>-</v>
      </c>
      <c r="E58" s="22"/>
    </row>
    <row r="59" spans="1:5" s="84" customFormat="1" ht="12" customHeight="1">
      <c r="A59" s="56"/>
      <c r="B59" s="44"/>
      <c r="C59" s="44"/>
      <c r="D59" s="44"/>
      <c r="E59" s="75"/>
    </row>
    <row r="60" spans="1:5" s="84" customFormat="1" ht="12" customHeight="1">
      <c r="A60" s="8"/>
      <c r="B60" s="142"/>
      <c r="C60" s="142"/>
      <c r="D60" s="142"/>
      <c r="E60" s="142"/>
    </row>
    <row r="61" spans="1:5" s="84" customFormat="1" ht="20.100000000000001" customHeight="1">
      <c r="A61" s="144" t="s">
        <v>9</v>
      </c>
      <c r="B61" s="147" t="str">
        <f>B4</f>
        <v>Keine</v>
      </c>
      <c r="C61" s="147" t="str">
        <f>C4</f>
        <v>Keine</v>
      </c>
      <c r="D61" s="147" t="str">
        <f>D4</f>
        <v>Keine</v>
      </c>
      <c r="E61" s="147" t="str">
        <f>E4</f>
        <v>Individuell</v>
      </c>
    </row>
    <row r="62" spans="1:5" s="84" customFormat="1" ht="120" customHeight="1">
      <c r="A62" s="19"/>
      <c r="B62" s="136" t="str">
        <f>HLOOKUP(Auswahl1,VergleichMatrix,93)</f>
        <v>-</v>
      </c>
      <c r="C62" s="136" t="str">
        <f>HLOOKUP(Auswahl2,VergleichMatrix,93)</f>
        <v>-</v>
      </c>
      <c r="D62" s="136" t="str">
        <f>HLOOKUP(Auswahl3,VergleichMatrix,93)</f>
        <v>-</v>
      </c>
      <c r="E62" s="26"/>
    </row>
    <row r="63" spans="1:5" s="7" customFormat="1" ht="12" customHeight="1">
      <c r="A63" s="8"/>
      <c r="B63" s="139"/>
      <c r="C63" s="139"/>
      <c r="D63" s="139"/>
      <c r="E63" s="139"/>
    </row>
    <row r="64" spans="1:5" s="84" customFormat="1" ht="20.100000000000001" customHeight="1">
      <c r="A64" s="144" t="s">
        <v>8</v>
      </c>
      <c r="B64" s="147" t="str">
        <f>B4</f>
        <v>Keine</v>
      </c>
      <c r="C64" s="147" t="str">
        <f>C4</f>
        <v>Keine</v>
      </c>
      <c r="D64" s="147" t="str">
        <f>D4</f>
        <v>Keine</v>
      </c>
      <c r="E64" s="147" t="str">
        <f>E4</f>
        <v>Individuell</v>
      </c>
    </row>
    <row r="65" spans="1:5" s="84" customFormat="1" ht="36" customHeight="1">
      <c r="A65" s="149"/>
      <c r="B65" s="136" t="str">
        <f>HLOOKUP(Auswahl1,VergleichMatrix,97)</f>
        <v>-</v>
      </c>
      <c r="C65" s="136" t="str">
        <f>HLOOKUP(Auswahl2,VergleichMatrix,97)</f>
        <v>-</v>
      </c>
      <c r="D65" s="136" t="str">
        <f>HLOOKUP(Auswahl3,VergleichMatrix,97)</f>
        <v>-</v>
      </c>
      <c r="E65" s="14"/>
    </row>
    <row r="79" spans="1:5">
      <c r="B79" s="44"/>
      <c r="C79" s="44"/>
      <c r="D79" s="44"/>
    </row>
    <row r="80" spans="1:5">
      <c r="B80" s="44"/>
      <c r="C80" s="44"/>
      <c r="D80" s="44"/>
    </row>
    <row r="81" spans="2:4">
      <c r="B81" s="44"/>
      <c r="C81" s="44"/>
      <c r="D81" s="44"/>
    </row>
    <row r="84" spans="2:4">
      <c r="B84" s="44"/>
      <c r="C84" s="44"/>
      <c r="D84" s="44"/>
    </row>
    <row r="85" spans="2:4">
      <c r="B85" s="44"/>
      <c r="C85" s="44"/>
      <c r="D85" s="44"/>
    </row>
    <row r="86" spans="2:4">
      <c r="B86" s="44"/>
      <c r="C86" s="44"/>
      <c r="D86" s="44"/>
    </row>
    <row r="87" spans="2:4">
      <c r="B87" s="44"/>
      <c r="C87" s="44"/>
      <c r="D87" s="44"/>
    </row>
    <row r="88" spans="2:4">
      <c r="B88" s="44"/>
      <c r="C88" s="44"/>
      <c r="D88" s="44"/>
    </row>
    <row r="89" spans="2:4">
      <c r="B89" s="44"/>
      <c r="C89" s="44"/>
      <c r="D89" s="44"/>
    </row>
  </sheetData>
  <sheetProtection password="98DB" sheet="1" objects="1" scenarios="1"/>
  <mergeCells count="6">
    <mergeCell ref="B63:E63"/>
    <mergeCell ref="B2:C2"/>
    <mergeCell ref="B6:E6"/>
    <mergeCell ref="B33:E33"/>
    <mergeCell ref="B36:E36"/>
    <mergeCell ref="B60:E60"/>
  </mergeCells>
  <phoneticPr fontId="1" type="noConversion"/>
  <conditionalFormatting sqref="E5 E30">
    <cfRule type="cellIs" dxfId="50" priority="15" stopIfTrue="1" operator="equal">
      <formula>#REF!</formula>
    </cfRule>
  </conditionalFormatting>
  <conditionalFormatting sqref="E25">
    <cfRule type="cellIs" dxfId="49" priority="4" stopIfTrue="1" operator="equal">
      <formula>#REF!</formula>
    </cfRule>
  </conditionalFormatting>
  <conditionalFormatting sqref="E56:E57 E28 E35 E38:E40 E52 E62">
    <cfRule type="cellIs" dxfId="48" priority="3" stopIfTrue="1" operator="equal">
      <formula>#REF!</formula>
    </cfRule>
  </conditionalFormatting>
  <conditionalFormatting sqref="E44">
    <cfRule type="cellIs" dxfId="47" priority="1" stopIfTrue="1" operator="equal">
      <formula>#REF!</formula>
    </cfRule>
  </conditionalFormatting>
  <printOptions horizontalCentered="1"/>
  <pageMargins left="0.59055118110236227" right="0.59055118110236227" top="0.98425196850393704" bottom="0.78740157480314965" header="0.51181102362204722" footer="0.51181102362204722"/>
  <pageSetup paperSize="9" orientation="landscape" r:id="rId1"/>
  <headerFooter alignWithMargins="0">
    <oddHeader>&amp;L&amp;"Arial,Fett"&amp;16Leistungsvergleich Privat-Cyber-Versicherung&amp;R&amp;G</oddHeader>
    <oddFooter>&amp;L&amp;8Seite &amp;P von &amp;N&amp;C&amp;8Bei den Deckungsinhalten handelt es sich um Stichworte. Die detaillierten Deckungsumfänge sind den jeweiligen Bedingungen zu entnehmen.&amp;R&amp;8Stand 2020-05</oddFooter>
  </headerFooter>
  <rowBreaks count="4" manualBreakCount="4">
    <brk id="13" max="16383" man="1"/>
    <brk id="29" max="16383" man="1"/>
    <brk id="46" max="16383" man="1"/>
    <brk id="59" max="16383" man="1"/>
  </rowBreaks>
  <colBreaks count="1" manualBreakCount="1">
    <brk id="5"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097" r:id="rId5" name="Drop Down 1">
              <controlPr defaultSize="0" print="0" autoLine="0" autoPict="0">
                <anchor moveWithCells="1">
                  <from>
                    <xdr:col>1</xdr:col>
                    <xdr:colOff>28575</xdr:colOff>
                    <xdr:row>2</xdr:row>
                    <xdr:rowOff>28575</xdr:rowOff>
                  </from>
                  <to>
                    <xdr:col>1</xdr:col>
                    <xdr:colOff>1428750</xdr:colOff>
                    <xdr:row>2</xdr:row>
                    <xdr:rowOff>257175</xdr:rowOff>
                  </to>
                </anchor>
              </controlPr>
            </control>
          </mc:Choice>
        </mc:AlternateContent>
        <mc:AlternateContent xmlns:mc="http://schemas.openxmlformats.org/markup-compatibility/2006">
          <mc:Choice Requires="x14">
            <control shapeId="4098" r:id="rId6" name="Drop Down 2">
              <controlPr defaultSize="0" print="0" autoLine="0" autoPict="0">
                <anchor moveWithCells="1">
                  <from>
                    <xdr:col>2</xdr:col>
                    <xdr:colOff>28575</xdr:colOff>
                    <xdr:row>2</xdr:row>
                    <xdr:rowOff>28575</xdr:rowOff>
                  </from>
                  <to>
                    <xdr:col>2</xdr:col>
                    <xdr:colOff>1428750</xdr:colOff>
                    <xdr:row>2</xdr:row>
                    <xdr:rowOff>247650</xdr:rowOff>
                  </to>
                </anchor>
              </controlPr>
            </control>
          </mc:Choice>
        </mc:AlternateContent>
        <mc:AlternateContent xmlns:mc="http://schemas.openxmlformats.org/markup-compatibility/2006">
          <mc:Choice Requires="x14">
            <control shapeId="4099" r:id="rId7" name="Drop Down 3">
              <controlPr defaultSize="0" print="0" autoLine="0" autoPict="0">
                <anchor moveWithCells="1">
                  <from>
                    <xdr:col>3</xdr:col>
                    <xdr:colOff>19050</xdr:colOff>
                    <xdr:row>2</xdr:row>
                    <xdr:rowOff>28575</xdr:rowOff>
                  </from>
                  <to>
                    <xdr:col>3</xdr:col>
                    <xdr:colOff>1428750</xdr:colOff>
                    <xdr:row>2</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A249"/>
  <sheetViews>
    <sheetView zoomScaleNormal="100" workbookViewId="0">
      <pane xSplit="1" ySplit="1" topLeftCell="G35" activePane="bottomRight" state="frozen"/>
      <selection pane="topRight" activeCell="B1" sqref="B1"/>
      <selection pane="bottomLeft" activeCell="A3" sqref="A3"/>
      <selection pane="bottomRight" activeCell="O2" sqref="O2:P67"/>
    </sheetView>
  </sheetViews>
  <sheetFormatPr baseColWidth="10" defaultRowHeight="12.75"/>
  <cols>
    <col min="1" max="1" width="37.7109375" style="2" customWidth="1"/>
    <col min="2" max="10" width="23.7109375" style="2" customWidth="1"/>
    <col min="11" max="11" width="24.28515625" style="2" customWidth="1"/>
    <col min="12" max="13" width="23.7109375" style="2" customWidth="1"/>
    <col min="14" max="14" width="19.7109375" style="59" customWidth="1"/>
    <col min="15" max="15" width="11.42578125" style="7"/>
    <col min="16" max="16" width="21.7109375" style="70" customWidth="1"/>
    <col min="17" max="18" width="11.42578125" style="2"/>
    <col min="19" max="19" width="20.140625" style="7" customWidth="1"/>
    <col min="20" max="20" width="19.85546875" style="7" customWidth="1"/>
    <col min="21" max="21" width="22" style="7" customWidth="1"/>
    <col min="22" max="16384" width="11.42578125" style="2"/>
  </cols>
  <sheetData>
    <row r="1" spans="1:157" s="11" customFormat="1" ht="20.100000000000001" customHeight="1">
      <c r="A1" s="87" t="s">
        <v>17</v>
      </c>
      <c r="B1" s="88" t="s">
        <v>325</v>
      </c>
      <c r="C1" s="88" t="s">
        <v>326</v>
      </c>
      <c r="D1" s="88" t="s">
        <v>327</v>
      </c>
      <c r="E1" s="88" t="s">
        <v>228</v>
      </c>
      <c r="F1" s="88" t="s">
        <v>57</v>
      </c>
      <c r="G1" s="88" t="s">
        <v>121</v>
      </c>
      <c r="H1" s="88" t="s">
        <v>372</v>
      </c>
      <c r="I1" s="88" t="s">
        <v>125</v>
      </c>
      <c r="J1" s="88" t="s">
        <v>1</v>
      </c>
      <c r="K1" s="88" t="s">
        <v>296</v>
      </c>
      <c r="L1" s="88" t="s">
        <v>126</v>
      </c>
      <c r="M1" s="88" t="s">
        <v>227</v>
      </c>
      <c r="N1" s="17"/>
      <c r="O1" s="7"/>
      <c r="P1" s="70"/>
      <c r="Q1" s="7"/>
      <c r="R1" s="7"/>
      <c r="S1" s="7" t="s">
        <v>2</v>
      </c>
      <c r="T1" s="7" t="s">
        <v>3</v>
      </c>
      <c r="U1" s="18" t="s">
        <v>4</v>
      </c>
    </row>
    <row r="2" spans="1:157" s="4" customFormat="1" ht="36" customHeight="1">
      <c r="A2" s="89" t="s">
        <v>18</v>
      </c>
      <c r="B2" s="10" t="s">
        <v>328</v>
      </c>
      <c r="C2" s="10" t="s">
        <v>329</v>
      </c>
      <c r="D2" s="10" t="s">
        <v>333</v>
      </c>
      <c r="E2" s="10" t="s">
        <v>60</v>
      </c>
      <c r="F2" s="10" t="s">
        <v>61</v>
      </c>
      <c r="G2" s="10" t="s">
        <v>127</v>
      </c>
      <c r="H2" s="119" t="s">
        <v>404</v>
      </c>
      <c r="I2" s="10" t="s">
        <v>131</v>
      </c>
      <c r="J2" s="90" t="s">
        <v>0</v>
      </c>
      <c r="K2" s="119">
        <v>59.4</v>
      </c>
      <c r="L2" s="119">
        <v>69.900000000000006</v>
      </c>
      <c r="M2" s="119" t="s">
        <v>365</v>
      </c>
      <c r="N2" s="58"/>
      <c r="O2" s="11">
        <v>1</v>
      </c>
      <c r="P2" s="133" t="s">
        <v>1</v>
      </c>
      <c r="S2" s="11">
        <v>1</v>
      </c>
      <c r="T2" s="11">
        <v>1</v>
      </c>
      <c r="U2" s="11">
        <v>1</v>
      </c>
    </row>
    <row r="3" spans="1:157" s="4" customFormat="1" ht="12" customHeight="1">
      <c r="A3" s="91"/>
      <c r="B3" s="92" t="s">
        <v>331</v>
      </c>
      <c r="C3" s="92" t="s">
        <v>330</v>
      </c>
      <c r="D3" s="92" t="s">
        <v>332</v>
      </c>
      <c r="E3" s="92"/>
      <c r="F3" s="92"/>
      <c r="G3" s="92"/>
      <c r="H3" s="93"/>
      <c r="I3" s="93"/>
      <c r="J3" s="94"/>
      <c r="K3" s="93"/>
      <c r="L3" s="93"/>
      <c r="M3" s="94"/>
      <c r="N3" s="55"/>
      <c r="O3" s="11">
        <v>2</v>
      </c>
      <c r="P3" s="133" t="s">
        <v>325</v>
      </c>
      <c r="S3" s="11" t="str">
        <f>VLOOKUP(S2,AuswMatrix,2)</f>
        <v>Keine</v>
      </c>
      <c r="T3" s="11" t="str">
        <f>VLOOKUP(T2,AuswMatrix,2)</f>
        <v>Keine</v>
      </c>
      <c r="U3" s="11" t="str">
        <f>VLOOKUP(U2,AuswMatrix,2)</f>
        <v>Keine</v>
      </c>
    </row>
    <row r="4" spans="1:157" s="4" customFormat="1" ht="20.100000000000001" customHeight="1">
      <c r="A4" s="95" t="s">
        <v>16</v>
      </c>
      <c r="B4" s="96" t="str">
        <f>B1</f>
        <v>ARAG Web aktiv Basis</v>
      </c>
      <c r="C4" s="96" t="str">
        <f>C1</f>
        <v>ARAG Web aktiv Komfort</v>
      </c>
      <c r="D4" s="96" t="str">
        <f>D1</f>
        <v>ARAG Web aktiv Premium</v>
      </c>
      <c r="E4" s="96" t="str">
        <f>E1</f>
        <v>AXA BoxFlex</v>
      </c>
      <c r="F4" s="96" t="str">
        <f>F1</f>
        <v>BavariaDirekt Cyperschutz</v>
      </c>
      <c r="G4" s="96" t="str">
        <f>G1</f>
        <v>BGV Onlineschutz</v>
      </c>
      <c r="H4" s="96" t="str">
        <f>H1</f>
        <v>INTER CyberGuard</v>
      </c>
      <c r="I4" s="96" t="str">
        <f>I1</f>
        <v>Janitos Online-Schutz</v>
      </c>
      <c r="J4" s="96" t="str">
        <f t="shared" ref="J4:L4" si="0">J1</f>
        <v>Keine</v>
      </c>
      <c r="K4" s="96" t="str">
        <f t="shared" si="0"/>
        <v>OEVB DigitalSchutz</v>
      </c>
      <c r="L4" s="96" t="str">
        <f t="shared" si="0"/>
        <v>Roland Websecure</v>
      </c>
      <c r="M4" s="96" t="str">
        <f>M1</f>
        <v>R+V SicherOnline</v>
      </c>
      <c r="N4" s="55"/>
      <c r="O4" s="11">
        <v>3</v>
      </c>
      <c r="P4" s="133" t="s">
        <v>326</v>
      </c>
      <c r="S4" s="11"/>
      <c r="T4" s="11"/>
      <c r="U4" s="11"/>
    </row>
    <row r="5" spans="1:157" s="7" customFormat="1" ht="36" customHeight="1">
      <c r="A5" s="89" t="s">
        <v>19</v>
      </c>
      <c r="B5" s="10" t="s">
        <v>62</v>
      </c>
      <c r="C5" s="10" t="s">
        <v>62</v>
      </c>
      <c r="D5" s="10" t="s">
        <v>62</v>
      </c>
      <c r="E5" s="10" t="s">
        <v>63</v>
      </c>
      <c r="F5" s="10" t="s">
        <v>64</v>
      </c>
      <c r="G5" s="10" t="s">
        <v>64</v>
      </c>
      <c r="H5" s="10" t="s">
        <v>64</v>
      </c>
      <c r="I5" s="10" t="s">
        <v>132</v>
      </c>
      <c r="J5" s="90" t="s">
        <v>0</v>
      </c>
      <c r="K5" s="10" t="s">
        <v>297</v>
      </c>
      <c r="L5" s="10" t="s">
        <v>64</v>
      </c>
      <c r="M5" s="10" t="s">
        <v>230</v>
      </c>
      <c r="N5" s="55"/>
      <c r="O5" s="11">
        <v>4</v>
      </c>
      <c r="P5" s="133" t="s">
        <v>327</v>
      </c>
      <c r="Q5" s="11"/>
    </row>
    <row r="6" spans="1:157" s="66" customFormat="1" ht="12" customHeight="1">
      <c r="A6" s="86" t="s">
        <v>10</v>
      </c>
      <c r="B6" s="85" t="s">
        <v>331</v>
      </c>
      <c r="C6" s="85" t="s">
        <v>330</v>
      </c>
      <c r="D6" s="85" t="s">
        <v>332</v>
      </c>
      <c r="E6" s="85" t="s">
        <v>0</v>
      </c>
      <c r="F6" s="85" t="s">
        <v>0</v>
      </c>
      <c r="G6" s="85" t="s">
        <v>0</v>
      </c>
      <c r="H6" s="85" t="s">
        <v>0</v>
      </c>
      <c r="I6" s="85" t="s">
        <v>0</v>
      </c>
      <c r="J6" s="85" t="s">
        <v>0</v>
      </c>
      <c r="K6" s="85" t="s">
        <v>298</v>
      </c>
      <c r="L6" s="85" t="s">
        <v>0</v>
      </c>
      <c r="M6" s="85" t="s">
        <v>231</v>
      </c>
      <c r="N6" s="55"/>
      <c r="O6" s="35">
        <v>5</v>
      </c>
      <c r="P6" s="133" t="s">
        <v>228</v>
      </c>
      <c r="R6" s="68"/>
      <c r="S6" s="50"/>
      <c r="T6" s="50"/>
      <c r="U6" s="50"/>
    </row>
    <row r="7" spans="1:157" s="66" customFormat="1" ht="36" customHeight="1">
      <c r="A7" s="89" t="s">
        <v>20</v>
      </c>
      <c r="B7" s="122">
        <v>100000</v>
      </c>
      <c r="C7" s="122">
        <v>200000</v>
      </c>
      <c r="D7" s="122">
        <v>300000</v>
      </c>
      <c r="E7" s="10" t="s">
        <v>65</v>
      </c>
      <c r="F7" s="97" t="s">
        <v>0</v>
      </c>
      <c r="G7" s="10" t="s">
        <v>0</v>
      </c>
      <c r="H7" s="10" t="s">
        <v>0</v>
      </c>
      <c r="I7" s="10" t="s">
        <v>65</v>
      </c>
      <c r="J7" s="90" t="s">
        <v>0</v>
      </c>
      <c r="K7" s="10" t="s">
        <v>316</v>
      </c>
      <c r="L7" s="10" t="s">
        <v>0</v>
      </c>
      <c r="M7" s="90" t="s">
        <v>0</v>
      </c>
      <c r="N7" s="55"/>
      <c r="O7" s="11">
        <v>6</v>
      </c>
      <c r="P7" s="133" t="s">
        <v>57</v>
      </c>
      <c r="R7" s="68"/>
      <c r="S7" s="50"/>
      <c r="T7" s="50"/>
      <c r="U7" s="50"/>
    </row>
    <row r="8" spans="1:157" s="4" customFormat="1" ht="12" customHeight="1">
      <c r="A8" s="86" t="s">
        <v>10</v>
      </c>
      <c r="B8" s="85" t="s">
        <v>334</v>
      </c>
      <c r="C8" s="85" t="s">
        <v>334</v>
      </c>
      <c r="D8" s="85" t="s">
        <v>334</v>
      </c>
      <c r="E8" s="85" t="s">
        <v>67</v>
      </c>
      <c r="F8" s="85"/>
      <c r="G8" s="85" t="s">
        <v>0</v>
      </c>
      <c r="H8" s="85" t="s">
        <v>0</v>
      </c>
      <c r="I8" s="85" t="s">
        <v>67</v>
      </c>
      <c r="J8" s="85" t="s">
        <v>0</v>
      </c>
      <c r="K8" s="85" t="s">
        <v>317</v>
      </c>
      <c r="L8" s="85" t="s">
        <v>0</v>
      </c>
      <c r="M8" s="85" t="s">
        <v>0</v>
      </c>
      <c r="N8" s="55"/>
      <c r="O8" s="11">
        <v>7</v>
      </c>
      <c r="P8" s="133" t="s">
        <v>121</v>
      </c>
      <c r="S8" s="11"/>
      <c r="T8" s="11"/>
      <c r="U8" s="11"/>
    </row>
    <row r="9" spans="1:157" ht="36" customHeight="1">
      <c r="A9" s="89" t="s">
        <v>21</v>
      </c>
      <c r="B9" s="10" t="s">
        <v>0</v>
      </c>
      <c r="C9" s="10" t="s">
        <v>87</v>
      </c>
      <c r="D9" s="10" t="s">
        <v>87</v>
      </c>
      <c r="E9" s="10" t="s">
        <v>69</v>
      </c>
      <c r="F9" s="97" t="s">
        <v>0</v>
      </c>
      <c r="G9" s="10" t="s">
        <v>134</v>
      </c>
      <c r="H9" s="10" t="s">
        <v>14</v>
      </c>
      <c r="I9" s="10" t="s">
        <v>69</v>
      </c>
      <c r="J9" s="90" t="s">
        <v>0</v>
      </c>
      <c r="K9" s="122" t="s">
        <v>154</v>
      </c>
      <c r="L9" s="10" t="s">
        <v>133</v>
      </c>
      <c r="M9" s="10" t="s">
        <v>235</v>
      </c>
      <c r="N9" s="55"/>
      <c r="O9" s="11">
        <v>8</v>
      </c>
      <c r="P9" s="133" t="s">
        <v>372</v>
      </c>
      <c r="Q9" s="4"/>
    </row>
    <row r="10" spans="1:157" s="4" customFormat="1" ht="12" customHeight="1">
      <c r="A10" s="86" t="s">
        <v>10</v>
      </c>
      <c r="B10" s="85" t="s">
        <v>0</v>
      </c>
      <c r="C10" s="85" t="s">
        <v>70</v>
      </c>
      <c r="D10" s="85" t="s">
        <v>70</v>
      </c>
      <c r="E10" s="85" t="s">
        <v>67</v>
      </c>
      <c r="F10" s="85"/>
      <c r="G10" s="85" t="s">
        <v>67</v>
      </c>
      <c r="H10" s="85" t="s">
        <v>374</v>
      </c>
      <c r="I10" s="85" t="s">
        <v>67</v>
      </c>
      <c r="J10" s="85" t="s">
        <v>0</v>
      </c>
      <c r="K10" s="85" t="s">
        <v>304</v>
      </c>
      <c r="L10" s="85"/>
      <c r="M10" s="85" t="s">
        <v>229</v>
      </c>
      <c r="N10" s="55"/>
      <c r="O10" s="11">
        <v>9</v>
      </c>
      <c r="P10" s="133" t="s">
        <v>125</v>
      </c>
      <c r="S10" s="11"/>
      <c r="T10" s="11"/>
      <c r="U10" s="11"/>
    </row>
    <row r="11" spans="1:157" ht="36" customHeight="1">
      <c r="A11" s="89" t="s">
        <v>22</v>
      </c>
      <c r="B11" s="10" t="s">
        <v>71</v>
      </c>
      <c r="C11" s="10" t="s">
        <v>71</v>
      </c>
      <c r="D11" s="10" t="s">
        <v>71</v>
      </c>
      <c r="E11" s="10" t="s">
        <v>0</v>
      </c>
      <c r="F11" s="97" t="s">
        <v>0</v>
      </c>
      <c r="G11" s="10" t="s">
        <v>0</v>
      </c>
      <c r="H11" s="10" t="s">
        <v>0</v>
      </c>
      <c r="I11" s="10" t="s">
        <v>0</v>
      </c>
      <c r="J11" s="90" t="s">
        <v>0</v>
      </c>
      <c r="K11" s="90" t="s">
        <v>0</v>
      </c>
      <c r="L11" s="90" t="s">
        <v>0</v>
      </c>
      <c r="M11" s="90" t="s">
        <v>0</v>
      </c>
      <c r="N11" s="134"/>
      <c r="O11" s="11">
        <v>10</v>
      </c>
      <c r="P11" s="133" t="s">
        <v>296</v>
      </c>
      <c r="Q11" s="4"/>
    </row>
    <row r="12" spans="1:157" s="4" customFormat="1" ht="12" customHeight="1">
      <c r="A12" s="86" t="s">
        <v>10</v>
      </c>
      <c r="B12" s="85" t="s">
        <v>72</v>
      </c>
      <c r="C12" s="85" t="s">
        <v>72</v>
      </c>
      <c r="D12" s="85" t="s">
        <v>72</v>
      </c>
      <c r="E12" s="85" t="s">
        <v>0</v>
      </c>
      <c r="F12" s="85"/>
      <c r="G12" s="85" t="s">
        <v>0</v>
      </c>
      <c r="H12" s="85" t="s">
        <v>0</v>
      </c>
      <c r="I12" s="85" t="s">
        <v>0</v>
      </c>
      <c r="J12" s="85" t="s">
        <v>0</v>
      </c>
      <c r="K12" s="85" t="s">
        <v>0</v>
      </c>
      <c r="L12" s="85" t="s">
        <v>0</v>
      </c>
      <c r="M12" s="85" t="s">
        <v>0</v>
      </c>
      <c r="N12" s="134"/>
      <c r="O12" s="11">
        <v>11</v>
      </c>
      <c r="P12" s="133" t="s">
        <v>126</v>
      </c>
      <c r="S12" s="11"/>
      <c r="T12" s="11"/>
      <c r="U12" s="11"/>
    </row>
    <row r="13" spans="1:157" ht="36" customHeight="1">
      <c r="A13" s="89" t="s">
        <v>23</v>
      </c>
      <c r="B13" s="10" t="s">
        <v>335</v>
      </c>
      <c r="C13" s="10" t="s">
        <v>335</v>
      </c>
      <c r="D13" s="10" t="s">
        <v>335</v>
      </c>
      <c r="E13" s="10" t="s">
        <v>74</v>
      </c>
      <c r="F13" s="97" t="s">
        <v>74</v>
      </c>
      <c r="G13" s="10" t="s">
        <v>136</v>
      </c>
      <c r="H13" s="10" t="s">
        <v>139</v>
      </c>
      <c r="I13" s="10" t="s">
        <v>139</v>
      </c>
      <c r="J13" s="90" t="s">
        <v>0</v>
      </c>
      <c r="K13" s="10" t="s">
        <v>139</v>
      </c>
      <c r="L13" s="10" t="s">
        <v>139</v>
      </c>
      <c r="M13" s="10" t="s">
        <v>139</v>
      </c>
      <c r="N13" s="134"/>
      <c r="O13" s="11">
        <v>12</v>
      </c>
      <c r="P13" s="133" t="s">
        <v>227</v>
      </c>
      <c r="Q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row>
    <row r="14" spans="1:157" s="4" customFormat="1" ht="12" customHeight="1">
      <c r="A14" s="86" t="s">
        <v>10</v>
      </c>
      <c r="B14" s="85" t="s">
        <v>75</v>
      </c>
      <c r="C14" s="85" t="s">
        <v>75</v>
      </c>
      <c r="D14" s="85" t="s">
        <v>75</v>
      </c>
      <c r="E14" s="85" t="s">
        <v>76</v>
      </c>
      <c r="F14" s="85" t="s">
        <v>77</v>
      </c>
      <c r="G14" s="85" t="s">
        <v>140</v>
      </c>
      <c r="H14" s="85" t="s">
        <v>375</v>
      </c>
      <c r="I14" s="85"/>
      <c r="J14" s="85" t="s">
        <v>0</v>
      </c>
      <c r="K14" s="85" t="s">
        <v>315</v>
      </c>
      <c r="L14" s="85" t="s">
        <v>144</v>
      </c>
      <c r="M14" s="85" t="s">
        <v>232</v>
      </c>
      <c r="N14" s="55"/>
      <c r="O14" s="11">
        <v>13</v>
      </c>
      <c r="P14" s="71"/>
      <c r="S14" s="11"/>
      <c r="T14" s="11"/>
      <c r="U14" s="11"/>
    </row>
    <row r="15" spans="1:157" ht="36" customHeight="1">
      <c r="A15" s="89" t="s">
        <v>24</v>
      </c>
      <c r="B15" s="10" t="s">
        <v>336</v>
      </c>
      <c r="C15" s="10" t="s">
        <v>336</v>
      </c>
      <c r="D15" s="10" t="s">
        <v>336</v>
      </c>
      <c r="E15" s="10" t="s">
        <v>79</v>
      </c>
      <c r="F15" s="97"/>
      <c r="G15" s="10" t="s">
        <v>145</v>
      </c>
      <c r="H15" s="10" t="s">
        <v>238</v>
      </c>
      <c r="I15" s="10" t="s">
        <v>79</v>
      </c>
      <c r="J15" s="90" t="s">
        <v>0</v>
      </c>
      <c r="K15" s="10" t="s">
        <v>292</v>
      </c>
      <c r="L15" s="10" t="s">
        <v>146</v>
      </c>
      <c r="M15" s="10" t="s">
        <v>233</v>
      </c>
      <c r="N15" s="55"/>
      <c r="O15" s="11">
        <v>14</v>
      </c>
      <c r="P15" s="72"/>
      <c r="Q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row>
    <row r="16" spans="1:157" s="4" customFormat="1" ht="12" customHeight="1">
      <c r="A16" s="86" t="s">
        <v>10</v>
      </c>
      <c r="B16" s="85" t="s">
        <v>337</v>
      </c>
      <c r="C16" s="85" t="s">
        <v>337</v>
      </c>
      <c r="D16" s="85" t="s">
        <v>337</v>
      </c>
      <c r="E16" s="85" t="s">
        <v>81</v>
      </c>
      <c r="F16" s="85"/>
      <c r="G16" s="85" t="s">
        <v>147</v>
      </c>
      <c r="H16" s="85" t="s">
        <v>239</v>
      </c>
      <c r="I16" s="85" t="s">
        <v>148</v>
      </c>
      <c r="J16" s="85" t="s">
        <v>0</v>
      </c>
      <c r="K16" s="85" t="s">
        <v>293</v>
      </c>
      <c r="L16" s="85" t="s">
        <v>149</v>
      </c>
      <c r="M16" s="85" t="s">
        <v>234</v>
      </c>
      <c r="N16" s="55"/>
      <c r="O16" s="11"/>
      <c r="P16" s="72"/>
      <c r="S16" s="11"/>
      <c r="T16" s="11"/>
      <c r="U16" s="11"/>
    </row>
    <row r="17" spans="1:157" ht="12" customHeight="1">
      <c r="A17" s="98"/>
      <c r="B17" s="98"/>
      <c r="C17" s="98"/>
      <c r="D17" s="98"/>
      <c r="E17" s="98"/>
      <c r="F17" s="98"/>
      <c r="G17" s="98"/>
      <c r="H17" s="99"/>
      <c r="I17" s="98"/>
      <c r="J17" s="100"/>
      <c r="K17" s="100"/>
      <c r="L17" s="100"/>
      <c r="M17" s="100"/>
      <c r="N17" s="55"/>
      <c r="O17" s="11"/>
      <c r="P17" s="72"/>
      <c r="Q17" s="4"/>
      <c r="R17" s="4"/>
      <c r="S17" s="11"/>
      <c r="T17" s="11"/>
      <c r="U17" s="11"/>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row>
    <row r="18" spans="1:157" s="4" customFormat="1" ht="20.100000000000001" customHeight="1">
      <c r="A18" s="95" t="s">
        <v>25</v>
      </c>
      <c r="B18" s="96" t="str">
        <f>B1</f>
        <v>ARAG Web aktiv Basis</v>
      </c>
      <c r="C18" s="96" t="str">
        <f>C1</f>
        <v>ARAG Web aktiv Komfort</v>
      </c>
      <c r="D18" s="96" t="str">
        <f>D1</f>
        <v>ARAG Web aktiv Premium</v>
      </c>
      <c r="E18" s="96" t="str">
        <f>E1</f>
        <v>AXA BoxFlex</v>
      </c>
      <c r="F18" s="96" t="str">
        <f>F1</f>
        <v>BavariaDirekt Cyperschutz</v>
      </c>
      <c r="G18" s="96" t="str">
        <f>G1</f>
        <v>BGV Onlineschutz</v>
      </c>
      <c r="H18" s="96" t="str">
        <f>H1</f>
        <v>INTER CyberGuard</v>
      </c>
      <c r="I18" s="96" t="str">
        <f>I1</f>
        <v>Janitos Online-Schutz</v>
      </c>
      <c r="J18" s="96" t="str">
        <f t="shared" ref="J18:L18" si="1">J1</f>
        <v>Keine</v>
      </c>
      <c r="K18" s="96" t="str">
        <f t="shared" si="1"/>
        <v>OEVB DigitalSchutz</v>
      </c>
      <c r="L18" s="96" t="str">
        <f t="shared" si="1"/>
        <v>Roland Websecure</v>
      </c>
      <c r="M18" s="96" t="str">
        <f>M1</f>
        <v>R+V SicherOnline</v>
      </c>
      <c r="N18" s="55"/>
      <c r="O18" s="11"/>
      <c r="P18" s="72"/>
      <c r="S18" s="11"/>
      <c r="T18" s="11"/>
      <c r="U18" s="11"/>
    </row>
    <row r="19" spans="1:157" ht="36" customHeight="1">
      <c r="A19" s="89" t="s">
        <v>26</v>
      </c>
      <c r="B19" s="10" t="s">
        <v>15</v>
      </c>
      <c r="C19" s="10" t="s">
        <v>15</v>
      </c>
      <c r="D19" s="10" t="s">
        <v>15</v>
      </c>
      <c r="E19" s="10" t="s">
        <v>82</v>
      </c>
      <c r="F19" s="97" t="s">
        <v>0</v>
      </c>
      <c r="G19" s="10" t="s">
        <v>0</v>
      </c>
      <c r="H19" s="10" t="s">
        <v>0</v>
      </c>
      <c r="I19" s="10" t="s">
        <v>82</v>
      </c>
      <c r="J19" s="90" t="s">
        <v>0</v>
      </c>
      <c r="K19" s="10" t="s">
        <v>0</v>
      </c>
      <c r="L19" s="10" t="s">
        <v>150</v>
      </c>
      <c r="M19" s="90" t="s">
        <v>0</v>
      </c>
      <c r="N19" s="55"/>
      <c r="O19" s="11"/>
      <c r="P19" s="72"/>
      <c r="Q19" s="4"/>
      <c r="R19" s="4"/>
      <c r="S19" s="11"/>
      <c r="T19" s="11"/>
      <c r="U19" s="11"/>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row>
    <row r="20" spans="1:157" s="47" customFormat="1" ht="12" customHeight="1">
      <c r="A20" s="86" t="s">
        <v>10</v>
      </c>
      <c r="B20" s="85" t="s">
        <v>83</v>
      </c>
      <c r="C20" s="85" t="s">
        <v>83</v>
      </c>
      <c r="D20" s="85" t="s">
        <v>83</v>
      </c>
      <c r="E20" s="85" t="s">
        <v>84</v>
      </c>
      <c r="F20" s="85"/>
      <c r="G20" s="85" t="s">
        <v>0</v>
      </c>
      <c r="H20" s="85" t="s">
        <v>0</v>
      </c>
      <c r="I20" s="85" t="s">
        <v>151</v>
      </c>
      <c r="J20" s="85" t="s">
        <v>0</v>
      </c>
      <c r="K20" s="85"/>
      <c r="L20" s="85" t="s">
        <v>152</v>
      </c>
      <c r="M20" s="85" t="s">
        <v>0</v>
      </c>
      <c r="N20" s="64"/>
      <c r="O20" s="11"/>
      <c r="P20" s="71"/>
      <c r="Q20" s="4"/>
      <c r="R20" s="4"/>
      <c r="S20" s="11"/>
      <c r="T20" s="11"/>
      <c r="U20" s="11"/>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row>
    <row r="21" spans="1:157" ht="36" customHeight="1">
      <c r="A21" s="89" t="s">
        <v>27</v>
      </c>
      <c r="B21" s="90" t="s">
        <v>85</v>
      </c>
      <c r="C21" s="90" t="s">
        <v>85</v>
      </c>
      <c r="D21" s="90" t="s">
        <v>85</v>
      </c>
      <c r="E21" s="90" t="s">
        <v>0</v>
      </c>
      <c r="F21" s="101" t="s">
        <v>0</v>
      </c>
      <c r="G21" s="90" t="s">
        <v>0</v>
      </c>
      <c r="H21" s="10" t="s">
        <v>0</v>
      </c>
      <c r="I21" s="90" t="s">
        <v>0</v>
      </c>
      <c r="J21" s="90" t="s">
        <v>0</v>
      </c>
      <c r="K21" s="90" t="s">
        <v>0</v>
      </c>
      <c r="L21" s="90" t="s">
        <v>0</v>
      </c>
      <c r="M21" s="90" t="s">
        <v>0</v>
      </c>
      <c r="N21" s="55"/>
      <c r="O21" s="11"/>
      <c r="P21" s="71"/>
      <c r="Q21" s="4"/>
      <c r="R21" s="4"/>
      <c r="S21" s="11"/>
      <c r="T21" s="11"/>
      <c r="U21" s="11"/>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row>
    <row r="22" spans="1:157" s="4" customFormat="1" ht="12" customHeight="1">
      <c r="A22" s="86" t="s">
        <v>10</v>
      </c>
      <c r="B22" s="85" t="s">
        <v>86</v>
      </c>
      <c r="C22" s="85" t="s">
        <v>112</v>
      </c>
      <c r="D22" s="85" t="s">
        <v>112</v>
      </c>
      <c r="E22" s="85" t="s">
        <v>0</v>
      </c>
      <c r="F22" s="85"/>
      <c r="G22" s="85" t="s">
        <v>0</v>
      </c>
      <c r="H22" s="85" t="s">
        <v>0</v>
      </c>
      <c r="I22" s="85" t="s">
        <v>0</v>
      </c>
      <c r="J22" s="85" t="s">
        <v>0</v>
      </c>
      <c r="K22" s="85"/>
      <c r="L22" s="85" t="s">
        <v>0</v>
      </c>
      <c r="M22" s="85" t="s">
        <v>0</v>
      </c>
      <c r="N22" s="64"/>
      <c r="O22" s="11"/>
      <c r="P22" s="71"/>
      <c r="S22" s="11"/>
      <c r="T22" s="11"/>
      <c r="U22" s="11"/>
    </row>
    <row r="23" spans="1:157" ht="36" customHeight="1">
      <c r="A23" s="89" t="s">
        <v>338</v>
      </c>
      <c r="B23" s="90" t="s">
        <v>0</v>
      </c>
      <c r="C23" s="10" t="s">
        <v>87</v>
      </c>
      <c r="D23" s="10" t="s">
        <v>87</v>
      </c>
      <c r="E23" s="10" t="s">
        <v>69</v>
      </c>
      <c r="F23" s="97" t="s">
        <v>14</v>
      </c>
      <c r="G23" s="10" t="s">
        <v>156</v>
      </c>
      <c r="H23" s="10" t="s">
        <v>154</v>
      </c>
      <c r="I23" s="10" t="s">
        <v>69</v>
      </c>
      <c r="J23" s="90" t="s">
        <v>0</v>
      </c>
      <c r="K23" s="122" t="s">
        <v>305</v>
      </c>
      <c r="L23" s="10" t="s">
        <v>157</v>
      </c>
      <c r="M23" s="10" t="s">
        <v>235</v>
      </c>
      <c r="N23" s="55"/>
      <c r="O23" s="11"/>
      <c r="P23" s="71"/>
      <c r="Q23" s="4"/>
      <c r="R23" s="4"/>
      <c r="S23" s="11"/>
      <c r="T23" s="11"/>
      <c r="U23" s="11"/>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row>
    <row r="24" spans="1:157" s="4" customFormat="1" ht="12" customHeight="1">
      <c r="A24" s="86" t="s">
        <v>10</v>
      </c>
      <c r="B24" s="85" t="s">
        <v>0</v>
      </c>
      <c r="C24" s="85" t="s">
        <v>88</v>
      </c>
      <c r="D24" s="85" t="s">
        <v>88</v>
      </c>
      <c r="E24" s="85" t="s">
        <v>89</v>
      </c>
      <c r="F24" s="85" t="s">
        <v>368</v>
      </c>
      <c r="G24" s="85" t="s">
        <v>158</v>
      </c>
      <c r="H24" s="85" t="s">
        <v>379</v>
      </c>
      <c r="I24" s="85" t="s">
        <v>159</v>
      </c>
      <c r="J24" s="85" t="s">
        <v>0</v>
      </c>
      <c r="K24" s="85" t="s">
        <v>306</v>
      </c>
      <c r="L24" s="85" t="s">
        <v>160</v>
      </c>
      <c r="M24" s="85">
        <v>37344</v>
      </c>
      <c r="N24" s="55"/>
      <c r="O24" s="11"/>
      <c r="P24" s="71"/>
      <c r="S24" s="11"/>
      <c r="T24" s="11"/>
      <c r="U24" s="11"/>
    </row>
    <row r="25" spans="1:157" ht="36" customHeight="1">
      <c r="A25" s="89" t="s">
        <v>29</v>
      </c>
      <c r="B25" s="10" t="s">
        <v>0</v>
      </c>
      <c r="C25" s="10" t="s">
        <v>341</v>
      </c>
      <c r="D25" s="10" t="s">
        <v>341</v>
      </c>
      <c r="E25" s="10" t="s">
        <v>0</v>
      </c>
      <c r="F25" s="97" t="s">
        <v>90</v>
      </c>
      <c r="G25" s="10" t="s">
        <v>161</v>
      </c>
      <c r="H25" s="10" t="s">
        <v>154</v>
      </c>
      <c r="I25" s="10" t="s">
        <v>0</v>
      </c>
      <c r="J25" s="10" t="s">
        <v>0</v>
      </c>
      <c r="K25" s="10" t="s">
        <v>307</v>
      </c>
      <c r="L25" s="10" t="s">
        <v>0</v>
      </c>
      <c r="M25" s="10" t="s">
        <v>0</v>
      </c>
      <c r="N25" s="55"/>
      <c r="O25" s="11"/>
      <c r="P25" s="71"/>
      <c r="Q25" s="4"/>
      <c r="R25" s="4"/>
      <c r="S25" s="11"/>
      <c r="T25" s="11"/>
      <c r="U25" s="11"/>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row>
    <row r="26" spans="1:157" s="47" customFormat="1" ht="12" customHeight="1">
      <c r="A26" s="86" t="s">
        <v>10</v>
      </c>
      <c r="B26" s="85" t="s">
        <v>0</v>
      </c>
      <c r="C26" s="85" t="s">
        <v>342</v>
      </c>
      <c r="D26" s="85" t="s">
        <v>342</v>
      </c>
      <c r="E26" s="85" t="s">
        <v>0</v>
      </c>
      <c r="F26" s="85" t="s">
        <v>368</v>
      </c>
      <c r="G26" s="85" t="s">
        <v>162</v>
      </c>
      <c r="H26" s="85" t="s">
        <v>380</v>
      </c>
      <c r="I26" s="85" t="s">
        <v>0</v>
      </c>
      <c r="J26" s="85" t="s">
        <v>0</v>
      </c>
      <c r="K26" s="85" t="s">
        <v>294</v>
      </c>
      <c r="L26" s="85" t="s">
        <v>0</v>
      </c>
      <c r="M26" s="85" t="s">
        <v>0</v>
      </c>
      <c r="N26" s="64"/>
      <c r="O26" s="11"/>
      <c r="P26" s="71"/>
      <c r="Q26" s="4"/>
      <c r="R26" s="4"/>
      <c r="S26" s="11"/>
      <c r="T26" s="11"/>
      <c r="U26" s="11"/>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row>
    <row r="27" spans="1:157" ht="12" customHeight="1">
      <c r="A27" s="105"/>
      <c r="B27" s="106"/>
      <c r="C27" s="106"/>
      <c r="D27" s="106"/>
      <c r="E27" s="106"/>
      <c r="F27" s="106"/>
      <c r="G27" s="106"/>
      <c r="H27" s="106"/>
      <c r="I27" s="106"/>
      <c r="J27" s="106"/>
      <c r="K27" s="106"/>
      <c r="L27" s="106"/>
      <c r="M27" s="106"/>
      <c r="N27" s="64"/>
      <c r="O27" s="11"/>
      <c r="P27" s="71"/>
      <c r="Q27" s="4"/>
      <c r="R27" s="4"/>
      <c r="S27" s="11"/>
      <c r="T27" s="11"/>
      <c r="U27" s="11"/>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row>
    <row r="28" spans="1:157" s="4" customFormat="1" ht="20.100000000000001" customHeight="1">
      <c r="A28" s="95" t="s">
        <v>30</v>
      </c>
      <c r="B28" s="96" t="str">
        <f>B1</f>
        <v>ARAG Web aktiv Basis</v>
      </c>
      <c r="C28" s="96" t="str">
        <f>C1</f>
        <v>ARAG Web aktiv Komfort</v>
      </c>
      <c r="D28" s="96" t="str">
        <f>D1</f>
        <v>ARAG Web aktiv Premium</v>
      </c>
      <c r="E28" s="96" t="str">
        <f>E1</f>
        <v>AXA BoxFlex</v>
      </c>
      <c r="F28" s="96" t="str">
        <f>F1</f>
        <v>BavariaDirekt Cyperschutz</v>
      </c>
      <c r="G28" s="96" t="str">
        <f>G1</f>
        <v>BGV Onlineschutz</v>
      </c>
      <c r="H28" s="96" t="str">
        <f>H1</f>
        <v>INTER CyberGuard</v>
      </c>
      <c r="I28" s="96" t="str">
        <f>I1</f>
        <v>Janitos Online-Schutz</v>
      </c>
      <c r="J28" s="96" t="str">
        <f t="shared" ref="J28:L28" si="2">J1</f>
        <v>Keine</v>
      </c>
      <c r="K28" s="88" t="s">
        <v>291</v>
      </c>
      <c r="L28" s="96" t="str">
        <f t="shared" si="2"/>
        <v>Roland Websecure</v>
      </c>
      <c r="M28" s="96" t="str">
        <f>M1</f>
        <v>R+V SicherOnline</v>
      </c>
      <c r="N28" s="55"/>
      <c r="O28" s="11"/>
      <c r="P28" s="71"/>
      <c r="S28" s="11"/>
      <c r="T28" s="11"/>
      <c r="U28" s="11"/>
    </row>
    <row r="29" spans="1:157" ht="36" customHeight="1">
      <c r="A29" s="102" t="s">
        <v>31</v>
      </c>
      <c r="B29" s="10" t="s">
        <v>0</v>
      </c>
      <c r="C29" s="10" t="s">
        <v>15</v>
      </c>
      <c r="D29" s="10" t="s">
        <v>15</v>
      </c>
      <c r="E29" s="10" t="s">
        <v>82</v>
      </c>
      <c r="F29" s="97" t="s">
        <v>0</v>
      </c>
      <c r="G29" s="10" t="s">
        <v>167</v>
      </c>
      <c r="H29" s="10" t="s">
        <v>0</v>
      </c>
      <c r="I29" s="10" t="s">
        <v>82</v>
      </c>
      <c r="J29" s="90" t="s">
        <v>0</v>
      </c>
      <c r="K29" s="90" t="s">
        <v>0</v>
      </c>
      <c r="L29" s="90" t="s">
        <v>0</v>
      </c>
      <c r="M29" s="90" t="s">
        <v>0</v>
      </c>
      <c r="N29" s="55"/>
      <c r="O29" s="11"/>
      <c r="P29" s="71"/>
      <c r="Q29" s="4"/>
      <c r="R29" s="4"/>
      <c r="S29" s="11"/>
      <c r="T29" s="11"/>
      <c r="U29" s="11"/>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row>
    <row r="30" spans="1:157" s="4" customFormat="1" ht="12" customHeight="1">
      <c r="A30" s="86" t="s">
        <v>10</v>
      </c>
      <c r="B30" s="85" t="s">
        <v>91</v>
      </c>
      <c r="C30" s="85" t="s">
        <v>86</v>
      </c>
      <c r="D30" s="85" t="s">
        <v>86</v>
      </c>
      <c r="E30" s="85" t="s">
        <v>84</v>
      </c>
      <c r="F30" s="85"/>
      <c r="G30" s="85" t="s">
        <v>168</v>
      </c>
      <c r="H30" s="85" t="s">
        <v>0</v>
      </c>
      <c r="I30" s="85" t="s">
        <v>151</v>
      </c>
      <c r="J30" s="85" t="s">
        <v>0</v>
      </c>
      <c r="K30" s="85" t="s">
        <v>0</v>
      </c>
      <c r="L30" s="85"/>
      <c r="M30" s="85" t="s">
        <v>0</v>
      </c>
      <c r="N30" s="64"/>
      <c r="O30" s="11"/>
      <c r="P30" s="71"/>
      <c r="S30" s="11"/>
      <c r="T30" s="11"/>
      <c r="U30" s="11"/>
    </row>
    <row r="31" spans="1:157" ht="48" customHeight="1">
      <c r="A31" s="102" t="s">
        <v>32</v>
      </c>
      <c r="B31" s="10" t="s">
        <v>0</v>
      </c>
      <c r="C31" s="10" t="s">
        <v>87</v>
      </c>
      <c r="D31" s="10" t="s">
        <v>87</v>
      </c>
      <c r="E31" s="10" t="s">
        <v>92</v>
      </c>
      <c r="F31" s="10" t="s">
        <v>93</v>
      </c>
      <c r="G31" s="10" t="s">
        <v>93</v>
      </c>
      <c r="H31" s="10" t="s">
        <v>170</v>
      </c>
      <c r="I31" s="10" t="s">
        <v>300</v>
      </c>
      <c r="J31" s="90" t="s">
        <v>0</v>
      </c>
      <c r="K31" s="10" t="s">
        <v>299</v>
      </c>
      <c r="L31" s="90" t="s">
        <v>0</v>
      </c>
      <c r="M31" s="10" t="s">
        <v>235</v>
      </c>
      <c r="N31" s="64"/>
      <c r="O31" s="11"/>
      <c r="P31" s="71"/>
      <c r="Q31" s="4"/>
      <c r="R31" s="4"/>
      <c r="S31" s="11"/>
      <c r="T31" s="11"/>
      <c r="U31" s="11"/>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row>
    <row r="32" spans="1:157" s="47" customFormat="1" ht="12" customHeight="1">
      <c r="A32" s="86" t="s">
        <v>10</v>
      </c>
      <c r="B32" s="85" t="s">
        <v>0</v>
      </c>
      <c r="C32" s="85" t="s">
        <v>343</v>
      </c>
      <c r="D32" s="85" t="s">
        <v>343</v>
      </c>
      <c r="E32" s="85" t="s">
        <v>95</v>
      </c>
      <c r="F32" s="85"/>
      <c r="G32" s="85" t="s">
        <v>171</v>
      </c>
      <c r="H32" s="85" t="s">
        <v>172</v>
      </c>
      <c r="I32" s="85" t="s">
        <v>173</v>
      </c>
      <c r="J32" s="85" t="s">
        <v>0</v>
      </c>
      <c r="K32" s="85" t="s">
        <v>301</v>
      </c>
      <c r="L32" s="85"/>
      <c r="M32" s="85" t="s">
        <v>232</v>
      </c>
      <c r="N32" s="64"/>
      <c r="O32" s="11"/>
      <c r="P32" s="71"/>
      <c r="Q32" s="4"/>
      <c r="R32" s="4"/>
      <c r="S32" s="11"/>
      <c r="T32" s="11"/>
      <c r="U32" s="11"/>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row>
    <row r="33" spans="1:157" s="49" customFormat="1" ht="36" customHeight="1">
      <c r="A33" s="102" t="s">
        <v>33</v>
      </c>
      <c r="B33" s="10" t="s">
        <v>0</v>
      </c>
      <c r="C33" s="10" t="s">
        <v>87</v>
      </c>
      <c r="D33" s="10" t="s">
        <v>87</v>
      </c>
      <c r="E33" s="10" t="s">
        <v>0</v>
      </c>
      <c r="F33" s="10" t="s">
        <v>93</v>
      </c>
      <c r="G33" s="10" t="s">
        <v>174</v>
      </c>
      <c r="H33" s="10" t="s">
        <v>170</v>
      </c>
      <c r="I33" s="10" t="s">
        <v>0</v>
      </c>
      <c r="J33" s="90" t="s">
        <v>0</v>
      </c>
      <c r="K33" s="10" t="s">
        <v>302</v>
      </c>
      <c r="L33" s="90" t="s">
        <v>5</v>
      </c>
      <c r="M33" s="10" t="s">
        <v>235</v>
      </c>
      <c r="N33" s="64"/>
      <c r="O33" s="11"/>
      <c r="P33" s="71"/>
      <c r="Q33" s="4"/>
      <c r="R33" s="4"/>
      <c r="S33" s="11"/>
      <c r="T33" s="11"/>
      <c r="U33" s="11"/>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row>
    <row r="34" spans="1:157" ht="12" customHeight="1">
      <c r="A34" s="86" t="s">
        <v>10</v>
      </c>
      <c r="B34" s="85" t="s">
        <v>0</v>
      </c>
      <c r="C34" s="85" t="s">
        <v>94</v>
      </c>
      <c r="D34" s="85" t="s">
        <v>94</v>
      </c>
      <c r="E34" s="85" t="s">
        <v>0</v>
      </c>
      <c r="F34" s="85"/>
      <c r="G34" s="85" t="s">
        <v>175</v>
      </c>
      <c r="H34" s="85" t="s">
        <v>172</v>
      </c>
      <c r="I34" s="85" t="s">
        <v>0</v>
      </c>
      <c r="J34" s="85" t="s">
        <v>0</v>
      </c>
      <c r="K34" s="85" t="s">
        <v>303</v>
      </c>
      <c r="L34" s="85"/>
      <c r="M34" s="85" t="s">
        <v>232</v>
      </c>
      <c r="N34" s="64"/>
      <c r="O34" s="11"/>
      <c r="P34" s="71"/>
      <c r="Q34" s="4"/>
      <c r="R34" s="4"/>
      <c r="S34" s="11"/>
      <c r="T34" s="11"/>
      <c r="U34" s="11"/>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row>
    <row r="35" spans="1:157" s="66" customFormat="1" ht="12" customHeight="1">
      <c r="A35" s="107"/>
      <c r="B35" s="108"/>
      <c r="C35" s="108"/>
      <c r="D35" s="108"/>
      <c r="E35" s="108"/>
      <c r="F35" s="108"/>
      <c r="G35" s="108"/>
      <c r="H35" s="109"/>
      <c r="I35" s="108"/>
      <c r="J35" s="109"/>
      <c r="K35" s="108"/>
      <c r="L35" s="108"/>
      <c r="M35" s="109"/>
      <c r="N35" s="55"/>
      <c r="O35" s="11"/>
      <c r="P35" s="71"/>
      <c r="S35" s="35"/>
      <c r="T35" s="35"/>
      <c r="U35" s="35"/>
    </row>
    <row r="36" spans="1:157" s="4" customFormat="1" ht="20.100000000000001" customHeight="1">
      <c r="A36" s="95" t="s">
        <v>34</v>
      </c>
      <c r="B36" s="96" t="str">
        <f>B1</f>
        <v>ARAG Web aktiv Basis</v>
      </c>
      <c r="C36" s="96" t="str">
        <f>C1</f>
        <v>ARAG Web aktiv Komfort</v>
      </c>
      <c r="D36" s="96" t="str">
        <f>D1</f>
        <v>ARAG Web aktiv Premium</v>
      </c>
      <c r="E36" s="96" t="str">
        <f>E1</f>
        <v>AXA BoxFlex</v>
      </c>
      <c r="F36" s="96" t="str">
        <f>F1</f>
        <v>BavariaDirekt Cyperschutz</v>
      </c>
      <c r="G36" s="96" t="str">
        <f>G1</f>
        <v>BGV Onlineschutz</v>
      </c>
      <c r="H36" s="96" t="str">
        <f>H1</f>
        <v>INTER CyberGuard</v>
      </c>
      <c r="I36" s="96" t="str">
        <f>I1</f>
        <v>Janitos Online-Schutz</v>
      </c>
      <c r="J36" s="96" t="str">
        <f t="shared" ref="J36:M36" si="3">J1</f>
        <v>Keine</v>
      </c>
      <c r="K36" s="96" t="str">
        <f t="shared" si="3"/>
        <v>OEVB DigitalSchutz</v>
      </c>
      <c r="L36" s="96" t="str">
        <f t="shared" si="3"/>
        <v>Roland Websecure</v>
      </c>
      <c r="M36" s="96" t="str">
        <f t="shared" si="3"/>
        <v>R+V SicherOnline</v>
      </c>
      <c r="N36" s="55"/>
      <c r="O36" s="35"/>
      <c r="P36" s="71"/>
      <c r="S36" s="11"/>
      <c r="T36" s="11"/>
      <c r="U36" s="11"/>
    </row>
    <row r="37" spans="1:157" ht="36" customHeight="1">
      <c r="A37" s="102" t="s">
        <v>384</v>
      </c>
      <c r="B37" s="10" t="s">
        <v>0</v>
      </c>
      <c r="C37" s="10" t="s">
        <v>0</v>
      </c>
      <c r="D37" s="10" t="s">
        <v>367</v>
      </c>
      <c r="E37" s="10" t="s">
        <v>0</v>
      </c>
      <c r="F37" s="97" t="s">
        <v>0</v>
      </c>
      <c r="G37" s="10" t="s">
        <v>0</v>
      </c>
      <c r="H37" s="10" t="s">
        <v>385</v>
      </c>
      <c r="I37" s="10" t="s">
        <v>0</v>
      </c>
      <c r="J37" s="90" t="s">
        <v>0</v>
      </c>
      <c r="K37" s="90" t="s">
        <v>0</v>
      </c>
      <c r="L37" s="90" t="s">
        <v>0</v>
      </c>
      <c r="M37" s="90" t="s">
        <v>0</v>
      </c>
      <c r="N37" s="55"/>
      <c r="O37" s="11"/>
      <c r="P37" s="71"/>
      <c r="Q37" s="4"/>
      <c r="R37" s="4"/>
      <c r="S37" s="11"/>
      <c r="T37" s="11"/>
      <c r="U37" s="11"/>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row>
    <row r="38" spans="1:157" s="4" customFormat="1" ht="12" customHeight="1">
      <c r="A38" s="86" t="s">
        <v>10</v>
      </c>
      <c r="B38" s="85" t="s">
        <v>0</v>
      </c>
      <c r="C38" s="85" t="s">
        <v>0</v>
      </c>
      <c r="D38" s="85" t="s">
        <v>0</v>
      </c>
      <c r="E38" s="85" t="s">
        <v>0</v>
      </c>
      <c r="F38" s="85"/>
      <c r="G38" s="85" t="s">
        <v>0</v>
      </c>
      <c r="H38" s="85" t="s">
        <v>386</v>
      </c>
      <c r="I38" s="85" t="s">
        <v>0</v>
      </c>
      <c r="J38" s="85" t="s">
        <v>0</v>
      </c>
      <c r="K38" s="85"/>
      <c r="L38" s="85" t="s">
        <v>0</v>
      </c>
      <c r="M38" s="85" t="s">
        <v>0</v>
      </c>
      <c r="N38" s="55"/>
      <c r="O38" s="11"/>
      <c r="P38" s="71"/>
      <c r="S38" s="11"/>
      <c r="T38" s="11"/>
      <c r="U38" s="11"/>
    </row>
    <row r="39" spans="1:157" ht="36" customHeight="1">
      <c r="A39" s="89" t="s">
        <v>382</v>
      </c>
      <c r="B39" s="10" t="s">
        <v>0</v>
      </c>
      <c r="C39" s="10" t="s">
        <v>0</v>
      </c>
      <c r="D39" s="10" t="s">
        <v>0</v>
      </c>
      <c r="E39" s="10" t="s">
        <v>0</v>
      </c>
      <c r="F39" s="97" t="s">
        <v>0</v>
      </c>
      <c r="G39" s="10" t="s">
        <v>0</v>
      </c>
      <c r="H39" s="10" t="s">
        <v>381</v>
      </c>
      <c r="I39" s="10" t="s">
        <v>0</v>
      </c>
      <c r="J39" s="90" t="s">
        <v>0</v>
      </c>
      <c r="K39" s="90" t="s">
        <v>0</v>
      </c>
      <c r="L39" s="90" t="s">
        <v>0</v>
      </c>
      <c r="M39" s="90" t="s">
        <v>0</v>
      </c>
      <c r="N39" s="64"/>
      <c r="O39" s="11"/>
      <c r="P39" s="71"/>
      <c r="Q39" s="4"/>
      <c r="R39" s="4"/>
      <c r="S39" s="11"/>
      <c r="T39" s="11"/>
      <c r="U39" s="11"/>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row>
    <row r="40" spans="1:157" s="4" customFormat="1" ht="12" customHeight="1">
      <c r="A40" s="86" t="s">
        <v>10</v>
      </c>
      <c r="B40" s="85" t="s">
        <v>0</v>
      </c>
      <c r="C40" s="85" t="s">
        <v>0</v>
      </c>
      <c r="D40" s="85" t="s">
        <v>0</v>
      </c>
      <c r="E40" s="85" t="s">
        <v>0</v>
      </c>
      <c r="F40" s="85"/>
      <c r="G40" s="85" t="s">
        <v>0</v>
      </c>
      <c r="H40" s="85" t="s">
        <v>383</v>
      </c>
      <c r="I40" s="85" t="s">
        <v>0</v>
      </c>
      <c r="J40" s="85" t="s">
        <v>0</v>
      </c>
      <c r="K40" s="85"/>
      <c r="L40" s="85" t="s">
        <v>0</v>
      </c>
      <c r="M40" s="85" t="s">
        <v>0</v>
      </c>
      <c r="N40" s="64"/>
      <c r="O40" s="11"/>
      <c r="P40" s="71"/>
      <c r="S40" s="11"/>
      <c r="T40" s="11"/>
      <c r="U40" s="11"/>
    </row>
    <row r="41" spans="1:157" ht="36" customHeight="1">
      <c r="A41" s="102" t="s">
        <v>376</v>
      </c>
      <c r="B41" s="10" t="s">
        <v>0</v>
      </c>
      <c r="C41" s="10" t="s">
        <v>0</v>
      </c>
      <c r="D41" s="10" t="s">
        <v>0</v>
      </c>
      <c r="E41" s="10" t="s">
        <v>0</v>
      </c>
      <c r="F41" s="97" t="s">
        <v>0</v>
      </c>
      <c r="G41" s="10" t="s">
        <v>0</v>
      </c>
      <c r="H41" s="10" t="s">
        <v>165</v>
      </c>
      <c r="I41" s="10" t="s">
        <v>0</v>
      </c>
      <c r="J41" s="103" t="s">
        <v>0</v>
      </c>
      <c r="K41" s="104" t="s">
        <v>0</v>
      </c>
      <c r="L41" s="104" t="s">
        <v>0</v>
      </c>
      <c r="M41" s="103" t="s">
        <v>0</v>
      </c>
      <c r="N41" s="64"/>
      <c r="O41" s="11"/>
      <c r="P41" s="71"/>
      <c r="Q41" s="4"/>
      <c r="R41" s="4"/>
      <c r="S41" s="11"/>
      <c r="T41" s="11"/>
      <c r="U41" s="11"/>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row>
    <row r="42" spans="1:157" s="4" customFormat="1" ht="12" customHeight="1">
      <c r="A42" s="86" t="s">
        <v>10</v>
      </c>
      <c r="B42" s="85" t="s">
        <v>0</v>
      </c>
      <c r="C42" s="85" t="s">
        <v>0</v>
      </c>
      <c r="D42" s="85" t="s">
        <v>0</v>
      </c>
      <c r="E42" s="85" t="s">
        <v>0</v>
      </c>
      <c r="F42" s="85"/>
      <c r="G42" s="85" t="s">
        <v>0</v>
      </c>
      <c r="H42" s="85" t="s">
        <v>166</v>
      </c>
      <c r="I42" s="85" t="s">
        <v>0</v>
      </c>
      <c r="J42" s="85" t="s">
        <v>0</v>
      </c>
      <c r="K42" s="85" t="s">
        <v>0</v>
      </c>
      <c r="L42" s="85" t="s">
        <v>0</v>
      </c>
      <c r="M42" s="85" t="s">
        <v>0</v>
      </c>
      <c r="N42" s="64"/>
      <c r="O42" s="11"/>
      <c r="P42" s="71"/>
      <c r="S42" s="11"/>
      <c r="T42" s="11"/>
      <c r="U42" s="11"/>
    </row>
    <row r="43" spans="1:157" ht="12" customHeight="1">
      <c r="A43" s="110"/>
      <c r="B43" s="69"/>
      <c r="C43" s="69"/>
      <c r="D43" s="69"/>
      <c r="E43" s="69"/>
      <c r="F43" s="69"/>
      <c r="G43" s="69"/>
      <c r="H43" s="69"/>
      <c r="I43" s="69"/>
      <c r="J43" s="111"/>
      <c r="K43" s="69"/>
      <c r="L43" s="69"/>
      <c r="M43" s="111"/>
      <c r="N43" s="64"/>
      <c r="O43" s="11"/>
      <c r="P43" s="72"/>
      <c r="Q43" s="4"/>
      <c r="R43" s="4"/>
      <c r="S43" s="11"/>
      <c r="T43" s="11"/>
      <c r="U43" s="11"/>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row>
    <row r="44" spans="1:157" s="4" customFormat="1" ht="20.100000000000001" customHeight="1">
      <c r="A44" s="95" t="s">
        <v>36</v>
      </c>
      <c r="B44" s="96" t="str">
        <f>B1</f>
        <v>ARAG Web aktiv Basis</v>
      </c>
      <c r="C44" s="96" t="str">
        <f>C1</f>
        <v>ARAG Web aktiv Komfort</v>
      </c>
      <c r="D44" s="96" t="str">
        <f>D1</f>
        <v>ARAG Web aktiv Premium</v>
      </c>
      <c r="E44" s="96" t="str">
        <f>E1</f>
        <v>AXA BoxFlex</v>
      </c>
      <c r="F44" s="96" t="str">
        <f>F1</f>
        <v>BavariaDirekt Cyperschutz</v>
      </c>
      <c r="G44" s="96" t="str">
        <f>G1</f>
        <v>BGV Onlineschutz</v>
      </c>
      <c r="H44" s="96" t="str">
        <f>H1</f>
        <v>INTER CyberGuard</v>
      </c>
      <c r="I44" s="96" t="str">
        <f>I1</f>
        <v>Janitos Online-Schutz</v>
      </c>
      <c r="J44" s="96" t="str">
        <f t="shared" ref="J44:M44" si="4">J1</f>
        <v>Keine</v>
      </c>
      <c r="K44" s="96" t="str">
        <f t="shared" si="4"/>
        <v>OEVB DigitalSchutz</v>
      </c>
      <c r="L44" s="96" t="str">
        <f t="shared" si="4"/>
        <v>Roland Websecure</v>
      </c>
      <c r="M44" s="96" t="str">
        <f t="shared" si="4"/>
        <v>R+V SicherOnline</v>
      </c>
      <c r="N44" s="64"/>
      <c r="O44" s="11"/>
      <c r="P44" s="71"/>
      <c r="S44" s="11"/>
      <c r="T44" s="11"/>
      <c r="U44" s="11"/>
    </row>
    <row r="45" spans="1:157" s="4" customFormat="1" ht="36" customHeight="1">
      <c r="A45" s="110" t="s">
        <v>37</v>
      </c>
      <c r="B45" s="111" t="s">
        <v>0</v>
      </c>
      <c r="C45" s="10" t="s">
        <v>96</v>
      </c>
      <c r="D45" s="10" t="s">
        <v>96</v>
      </c>
      <c r="E45" s="10" t="s">
        <v>0</v>
      </c>
      <c r="F45" s="138">
        <v>2000</v>
      </c>
      <c r="G45" s="10" t="s">
        <v>178</v>
      </c>
      <c r="H45" s="10" t="s">
        <v>387</v>
      </c>
      <c r="I45" s="10" t="s">
        <v>0</v>
      </c>
      <c r="J45" s="111" t="s">
        <v>0</v>
      </c>
      <c r="K45" s="10" t="s">
        <v>309</v>
      </c>
      <c r="L45" s="69" t="s">
        <v>180</v>
      </c>
      <c r="M45" s="10" t="s">
        <v>364</v>
      </c>
      <c r="N45" s="64"/>
      <c r="O45" s="11"/>
      <c r="P45" s="71"/>
      <c r="S45" s="11"/>
      <c r="T45" s="11"/>
      <c r="U45" s="11"/>
    </row>
    <row r="46" spans="1:157" ht="12" customHeight="1">
      <c r="A46" s="86" t="s">
        <v>10</v>
      </c>
      <c r="B46" s="85" t="s">
        <v>0</v>
      </c>
      <c r="C46" s="85" t="s">
        <v>97</v>
      </c>
      <c r="D46" s="85" t="s">
        <v>97</v>
      </c>
      <c r="E46" s="85" t="s">
        <v>0</v>
      </c>
      <c r="F46" s="85" t="s">
        <v>368</v>
      </c>
      <c r="G46" s="85" t="s">
        <v>181</v>
      </c>
      <c r="H46" s="85" t="s">
        <v>182</v>
      </c>
      <c r="I46" s="85" t="s">
        <v>0</v>
      </c>
      <c r="J46" s="85" t="s">
        <v>0</v>
      </c>
      <c r="K46" s="85" t="s">
        <v>308</v>
      </c>
      <c r="L46" s="85" t="s">
        <v>183</v>
      </c>
      <c r="M46" s="24" t="s">
        <v>237</v>
      </c>
      <c r="N46" s="64"/>
      <c r="O46" s="11"/>
      <c r="P46" s="71"/>
      <c r="Q46" s="4"/>
      <c r="R46" s="4"/>
      <c r="S46" s="11"/>
      <c r="T46" s="11"/>
      <c r="U46" s="11"/>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row>
    <row r="47" spans="1:157" s="4" customFormat="1" ht="12" customHeight="1">
      <c r="A47" s="89"/>
      <c r="B47" s="10"/>
      <c r="C47" s="10"/>
      <c r="D47" s="10"/>
      <c r="E47" s="10"/>
      <c r="F47" s="10"/>
      <c r="G47" s="10"/>
      <c r="H47" s="10"/>
      <c r="I47" s="10"/>
      <c r="J47" s="90"/>
      <c r="K47" s="10"/>
      <c r="L47" s="10"/>
      <c r="M47" s="90"/>
      <c r="N47" s="64"/>
      <c r="O47" s="11"/>
      <c r="P47" s="71"/>
      <c r="S47" s="11"/>
      <c r="T47" s="11"/>
      <c r="U47" s="11"/>
    </row>
    <row r="48" spans="1:157" ht="20.100000000000001" customHeight="1">
      <c r="A48" s="95" t="s">
        <v>38</v>
      </c>
      <c r="B48" s="96" t="str">
        <f>B1</f>
        <v>ARAG Web aktiv Basis</v>
      </c>
      <c r="C48" s="96" t="str">
        <f>C1</f>
        <v>ARAG Web aktiv Komfort</v>
      </c>
      <c r="D48" s="96" t="str">
        <f>D1</f>
        <v>ARAG Web aktiv Premium</v>
      </c>
      <c r="E48" s="96" t="str">
        <f>E1</f>
        <v>AXA BoxFlex</v>
      </c>
      <c r="F48" s="96" t="str">
        <f>F1</f>
        <v>BavariaDirekt Cyperschutz</v>
      </c>
      <c r="G48" s="96" t="str">
        <f>G1</f>
        <v>BGV Onlineschutz</v>
      </c>
      <c r="H48" s="96" t="str">
        <f>H1</f>
        <v>INTER CyberGuard</v>
      </c>
      <c r="I48" s="96" t="str">
        <f>I1</f>
        <v>Janitos Online-Schutz</v>
      </c>
      <c r="J48" s="96" t="str">
        <f t="shared" ref="J48:M48" si="5">J1</f>
        <v>Keine</v>
      </c>
      <c r="K48" s="96" t="str">
        <f t="shared" si="5"/>
        <v>OEVB DigitalSchutz</v>
      </c>
      <c r="L48" s="96" t="str">
        <f t="shared" si="5"/>
        <v>Roland Websecure</v>
      </c>
      <c r="M48" s="96" t="str">
        <f t="shared" si="5"/>
        <v>R+V SicherOnline</v>
      </c>
      <c r="N48" s="64"/>
      <c r="O48" s="11"/>
      <c r="P48" s="71"/>
      <c r="Q48" s="4"/>
      <c r="R48" s="4"/>
      <c r="S48" s="11"/>
      <c r="T48" s="11"/>
      <c r="U48" s="11"/>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row>
    <row r="49" spans="1:157" s="4" customFormat="1" ht="36" customHeight="1">
      <c r="A49" s="89" t="s">
        <v>39</v>
      </c>
      <c r="B49" s="10" t="s">
        <v>0</v>
      </c>
      <c r="C49" s="10" t="s">
        <v>0</v>
      </c>
      <c r="D49" s="10" t="s">
        <v>0</v>
      </c>
      <c r="E49" s="10" t="s">
        <v>0</v>
      </c>
      <c r="F49" s="97" t="s">
        <v>0</v>
      </c>
      <c r="G49" s="10" t="s">
        <v>0</v>
      </c>
      <c r="H49" s="10" t="s">
        <v>165</v>
      </c>
      <c r="I49" s="10" t="s">
        <v>0</v>
      </c>
      <c r="J49" s="90" t="s">
        <v>0</v>
      </c>
      <c r="K49" s="69" t="s">
        <v>0</v>
      </c>
      <c r="L49" s="10" t="s">
        <v>0</v>
      </c>
      <c r="M49" s="90" t="s">
        <v>0</v>
      </c>
      <c r="N49" s="64"/>
      <c r="O49" s="11"/>
      <c r="P49" s="71"/>
      <c r="S49" s="11"/>
      <c r="T49" s="11"/>
      <c r="U49" s="11"/>
    </row>
    <row r="50" spans="1:157" ht="12" customHeight="1">
      <c r="A50" s="86" t="s">
        <v>10</v>
      </c>
      <c r="B50" s="85" t="s">
        <v>0</v>
      </c>
      <c r="C50" s="85" t="s">
        <v>0</v>
      </c>
      <c r="D50" s="85" t="s">
        <v>0</v>
      </c>
      <c r="E50" s="85" t="s">
        <v>0</v>
      </c>
      <c r="F50" s="85"/>
      <c r="G50" s="85" t="s">
        <v>0</v>
      </c>
      <c r="H50" s="85" t="s">
        <v>392</v>
      </c>
      <c r="I50" s="85" t="s">
        <v>0</v>
      </c>
      <c r="J50" s="85" t="s">
        <v>0</v>
      </c>
      <c r="K50" s="85" t="s">
        <v>0</v>
      </c>
      <c r="L50" s="85" t="s">
        <v>0</v>
      </c>
      <c r="M50" s="24" t="s">
        <v>0</v>
      </c>
      <c r="N50" s="64"/>
      <c r="O50" s="11"/>
      <c r="P50" s="71"/>
      <c r="Q50" s="4"/>
      <c r="R50" s="4"/>
      <c r="S50" s="11"/>
      <c r="T50" s="11"/>
      <c r="U50" s="11"/>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row>
    <row r="51" spans="1:157" s="4" customFormat="1" ht="12" customHeight="1">
      <c r="A51" s="89"/>
      <c r="B51" s="90"/>
      <c r="C51" s="90"/>
      <c r="D51" s="90"/>
      <c r="E51" s="90"/>
      <c r="F51" s="90"/>
      <c r="G51" s="90"/>
      <c r="H51" s="90"/>
      <c r="I51" s="90"/>
      <c r="J51" s="90"/>
      <c r="K51" s="90"/>
      <c r="L51" s="90"/>
      <c r="M51" s="90"/>
      <c r="N51" s="64"/>
      <c r="O51" s="11"/>
      <c r="P51" s="72"/>
      <c r="S51" s="11"/>
      <c r="T51" s="11"/>
      <c r="U51" s="11"/>
    </row>
    <row r="52" spans="1:157" ht="20.100000000000001" customHeight="1">
      <c r="A52" s="95" t="s">
        <v>40</v>
      </c>
      <c r="B52" s="96" t="str">
        <f>B1</f>
        <v>ARAG Web aktiv Basis</v>
      </c>
      <c r="C52" s="96" t="str">
        <f>C1</f>
        <v>ARAG Web aktiv Komfort</v>
      </c>
      <c r="D52" s="96" t="str">
        <f>D1</f>
        <v>ARAG Web aktiv Premium</v>
      </c>
      <c r="E52" s="96" t="str">
        <f>E1</f>
        <v>AXA BoxFlex</v>
      </c>
      <c r="F52" s="96" t="str">
        <f>F1</f>
        <v>BavariaDirekt Cyperschutz</v>
      </c>
      <c r="G52" s="96" t="str">
        <f>G1</f>
        <v>BGV Onlineschutz</v>
      </c>
      <c r="H52" s="96" t="str">
        <f>H1</f>
        <v>INTER CyberGuard</v>
      </c>
      <c r="I52" s="96" t="str">
        <f>I1</f>
        <v>Janitos Online-Schutz</v>
      </c>
      <c r="J52" s="96" t="str">
        <f>J1</f>
        <v>Keine</v>
      </c>
      <c r="K52" s="96" t="str">
        <f>K1</f>
        <v>OEVB DigitalSchutz</v>
      </c>
      <c r="L52" s="96" t="str">
        <f>L1</f>
        <v>Roland Websecure</v>
      </c>
      <c r="M52" s="96" t="str">
        <f>M1</f>
        <v>R+V SicherOnline</v>
      </c>
      <c r="N52" s="64"/>
      <c r="O52" s="11"/>
      <c r="P52" s="71"/>
      <c r="Q52" s="4"/>
      <c r="R52" s="4"/>
      <c r="S52" s="11"/>
      <c r="T52" s="11"/>
      <c r="U52" s="11"/>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row>
    <row r="53" spans="1:157" s="4" customFormat="1" ht="36" customHeight="1">
      <c r="A53" s="89" t="s">
        <v>41</v>
      </c>
      <c r="B53" s="10" t="s">
        <v>98</v>
      </c>
      <c r="C53" s="10" t="s">
        <v>98</v>
      </c>
      <c r="D53" s="10" t="s">
        <v>98</v>
      </c>
      <c r="E53" s="10" t="s">
        <v>82</v>
      </c>
      <c r="F53" s="97" t="s">
        <v>370</v>
      </c>
      <c r="G53" s="10" t="s">
        <v>184</v>
      </c>
      <c r="H53" s="10" t="s">
        <v>187</v>
      </c>
      <c r="I53" s="10" t="s">
        <v>82</v>
      </c>
      <c r="J53" s="90" t="s">
        <v>0</v>
      </c>
      <c r="K53" s="10" t="s">
        <v>0</v>
      </c>
      <c r="L53" s="10" t="s">
        <v>150</v>
      </c>
      <c r="M53" s="90" t="s">
        <v>0</v>
      </c>
      <c r="N53" s="64"/>
      <c r="O53" s="11"/>
      <c r="P53" s="71"/>
      <c r="S53" s="11"/>
      <c r="T53" s="11"/>
      <c r="U53" s="11"/>
    </row>
    <row r="54" spans="1:157" ht="12" customHeight="1">
      <c r="A54" s="86" t="s">
        <v>10</v>
      </c>
      <c r="B54" s="85" t="s">
        <v>99</v>
      </c>
      <c r="C54" s="85" t="s">
        <v>99</v>
      </c>
      <c r="D54" s="85" t="s">
        <v>99</v>
      </c>
      <c r="E54" s="85" t="s">
        <v>84</v>
      </c>
      <c r="F54" s="85"/>
      <c r="G54" s="85" t="s">
        <v>168</v>
      </c>
      <c r="H54" s="85" t="s">
        <v>390</v>
      </c>
      <c r="I54" s="85" t="s">
        <v>151</v>
      </c>
      <c r="J54" s="85" t="s">
        <v>0</v>
      </c>
      <c r="K54" s="85" t="s">
        <v>0</v>
      </c>
      <c r="L54" s="85" t="s">
        <v>152</v>
      </c>
      <c r="M54" s="85" t="s">
        <v>0</v>
      </c>
      <c r="N54" s="55"/>
      <c r="O54" s="11"/>
      <c r="P54" s="71"/>
      <c r="Q54" s="4"/>
      <c r="R54" s="4"/>
      <c r="S54" s="11"/>
      <c r="T54" s="11"/>
      <c r="U54" s="11"/>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row>
    <row r="55" spans="1:157" s="4" customFormat="1" ht="48" customHeight="1">
      <c r="A55" s="89" t="s">
        <v>42</v>
      </c>
      <c r="B55" s="10" t="s">
        <v>100</v>
      </c>
      <c r="C55" s="10" t="s">
        <v>100</v>
      </c>
      <c r="D55" s="10" t="s">
        <v>100</v>
      </c>
      <c r="E55" s="10" t="s">
        <v>0</v>
      </c>
      <c r="F55" s="97"/>
      <c r="G55" s="10" t="s">
        <v>0</v>
      </c>
      <c r="H55" s="10" t="s">
        <v>388</v>
      </c>
      <c r="I55" s="10" t="s">
        <v>0</v>
      </c>
      <c r="J55" s="90" t="s">
        <v>0</v>
      </c>
      <c r="K55" s="10" t="s">
        <v>0</v>
      </c>
      <c r="L55" s="10" t="s">
        <v>150</v>
      </c>
      <c r="M55" s="90" t="s">
        <v>0</v>
      </c>
      <c r="N55" s="55"/>
      <c r="O55" s="11"/>
      <c r="P55" s="71"/>
      <c r="S55" s="11"/>
      <c r="T55" s="11"/>
      <c r="U55" s="11"/>
    </row>
    <row r="56" spans="1:157" ht="12" customHeight="1">
      <c r="A56" s="86" t="s">
        <v>10</v>
      </c>
      <c r="B56" s="85" t="s">
        <v>101</v>
      </c>
      <c r="C56" s="85" t="s">
        <v>101</v>
      </c>
      <c r="D56" s="85" t="s">
        <v>101</v>
      </c>
      <c r="E56" s="85" t="s">
        <v>0</v>
      </c>
      <c r="F56" s="85"/>
      <c r="G56" s="85" t="s">
        <v>0</v>
      </c>
      <c r="H56" s="85" t="s">
        <v>390</v>
      </c>
      <c r="I56" s="85" t="s">
        <v>0</v>
      </c>
      <c r="J56" s="85" t="s">
        <v>0</v>
      </c>
      <c r="K56" s="85" t="s">
        <v>0</v>
      </c>
      <c r="L56" s="85" t="s">
        <v>152</v>
      </c>
      <c r="M56" s="85" t="s">
        <v>0</v>
      </c>
      <c r="N56" s="55"/>
      <c r="O56" s="11"/>
      <c r="P56" s="71"/>
      <c r="Q56" s="4"/>
      <c r="R56" s="4"/>
      <c r="S56" s="11"/>
      <c r="T56" s="11"/>
      <c r="U56" s="11"/>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row>
    <row r="57" spans="1:157" s="47" customFormat="1" ht="36" customHeight="1">
      <c r="A57" s="89" t="s">
        <v>43</v>
      </c>
      <c r="B57" s="10" t="s">
        <v>363</v>
      </c>
      <c r="C57" s="10" t="s">
        <v>363</v>
      </c>
      <c r="D57" s="10" t="s">
        <v>363</v>
      </c>
      <c r="E57" s="10" t="s">
        <v>102</v>
      </c>
      <c r="F57" s="97" t="s">
        <v>369</v>
      </c>
      <c r="G57" s="10" t="s">
        <v>189</v>
      </c>
      <c r="H57" s="10" t="s">
        <v>191</v>
      </c>
      <c r="I57" s="10" t="s">
        <v>102</v>
      </c>
      <c r="J57" s="90" t="s">
        <v>0</v>
      </c>
      <c r="K57" s="10" t="s">
        <v>310</v>
      </c>
      <c r="L57" s="90" t="s">
        <v>192</v>
      </c>
      <c r="M57" s="90" t="s">
        <v>0</v>
      </c>
      <c r="N57" s="55"/>
      <c r="O57" s="11"/>
      <c r="P57" s="71"/>
      <c r="Q57" s="4"/>
      <c r="R57" s="4"/>
      <c r="S57" s="11"/>
      <c r="T57" s="11"/>
      <c r="U57" s="11"/>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row>
    <row r="58" spans="1:157" ht="12" customHeight="1">
      <c r="A58" s="86" t="s">
        <v>10</v>
      </c>
      <c r="B58" s="85" t="s">
        <v>362</v>
      </c>
      <c r="C58" s="85" t="s">
        <v>362</v>
      </c>
      <c r="D58" s="85" t="s">
        <v>362</v>
      </c>
      <c r="E58" s="85" t="s">
        <v>103</v>
      </c>
      <c r="F58" s="85" t="s">
        <v>368</v>
      </c>
      <c r="G58" s="85" t="s">
        <v>193</v>
      </c>
      <c r="H58" s="85" t="s">
        <v>391</v>
      </c>
      <c r="I58" s="85" t="s">
        <v>195</v>
      </c>
      <c r="J58" s="85" t="s">
        <v>0</v>
      </c>
      <c r="K58" s="85" t="s">
        <v>295</v>
      </c>
      <c r="L58" s="85" t="s">
        <v>196</v>
      </c>
      <c r="M58" s="85" t="s">
        <v>0</v>
      </c>
      <c r="N58" s="64"/>
      <c r="O58" s="35"/>
      <c r="P58" s="71"/>
      <c r="Q58" s="4"/>
      <c r="R58" s="4"/>
      <c r="S58" s="11"/>
      <c r="T58" s="11"/>
      <c r="U58" s="11"/>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row>
    <row r="59" spans="1:157" s="47" customFormat="1" ht="12" customHeight="1">
      <c r="A59" s="112"/>
      <c r="B59" s="100"/>
      <c r="C59" s="100"/>
      <c r="D59" s="100"/>
      <c r="E59" s="100"/>
      <c r="F59" s="100"/>
      <c r="G59" s="100"/>
      <c r="H59" s="113"/>
      <c r="I59" s="100"/>
      <c r="J59" s="113"/>
      <c r="K59" s="113"/>
      <c r="L59" s="113"/>
      <c r="M59" s="113"/>
      <c r="N59" s="64"/>
      <c r="O59" s="11"/>
      <c r="P59" s="71"/>
      <c r="Q59" s="4"/>
      <c r="R59" s="4"/>
      <c r="S59" s="11"/>
      <c r="T59" s="11"/>
      <c r="U59" s="11"/>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row>
    <row r="60" spans="1:157" ht="20.100000000000001" customHeight="1">
      <c r="A60" s="95" t="s">
        <v>44</v>
      </c>
      <c r="B60" s="96" t="str">
        <f>B1</f>
        <v>ARAG Web aktiv Basis</v>
      </c>
      <c r="C60" s="96" t="str">
        <f>C1</f>
        <v>ARAG Web aktiv Komfort</v>
      </c>
      <c r="D60" s="96" t="str">
        <f>D1</f>
        <v>ARAG Web aktiv Premium</v>
      </c>
      <c r="E60" s="96" t="str">
        <f>E1</f>
        <v>AXA BoxFlex</v>
      </c>
      <c r="F60" s="96" t="str">
        <f>F1</f>
        <v>BavariaDirekt Cyperschutz</v>
      </c>
      <c r="G60" s="96" t="str">
        <f>G1</f>
        <v>BGV Onlineschutz</v>
      </c>
      <c r="H60" s="96" t="str">
        <f>H1</f>
        <v>INTER CyberGuard</v>
      </c>
      <c r="I60" s="96" t="str">
        <f>I1</f>
        <v>Janitos Online-Schutz</v>
      </c>
      <c r="J60" s="96" t="str">
        <f t="shared" ref="J60:M60" si="6">J1</f>
        <v>Keine</v>
      </c>
      <c r="K60" s="96" t="str">
        <f>K1</f>
        <v>OEVB DigitalSchutz</v>
      </c>
      <c r="L60" s="96" t="str">
        <f t="shared" si="6"/>
        <v>Roland Websecure</v>
      </c>
      <c r="M60" s="96" t="str">
        <f t="shared" si="6"/>
        <v>R+V SicherOnline</v>
      </c>
      <c r="N60" s="64"/>
      <c r="O60" s="11"/>
      <c r="P60" s="71"/>
      <c r="Q60" s="4"/>
      <c r="R60" s="4"/>
      <c r="S60" s="11"/>
      <c r="T60" s="11"/>
      <c r="U60" s="11"/>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row>
    <row r="61" spans="1:157" s="4" customFormat="1" ht="36" customHeight="1">
      <c r="A61" s="89" t="s">
        <v>41</v>
      </c>
      <c r="B61" s="10" t="s">
        <v>98</v>
      </c>
      <c r="C61" s="10" t="s">
        <v>98</v>
      </c>
      <c r="D61" s="10" t="s">
        <v>98</v>
      </c>
      <c r="E61" s="10" t="s">
        <v>82</v>
      </c>
      <c r="F61" s="97" t="s">
        <v>370</v>
      </c>
      <c r="G61" s="10" t="s">
        <v>184</v>
      </c>
      <c r="H61" s="10" t="s">
        <v>187</v>
      </c>
      <c r="I61" s="10" t="s">
        <v>82</v>
      </c>
      <c r="J61" s="90" t="s">
        <v>0</v>
      </c>
      <c r="K61" s="10" t="s">
        <v>312</v>
      </c>
      <c r="L61" s="10" t="s">
        <v>150</v>
      </c>
      <c r="M61" s="90" t="s">
        <v>0</v>
      </c>
      <c r="N61" s="64"/>
      <c r="O61" s="11"/>
      <c r="P61" s="71"/>
      <c r="S61" s="11"/>
      <c r="T61" s="11"/>
      <c r="U61" s="11"/>
    </row>
    <row r="62" spans="1:157" ht="12" customHeight="1">
      <c r="A62" s="86" t="s">
        <v>10</v>
      </c>
      <c r="B62" s="85" t="s">
        <v>99</v>
      </c>
      <c r="C62" s="85" t="s">
        <v>99</v>
      </c>
      <c r="D62" s="85" t="s">
        <v>99</v>
      </c>
      <c r="E62" s="85" t="s">
        <v>84</v>
      </c>
      <c r="F62" s="85"/>
      <c r="G62" s="85" t="s">
        <v>168</v>
      </c>
      <c r="H62" s="85" t="s">
        <v>197</v>
      </c>
      <c r="I62" s="85" t="s">
        <v>151</v>
      </c>
      <c r="J62" s="85" t="s">
        <v>0</v>
      </c>
      <c r="K62" s="85" t="s">
        <v>311</v>
      </c>
      <c r="L62" s="85" t="s">
        <v>152</v>
      </c>
      <c r="M62" s="85" t="s">
        <v>0</v>
      </c>
      <c r="N62" s="64"/>
      <c r="O62" s="11"/>
      <c r="P62" s="71"/>
      <c r="Q62" s="4"/>
      <c r="R62" s="4"/>
      <c r="S62" s="11"/>
      <c r="T62" s="11"/>
      <c r="U62" s="11"/>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row>
    <row r="63" spans="1:157" s="4" customFormat="1" ht="48" customHeight="1">
      <c r="A63" s="89" t="s">
        <v>42</v>
      </c>
      <c r="B63" s="10" t="s">
        <v>339</v>
      </c>
      <c r="C63" s="10" t="s">
        <v>339</v>
      </c>
      <c r="D63" s="10" t="s">
        <v>339</v>
      </c>
      <c r="E63" s="10" t="s">
        <v>0</v>
      </c>
      <c r="F63" s="97" t="s">
        <v>0</v>
      </c>
      <c r="G63" s="10" t="s">
        <v>0</v>
      </c>
      <c r="H63" s="10" t="s">
        <v>388</v>
      </c>
      <c r="I63" s="10" t="s">
        <v>0</v>
      </c>
      <c r="J63" s="90" t="s">
        <v>0</v>
      </c>
      <c r="K63" s="10" t="s">
        <v>0</v>
      </c>
      <c r="L63" s="10" t="s">
        <v>150</v>
      </c>
      <c r="M63" s="90" t="s">
        <v>0</v>
      </c>
      <c r="N63" s="67"/>
      <c r="O63" s="11"/>
      <c r="P63" s="71"/>
      <c r="S63" s="11"/>
      <c r="T63" s="11"/>
      <c r="U63" s="11"/>
    </row>
    <row r="64" spans="1:157" ht="12" customHeight="1">
      <c r="A64" s="86" t="s">
        <v>10</v>
      </c>
      <c r="B64" s="85" t="s">
        <v>104</v>
      </c>
      <c r="C64" s="85" t="s">
        <v>104</v>
      </c>
      <c r="D64" s="85" t="s">
        <v>104</v>
      </c>
      <c r="E64" s="85" t="s">
        <v>0</v>
      </c>
      <c r="F64" s="85"/>
      <c r="G64" s="85" t="s">
        <v>0</v>
      </c>
      <c r="H64" s="85" t="s">
        <v>389</v>
      </c>
      <c r="I64" s="85" t="s">
        <v>0</v>
      </c>
      <c r="J64" s="85" t="s">
        <v>0</v>
      </c>
      <c r="K64" s="85" t="s">
        <v>0</v>
      </c>
      <c r="L64" s="85" t="s">
        <v>152</v>
      </c>
      <c r="M64" s="85" t="s">
        <v>0</v>
      </c>
      <c r="N64" s="58"/>
      <c r="O64" s="11"/>
      <c r="P64" s="71"/>
      <c r="Q64" s="4"/>
      <c r="R64" s="4"/>
      <c r="S64" s="11"/>
      <c r="T64" s="11"/>
      <c r="U64" s="11"/>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row>
    <row r="65" spans="1:157" s="4" customFormat="1" ht="36" customHeight="1">
      <c r="A65" s="89" t="s">
        <v>45</v>
      </c>
      <c r="B65" s="10" t="s">
        <v>105</v>
      </c>
      <c r="C65" s="10" t="s">
        <v>105</v>
      </c>
      <c r="D65" s="10" t="s">
        <v>105</v>
      </c>
      <c r="E65" s="10" t="s">
        <v>106</v>
      </c>
      <c r="F65" s="97" t="s">
        <v>0</v>
      </c>
      <c r="G65" s="10" t="s">
        <v>198</v>
      </c>
      <c r="H65" s="10" t="s">
        <v>200</v>
      </c>
      <c r="I65" s="10" t="s">
        <v>106</v>
      </c>
      <c r="J65" s="90" t="s">
        <v>0</v>
      </c>
      <c r="K65" s="10" t="s">
        <v>313</v>
      </c>
      <c r="L65" s="10" t="s">
        <v>201</v>
      </c>
      <c r="M65" s="90" t="s">
        <v>0</v>
      </c>
      <c r="N65" s="58"/>
      <c r="O65" s="11"/>
      <c r="P65" s="72"/>
      <c r="S65" s="11"/>
      <c r="T65" s="11"/>
      <c r="U65" s="11"/>
    </row>
    <row r="66" spans="1:157" ht="12" customHeight="1">
      <c r="A66" s="86" t="s">
        <v>10</v>
      </c>
      <c r="B66" s="85" t="s">
        <v>348</v>
      </c>
      <c r="C66" s="85" t="s">
        <v>349</v>
      </c>
      <c r="D66" s="85" t="s">
        <v>349</v>
      </c>
      <c r="E66" s="85" t="s">
        <v>109</v>
      </c>
      <c r="F66" s="85"/>
      <c r="G66" s="85" t="s">
        <v>202</v>
      </c>
      <c r="H66" s="85" t="s">
        <v>394</v>
      </c>
      <c r="I66" s="85" t="s">
        <v>204</v>
      </c>
      <c r="J66" s="85" t="s">
        <v>0</v>
      </c>
      <c r="K66" s="85" t="s">
        <v>314</v>
      </c>
      <c r="L66" s="85" t="s">
        <v>152</v>
      </c>
      <c r="M66" s="85" t="s">
        <v>0</v>
      </c>
      <c r="N66" s="58"/>
      <c r="O66" s="11"/>
      <c r="P66" s="71"/>
      <c r="Q66" s="4"/>
      <c r="R66" s="4"/>
      <c r="S66" s="11"/>
      <c r="T66" s="11"/>
      <c r="U66" s="11"/>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row>
    <row r="67" spans="1:157" s="4" customFormat="1" ht="12" customHeight="1">
      <c r="A67" s="89"/>
      <c r="B67" s="10"/>
      <c r="C67" s="10"/>
      <c r="D67" s="10"/>
      <c r="E67" s="10"/>
      <c r="F67" s="10"/>
      <c r="G67" s="10"/>
      <c r="H67" s="10"/>
      <c r="I67" s="10"/>
      <c r="J67" s="90"/>
      <c r="K67" s="69"/>
      <c r="L67" s="69"/>
      <c r="M67" s="90"/>
      <c r="N67" s="58"/>
      <c r="O67" s="11"/>
      <c r="P67" s="71"/>
      <c r="S67" s="11"/>
      <c r="T67" s="11"/>
      <c r="U67" s="11"/>
    </row>
    <row r="68" spans="1:157" ht="20.100000000000001" customHeight="1">
      <c r="A68" s="95" t="s">
        <v>46</v>
      </c>
      <c r="B68" s="96" t="str">
        <f>B1</f>
        <v>ARAG Web aktiv Basis</v>
      </c>
      <c r="C68" s="96" t="str">
        <f>C1</f>
        <v>ARAG Web aktiv Komfort</v>
      </c>
      <c r="D68" s="96" t="str">
        <f>D1</f>
        <v>ARAG Web aktiv Premium</v>
      </c>
      <c r="E68" s="96" t="str">
        <f>E1</f>
        <v>AXA BoxFlex</v>
      </c>
      <c r="F68" s="96" t="str">
        <f>F1</f>
        <v>BavariaDirekt Cyperschutz</v>
      </c>
      <c r="G68" s="96" t="str">
        <f>G1</f>
        <v>BGV Onlineschutz</v>
      </c>
      <c r="H68" s="96" t="str">
        <f>H1</f>
        <v>INTER CyberGuard</v>
      </c>
      <c r="I68" s="96" t="str">
        <f>I1</f>
        <v>Janitos Online-Schutz</v>
      </c>
      <c r="J68" s="96" t="str">
        <f t="shared" ref="J68:M68" si="7">J1</f>
        <v>Keine</v>
      </c>
      <c r="K68" s="96" t="str">
        <f t="shared" si="7"/>
        <v>OEVB DigitalSchutz</v>
      </c>
      <c r="L68" s="96" t="str">
        <f t="shared" si="7"/>
        <v>Roland Websecure</v>
      </c>
      <c r="M68" s="96" t="str">
        <f t="shared" si="7"/>
        <v>R+V SicherOnline</v>
      </c>
      <c r="N68" s="58"/>
      <c r="O68" s="11"/>
      <c r="P68" s="71"/>
      <c r="Q68" s="4"/>
      <c r="R68" s="4"/>
      <c r="S68" s="11"/>
      <c r="T68" s="11"/>
      <c r="U68" s="11"/>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row>
    <row r="69" spans="1:157" s="4" customFormat="1" ht="36" customHeight="1">
      <c r="A69" s="89" t="s">
        <v>41</v>
      </c>
      <c r="B69" s="10" t="s">
        <v>111</v>
      </c>
      <c r="C69" s="10" t="s">
        <v>344</v>
      </c>
      <c r="D69" s="10" t="s">
        <v>351</v>
      </c>
      <c r="E69" s="10" t="s">
        <v>82</v>
      </c>
      <c r="F69" s="97" t="s">
        <v>370</v>
      </c>
      <c r="G69" s="10" t="s">
        <v>184</v>
      </c>
      <c r="H69" s="10" t="s">
        <v>187</v>
      </c>
      <c r="I69" s="10" t="s">
        <v>82</v>
      </c>
      <c r="J69" s="90" t="s">
        <v>0</v>
      </c>
      <c r="K69" s="10" t="s">
        <v>323</v>
      </c>
      <c r="L69" s="10" t="s">
        <v>150</v>
      </c>
      <c r="M69" s="90" t="s">
        <v>0</v>
      </c>
      <c r="N69" s="58"/>
      <c r="O69" s="11"/>
      <c r="P69" s="71"/>
      <c r="S69" s="11"/>
      <c r="T69" s="11"/>
      <c r="U69" s="11"/>
    </row>
    <row r="70" spans="1:157" ht="12" customHeight="1">
      <c r="A70" s="86" t="s">
        <v>10</v>
      </c>
      <c r="B70" s="85" t="s">
        <v>112</v>
      </c>
      <c r="C70" s="85" t="s">
        <v>340</v>
      </c>
      <c r="D70" s="85" t="s">
        <v>340</v>
      </c>
      <c r="E70" s="85" t="s">
        <v>114</v>
      </c>
      <c r="F70" s="85"/>
      <c r="G70" s="85" t="s">
        <v>168</v>
      </c>
      <c r="H70" s="85" t="s">
        <v>395</v>
      </c>
      <c r="I70" s="85" t="s">
        <v>205</v>
      </c>
      <c r="J70" s="85" t="s">
        <v>0</v>
      </c>
      <c r="K70" s="85" t="s">
        <v>324</v>
      </c>
      <c r="L70" s="85" t="s">
        <v>196</v>
      </c>
      <c r="M70" s="85" t="s">
        <v>0</v>
      </c>
      <c r="N70" s="58"/>
      <c r="O70" s="11"/>
      <c r="P70" s="71"/>
      <c r="Q70" s="4"/>
      <c r="R70" s="4"/>
      <c r="S70" s="11"/>
      <c r="T70" s="11"/>
      <c r="U70" s="11"/>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row>
    <row r="71" spans="1:157" s="4" customFormat="1" ht="12" customHeight="1">
      <c r="A71" s="89"/>
      <c r="B71" s="10"/>
      <c r="C71" s="10"/>
      <c r="D71" s="10"/>
      <c r="E71" s="10"/>
      <c r="F71" s="10"/>
      <c r="G71" s="10"/>
      <c r="H71" s="10"/>
      <c r="I71" s="10"/>
      <c r="J71" s="90"/>
      <c r="K71" s="10"/>
      <c r="L71" s="10"/>
      <c r="M71" s="90"/>
      <c r="N71" s="58"/>
      <c r="P71" s="71"/>
      <c r="S71" s="11"/>
      <c r="T71" s="11"/>
      <c r="U71" s="11"/>
    </row>
    <row r="72" spans="1:157" ht="20.100000000000001" customHeight="1">
      <c r="A72" s="95" t="s">
        <v>403</v>
      </c>
      <c r="B72" s="96" t="str">
        <f>B1</f>
        <v>ARAG Web aktiv Basis</v>
      </c>
      <c r="C72" s="96" t="str">
        <f>C1</f>
        <v>ARAG Web aktiv Komfort</v>
      </c>
      <c r="D72" s="96" t="str">
        <f>D1</f>
        <v>ARAG Web aktiv Premium</v>
      </c>
      <c r="E72" s="96" t="str">
        <f>E1</f>
        <v>AXA BoxFlex</v>
      </c>
      <c r="F72" s="96" t="str">
        <f>F1</f>
        <v>BavariaDirekt Cyperschutz</v>
      </c>
      <c r="G72" s="96" t="str">
        <f>G1</f>
        <v>BGV Onlineschutz</v>
      </c>
      <c r="H72" s="96" t="str">
        <f t="shared" ref="H72" si="8">H1</f>
        <v>INTER CyberGuard</v>
      </c>
      <c r="I72" s="96" t="str">
        <f>I1</f>
        <v>Janitos Online-Schutz</v>
      </c>
      <c r="J72" s="96" t="str">
        <f t="shared" ref="J72:M72" si="9">J1</f>
        <v>Keine</v>
      </c>
      <c r="K72" s="96" t="str">
        <f t="shared" si="9"/>
        <v>OEVB DigitalSchutz</v>
      </c>
      <c r="L72" s="96" t="str">
        <f t="shared" si="9"/>
        <v>Roland Websecure</v>
      </c>
      <c r="M72" s="96" t="str">
        <f t="shared" si="9"/>
        <v>R+V SicherOnline</v>
      </c>
      <c r="N72" s="58"/>
      <c r="O72" s="4"/>
      <c r="P72" s="71"/>
      <c r="Q72" s="4"/>
      <c r="R72" s="4"/>
      <c r="S72" s="11"/>
      <c r="T72" s="11"/>
      <c r="U72" s="11"/>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row>
    <row r="73" spans="1:157" s="4" customFormat="1" ht="36" customHeight="1">
      <c r="A73" s="89" t="s">
        <v>399</v>
      </c>
      <c r="B73" s="90" t="s">
        <v>0</v>
      </c>
      <c r="C73" s="90" t="s">
        <v>0</v>
      </c>
      <c r="D73" s="90" t="s">
        <v>0</v>
      </c>
      <c r="E73" s="90" t="s">
        <v>0</v>
      </c>
      <c r="F73" s="101" t="s">
        <v>0</v>
      </c>
      <c r="G73" s="90" t="s">
        <v>0</v>
      </c>
      <c r="H73" s="10" t="s">
        <v>208</v>
      </c>
      <c r="I73" s="90" t="s">
        <v>0</v>
      </c>
      <c r="J73" s="90" t="s">
        <v>0</v>
      </c>
      <c r="K73" s="10" t="s">
        <v>322</v>
      </c>
      <c r="L73" s="90" t="s">
        <v>0</v>
      </c>
      <c r="M73" s="90" t="s">
        <v>0</v>
      </c>
      <c r="N73" s="58"/>
      <c r="O73" s="11"/>
      <c r="P73" s="71"/>
      <c r="S73" s="11"/>
      <c r="T73" s="11"/>
      <c r="U73" s="11"/>
    </row>
    <row r="74" spans="1:157" ht="12" customHeight="1">
      <c r="A74" s="86" t="s">
        <v>10</v>
      </c>
      <c r="B74" s="85" t="s">
        <v>0</v>
      </c>
      <c r="C74" s="85" t="s">
        <v>0</v>
      </c>
      <c r="D74" s="85" t="s">
        <v>0</v>
      </c>
      <c r="E74" s="85" t="s">
        <v>0</v>
      </c>
      <c r="F74" s="85"/>
      <c r="G74" s="85" t="s">
        <v>0</v>
      </c>
      <c r="H74" s="85" t="s">
        <v>397</v>
      </c>
      <c r="I74" s="85" t="s">
        <v>0</v>
      </c>
      <c r="J74" s="85" t="s">
        <v>0</v>
      </c>
      <c r="K74" s="85" t="s">
        <v>321</v>
      </c>
      <c r="L74" s="85" t="s">
        <v>0</v>
      </c>
      <c r="M74" s="85" t="s">
        <v>0</v>
      </c>
      <c r="N74" s="58"/>
      <c r="O74" s="11"/>
      <c r="P74" s="71"/>
      <c r="Q74" s="4"/>
      <c r="R74" s="4"/>
      <c r="S74" s="11"/>
      <c r="T74" s="11"/>
      <c r="U74" s="11"/>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row>
    <row r="75" spans="1:157" ht="12" customHeight="1">
      <c r="A75" s="89"/>
      <c r="B75" s="10"/>
      <c r="C75" s="10"/>
      <c r="D75" s="10"/>
      <c r="E75" s="10"/>
      <c r="F75" s="10"/>
      <c r="G75" s="10"/>
      <c r="H75" s="10"/>
      <c r="I75" s="10"/>
      <c r="J75" s="90"/>
      <c r="K75" s="10"/>
      <c r="L75" s="10"/>
      <c r="M75" s="90"/>
      <c r="N75" s="58"/>
      <c r="O75" s="11"/>
      <c r="P75" s="71"/>
      <c r="Q75" s="4"/>
      <c r="R75" s="4"/>
      <c r="S75" s="11"/>
      <c r="T75" s="11"/>
      <c r="U75" s="11"/>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row>
    <row r="76" spans="1:157" s="66" customFormat="1" ht="20.100000000000001" customHeight="1">
      <c r="A76" s="95" t="s">
        <v>48</v>
      </c>
      <c r="B76" s="96" t="str">
        <f>B1</f>
        <v>ARAG Web aktiv Basis</v>
      </c>
      <c r="C76" s="96" t="str">
        <f>C1</f>
        <v>ARAG Web aktiv Komfort</v>
      </c>
      <c r="D76" s="96" t="str">
        <f>D1</f>
        <v>ARAG Web aktiv Premium</v>
      </c>
      <c r="E76" s="96" t="str">
        <f>E1</f>
        <v>AXA BoxFlex</v>
      </c>
      <c r="F76" s="96" t="str">
        <f>F1</f>
        <v>BavariaDirekt Cyperschutz</v>
      </c>
      <c r="G76" s="96" t="str">
        <f>G1</f>
        <v>BGV Onlineschutz</v>
      </c>
      <c r="H76" s="96" t="str">
        <f>H1</f>
        <v>INTER CyberGuard</v>
      </c>
      <c r="I76" s="96" t="str">
        <f>I1</f>
        <v>Janitos Online-Schutz</v>
      </c>
      <c r="J76" s="96" t="str">
        <f t="shared" ref="J76:M76" si="10">J1</f>
        <v>Keine</v>
      </c>
      <c r="K76" s="96" t="str">
        <f t="shared" si="10"/>
        <v>OEVB DigitalSchutz</v>
      </c>
      <c r="L76" s="96" t="str">
        <f t="shared" si="10"/>
        <v>Roland Websecure</v>
      </c>
      <c r="M76" s="96" t="str">
        <f t="shared" si="10"/>
        <v>R+V SicherOnline</v>
      </c>
      <c r="N76" s="58"/>
      <c r="O76" s="11"/>
      <c r="P76" s="71"/>
      <c r="S76" s="35"/>
      <c r="T76" s="35"/>
      <c r="U76" s="35"/>
    </row>
    <row r="77" spans="1:157" s="4" customFormat="1" ht="36" customHeight="1">
      <c r="A77" s="89" t="s">
        <v>42</v>
      </c>
      <c r="B77" s="10" t="s">
        <v>0</v>
      </c>
      <c r="C77" s="10" t="s">
        <v>0</v>
      </c>
      <c r="D77" s="10" t="s">
        <v>0</v>
      </c>
      <c r="E77" s="10" t="s">
        <v>0</v>
      </c>
      <c r="F77" s="97" t="s">
        <v>0</v>
      </c>
      <c r="G77" s="10" t="s">
        <v>0</v>
      </c>
      <c r="H77" s="10"/>
      <c r="I77" s="10" t="s">
        <v>0</v>
      </c>
      <c r="J77" s="90" t="s">
        <v>0</v>
      </c>
      <c r="K77" s="10" t="s">
        <v>0</v>
      </c>
      <c r="L77" s="10" t="s">
        <v>0</v>
      </c>
      <c r="M77" s="90" t="s">
        <v>0</v>
      </c>
      <c r="N77" s="58"/>
      <c r="O77" s="11"/>
      <c r="P77" s="71"/>
      <c r="S77" s="11"/>
      <c r="T77" s="11"/>
      <c r="U77" s="11"/>
    </row>
    <row r="78" spans="1:157" ht="12" customHeight="1">
      <c r="A78" s="86" t="s">
        <v>10</v>
      </c>
      <c r="B78" s="85" t="s">
        <v>91</v>
      </c>
      <c r="C78" s="85" t="s">
        <v>91</v>
      </c>
      <c r="D78" s="85" t="s">
        <v>91</v>
      </c>
      <c r="E78" s="85" t="s">
        <v>0</v>
      </c>
      <c r="F78" s="85"/>
      <c r="G78" s="85" t="s">
        <v>0</v>
      </c>
      <c r="H78" s="85"/>
      <c r="I78" s="85" t="s">
        <v>0</v>
      </c>
      <c r="J78" s="85" t="s">
        <v>0</v>
      </c>
      <c r="K78" s="85"/>
      <c r="L78" s="85" t="s">
        <v>0</v>
      </c>
      <c r="M78" s="85" t="s">
        <v>0</v>
      </c>
      <c r="N78" s="58"/>
      <c r="O78" s="11"/>
      <c r="P78" s="71"/>
      <c r="Q78" s="4"/>
      <c r="R78" s="4"/>
      <c r="S78" s="11"/>
      <c r="T78" s="11"/>
      <c r="U78" s="11"/>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row>
    <row r="79" spans="1:157" s="4" customFormat="1" ht="36" customHeight="1">
      <c r="A79" s="102" t="s">
        <v>49</v>
      </c>
      <c r="B79" s="10" t="s">
        <v>0</v>
      </c>
      <c r="C79" s="10" t="s">
        <v>0</v>
      </c>
      <c r="D79" s="10" t="s">
        <v>0</v>
      </c>
      <c r="E79" s="10" t="s">
        <v>0</v>
      </c>
      <c r="F79" s="97" t="s">
        <v>0</v>
      </c>
      <c r="G79" s="10" t="s">
        <v>0</v>
      </c>
      <c r="H79" s="10" t="s">
        <v>400</v>
      </c>
      <c r="I79" s="10" t="s">
        <v>0</v>
      </c>
      <c r="J79" s="90" t="s">
        <v>0</v>
      </c>
      <c r="K79" s="10" t="s">
        <v>0</v>
      </c>
      <c r="L79" s="10" t="s">
        <v>0</v>
      </c>
      <c r="M79" s="90" t="s">
        <v>0</v>
      </c>
      <c r="N79" s="58"/>
      <c r="O79" s="11"/>
      <c r="P79" s="71"/>
      <c r="S79" s="11"/>
      <c r="T79" s="11"/>
      <c r="U79" s="11"/>
    </row>
    <row r="80" spans="1:157" ht="12" customHeight="1">
      <c r="A80" s="86" t="s">
        <v>10</v>
      </c>
      <c r="B80" s="85" t="s">
        <v>0</v>
      </c>
      <c r="C80" s="85" t="s">
        <v>0</v>
      </c>
      <c r="D80" s="85" t="s">
        <v>0</v>
      </c>
      <c r="E80" s="85" t="s">
        <v>0</v>
      </c>
      <c r="F80" s="85"/>
      <c r="G80" s="85" t="s">
        <v>0</v>
      </c>
      <c r="H80" s="85" t="s">
        <v>386</v>
      </c>
      <c r="I80" s="85" t="s">
        <v>0</v>
      </c>
      <c r="J80" s="85" t="s">
        <v>0</v>
      </c>
      <c r="K80" s="85"/>
      <c r="L80" s="85" t="s">
        <v>0</v>
      </c>
      <c r="M80" s="85" t="s">
        <v>0</v>
      </c>
      <c r="N80" s="58"/>
      <c r="O80" s="11"/>
      <c r="P80" s="71"/>
      <c r="Q80" s="4"/>
      <c r="R80" s="4"/>
      <c r="S80" s="11"/>
      <c r="T80" s="11"/>
      <c r="U80" s="11"/>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row>
    <row r="81" spans="1:157" s="4" customFormat="1" ht="36" customHeight="1">
      <c r="A81" s="89" t="s">
        <v>50</v>
      </c>
      <c r="B81" s="10" t="s">
        <v>0</v>
      </c>
      <c r="C81" s="10" t="s">
        <v>0</v>
      </c>
      <c r="D81" s="10" t="s">
        <v>0</v>
      </c>
      <c r="E81" s="10" t="s">
        <v>0</v>
      </c>
      <c r="F81" s="97" t="s">
        <v>0</v>
      </c>
      <c r="G81" s="10" t="s">
        <v>0</v>
      </c>
      <c r="H81" s="10" t="s">
        <v>154</v>
      </c>
      <c r="I81" s="10" t="s">
        <v>0</v>
      </c>
      <c r="J81" s="90" t="s">
        <v>0</v>
      </c>
      <c r="K81" s="90" t="s">
        <v>0</v>
      </c>
      <c r="L81" s="90" t="s">
        <v>0</v>
      </c>
      <c r="M81" s="90" t="s">
        <v>0</v>
      </c>
      <c r="N81" s="58"/>
      <c r="O81" s="11"/>
      <c r="P81" s="71"/>
      <c r="S81" s="11"/>
      <c r="T81" s="11"/>
      <c r="U81" s="11"/>
    </row>
    <row r="82" spans="1:157" ht="12" customHeight="1">
      <c r="A82" s="86" t="s">
        <v>10</v>
      </c>
      <c r="B82" s="85" t="s">
        <v>0</v>
      </c>
      <c r="C82" s="85" t="s">
        <v>0</v>
      </c>
      <c r="D82" s="85" t="s">
        <v>0</v>
      </c>
      <c r="E82" s="85" t="s">
        <v>0</v>
      </c>
      <c r="F82" s="85"/>
      <c r="G82" s="85" t="s">
        <v>0</v>
      </c>
      <c r="H82" s="85" t="s">
        <v>401</v>
      </c>
      <c r="I82" s="85" t="s">
        <v>0</v>
      </c>
      <c r="J82" s="85" t="s">
        <v>0</v>
      </c>
      <c r="K82" s="85"/>
      <c r="L82" s="85" t="s">
        <v>0</v>
      </c>
      <c r="M82" s="85" t="s">
        <v>0</v>
      </c>
      <c r="N82" s="58"/>
      <c r="O82" s="11"/>
      <c r="P82" s="71"/>
      <c r="Q82" s="4"/>
      <c r="R82" s="4"/>
      <c r="S82" s="11"/>
      <c r="T82" s="11"/>
      <c r="U82" s="11"/>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row>
    <row r="83" spans="1:157" s="4" customFormat="1" ht="36" customHeight="1">
      <c r="A83" s="89" t="s">
        <v>51</v>
      </c>
      <c r="B83" s="10" t="s">
        <v>0</v>
      </c>
      <c r="C83" s="10" t="s">
        <v>0</v>
      </c>
      <c r="D83" s="10" t="s">
        <v>0</v>
      </c>
      <c r="E83" s="10" t="s">
        <v>0</v>
      </c>
      <c r="F83" s="97" t="s">
        <v>0</v>
      </c>
      <c r="G83" s="10" t="s">
        <v>0</v>
      </c>
      <c r="H83" s="10" t="s">
        <v>402</v>
      </c>
      <c r="I83" s="10" t="s">
        <v>0</v>
      </c>
      <c r="J83" s="90" t="s">
        <v>0</v>
      </c>
      <c r="K83" s="90" t="s">
        <v>0</v>
      </c>
      <c r="L83" s="90" t="s">
        <v>0</v>
      </c>
      <c r="M83" s="90" t="s">
        <v>0</v>
      </c>
      <c r="N83" s="64"/>
      <c r="O83" s="11"/>
      <c r="P83" s="71"/>
      <c r="S83" s="11"/>
      <c r="T83" s="11"/>
      <c r="U83" s="11"/>
    </row>
    <row r="84" spans="1:157" ht="12" customHeight="1">
      <c r="A84" s="86" t="s">
        <v>10</v>
      </c>
      <c r="B84" s="85" t="s">
        <v>0</v>
      </c>
      <c r="C84" s="85" t="s">
        <v>0</v>
      </c>
      <c r="D84" s="85" t="s">
        <v>0</v>
      </c>
      <c r="E84" s="85" t="s">
        <v>0</v>
      </c>
      <c r="F84" s="85"/>
      <c r="G84" s="85" t="s">
        <v>0</v>
      </c>
      <c r="H84" s="85" t="s">
        <v>209</v>
      </c>
      <c r="I84" s="85" t="s">
        <v>0</v>
      </c>
      <c r="J84" s="85" t="s">
        <v>0</v>
      </c>
      <c r="K84" s="85"/>
      <c r="L84" s="85"/>
      <c r="M84" s="85" t="s">
        <v>0</v>
      </c>
      <c r="N84" s="64"/>
      <c r="O84" s="11"/>
      <c r="P84" s="71"/>
      <c r="Q84" s="4"/>
      <c r="R84" s="4"/>
      <c r="S84" s="11"/>
      <c r="T84" s="11"/>
      <c r="U84" s="11"/>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row>
    <row r="85" spans="1:157" s="4" customFormat="1" ht="12" customHeight="1">
      <c r="A85" s="112"/>
      <c r="B85" s="112"/>
      <c r="C85" s="112"/>
      <c r="D85" s="112"/>
      <c r="E85" s="112"/>
      <c r="F85" s="112"/>
      <c r="G85" s="112"/>
      <c r="H85" s="113"/>
      <c r="I85" s="112"/>
      <c r="J85" s="113"/>
      <c r="K85" s="113"/>
      <c r="L85" s="113"/>
      <c r="M85" s="113"/>
      <c r="N85" s="64"/>
      <c r="O85" s="11"/>
      <c r="P85" s="71"/>
      <c r="S85" s="11"/>
      <c r="T85" s="11"/>
      <c r="U85" s="11"/>
    </row>
    <row r="86" spans="1:157" ht="20.100000000000001" customHeight="1">
      <c r="A86" s="95" t="s">
        <v>52</v>
      </c>
      <c r="B86" s="96" t="str">
        <f>B1</f>
        <v>ARAG Web aktiv Basis</v>
      </c>
      <c r="C86" s="96" t="str">
        <f>C1</f>
        <v>ARAG Web aktiv Komfort</v>
      </c>
      <c r="D86" s="96" t="str">
        <f>D1</f>
        <v>ARAG Web aktiv Premium</v>
      </c>
      <c r="E86" s="96" t="str">
        <f>E1</f>
        <v>AXA BoxFlex</v>
      </c>
      <c r="F86" s="96" t="str">
        <f>F1</f>
        <v>BavariaDirekt Cyperschutz</v>
      </c>
      <c r="G86" s="96" t="str">
        <f>G1</f>
        <v>BGV Onlineschutz</v>
      </c>
      <c r="H86" s="96" t="str">
        <f>H1</f>
        <v>INTER CyberGuard</v>
      </c>
      <c r="I86" s="96" t="str">
        <f>I1</f>
        <v>Janitos Online-Schutz</v>
      </c>
      <c r="J86" s="96" t="str">
        <f t="shared" ref="J86:M86" si="11">J1</f>
        <v>Keine</v>
      </c>
      <c r="K86" s="96" t="str">
        <f t="shared" si="11"/>
        <v>OEVB DigitalSchutz</v>
      </c>
      <c r="L86" s="96" t="str">
        <f t="shared" si="11"/>
        <v>Roland Websecure</v>
      </c>
      <c r="M86" s="96" t="str">
        <f t="shared" si="11"/>
        <v>R+V SicherOnline</v>
      </c>
      <c r="N86" s="64"/>
      <c r="O86" s="11"/>
      <c r="P86" s="71"/>
      <c r="Q86" s="4"/>
      <c r="R86" s="4"/>
      <c r="S86" s="11"/>
      <c r="T86" s="11"/>
      <c r="U86" s="11"/>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row>
    <row r="87" spans="1:157" s="4" customFormat="1" ht="36" customHeight="1">
      <c r="A87" s="143" t="s">
        <v>405</v>
      </c>
      <c r="B87" s="90" t="s">
        <v>0</v>
      </c>
      <c r="C87" s="90" t="s">
        <v>0</v>
      </c>
      <c r="D87" s="90" t="s">
        <v>0</v>
      </c>
      <c r="E87" s="90" t="s">
        <v>0</v>
      </c>
      <c r="F87" s="101" t="s">
        <v>0</v>
      </c>
      <c r="G87" s="90" t="s">
        <v>0</v>
      </c>
      <c r="H87" s="10" t="s">
        <v>0</v>
      </c>
      <c r="I87" s="90" t="s">
        <v>0</v>
      </c>
      <c r="J87" s="90" t="s">
        <v>0</v>
      </c>
      <c r="K87" s="10" t="s">
        <v>0</v>
      </c>
      <c r="L87" s="10" t="s">
        <v>0</v>
      </c>
      <c r="M87" s="90" t="s">
        <v>0</v>
      </c>
      <c r="N87" s="64"/>
      <c r="O87" s="11"/>
      <c r="P87" s="71"/>
      <c r="S87" s="11"/>
      <c r="T87" s="11"/>
      <c r="U87" s="11"/>
    </row>
    <row r="88" spans="1:157" ht="12" customHeight="1">
      <c r="A88" s="86" t="s">
        <v>10</v>
      </c>
      <c r="B88" s="85" t="s">
        <v>0</v>
      </c>
      <c r="C88" s="85" t="s">
        <v>0</v>
      </c>
      <c r="D88" s="85" t="s">
        <v>0</v>
      </c>
      <c r="E88" s="85" t="s">
        <v>0</v>
      </c>
      <c r="F88" s="85" t="s">
        <v>0</v>
      </c>
      <c r="G88" s="85" t="s">
        <v>0</v>
      </c>
      <c r="H88" s="85" t="s">
        <v>0</v>
      </c>
      <c r="I88" s="85" t="s">
        <v>0</v>
      </c>
      <c r="J88" s="85" t="s">
        <v>0</v>
      </c>
      <c r="K88" s="85"/>
      <c r="L88" s="85" t="s">
        <v>0</v>
      </c>
      <c r="M88" s="85" t="s">
        <v>0</v>
      </c>
      <c r="N88" s="64"/>
      <c r="O88" s="11"/>
      <c r="P88" s="71"/>
      <c r="Q88" s="4"/>
      <c r="R88" s="4"/>
      <c r="S88" s="11"/>
      <c r="T88" s="11"/>
      <c r="U88" s="11"/>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row>
    <row r="89" spans="1:157" s="4" customFormat="1" ht="36" customHeight="1">
      <c r="A89" s="143" t="s">
        <v>406</v>
      </c>
      <c r="B89" s="90" t="s">
        <v>0</v>
      </c>
      <c r="C89" s="90" t="s">
        <v>0</v>
      </c>
      <c r="D89" s="90" t="s">
        <v>0</v>
      </c>
      <c r="E89" s="90" t="s">
        <v>0</v>
      </c>
      <c r="F89" s="101" t="s">
        <v>0</v>
      </c>
      <c r="G89" s="90" t="s">
        <v>0</v>
      </c>
      <c r="H89" s="10" t="s">
        <v>0</v>
      </c>
      <c r="I89" s="90" t="s">
        <v>0</v>
      </c>
      <c r="J89" s="90" t="s">
        <v>0</v>
      </c>
      <c r="K89" s="10" t="s">
        <v>0</v>
      </c>
      <c r="L89" s="10" t="s">
        <v>0</v>
      </c>
      <c r="M89" s="90" t="s">
        <v>0</v>
      </c>
      <c r="N89" s="64"/>
      <c r="O89" s="11"/>
      <c r="P89" s="71"/>
      <c r="S89" s="11"/>
      <c r="T89" s="11"/>
      <c r="U89" s="11"/>
    </row>
    <row r="90" spans="1:157" ht="12" customHeight="1">
      <c r="A90" s="86" t="s">
        <v>10</v>
      </c>
      <c r="B90" s="85" t="s">
        <v>0</v>
      </c>
      <c r="C90" s="85" t="s">
        <v>0</v>
      </c>
      <c r="D90" s="85" t="s">
        <v>0</v>
      </c>
      <c r="E90" s="85" t="s">
        <v>0</v>
      </c>
      <c r="F90" s="85" t="s">
        <v>0</v>
      </c>
      <c r="G90" s="85" t="s">
        <v>0</v>
      </c>
      <c r="H90" s="85" t="s">
        <v>0</v>
      </c>
      <c r="I90" s="85" t="s">
        <v>0</v>
      </c>
      <c r="J90" s="85" t="s">
        <v>0</v>
      </c>
      <c r="K90" s="85" t="s">
        <v>0</v>
      </c>
      <c r="L90" s="85" t="s">
        <v>0</v>
      </c>
      <c r="M90" s="85" t="s">
        <v>0</v>
      </c>
      <c r="N90" s="64"/>
      <c r="O90" s="11"/>
      <c r="P90" s="71"/>
      <c r="Q90" s="4"/>
      <c r="R90" s="4"/>
      <c r="S90" s="11"/>
      <c r="T90" s="11"/>
      <c r="U90" s="11"/>
    </row>
    <row r="91" spans="1:157" s="4" customFormat="1" ht="12" customHeight="1">
      <c r="A91" s="112"/>
      <c r="B91" s="112"/>
      <c r="C91" s="112"/>
      <c r="D91" s="112"/>
      <c r="E91" s="112"/>
      <c r="F91" s="112"/>
      <c r="G91" s="112"/>
      <c r="H91" s="113"/>
      <c r="I91" s="112"/>
      <c r="J91" s="114"/>
      <c r="K91" s="114"/>
      <c r="L91" s="114"/>
      <c r="M91" s="114"/>
      <c r="N91" s="64"/>
      <c r="O91" s="11"/>
      <c r="P91" s="71"/>
      <c r="S91" s="11"/>
      <c r="T91" s="11"/>
      <c r="U91" s="11"/>
    </row>
    <row r="92" spans="1:157" ht="20.100000000000001" customHeight="1">
      <c r="A92" s="95" t="s">
        <v>9</v>
      </c>
      <c r="B92" s="96" t="str">
        <f>B1</f>
        <v>ARAG Web aktiv Basis</v>
      </c>
      <c r="C92" s="96" t="str">
        <f>C1</f>
        <v>ARAG Web aktiv Komfort</v>
      </c>
      <c r="D92" s="96" t="str">
        <f>D1</f>
        <v>ARAG Web aktiv Premium</v>
      </c>
      <c r="E92" s="96" t="str">
        <f>E1</f>
        <v>AXA BoxFlex</v>
      </c>
      <c r="F92" s="96" t="str">
        <f>F1</f>
        <v>BavariaDirekt Cyperschutz</v>
      </c>
      <c r="G92" s="96" t="str">
        <f>G1</f>
        <v>BGV Onlineschutz</v>
      </c>
      <c r="H92" s="96" t="str">
        <f>H1</f>
        <v>INTER CyberGuard</v>
      </c>
      <c r="I92" s="96" t="str">
        <f t="shared" ref="I92" si="12">I1</f>
        <v>Janitos Online-Schutz</v>
      </c>
      <c r="J92" s="96" t="str">
        <f>J1</f>
        <v>Keine</v>
      </c>
      <c r="K92" s="96" t="str">
        <f>K1</f>
        <v>OEVB DigitalSchutz</v>
      </c>
      <c r="L92" s="96" t="str">
        <f>L1</f>
        <v>Roland Websecure</v>
      </c>
      <c r="M92" s="96" t="str">
        <f>M1</f>
        <v>R+V SicherOnline</v>
      </c>
      <c r="N92" s="64"/>
      <c r="O92" s="35"/>
      <c r="P92" s="71"/>
      <c r="Q92" s="4"/>
      <c r="R92" s="4"/>
      <c r="S92" s="11"/>
      <c r="T92" s="11"/>
      <c r="U92" s="11"/>
    </row>
    <row r="93" spans="1:157" s="4" customFormat="1" ht="120" customHeight="1">
      <c r="A93" s="115"/>
      <c r="B93" s="116" t="s">
        <v>350</v>
      </c>
      <c r="C93" s="116" t="s">
        <v>352</v>
      </c>
      <c r="D93" s="116" t="s">
        <v>360</v>
      </c>
      <c r="E93" s="116" t="s">
        <v>115</v>
      </c>
      <c r="F93" s="117" t="s">
        <v>0</v>
      </c>
      <c r="G93" s="116" t="s">
        <v>0</v>
      </c>
      <c r="H93" s="116" t="s">
        <v>0</v>
      </c>
      <c r="I93" s="116" t="s">
        <v>240</v>
      </c>
      <c r="J93" s="90" t="s">
        <v>0</v>
      </c>
      <c r="K93" s="116" t="s">
        <v>318</v>
      </c>
      <c r="L93" s="116" t="s">
        <v>216</v>
      </c>
      <c r="M93" s="90" t="s">
        <v>0</v>
      </c>
      <c r="N93" s="58"/>
      <c r="O93" s="11"/>
      <c r="P93" s="71"/>
      <c r="S93" s="11"/>
      <c r="T93" s="11"/>
      <c r="U93" s="11"/>
    </row>
    <row r="94" spans="1:157" ht="50.1" customHeight="1">
      <c r="A94" s="86" t="s">
        <v>10</v>
      </c>
      <c r="B94" s="85" t="s">
        <v>340</v>
      </c>
      <c r="C94" s="135" t="s">
        <v>353</v>
      </c>
      <c r="D94" s="135" t="s">
        <v>354</v>
      </c>
      <c r="E94" s="85"/>
      <c r="F94" s="85" t="s">
        <v>0</v>
      </c>
      <c r="G94" s="85" t="s">
        <v>0</v>
      </c>
      <c r="H94" s="85" t="s">
        <v>0</v>
      </c>
      <c r="I94" s="85"/>
      <c r="J94" s="85" t="s">
        <v>0</v>
      </c>
      <c r="K94" s="85" t="s">
        <v>319</v>
      </c>
      <c r="L94" s="85" t="s">
        <v>218</v>
      </c>
      <c r="M94" s="85" t="s">
        <v>0</v>
      </c>
      <c r="N94" s="58"/>
      <c r="O94" s="11"/>
      <c r="P94" s="71"/>
      <c r="Q94" s="4"/>
      <c r="R94" s="4"/>
      <c r="S94" s="11"/>
      <c r="T94" s="11"/>
      <c r="U94" s="11"/>
    </row>
    <row r="95" spans="1:157" ht="12" customHeight="1">
      <c r="A95" s="91"/>
      <c r="B95" s="91"/>
      <c r="C95" s="91"/>
      <c r="D95" s="91"/>
      <c r="E95" s="91"/>
      <c r="F95" s="91"/>
      <c r="G95" s="91"/>
      <c r="H95" s="91"/>
      <c r="I95" s="91"/>
      <c r="J95" s="91"/>
      <c r="K95" s="91"/>
      <c r="L95" s="91"/>
      <c r="M95" s="91"/>
      <c r="N95" s="58"/>
      <c r="O95" s="11"/>
      <c r="P95" s="71"/>
      <c r="Q95" s="4"/>
      <c r="R95" s="4"/>
      <c r="S95" s="11"/>
      <c r="T95" s="11"/>
      <c r="U95" s="11"/>
    </row>
    <row r="96" spans="1:157" s="66" customFormat="1" ht="20.100000000000001" customHeight="1">
      <c r="A96" s="95" t="s">
        <v>8</v>
      </c>
      <c r="B96" s="96" t="str">
        <f>B1</f>
        <v>ARAG Web aktiv Basis</v>
      </c>
      <c r="C96" s="96" t="str">
        <f>C1</f>
        <v>ARAG Web aktiv Komfort</v>
      </c>
      <c r="D96" s="96" t="str">
        <f>D1</f>
        <v>ARAG Web aktiv Premium</v>
      </c>
      <c r="E96" s="96" t="str">
        <f>E1</f>
        <v>AXA BoxFlex</v>
      </c>
      <c r="F96" s="96" t="str">
        <f>F1</f>
        <v>BavariaDirekt Cyperschutz</v>
      </c>
      <c r="G96" s="96" t="str">
        <f>G1</f>
        <v>BGV Onlineschutz</v>
      </c>
      <c r="H96" s="96" t="str">
        <f>H1</f>
        <v>INTER CyberGuard</v>
      </c>
      <c r="I96" s="96" t="str">
        <f t="shared" ref="I96" si="13">I1</f>
        <v>Janitos Online-Schutz</v>
      </c>
      <c r="J96" s="96" t="str">
        <f>J1</f>
        <v>Keine</v>
      </c>
      <c r="K96" s="96" t="str">
        <f>K1</f>
        <v>OEVB DigitalSchutz</v>
      </c>
      <c r="L96" s="96" t="str">
        <f>L1</f>
        <v>Roland Websecure</v>
      </c>
      <c r="M96" s="96" t="str">
        <f>M1</f>
        <v>R+V SicherOnline</v>
      </c>
      <c r="N96" s="58"/>
      <c r="O96" s="11"/>
      <c r="P96" s="71"/>
      <c r="S96" s="35"/>
      <c r="T96" s="35"/>
      <c r="U96" s="35"/>
    </row>
    <row r="97" spans="1:34" s="4" customFormat="1" ht="36" customHeight="1">
      <c r="A97" s="89"/>
      <c r="B97" s="10" t="s">
        <v>346</v>
      </c>
      <c r="C97" s="10" t="s">
        <v>345</v>
      </c>
      <c r="D97" s="10" t="s">
        <v>347</v>
      </c>
      <c r="E97" s="10" t="s">
        <v>118</v>
      </c>
      <c r="F97" s="97" t="s">
        <v>371</v>
      </c>
      <c r="G97" s="10" t="s">
        <v>219</v>
      </c>
      <c r="H97" s="10" t="s">
        <v>373</v>
      </c>
      <c r="I97" s="10" t="s">
        <v>361</v>
      </c>
      <c r="J97" s="90" t="s">
        <v>0</v>
      </c>
      <c r="K97" s="10" t="s">
        <v>320</v>
      </c>
      <c r="L97" s="10" t="s">
        <v>221</v>
      </c>
      <c r="M97" s="10" t="s">
        <v>236</v>
      </c>
      <c r="N97" s="58"/>
      <c r="O97" s="11"/>
      <c r="P97" s="71"/>
      <c r="S97" s="11"/>
      <c r="T97" s="11"/>
      <c r="U97" s="11"/>
    </row>
    <row r="98" spans="1:34" ht="12" customHeight="1">
      <c r="A98" s="91"/>
      <c r="B98" s="91"/>
      <c r="C98" s="91"/>
      <c r="D98" s="91"/>
      <c r="E98" s="91"/>
      <c r="F98" s="91"/>
      <c r="G98" s="91"/>
      <c r="H98" s="91"/>
      <c r="I98" s="91"/>
      <c r="J98" s="91"/>
      <c r="K98" s="91"/>
      <c r="L98" s="91"/>
      <c r="M98" s="91"/>
      <c r="N98" s="58"/>
      <c r="O98" s="11"/>
      <c r="P98" s="71"/>
      <c r="Q98" s="4"/>
      <c r="R98" s="4"/>
      <c r="S98" s="11"/>
      <c r="T98" s="11"/>
      <c r="U98" s="11"/>
    </row>
    <row r="99" spans="1:34" s="4" customFormat="1" ht="20.100000000000001" customHeight="1">
      <c r="A99" s="95" t="s">
        <v>12</v>
      </c>
      <c r="B99" s="120">
        <v>43893</v>
      </c>
      <c r="C99" s="120">
        <v>43893</v>
      </c>
      <c r="D99" s="120">
        <v>43893</v>
      </c>
      <c r="E99" s="120">
        <v>43893</v>
      </c>
      <c r="F99" s="118" t="s">
        <v>120</v>
      </c>
      <c r="G99" s="120">
        <v>43893</v>
      </c>
      <c r="H99" s="120">
        <v>43971</v>
      </c>
      <c r="I99" s="120">
        <v>43893</v>
      </c>
      <c r="J99" s="118" t="s">
        <v>0</v>
      </c>
      <c r="K99" s="120">
        <v>43892</v>
      </c>
      <c r="L99" s="120">
        <v>43893</v>
      </c>
      <c r="M99" s="120">
        <v>43893</v>
      </c>
      <c r="N99" s="58"/>
      <c r="O99" s="11"/>
      <c r="P99" s="71"/>
      <c r="S99" s="11"/>
      <c r="T99" s="11"/>
      <c r="U99" s="11"/>
    </row>
    <row r="100" spans="1:34" ht="11.25" customHeight="1">
      <c r="A100" s="32" t="s">
        <v>290</v>
      </c>
      <c r="B100" s="32" t="s">
        <v>289</v>
      </c>
      <c r="C100" s="32" t="s">
        <v>289</v>
      </c>
      <c r="D100" s="32" t="s">
        <v>289</v>
      </c>
      <c r="E100" s="32" t="s">
        <v>289</v>
      </c>
      <c r="F100" s="32" t="s">
        <v>289</v>
      </c>
      <c r="G100" s="32" t="s">
        <v>289</v>
      </c>
      <c r="H100" s="32" t="s">
        <v>289</v>
      </c>
      <c r="I100" s="32" t="s">
        <v>289</v>
      </c>
      <c r="J100" s="32" t="s">
        <v>289</v>
      </c>
      <c r="K100" s="32" t="s">
        <v>289</v>
      </c>
      <c r="L100" s="32" t="s">
        <v>289</v>
      </c>
      <c r="M100" s="32" t="s">
        <v>289</v>
      </c>
      <c r="N100" s="58"/>
      <c r="O100" s="35"/>
      <c r="P100" s="71"/>
      <c r="Q100" s="4"/>
      <c r="R100" s="4"/>
      <c r="S100" s="11"/>
      <c r="T100" s="11"/>
      <c r="U100" s="11"/>
    </row>
    <row r="101" spans="1:34" s="4" customFormat="1" ht="49.5" customHeight="1">
      <c r="A101" s="2"/>
      <c r="B101" s="2"/>
      <c r="C101" s="2"/>
      <c r="D101" s="2"/>
      <c r="E101" s="2"/>
      <c r="F101" s="2"/>
      <c r="G101" s="2"/>
      <c r="H101" s="2"/>
      <c r="I101" s="2"/>
      <c r="J101" s="2"/>
      <c r="K101" s="2"/>
      <c r="L101" s="2"/>
      <c r="M101" s="2"/>
      <c r="N101" s="58"/>
      <c r="O101" s="11"/>
      <c r="P101" s="72"/>
      <c r="S101" s="11"/>
      <c r="T101" s="11"/>
      <c r="U101" s="11"/>
    </row>
    <row r="102" spans="1:34" ht="11.25" customHeight="1">
      <c r="A102" s="3"/>
      <c r="B102" s="23"/>
      <c r="C102" s="23"/>
      <c r="D102" s="23"/>
      <c r="E102" s="23"/>
      <c r="F102" s="23"/>
      <c r="G102" s="23"/>
      <c r="H102" s="30"/>
      <c r="I102" s="30"/>
      <c r="J102" s="54"/>
      <c r="M102" s="54"/>
      <c r="N102" s="58"/>
      <c r="O102" s="11"/>
      <c r="P102" s="71"/>
      <c r="Q102" s="4"/>
      <c r="R102" s="4"/>
      <c r="S102" s="11"/>
      <c r="T102" s="11"/>
      <c r="U102" s="11"/>
    </row>
    <row r="103" spans="1:34" s="4" customFormat="1" ht="22.5" customHeight="1">
      <c r="A103" s="1"/>
      <c r="B103" s="7"/>
      <c r="C103" s="7"/>
      <c r="D103" s="7"/>
      <c r="E103" s="7"/>
      <c r="F103" s="7"/>
      <c r="G103" s="7"/>
      <c r="H103" s="11"/>
      <c r="I103" s="11"/>
      <c r="J103" s="11"/>
      <c r="K103" s="2"/>
      <c r="L103" s="2"/>
      <c r="M103" s="11"/>
      <c r="N103" s="58"/>
      <c r="O103" s="11"/>
      <c r="P103" s="71"/>
      <c r="S103" s="11"/>
      <c r="T103" s="11"/>
      <c r="U103" s="11"/>
    </row>
    <row r="104" spans="1:34" ht="40.5" customHeight="1">
      <c r="A104" s="5"/>
      <c r="H104" s="30"/>
      <c r="I104" s="30"/>
      <c r="J104" s="30"/>
      <c r="M104" s="30"/>
      <c r="N104" s="58"/>
      <c r="O104" s="11"/>
      <c r="P104" s="71"/>
      <c r="Q104" s="4"/>
      <c r="R104" s="4"/>
      <c r="S104" s="11"/>
      <c r="T104" s="11"/>
      <c r="U104" s="11"/>
    </row>
    <row r="105" spans="1:34" s="4" customFormat="1" ht="79.5" customHeight="1">
      <c r="A105" s="2"/>
      <c r="B105" s="53"/>
      <c r="C105" s="53"/>
      <c r="D105" s="53"/>
      <c r="E105" s="53"/>
      <c r="F105" s="53"/>
      <c r="G105" s="53"/>
      <c r="H105" s="2"/>
      <c r="I105" s="2"/>
      <c r="N105" s="58"/>
      <c r="O105" s="11"/>
      <c r="P105" s="71"/>
      <c r="S105" s="11"/>
      <c r="T105" s="11"/>
      <c r="U105" s="11"/>
    </row>
    <row r="106" spans="1:34" ht="21.75" customHeight="1">
      <c r="J106" s="4"/>
      <c r="K106" s="4"/>
      <c r="L106" s="4"/>
      <c r="M106" s="4"/>
      <c r="N106" s="58"/>
      <c r="O106" s="11"/>
      <c r="P106" s="71"/>
      <c r="Q106" s="4"/>
      <c r="R106" s="4"/>
      <c r="S106" s="11"/>
      <c r="T106" s="11"/>
      <c r="U106" s="11"/>
      <c r="V106" s="4"/>
      <c r="W106" s="4"/>
      <c r="X106" s="4"/>
      <c r="Y106" s="4"/>
      <c r="Z106" s="4"/>
      <c r="AA106" s="4"/>
      <c r="AB106" s="4"/>
      <c r="AC106" s="4"/>
      <c r="AD106" s="4"/>
      <c r="AE106" s="4"/>
      <c r="AF106" s="4"/>
      <c r="AG106" s="4"/>
      <c r="AH106" s="4"/>
    </row>
    <row r="107" spans="1:34" s="4" customFormat="1" ht="32.25" customHeight="1">
      <c r="A107" s="2"/>
      <c r="B107" s="2"/>
      <c r="C107" s="2"/>
      <c r="D107" s="2"/>
      <c r="E107" s="2"/>
      <c r="F107" s="2"/>
      <c r="G107" s="2"/>
      <c r="H107" s="2"/>
      <c r="I107" s="2"/>
      <c r="N107" s="58"/>
      <c r="O107" s="11"/>
      <c r="P107" s="71"/>
      <c r="S107" s="11"/>
      <c r="T107" s="11"/>
      <c r="U107" s="11"/>
    </row>
    <row r="108" spans="1:34" ht="11.25" customHeight="1">
      <c r="H108" s="4"/>
      <c r="I108" s="4"/>
      <c r="J108" s="4"/>
      <c r="K108" s="4"/>
      <c r="L108" s="4"/>
      <c r="M108" s="4"/>
      <c r="N108" s="58"/>
      <c r="O108" s="11"/>
      <c r="P108" s="71"/>
      <c r="Q108" s="4"/>
      <c r="R108" s="4"/>
      <c r="S108" s="11"/>
      <c r="T108" s="11"/>
      <c r="U108" s="11"/>
      <c r="V108" s="4"/>
      <c r="W108" s="4"/>
      <c r="X108" s="4"/>
      <c r="Y108" s="4"/>
      <c r="Z108" s="4"/>
      <c r="AA108" s="4"/>
      <c r="AB108" s="4"/>
      <c r="AC108" s="4"/>
      <c r="AD108" s="4"/>
      <c r="AE108" s="4"/>
      <c r="AF108" s="4"/>
      <c r="AG108" s="4"/>
      <c r="AH108" s="4"/>
    </row>
    <row r="109" spans="1:34" s="47" customFormat="1" ht="35.25" customHeight="1">
      <c r="A109" s="2"/>
      <c r="B109" s="2"/>
      <c r="C109" s="2"/>
      <c r="D109" s="2"/>
      <c r="E109" s="2"/>
      <c r="F109" s="2"/>
      <c r="G109" s="2"/>
      <c r="H109" s="2"/>
      <c r="I109" s="2"/>
      <c r="J109" s="4"/>
      <c r="K109" s="4"/>
      <c r="L109" s="4"/>
      <c r="M109" s="4"/>
      <c r="N109" s="59"/>
      <c r="O109" s="11"/>
      <c r="P109" s="71"/>
      <c r="Q109" s="4"/>
      <c r="R109" s="4"/>
      <c r="S109" s="11"/>
      <c r="T109" s="11"/>
      <c r="U109" s="11"/>
      <c r="V109" s="4"/>
      <c r="W109" s="4"/>
      <c r="X109" s="4"/>
      <c r="Y109" s="4"/>
      <c r="Z109" s="4"/>
      <c r="AA109" s="4"/>
      <c r="AB109" s="4"/>
      <c r="AC109" s="4"/>
      <c r="AD109" s="4"/>
      <c r="AE109" s="4"/>
      <c r="AF109" s="4"/>
      <c r="AG109" s="4"/>
      <c r="AH109" s="4"/>
    </row>
    <row r="110" spans="1:34" ht="11.25" customHeight="1">
      <c r="J110" s="4"/>
      <c r="K110" s="4"/>
      <c r="L110" s="4"/>
      <c r="M110" s="4"/>
      <c r="N110" s="58"/>
      <c r="O110" s="11"/>
      <c r="P110" s="71"/>
      <c r="Q110" s="4"/>
      <c r="R110" s="4"/>
      <c r="S110" s="11"/>
      <c r="T110" s="11"/>
      <c r="U110" s="11"/>
      <c r="V110" s="4"/>
      <c r="W110" s="4"/>
      <c r="X110" s="4"/>
      <c r="Y110" s="4"/>
      <c r="Z110" s="4"/>
      <c r="AA110" s="4"/>
      <c r="AB110" s="4"/>
      <c r="AC110" s="4"/>
      <c r="AD110" s="4"/>
      <c r="AE110" s="4"/>
      <c r="AF110" s="4"/>
      <c r="AG110" s="4"/>
      <c r="AH110" s="4"/>
    </row>
    <row r="111" spans="1:34" s="4" customFormat="1" ht="48" customHeight="1">
      <c r="A111" s="2"/>
      <c r="B111" s="2"/>
      <c r="C111" s="2"/>
      <c r="D111" s="2"/>
      <c r="E111" s="2"/>
      <c r="F111" s="2"/>
      <c r="G111" s="2"/>
      <c r="H111" s="2"/>
      <c r="I111" s="2"/>
      <c r="N111" s="59"/>
      <c r="O111" s="11"/>
      <c r="P111" s="71"/>
      <c r="S111" s="11"/>
      <c r="T111" s="11"/>
      <c r="U111" s="11"/>
    </row>
    <row r="112" spans="1:34" ht="32.25" customHeight="1">
      <c r="J112" s="4"/>
      <c r="K112" s="4"/>
      <c r="L112" s="4"/>
      <c r="M112" s="4"/>
      <c r="N112" s="58"/>
      <c r="O112" s="11"/>
      <c r="P112" s="71"/>
      <c r="Q112" s="4"/>
      <c r="R112" s="4"/>
      <c r="S112" s="11"/>
      <c r="T112" s="11"/>
      <c r="U112" s="11"/>
      <c r="V112" s="4"/>
      <c r="W112" s="4"/>
      <c r="X112" s="4"/>
      <c r="Y112" s="4"/>
      <c r="Z112" s="4"/>
      <c r="AA112" s="4"/>
      <c r="AB112" s="4"/>
      <c r="AC112" s="4"/>
      <c r="AD112" s="4"/>
      <c r="AE112" s="4"/>
      <c r="AF112" s="4"/>
      <c r="AG112" s="4"/>
      <c r="AH112" s="4"/>
    </row>
    <row r="113" spans="1:34" s="47" customFormat="1" ht="39.75" customHeight="1">
      <c r="A113" s="2"/>
      <c r="B113" s="2"/>
      <c r="C113" s="2"/>
      <c r="D113" s="2"/>
      <c r="E113" s="2"/>
      <c r="F113" s="2"/>
      <c r="G113" s="2"/>
      <c r="H113" s="2"/>
      <c r="I113" s="2"/>
      <c r="J113" s="4"/>
      <c r="K113" s="4"/>
      <c r="L113" s="4"/>
      <c r="M113" s="4"/>
      <c r="N113" s="59"/>
      <c r="O113" s="11"/>
      <c r="P113" s="71"/>
      <c r="Q113" s="4"/>
      <c r="R113" s="4"/>
      <c r="S113" s="11"/>
      <c r="T113" s="11"/>
      <c r="U113" s="11"/>
      <c r="V113" s="4"/>
      <c r="W113" s="4"/>
      <c r="X113" s="4"/>
      <c r="Y113" s="4"/>
      <c r="Z113" s="4"/>
      <c r="AA113" s="4"/>
      <c r="AB113" s="4"/>
      <c r="AC113" s="4"/>
      <c r="AD113" s="4"/>
      <c r="AE113" s="4"/>
      <c r="AF113" s="4"/>
      <c r="AG113" s="4"/>
      <c r="AH113" s="4"/>
    </row>
    <row r="114" spans="1:34">
      <c r="J114" s="4"/>
      <c r="K114" s="4"/>
      <c r="L114" s="4"/>
      <c r="M114" s="4"/>
      <c r="N114" s="58"/>
      <c r="O114" s="35"/>
      <c r="P114" s="71"/>
      <c r="Q114" s="4"/>
      <c r="R114" s="4"/>
      <c r="S114" s="11"/>
      <c r="T114" s="11"/>
      <c r="U114" s="11"/>
      <c r="V114" s="4"/>
      <c r="W114" s="4"/>
      <c r="X114" s="4"/>
      <c r="Y114" s="4"/>
      <c r="Z114" s="4"/>
      <c r="AA114" s="4"/>
      <c r="AB114" s="4"/>
      <c r="AC114" s="4"/>
      <c r="AD114" s="4"/>
      <c r="AE114" s="4"/>
      <c r="AF114" s="4"/>
      <c r="AG114" s="4"/>
      <c r="AH114" s="4"/>
    </row>
    <row r="115" spans="1:34" s="4" customFormat="1" ht="22.5" customHeight="1">
      <c r="A115" s="2"/>
      <c r="B115" s="2"/>
      <c r="C115" s="2"/>
      <c r="D115" s="2"/>
      <c r="E115" s="2"/>
      <c r="F115" s="2"/>
      <c r="G115" s="2"/>
      <c r="H115" s="2"/>
      <c r="I115" s="2"/>
      <c r="N115" s="59"/>
      <c r="O115" s="11"/>
      <c r="P115" s="71"/>
      <c r="S115" s="11"/>
      <c r="T115" s="11"/>
      <c r="U115" s="11"/>
    </row>
    <row r="116" spans="1:34" ht="18.75" customHeight="1">
      <c r="J116" s="4"/>
      <c r="K116" s="4"/>
      <c r="L116" s="4"/>
      <c r="M116" s="4"/>
      <c r="N116" s="60"/>
      <c r="O116" s="11"/>
      <c r="P116" s="71"/>
      <c r="Q116" s="4"/>
      <c r="R116" s="4"/>
      <c r="S116" s="11"/>
      <c r="T116" s="11"/>
      <c r="U116" s="11"/>
      <c r="V116" s="4"/>
      <c r="W116" s="4"/>
      <c r="X116" s="4"/>
      <c r="Y116" s="4"/>
      <c r="Z116" s="4"/>
      <c r="AA116" s="4"/>
      <c r="AB116" s="4"/>
      <c r="AC116" s="4"/>
      <c r="AD116" s="4"/>
      <c r="AE116" s="4"/>
      <c r="AF116" s="4"/>
      <c r="AG116" s="4"/>
      <c r="AH116" s="4"/>
    </row>
    <row r="117" spans="1:34" s="4" customFormat="1" ht="30.75" customHeight="1">
      <c r="A117" s="2"/>
      <c r="B117" s="2"/>
      <c r="C117" s="2"/>
      <c r="D117" s="2"/>
      <c r="E117" s="2"/>
      <c r="F117" s="2"/>
      <c r="G117" s="2"/>
      <c r="H117" s="2"/>
      <c r="I117" s="2"/>
      <c r="N117" s="67"/>
      <c r="O117" s="11"/>
      <c r="P117" s="71"/>
      <c r="S117" s="11"/>
      <c r="T117" s="11"/>
      <c r="U117" s="11"/>
    </row>
    <row r="118" spans="1:34">
      <c r="J118" s="4"/>
      <c r="K118" s="4"/>
      <c r="L118" s="4"/>
      <c r="M118" s="4"/>
      <c r="N118" s="58"/>
      <c r="O118" s="11"/>
      <c r="P118" s="71"/>
      <c r="Q118" s="4"/>
      <c r="R118" s="4"/>
      <c r="S118" s="11"/>
      <c r="T118" s="11"/>
      <c r="U118" s="11"/>
      <c r="V118" s="4"/>
      <c r="W118" s="4"/>
      <c r="X118" s="4"/>
      <c r="Y118" s="4"/>
      <c r="Z118" s="4"/>
      <c r="AA118" s="4"/>
      <c r="AB118" s="4"/>
      <c r="AC118" s="4"/>
      <c r="AD118" s="4"/>
      <c r="AE118" s="4"/>
      <c r="AF118" s="4"/>
      <c r="AG118" s="4"/>
      <c r="AH118" s="4"/>
    </row>
    <row r="119" spans="1:34" s="4" customFormat="1" ht="53.25" customHeight="1">
      <c r="A119" s="2"/>
      <c r="B119" s="2"/>
      <c r="C119" s="2"/>
      <c r="D119" s="2"/>
      <c r="E119" s="2"/>
      <c r="F119" s="2"/>
      <c r="G119" s="2"/>
      <c r="H119" s="2"/>
      <c r="I119" s="2"/>
      <c r="N119" s="59"/>
      <c r="O119" s="11"/>
      <c r="P119" s="71"/>
      <c r="S119" s="11"/>
      <c r="T119" s="11"/>
      <c r="U119" s="11"/>
    </row>
    <row r="120" spans="1:34" ht="11.25" customHeight="1">
      <c r="J120" s="4"/>
      <c r="K120" s="4"/>
      <c r="L120" s="4"/>
      <c r="M120" s="4"/>
      <c r="N120" s="58"/>
      <c r="O120" s="11"/>
      <c r="P120" s="71"/>
      <c r="Q120" s="4"/>
      <c r="R120" s="4"/>
      <c r="S120" s="11"/>
      <c r="T120" s="11"/>
      <c r="U120" s="11"/>
      <c r="V120" s="4"/>
      <c r="W120" s="4"/>
      <c r="X120" s="4"/>
      <c r="Y120" s="4"/>
      <c r="Z120" s="4"/>
      <c r="AA120" s="4"/>
      <c r="AB120" s="4"/>
      <c r="AC120" s="4"/>
      <c r="AD120" s="4"/>
      <c r="AE120" s="4"/>
      <c r="AF120" s="4"/>
      <c r="AG120" s="4"/>
      <c r="AH120" s="4"/>
    </row>
    <row r="121" spans="1:34" s="4" customFormat="1" ht="37.5" customHeight="1">
      <c r="A121" s="2"/>
      <c r="B121" s="2"/>
      <c r="C121" s="2"/>
      <c r="D121" s="2"/>
      <c r="E121" s="2"/>
      <c r="F121" s="2"/>
      <c r="G121" s="2"/>
      <c r="H121" s="2"/>
      <c r="I121" s="2"/>
      <c r="N121" s="59"/>
      <c r="O121" s="11"/>
      <c r="P121" s="71"/>
      <c r="S121" s="11"/>
      <c r="T121" s="11"/>
      <c r="U121" s="11"/>
    </row>
    <row r="122" spans="1:34" ht="11.25" customHeight="1">
      <c r="N122" s="58"/>
      <c r="O122" s="11"/>
      <c r="P122" s="71"/>
    </row>
    <row r="123" spans="1:34" s="4" customFormat="1" ht="39" customHeight="1">
      <c r="A123" s="2"/>
      <c r="B123" s="2"/>
      <c r="C123" s="2"/>
      <c r="D123" s="2"/>
      <c r="E123" s="2"/>
      <c r="F123" s="2"/>
      <c r="G123" s="2"/>
      <c r="H123" s="2"/>
      <c r="I123" s="2"/>
      <c r="J123" s="2"/>
      <c r="K123" s="2"/>
      <c r="L123" s="2"/>
      <c r="M123" s="2"/>
      <c r="N123" s="59"/>
      <c r="O123" s="11"/>
      <c r="P123" s="71"/>
      <c r="S123" s="11"/>
      <c r="T123" s="11"/>
      <c r="U123" s="11"/>
    </row>
    <row r="124" spans="1:34" ht="11.25" customHeight="1">
      <c r="N124" s="60"/>
      <c r="O124" s="11"/>
      <c r="P124" s="71"/>
    </row>
    <row r="125" spans="1:34" s="4" customFormat="1" ht="31.5" customHeight="1">
      <c r="A125" s="2"/>
      <c r="B125" s="2"/>
      <c r="C125" s="2"/>
      <c r="D125" s="2"/>
      <c r="E125" s="2"/>
      <c r="F125" s="2"/>
      <c r="G125" s="2"/>
      <c r="H125" s="2"/>
      <c r="I125" s="2"/>
      <c r="J125" s="2"/>
      <c r="K125" s="2"/>
      <c r="L125" s="2"/>
      <c r="M125" s="2"/>
      <c r="N125" s="67"/>
      <c r="O125" s="11"/>
      <c r="P125" s="71"/>
      <c r="S125" s="11"/>
      <c r="T125" s="11"/>
      <c r="U125" s="11"/>
    </row>
    <row r="126" spans="1:34" ht="11.25" customHeight="1">
      <c r="N126" s="58"/>
      <c r="O126" s="11"/>
      <c r="P126" s="71"/>
    </row>
    <row r="127" spans="1:34" s="4" customFormat="1" ht="34.5" customHeight="1">
      <c r="A127" s="2"/>
      <c r="B127" s="2"/>
      <c r="C127" s="2"/>
      <c r="D127" s="2"/>
      <c r="E127" s="2"/>
      <c r="F127" s="2"/>
      <c r="G127" s="2"/>
      <c r="H127" s="2"/>
      <c r="I127" s="2"/>
      <c r="J127" s="2"/>
      <c r="K127" s="2"/>
      <c r="L127" s="2"/>
      <c r="M127" s="2"/>
      <c r="N127" s="59"/>
      <c r="O127" s="48"/>
      <c r="P127" s="71"/>
      <c r="S127" s="11"/>
      <c r="T127" s="11"/>
      <c r="U127" s="11"/>
    </row>
    <row r="128" spans="1:34" ht="18" customHeight="1">
      <c r="N128" s="58"/>
      <c r="O128" s="11"/>
      <c r="P128" s="71"/>
    </row>
    <row r="129" spans="1:21" s="47" customFormat="1" ht="11.25" customHeight="1">
      <c r="A129" s="2"/>
      <c r="B129" s="2"/>
      <c r="C129" s="2"/>
      <c r="D129" s="2"/>
      <c r="E129" s="2"/>
      <c r="F129" s="2"/>
      <c r="G129" s="2"/>
      <c r="H129" s="2"/>
      <c r="I129" s="2"/>
      <c r="J129" s="2"/>
      <c r="K129" s="2"/>
      <c r="L129" s="2"/>
      <c r="M129" s="2"/>
      <c r="N129" s="59"/>
      <c r="O129" s="48"/>
      <c r="P129" s="70"/>
      <c r="S129" s="48"/>
      <c r="T129" s="48"/>
      <c r="U129" s="48"/>
    </row>
    <row r="130" spans="1:21" s="66" customFormat="1" ht="22.5" customHeight="1">
      <c r="A130" s="2"/>
      <c r="B130" s="2"/>
      <c r="C130" s="2"/>
      <c r="D130" s="2"/>
      <c r="E130" s="2"/>
      <c r="F130" s="2"/>
      <c r="G130" s="2"/>
      <c r="H130" s="2"/>
      <c r="I130" s="2"/>
      <c r="J130" s="2"/>
      <c r="K130" s="2"/>
      <c r="L130" s="2"/>
      <c r="M130" s="2"/>
      <c r="N130" s="58"/>
      <c r="O130" s="11"/>
      <c r="P130" s="71"/>
      <c r="S130" s="35"/>
      <c r="T130" s="35"/>
      <c r="U130" s="35"/>
    </row>
    <row r="131" spans="1:21" s="4" customFormat="1" ht="22.5" customHeight="1">
      <c r="A131" s="2"/>
      <c r="B131" s="2"/>
      <c r="C131" s="2"/>
      <c r="D131" s="2"/>
      <c r="E131" s="2"/>
      <c r="F131" s="2"/>
      <c r="G131" s="2"/>
      <c r="H131" s="2"/>
      <c r="I131" s="2"/>
      <c r="J131" s="2"/>
      <c r="K131" s="2"/>
      <c r="L131" s="2"/>
      <c r="M131" s="2"/>
      <c r="N131" s="59"/>
      <c r="O131" s="11"/>
      <c r="P131" s="71"/>
      <c r="S131" s="11"/>
      <c r="T131" s="11"/>
      <c r="U131" s="11"/>
    </row>
    <row r="132" spans="1:21" ht="11.25" customHeight="1">
      <c r="N132" s="58"/>
      <c r="O132" s="11"/>
      <c r="P132" s="71"/>
    </row>
    <row r="133" spans="1:21" s="4" customFormat="1" ht="22.5" customHeight="1">
      <c r="A133" s="2"/>
      <c r="B133" s="2"/>
      <c r="C133" s="2"/>
      <c r="D133" s="2"/>
      <c r="E133" s="2"/>
      <c r="F133" s="2"/>
      <c r="G133" s="2"/>
      <c r="H133" s="2"/>
      <c r="I133" s="2"/>
      <c r="J133" s="2"/>
      <c r="K133" s="2"/>
      <c r="L133" s="2"/>
      <c r="M133" s="2"/>
      <c r="N133" s="59"/>
      <c r="O133" s="11"/>
      <c r="P133" s="71"/>
      <c r="S133" s="11"/>
      <c r="T133" s="11"/>
      <c r="U133" s="11"/>
    </row>
    <row r="134" spans="1:21" ht="11.25" customHeight="1">
      <c r="N134" s="58"/>
      <c r="O134" s="11"/>
      <c r="P134" s="71"/>
    </row>
    <row r="135" spans="1:21" s="4" customFormat="1" ht="22.5" customHeight="1">
      <c r="A135" s="2"/>
      <c r="B135" s="2"/>
      <c r="C135" s="2"/>
      <c r="D135" s="2"/>
      <c r="E135" s="2"/>
      <c r="F135" s="2"/>
      <c r="G135" s="2"/>
      <c r="H135" s="2"/>
      <c r="I135" s="2"/>
      <c r="J135" s="2"/>
      <c r="K135" s="2"/>
      <c r="L135" s="2"/>
      <c r="M135" s="2"/>
      <c r="N135" s="59"/>
      <c r="O135" s="48"/>
      <c r="P135" s="70"/>
      <c r="S135" s="11"/>
      <c r="T135" s="11"/>
      <c r="U135" s="11"/>
    </row>
    <row r="136" spans="1:21" ht="11.25" customHeight="1">
      <c r="N136" s="58"/>
      <c r="O136" s="11"/>
      <c r="P136" s="71"/>
    </row>
    <row r="137" spans="1:21" s="47" customFormat="1" ht="11.25" customHeight="1">
      <c r="A137" s="2"/>
      <c r="B137" s="2"/>
      <c r="C137" s="2"/>
      <c r="D137" s="2"/>
      <c r="E137" s="2"/>
      <c r="F137" s="2"/>
      <c r="G137" s="2"/>
      <c r="H137" s="2"/>
      <c r="I137" s="2"/>
      <c r="J137" s="2"/>
      <c r="K137" s="2"/>
      <c r="L137" s="2"/>
      <c r="M137" s="2"/>
      <c r="N137" s="59"/>
      <c r="O137" s="11"/>
      <c r="P137" s="70"/>
      <c r="S137" s="48"/>
      <c r="T137" s="48"/>
      <c r="U137" s="48"/>
    </row>
    <row r="138" spans="1:21" s="66" customFormat="1" ht="22.5" customHeight="1">
      <c r="A138" s="2"/>
      <c r="B138" s="2"/>
      <c r="C138" s="2"/>
      <c r="D138" s="2"/>
      <c r="E138" s="2"/>
      <c r="F138" s="2"/>
      <c r="G138" s="2"/>
      <c r="H138" s="2"/>
      <c r="I138" s="2"/>
      <c r="J138" s="2"/>
      <c r="K138" s="2"/>
      <c r="L138" s="2"/>
      <c r="M138" s="2"/>
      <c r="N138" s="60"/>
      <c r="O138" s="11"/>
      <c r="P138" s="71"/>
      <c r="S138" s="35"/>
      <c r="T138" s="35"/>
      <c r="U138" s="35"/>
    </row>
    <row r="139" spans="1:21" s="4" customFormat="1" ht="33" customHeight="1">
      <c r="A139" s="2"/>
      <c r="B139" s="2"/>
      <c r="C139" s="2"/>
      <c r="D139" s="2"/>
      <c r="E139" s="2"/>
      <c r="F139" s="2"/>
      <c r="G139" s="2"/>
      <c r="H139" s="2"/>
      <c r="I139" s="2"/>
      <c r="J139" s="2"/>
      <c r="K139" s="2"/>
      <c r="L139" s="2"/>
      <c r="M139" s="2"/>
      <c r="N139" s="67"/>
      <c r="O139" s="11"/>
      <c r="P139" s="70"/>
      <c r="S139" s="11"/>
      <c r="T139" s="11"/>
      <c r="U139" s="11"/>
    </row>
    <row r="140" spans="1:21" ht="11.25" customHeight="1">
      <c r="N140" s="58"/>
      <c r="O140" s="11"/>
      <c r="P140" s="73"/>
    </row>
    <row r="141" spans="1:21" s="4" customFormat="1" ht="43.5" customHeight="1">
      <c r="A141" s="2"/>
      <c r="B141" s="2"/>
      <c r="C141" s="2"/>
      <c r="D141" s="2"/>
      <c r="E141" s="2"/>
      <c r="F141" s="2"/>
      <c r="G141" s="2"/>
      <c r="H141" s="2"/>
      <c r="I141" s="2"/>
      <c r="J141" s="2"/>
      <c r="K141" s="2"/>
      <c r="L141" s="2"/>
      <c r="M141" s="2"/>
      <c r="N141" s="59"/>
      <c r="O141" s="11"/>
      <c r="P141" s="71"/>
      <c r="S141" s="11"/>
      <c r="T141" s="11"/>
      <c r="U141" s="11"/>
    </row>
    <row r="142" spans="1:21" ht="11.25" customHeight="1">
      <c r="N142" s="58"/>
      <c r="O142" s="11"/>
      <c r="P142" s="71"/>
    </row>
    <row r="143" spans="1:21" s="4" customFormat="1" ht="31.5" customHeight="1">
      <c r="A143" s="2"/>
      <c r="B143" s="2"/>
      <c r="C143" s="2"/>
      <c r="D143" s="2"/>
      <c r="E143" s="2"/>
      <c r="F143" s="2"/>
      <c r="G143" s="2"/>
      <c r="H143" s="2"/>
      <c r="I143" s="2"/>
      <c r="J143" s="2"/>
      <c r="K143" s="2"/>
      <c r="L143" s="2"/>
      <c r="M143" s="2"/>
      <c r="N143" s="59"/>
      <c r="O143" s="11"/>
      <c r="P143" s="70"/>
      <c r="S143" s="11"/>
      <c r="T143" s="11"/>
      <c r="U143" s="11"/>
    </row>
    <row r="144" spans="1:21" ht="18" customHeight="1">
      <c r="N144" s="58"/>
      <c r="O144" s="11"/>
      <c r="P144" s="71"/>
    </row>
    <row r="145" spans="1:21" s="4" customFormat="1" ht="22.5" customHeight="1">
      <c r="A145" s="2"/>
      <c r="B145" s="2"/>
      <c r="C145" s="2"/>
      <c r="D145" s="2"/>
      <c r="E145" s="2"/>
      <c r="F145" s="2"/>
      <c r="G145" s="2"/>
      <c r="H145" s="2"/>
      <c r="I145" s="2"/>
      <c r="J145" s="2"/>
      <c r="K145" s="2"/>
      <c r="L145" s="2"/>
      <c r="M145" s="2"/>
      <c r="N145" s="59"/>
      <c r="O145" s="48"/>
      <c r="P145" s="70"/>
      <c r="S145" s="11"/>
      <c r="T145" s="11"/>
      <c r="U145" s="11"/>
    </row>
    <row r="146" spans="1:21" ht="11.25" customHeight="1">
      <c r="N146" s="58"/>
      <c r="O146" s="11"/>
      <c r="P146" s="71"/>
    </row>
    <row r="147" spans="1:21" s="4" customFormat="1" ht="22.5" customHeight="1">
      <c r="A147" s="2"/>
      <c r="B147" s="2"/>
      <c r="C147" s="2"/>
      <c r="D147" s="2"/>
      <c r="E147" s="2"/>
      <c r="F147" s="2"/>
      <c r="G147" s="2"/>
      <c r="H147" s="2"/>
      <c r="I147" s="2"/>
      <c r="J147" s="2"/>
      <c r="K147" s="2"/>
      <c r="L147" s="2"/>
      <c r="M147" s="2"/>
      <c r="N147" s="59"/>
      <c r="O147" s="48"/>
      <c r="P147" s="71"/>
      <c r="S147" s="11"/>
      <c r="T147" s="11"/>
      <c r="U147" s="11"/>
    </row>
    <row r="148" spans="1:21" ht="11.25" customHeight="1">
      <c r="N148" s="58"/>
      <c r="O148" s="11"/>
      <c r="P148" s="71"/>
    </row>
    <row r="149" spans="1:21" s="4" customFormat="1" ht="30" customHeight="1">
      <c r="A149" s="2"/>
      <c r="B149" s="2"/>
      <c r="C149" s="2"/>
      <c r="D149" s="2"/>
      <c r="E149" s="2"/>
      <c r="F149" s="2"/>
      <c r="G149" s="2"/>
      <c r="H149" s="2"/>
      <c r="I149" s="2"/>
      <c r="J149" s="2"/>
      <c r="K149" s="2"/>
      <c r="L149" s="2"/>
      <c r="M149" s="2"/>
      <c r="N149" s="59"/>
      <c r="O149" s="11"/>
      <c r="P149" s="71"/>
      <c r="S149" s="11"/>
      <c r="T149" s="11"/>
      <c r="U149" s="11"/>
    </row>
    <row r="150" spans="1:21" ht="11.25" customHeight="1">
      <c r="N150" s="58"/>
      <c r="O150" s="35"/>
      <c r="P150" s="71"/>
    </row>
    <row r="151" spans="1:21" s="47" customFormat="1" ht="11.25" customHeight="1">
      <c r="A151" s="2"/>
      <c r="B151" s="2"/>
      <c r="C151" s="2"/>
      <c r="D151" s="2"/>
      <c r="E151" s="2"/>
      <c r="F151" s="2"/>
      <c r="G151" s="2"/>
      <c r="H151" s="2"/>
      <c r="I151" s="2"/>
      <c r="J151" s="2"/>
      <c r="K151" s="2"/>
      <c r="L151" s="2"/>
      <c r="M151" s="2"/>
      <c r="N151" s="59"/>
      <c r="O151" s="11"/>
      <c r="P151" s="70"/>
      <c r="S151" s="48"/>
      <c r="T151" s="48"/>
      <c r="U151" s="48"/>
    </row>
    <row r="152" spans="1:21" s="66" customFormat="1" ht="22.5" customHeight="1">
      <c r="A152" s="2"/>
      <c r="B152" s="2"/>
      <c r="C152" s="2"/>
      <c r="D152" s="2"/>
      <c r="E152" s="2"/>
      <c r="F152" s="2"/>
      <c r="G152" s="2"/>
      <c r="H152" s="2"/>
      <c r="I152" s="2"/>
      <c r="J152" s="2"/>
      <c r="K152" s="2"/>
      <c r="L152" s="2"/>
      <c r="M152" s="2"/>
      <c r="N152" s="60"/>
      <c r="O152" s="11"/>
      <c r="P152" s="71"/>
      <c r="S152" s="35"/>
      <c r="T152" s="35"/>
      <c r="U152" s="35"/>
    </row>
    <row r="153" spans="1:21" s="4" customFormat="1" ht="62.25" customHeight="1">
      <c r="A153" s="2"/>
      <c r="B153" s="2"/>
      <c r="C153" s="2"/>
      <c r="D153" s="2"/>
      <c r="E153" s="2"/>
      <c r="F153" s="2"/>
      <c r="G153" s="2"/>
      <c r="H153" s="2"/>
      <c r="I153" s="2"/>
      <c r="J153" s="2"/>
      <c r="K153" s="2"/>
      <c r="L153" s="2"/>
      <c r="M153" s="2"/>
      <c r="N153" s="59"/>
      <c r="O153" s="11"/>
      <c r="P153" s="70"/>
    </row>
    <row r="154" spans="1:21" ht="19.5" customHeight="1">
      <c r="N154" s="60"/>
      <c r="O154" s="11"/>
      <c r="P154" s="72"/>
    </row>
    <row r="155" spans="1:21" s="4" customFormat="1" ht="33" customHeight="1">
      <c r="A155" s="2"/>
      <c r="B155" s="2"/>
      <c r="C155" s="2"/>
      <c r="D155" s="2"/>
      <c r="E155" s="2"/>
      <c r="F155" s="2"/>
      <c r="G155" s="2"/>
      <c r="H155" s="2"/>
      <c r="I155" s="2"/>
      <c r="J155" s="2"/>
      <c r="K155" s="2"/>
      <c r="L155" s="2"/>
      <c r="M155" s="2"/>
      <c r="N155" s="59"/>
      <c r="O155" s="11"/>
      <c r="P155" s="71"/>
      <c r="S155" s="11"/>
      <c r="T155" s="11"/>
      <c r="U155" s="11"/>
    </row>
    <row r="156" spans="1:21" ht="18.75" customHeight="1">
      <c r="N156" s="58"/>
      <c r="O156" s="11"/>
      <c r="P156" s="71"/>
    </row>
    <row r="157" spans="1:21" s="4" customFormat="1" ht="36.75" customHeight="1">
      <c r="A157" s="2"/>
      <c r="B157" s="2"/>
      <c r="C157" s="2"/>
      <c r="D157" s="2"/>
      <c r="E157" s="2"/>
      <c r="F157" s="2"/>
      <c r="G157" s="2"/>
      <c r="H157" s="2"/>
      <c r="I157" s="2"/>
      <c r="J157" s="2"/>
      <c r="K157" s="2"/>
      <c r="L157" s="2"/>
      <c r="M157" s="2"/>
      <c r="N157" s="59"/>
      <c r="O157" s="11"/>
      <c r="P157" s="70"/>
      <c r="S157" s="11"/>
      <c r="T157" s="11"/>
      <c r="U157" s="11"/>
    </row>
    <row r="158" spans="1:21" ht="11.25" customHeight="1">
      <c r="N158" s="58"/>
      <c r="O158" s="11"/>
      <c r="P158" s="73"/>
    </row>
    <row r="159" spans="1:21" s="4" customFormat="1" ht="22.5" customHeight="1">
      <c r="A159" s="2"/>
      <c r="B159" s="2"/>
      <c r="C159" s="2"/>
      <c r="D159" s="2"/>
      <c r="E159" s="2"/>
      <c r="F159" s="2"/>
      <c r="G159" s="2"/>
      <c r="H159" s="2"/>
      <c r="I159" s="2"/>
      <c r="J159" s="2"/>
      <c r="K159" s="2"/>
      <c r="L159" s="2"/>
      <c r="M159" s="2"/>
      <c r="N159" s="59"/>
      <c r="O159" s="11"/>
      <c r="P159" s="71"/>
      <c r="S159" s="11"/>
      <c r="T159" s="11"/>
      <c r="U159" s="11"/>
    </row>
    <row r="160" spans="1:21" ht="11.25" customHeight="1">
      <c r="N160" s="58"/>
      <c r="O160" s="11"/>
      <c r="P160" s="71"/>
    </row>
    <row r="161" spans="1:21" s="4" customFormat="1" ht="24" customHeight="1">
      <c r="A161" s="2"/>
      <c r="B161" s="2"/>
      <c r="C161" s="2"/>
      <c r="D161" s="2"/>
      <c r="E161" s="2"/>
      <c r="F161" s="2"/>
      <c r="G161" s="2"/>
      <c r="H161" s="2"/>
      <c r="I161" s="2"/>
      <c r="J161" s="2"/>
      <c r="K161" s="2"/>
      <c r="L161" s="2"/>
      <c r="M161" s="2"/>
      <c r="N161" s="59"/>
      <c r="O161" s="11"/>
      <c r="P161" s="70"/>
      <c r="S161" s="11"/>
      <c r="T161" s="11"/>
      <c r="U161" s="11"/>
    </row>
    <row r="162" spans="1:21" ht="24.75" customHeight="1">
      <c r="N162" s="60"/>
      <c r="O162" s="11"/>
    </row>
    <row r="163" spans="1:21" s="4" customFormat="1" ht="22.5" customHeight="1">
      <c r="A163" s="2"/>
      <c r="B163" s="2"/>
      <c r="C163" s="2"/>
      <c r="D163" s="2"/>
      <c r="E163" s="2"/>
      <c r="F163" s="2"/>
      <c r="G163" s="2"/>
      <c r="H163" s="2"/>
      <c r="I163" s="2"/>
      <c r="J163" s="2"/>
      <c r="K163" s="2"/>
      <c r="L163" s="2"/>
      <c r="M163" s="2"/>
      <c r="N163" s="59"/>
      <c r="O163" s="11"/>
      <c r="P163" s="70"/>
      <c r="S163" s="11"/>
      <c r="T163" s="11"/>
      <c r="U163" s="11"/>
    </row>
    <row r="164" spans="1:21">
      <c r="N164" s="58"/>
      <c r="O164" s="11"/>
    </row>
    <row r="165" spans="1:21" s="47" customFormat="1" ht="24" customHeight="1">
      <c r="A165" s="2"/>
      <c r="B165" s="2"/>
      <c r="C165" s="2"/>
      <c r="D165" s="2"/>
      <c r="E165" s="2"/>
      <c r="F165" s="2"/>
      <c r="G165" s="2"/>
      <c r="H165" s="2"/>
      <c r="I165" s="2"/>
      <c r="J165" s="2"/>
      <c r="K165" s="2"/>
      <c r="L165" s="2"/>
      <c r="M165" s="2"/>
      <c r="N165" s="59"/>
      <c r="O165" s="11"/>
      <c r="P165" s="70"/>
      <c r="S165" s="48"/>
      <c r="T165" s="48"/>
      <c r="U165" s="48"/>
    </row>
    <row r="166" spans="1:21" ht="11.25" customHeight="1">
      <c r="N166" s="58"/>
      <c r="O166" s="11"/>
    </row>
    <row r="167" spans="1:21" s="47" customFormat="1" ht="39" customHeight="1">
      <c r="A167" s="2"/>
      <c r="B167" s="2"/>
      <c r="C167" s="2"/>
      <c r="D167" s="2"/>
      <c r="E167" s="2"/>
      <c r="F167" s="2"/>
      <c r="G167" s="2"/>
      <c r="H167" s="2"/>
      <c r="I167" s="2"/>
      <c r="J167" s="2"/>
      <c r="K167" s="2"/>
      <c r="L167" s="2"/>
      <c r="M167" s="2"/>
      <c r="N167" s="59"/>
      <c r="O167" s="11"/>
      <c r="P167" s="70"/>
      <c r="S167" s="48"/>
      <c r="T167" s="48"/>
      <c r="U167" s="48"/>
    </row>
    <row r="168" spans="1:21" ht="21" customHeight="1">
      <c r="N168" s="58"/>
      <c r="O168" s="11"/>
    </row>
    <row r="169" spans="1:21" s="4" customFormat="1" ht="39" customHeight="1">
      <c r="A169" s="2"/>
      <c r="B169" s="2"/>
      <c r="C169" s="2"/>
      <c r="D169" s="2"/>
      <c r="E169" s="2"/>
      <c r="F169" s="2"/>
      <c r="G169" s="2"/>
      <c r="H169" s="2"/>
      <c r="I169" s="2"/>
      <c r="J169" s="2"/>
      <c r="K169" s="2"/>
      <c r="L169" s="2"/>
      <c r="M169" s="2"/>
      <c r="N169" s="59"/>
      <c r="O169" s="11"/>
      <c r="P169" s="70"/>
      <c r="S169" s="11"/>
      <c r="T169" s="11"/>
      <c r="U169" s="11"/>
    </row>
    <row r="170" spans="1:21" ht="18.75" customHeight="1">
      <c r="N170" s="60"/>
      <c r="O170" s="11"/>
    </row>
    <row r="171" spans="1:21" s="4" customFormat="1" ht="78.75" customHeight="1">
      <c r="A171" s="2"/>
      <c r="B171" s="2"/>
      <c r="C171" s="2"/>
      <c r="D171" s="2"/>
      <c r="E171" s="2"/>
      <c r="F171" s="2"/>
      <c r="G171" s="2"/>
      <c r="H171" s="2"/>
      <c r="I171" s="2"/>
      <c r="J171" s="2"/>
      <c r="K171" s="2"/>
      <c r="L171" s="2"/>
      <c r="M171" s="2"/>
      <c r="N171" s="59"/>
      <c r="O171" s="11"/>
      <c r="P171" s="70"/>
      <c r="S171" s="11"/>
      <c r="T171" s="11"/>
      <c r="U171" s="11"/>
    </row>
    <row r="172" spans="1:21">
      <c r="N172" s="60"/>
      <c r="O172" s="11"/>
    </row>
    <row r="173" spans="1:21" s="4" customFormat="1" ht="83.25" customHeight="1">
      <c r="A173" s="2"/>
      <c r="B173" s="2"/>
      <c r="C173" s="2"/>
      <c r="D173" s="2"/>
      <c r="E173" s="2"/>
      <c r="F173" s="2"/>
      <c r="G173" s="2"/>
      <c r="H173" s="2"/>
      <c r="I173" s="2"/>
      <c r="J173" s="2"/>
      <c r="K173" s="2"/>
      <c r="L173" s="2"/>
      <c r="M173" s="2"/>
      <c r="N173" s="59"/>
      <c r="O173" s="11"/>
      <c r="P173" s="70"/>
      <c r="S173" s="11"/>
      <c r="T173" s="11"/>
      <c r="U173" s="11"/>
    </row>
    <row r="174" spans="1:21" ht="17.25" customHeight="1">
      <c r="O174" s="11"/>
    </row>
    <row r="175" spans="1:21" s="47" customFormat="1" ht="73.5" customHeight="1">
      <c r="A175" s="2"/>
      <c r="B175" s="2"/>
      <c r="C175" s="2"/>
      <c r="D175" s="2"/>
      <c r="E175" s="2"/>
      <c r="F175" s="2"/>
      <c r="G175" s="2"/>
      <c r="H175" s="2"/>
      <c r="I175" s="2"/>
      <c r="J175" s="2"/>
      <c r="K175" s="2"/>
      <c r="L175" s="2"/>
      <c r="M175" s="2"/>
      <c r="N175" s="67"/>
      <c r="O175" s="11"/>
      <c r="P175" s="70"/>
      <c r="S175" s="48"/>
      <c r="T175" s="48"/>
      <c r="U175" s="48"/>
    </row>
    <row r="176" spans="1:21" ht="21" customHeight="1">
      <c r="N176" s="58"/>
      <c r="O176" s="11"/>
    </row>
    <row r="177" spans="1:21" s="4" customFormat="1" ht="22.5" customHeight="1">
      <c r="A177" s="2"/>
      <c r="B177" s="2"/>
      <c r="C177" s="2"/>
      <c r="D177" s="2"/>
      <c r="E177" s="2"/>
      <c r="F177" s="2"/>
      <c r="G177" s="2"/>
      <c r="H177" s="2"/>
      <c r="I177" s="2"/>
      <c r="J177" s="2"/>
      <c r="K177" s="2"/>
      <c r="L177" s="2"/>
      <c r="M177" s="2"/>
      <c r="N177" s="59"/>
      <c r="O177" s="11"/>
      <c r="P177" s="70"/>
      <c r="S177" s="11"/>
      <c r="T177" s="11"/>
      <c r="U177" s="11"/>
    </row>
    <row r="178" spans="1:21" ht="11.25" customHeight="1">
      <c r="N178" s="58"/>
      <c r="O178" s="11"/>
    </row>
    <row r="179" spans="1:21" s="4" customFormat="1" ht="35.25" customHeight="1">
      <c r="A179" s="2"/>
      <c r="B179" s="2"/>
      <c r="C179" s="2"/>
      <c r="D179" s="2"/>
      <c r="E179" s="2"/>
      <c r="F179" s="2"/>
      <c r="G179" s="2"/>
      <c r="H179" s="2"/>
      <c r="I179" s="2"/>
      <c r="J179" s="2"/>
      <c r="K179" s="2"/>
      <c r="L179" s="2"/>
      <c r="M179" s="2"/>
      <c r="N179" s="59"/>
      <c r="O179" s="11"/>
      <c r="P179" s="70"/>
      <c r="S179" s="11"/>
      <c r="T179" s="11"/>
      <c r="U179" s="11"/>
    </row>
    <row r="180" spans="1:21" ht="11.25" customHeight="1">
      <c r="N180" s="58"/>
      <c r="O180" s="11"/>
    </row>
    <row r="181" spans="1:21" s="4" customFormat="1" ht="51.75" customHeight="1">
      <c r="A181" s="2"/>
      <c r="B181" s="2"/>
      <c r="C181" s="2"/>
      <c r="D181" s="2"/>
      <c r="E181" s="2"/>
      <c r="F181" s="2"/>
      <c r="G181" s="2"/>
      <c r="H181" s="2"/>
      <c r="I181" s="2"/>
      <c r="J181" s="2"/>
      <c r="K181" s="2"/>
      <c r="L181" s="2"/>
      <c r="M181" s="2"/>
      <c r="N181" s="59"/>
      <c r="O181" s="11"/>
      <c r="P181" s="70"/>
      <c r="S181" s="11"/>
      <c r="T181" s="11"/>
      <c r="U181" s="11"/>
    </row>
    <row r="182" spans="1:21" ht="18" customHeight="1">
      <c r="N182" s="58"/>
      <c r="O182" s="11"/>
    </row>
    <row r="183" spans="1:21" s="47" customFormat="1" ht="54" customHeight="1">
      <c r="A183" s="2"/>
      <c r="B183" s="2"/>
      <c r="C183" s="2"/>
      <c r="D183" s="2"/>
      <c r="E183" s="2"/>
      <c r="F183" s="2"/>
      <c r="G183" s="2"/>
      <c r="H183" s="2"/>
      <c r="I183" s="2"/>
      <c r="J183" s="2"/>
      <c r="K183" s="2"/>
      <c r="L183" s="2"/>
      <c r="M183" s="2"/>
      <c r="N183" s="59"/>
      <c r="O183" s="11"/>
      <c r="P183" s="70"/>
      <c r="S183" s="48"/>
      <c r="T183" s="48"/>
      <c r="U183" s="48"/>
    </row>
    <row r="184" spans="1:21" ht="24" customHeight="1">
      <c r="N184" s="58"/>
      <c r="O184" s="11"/>
    </row>
    <row r="185" spans="1:21" s="47" customFormat="1" ht="57.75" customHeight="1">
      <c r="A185" s="2"/>
      <c r="B185" s="2"/>
      <c r="C185" s="2"/>
      <c r="D185" s="2"/>
      <c r="E185" s="2"/>
      <c r="F185" s="2"/>
      <c r="G185" s="2"/>
      <c r="H185" s="2"/>
      <c r="I185" s="2"/>
      <c r="J185" s="2"/>
      <c r="K185" s="2"/>
      <c r="L185" s="2"/>
      <c r="M185" s="2"/>
      <c r="N185" s="59"/>
      <c r="O185" s="11"/>
      <c r="P185" s="70"/>
      <c r="S185" s="48"/>
      <c r="T185" s="48"/>
      <c r="U185" s="48"/>
    </row>
    <row r="186" spans="1:21" ht="21" customHeight="1">
      <c r="N186" s="58"/>
    </row>
    <row r="187" spans="1:21" ht="12" customHeight="1">
      <c r="O187" s="11"/>
    </row>
    <row r="188" spans="1:21" s="66" customFormat="1" ht="22.5" customHeight="1">
      <c r="A188" s="2"/>
      <c r="B188" s="2"/>
      <c r="C188" s="2"/>
      <c r="D188" s="2"/>
      <c r="E188" s="2"/>
      <c r="F188" s="2"/>
      <c r="G188" s="2"/>
      <c r="H188" s="2"/>
      <c r="I188" s="2"/>
      <c r="J188" s="2"/>
      <c r="K188" s="2"/>
      <c r="L188" s="2"/>
      <c r="M188" s="2"/>
      <c r="N188" s="58"/>
      <c r="O188" s="11"/>
      <c r="P188" s="70"/>
      <c r="S188" s="35"/>
      <c r="T188" s="35"/>
      <c r="U188" s="35"/>
    </row>
    <row r="189" spans="1:21" s="4" customFormat="1" ht="45" customHeight="1">
      <c r="A189" s="2"/>
      <c r="B189" s="2"/>
      <c r="C189" s="2"/>
      <c r="D189" s="2"/>
      <c r="E189" s="2"/>
      <c r="F189" s="2"/>
      <c r="G189" s="2"/>
      <c r="H189" s="2"/>
      <c r="I189" s="2"/>
      <c r="J189" s="2"/>
      <c r="K189" s="2"/>
      <c r="L189" s="2"/>
      <c r="M189" s="2"/>
      <c r="N189" s="59"/>
      <c r="O189" s="35"/>
      <c r="P189" s="70"/>
      <c r="S189" s="11"/>
      <c r="T189" s="11"/>
      <c r="U189" s="11"/>
    </row>
    <row r="190" spans="1:21" ht="22.5" customHeight="1">
      <c r="N190" s="58"/>
      <c r="O190" s="11"/>
    </row>
    <row r="191" spans="1:21" s="4" customFormat="1" ht="30" customHeight="1">
      <c r="A191" s="2"/>
      <c r="B191" s="2"/>
      <c r="C191" s="2"/>
      <c r="D191" s="2"/>
      <c r="E191" s="2"/>
      <c r="F191" s="2"/>
      <c r="G191" s="2"/>
      <c r="H191" s="2"/>
      <c r="I191" s="2"/>
      <c r="J191" s="2"/>
      <c r="K191" s="2"/>
      <c r="L191" s="2"/>
      <c r="M191" s="2"/>
      <c r="N191" s="58"/>
      <c r="O191" s="11"/>
      <c r="P191" s="70"/>
      <c r="S191" s="11"/>
      <c r="T191" s="11"/>
      <c r="U191" s="11"/>
    </row>
    <row r="192" spans="1:21" ht="11.25" customHeight="1">
      <c r="O192" s="11"/>
    </row>
    <row r="193" spans="1:21" s="4" customFormat="1" ht="32.25" customHeight="1">
      <c r="A193" s="2"/>
      <c r="B193" s="2"/>
      <c r="C193" s="2"/>
      <c r="D193" s="2"/>
      <c r="E193" s="2"/>
      <c r="F193" s="2"/>
      <c r="G193" s="2"/>
      <c r="H193" s="2"/>
      <c r="I193" s="2"/>
      <c r="J193" s="2"/>
      <c r="K193" s="2"/>
      <c r="L193" s="2"/>
      <c r="M193" s="2"/>
      <c r="N193" s="58"/>
      <c r="O193" s="11"/>
      <c r="P193" s="70"/>
      <c r="S193" s="11"/>
      <c r="T193" s="11"/>
      <c r="U193" s="11"/>
    </row>
    <row r="194" spans="1:21" ht="11.25" customHeight="1">
      <c r="O194" s="11"/>
    </row>
    <row r="195" spans="1:21" s="4" customFormat="1" ht="22.5" customHeight="1">
      <c r="A195" s="2"/>
      <c r="B195" s="2"/>
      <c r="C195" s="2"/>
      <c r="D195" s="2"/>
      <c r="E195" s="2"/>
      <c r="F195" s="2"/>
      <c r="G195" s="2"/>
      <c r="H195" s="2"/>
      <c r="I195" s="2"/>
      <c r="J195" s="2"/>
      <c r="K195" s="2"/>
      <c r="L195" s="2"/>
      <c r="M195" s="2"/>
      <c r="N195" s="58"/>
      <c r="O195" s="11"/>
      <c r="P195" s="70"/>
      <c r="S195" s="11"/>
      <c r="T195" s="11"/>
      <c r="U195" s="11"/>
    </row>
    <row r="196" spans="1:21" ht="11.25" customHeight="1">
      <c r="O196" s="11"/>
    </row>
    <row r="197" spans="1:21" s="4" customFormat="1" ht="30" customHeight="1">
      <c r="A197" s="2"/>
      <c r="B197" s="2"/>
      <c r="C197" s="2"/>
      <c r="D197" s="2"/>
      <c r="E197" s="2"/>
      <c r="F197" s="2"/>
      <c r="G197" s="2"/>
      <c r="H197" s="2"/>
      <c r="I197" s="2"/>
      <c r="J197" s="2"/>
      <c r="K197" s="2"/>
      <c r="L197" s="2"/>
      <c r="M197" s="2"/>
      <c r="N197" s="58"/>
      <c r="O197" s="11"/>
      <c r="P197" s="70"/>
      <c r="S197" s="11"/>
      <c r="T197" s="11"/>
      <c r="U197" s="11"/>
    </row>
    <row r="198" spans="1:21" ht="11.25" customHeight="1">
      <c r="O198" s="11"/>
    </row>
    <row r="199" spans="1:21" s="4" customFormat="1" ht="30" customHeight="1">
      <c r="A199" s="2"/>
      <c r="B199" s="2"/>
      <c r="C199" s="2"/>
      <c r="D199" s="2"/>
      <c r="E199" s="2"/>
      <c r="F199" s="2"/>
      <c r="G199" s="2"/>
      <c r="H199" s="2"/>
      <c r="I199" s="2"/>
      <c r="J199" s="2"/>
      <c r="K199" s="2"/>
      <c r="L199" s="2"/>
      <c r="M199" s="2"/>
      <c r="N199" s="58"/>
      <c r="O199" s="11"/>
      <c r="P199" s="70"/>
      <c r="S199" s="11"/>
      <c r="T199" s="11"/>
      <c r="U199" s="11"/>
    </row>
    <row r="200" spans="1:21" ht="11.25" customHeight="1"/>
    <row r="201" spans="1:21" s="4" customFormat="1" ht="30" customHeight="1">
      <c r="A201" s="2"/>
      <c r="B201" s="2"/>
      <c r="C201" s="2"/>
      <c r="D201" s="2"/>
      <c r="E201" s="2"/>
      <c r="F201" s="2"/>
      <c r="G201" s="2"/>
      <c r="H201" s="2"/>
      <c r="I201" s="2"/>
      <c r="J201" s="2"/>
      <c r="K201" s="2"/>
      <c r="L201" s="2"/>
      <c r="M201" s="2"/>
      <c r="N201" s="58"/>
      <c r="O201" s="11"/>
      <c r="P201" s="70"/>
      <c r="S201" s="11"/>
      <c r="T201" s="11"/>
      <c r="U201" s="11"/>
    </row>
    <row r="202" spans="1:21" ht="11.25" customHeight="1">
      <c r="O202" s="11"/>
    </row>
    <row r="203" spans="1:21" s="4" customFormat="1" ht="22.5" customHeight="1">
      <c r="A203" s="2"/>
      <c r="B203" s="2"/>
      <c r="C203" s="2"/>
      <c r="D203" s="2"/>
      <c r="E203" s="2"/>
      <c r="F203" s="2"/>
      <c r="G203" s="2"/>
      <c r="H203" s="2"/>
      <c r="I203" s="2"/>
      <c r="J203" s="2"/>
      <c r="K203" s="2"/>
      <c r="L203" s="2"/>
      <c r="M203" s="2"/>
      <c r="N203" s="58"/>
      <c r="O203" s="35"/>
      <c r="P203" s="70"/>
      <c r="S203" s="11"/>
      <c r="T203" s="11"/>
      <c r="U203" s="11"/>
    </row>
    <row r="204" spans="1:21" s="4" customFormat="1" ht="30" customHeight="1">
      <c r="A204" s="2"/>
      <c r="B204" s="2"/>
      <c r="C204" s="2"/>
      <c r="D204" s="2"/>
      <c r="E204" s="2"/>
      <c r="F204" s="2"/>
      <c r="G204" s="2"/>
      <c r="H204" s="2"/>
      <c r="I204" s="2"/>
      <c r="J204" s="2"/>
      <c r="K204" s="2"/>
      <c r="L204" s="2"/>
      <c r="M204" s="2"/>
      <c r="N204" s="59"/>
      <c r="O204" s="7"/>
      <c r="P204" s="70"/>
      <c r="S204" s="11"/>
      <c r="T204" s="11"/>
      <c r="U204" s="11"/>
    </row>
    <row r="205" spans="1:21" ht="11.25" customHeight="1">
      <c r="N205" s="58"/>
      <c r="O205" s="11"/>
    </row>
    <row r="206" spans="1:21" s="4" customFormat="1" ht="30" customHeight="1">
      <c r="A206" s="2"/>
      <c r="B206" s="2"/>
      <c r="C206" s="2"/>
      <c r="D206" s="2"/>
      <c r="E206" s="2"/>
      <c r="F206" s="2"/>
      <c r="G206" s="2"/>
      <c r="H206" s="2"/>
      <c r="I206" s="2"/>
      <c r="J206" s="2"/>
      <c r="K206" s="2"/>
      <c r="L206" s="2"/>
      <c r="M206" s="2"/>
      <c r="N206" s="59"/>
      <c r="O206" s="11"/>
      <c r="P206" s="70"/>
      <c r="S206" s="11"/>
      <c r="T206" s="11"/>
      <c r="U206" s="11"/>
    </row>
    <row r="207" spans="1:21" ht="20.25" customHeight="1">
      <c r="N207" s="58"/>
      <c r="O207" s="50"/>
    </row>
    <row r="208" spans="1:21" s="4" customFormat="1" ht="30" customHeight="1">
      <c r="A208" s="2"/>
      <c r="B208" s="2"/>
      <c r="C208" s="2"/>
      <c r="D208" s="2"/>
      <c r="E208" s="2"/>
      <c r="F208" s="2"/>
      <c r="G208" s="2"/>
      <c r="H208" s="2"/>
      <c r="I208" s="2"/>
      <c r="J208" s="2"/>
      <c r="K208" s="2"/>
      <c r="L208" s="2"/>
      <c r="M208" s="2"/>
      <c r="N208" s="59"/>
      <c r="O208" s="7"/>
      <c r="P208" s="70"/>
      <c r="S208" s="11"/>
      <c r="T208" s="11"/>
      <c r="U208" s="11"/>
    </row>
    <row r="209" spans="1:21" ht="19.5" customHeight="1">
      <c r="N209" s="58"/>
    </row>
    <row r="210" spans="1:21" s="4" customFormat="1" ht="30" customHeight="1">
      <c r="A210" s="2"/>
      <c r="B210" s="2"/>
      <c r="C210" s="2"/>
      <c r="D210" s="2"/>
      <c r="E210" s="2"/>
      <c r="F210" s="2"/>
      <c r="G210" s="2"/>
      <c r="H210" s="2"/>
      <c r="I210" s="2"/>
      <c r="J210" s="2"/>
      <c r="K210" s="2"/>
      <c r="L210" s="2"/>
      <c r="M210" s="2"/>
      <c r="N210" s="59"/>
      <c r="O210" s="7"/>
      <c r="P210" s="70"/>
      <c r="S210" s="11"/>
      <c r="T210" s="11"/>
      <c r="U210" s="11"/>
    </row>
    <row r="211" spans="1:21" ht="25.5" customHeight="1">
      <c r="N211" s="58"/>
    </row>
    <row r="212" spans="1:21" s="4" customFormat="1" ht="50.25" customHeight="1">
      <c r="A212" s="2"/>
      <c r="B212" s="2"/>
      <c r="C212" s="2"/>
      <c r="D212" s="2"/>
      <c r="E212" s="2"/>
      <c r="F212" s="2"/>
      <c r="G212" s="2"/>
      <c r="H212" s="2"/>
      <c r="I212" s="2"/>
      <c r="J212" s="2"/>
      <c r="K212" s="2"/>
      <c r="L212" s="2"/>
      <c r="M212" s="2"/>
      <c r="N212" s="59"/>
      <c r="O212" s="7"/>
      <c r="P212" s="70"/>
      <c r="S212" s="11"/>
      <c r="T212" s="11"/>
      <c r="U212" s="11"/>
    </row>
    <row r="213" spans="1:21" ht="33" customHeight="1"/>
    <row r="214" spans="1:21" s="4" customFormat="1" ht="57.75" customHeight="1">
      <c r="A214" s="2"/>
      <c r="B214" s="2"/>
      <c r="C214" s="2"/>
      <c r="D214" s="2"/>
      <c r="E214" s="2"/>
      <c r="F214" s="2"/>
      <c r="G214" s="2"/>
      <c r="H214" s="2"/>
      <c r="I214" s="2"/>
      <c r="J214" s="2"/>
      <c r="K214" s="2"/>
      <c r="L214" s="2"/>
      <c r="M214" s="2"/>
      <c r="N214" s="67"/>
      <c r="O214" s="7"/>
      <c r="P214" s="70"/>
      <c r="S214" s="11"/>
      <c r="T214" s="11"/>
      <c r="U214" s="11"/>
    </row>
    <row r="215" spans="1:21" ht="11.25" customHeight="1">
      <c r="N215" s="58"/>
    </row>
    <row r="216" spans="1:21" s="4" customFormat="1" ht="39.75" customHeight="1">
      <c r="A216" s="2"/>
      <c r="B216" s="2"/>
      <c r="C216" s="2"/>
      <c r="D216" s="2"/>
      <c r="E216" s="2"/>
      <c r="F216" s="2"/>
      <c r="G216" s="2"/>
      <c r="H216" s="2"/>
      <c r="I216" s="2"/>
      <c r="J216" s="2"/>
      <c r="K216" s="2"/>
      <c r="L216" s="2"/>
      <c r="M216" s="2"/>
      <c r="N216" s="59"/>
      <c r="O216" s="7"/>
      <c r="P216" s="70"/>
      <c r="S216" s="11"/>
      <c r="T216" s="11"/>
      <c r="U216" s="11"/>
    </row>
    <row r="217" spans="1:21" ht="17.25" customHeight="1">
      <c r="N217" s="58"/>
    </row>
    <row r="218" spans="1:21" s="4" customFormat="1" ht="37.5" customHeight="1">
      <c r="A218" s="2"/>
      <c r="B218" s="2"/>
      <c r="C218" s="2"/>
      <c r="D218" s="2"/>
      <c r="E218" s="2"/>
      <c r="F218" s="2"/>
      <c r="G218" s="2"/>
      <c r="H218" s="2"/>
      <c r="I218" s="2"/>
      <c r="J218" s="2"/>
      <c r="K218" s="2"/>
      <c r="L218" s="2"/>
      <c r="M218" s="2"/>
      <c r="N218" s="59"/>
      <c r="O218" s="7"/>
      <c r="P218" s="70"/>
      <c r="S218" s="11"/>
      <c r="T218" s="11"/>
      <c r="U218" s="11"/>
    </row>
    <row r="219" spans="1:21" ht="21.75" customHeight="1">
      <c r="N219" s="58"/>
    </row>
    <row r="220" spans="1:21" s="4" customFormat="1" ht="64.5" customHeight="1">
      <c r="A220" s="2"/>
      <c r="B220" s="2"/>
      <c r="C220" s="2"/>
      <c r="D220" s="2"/>
      <c r="E220" s="2"/>
      <c r="F220" s="2"/>
      <c r="G220" s="2"/>
      <c r="H220" s="2"/>
      <c r="I220" s="2"/>
      <c r="J220" s="2"/>
      <c r="K220" s="2"/>
      <c r="L220" s="2"/>
      <c r="M220" s="2"/>
      <c r="N220" s="59"/>
      <c r="O220" s="7"/>
      <c r="P220" s="70"/>
      <c r="S220" s="11"/>
      <c r="T220" s="11"/>
      <c r="U220" s="11"/>
    </row>
    <row r="221" spans="1:21" ht="29.25" customHeight="1">
      <c r="N221" s="58"/>
    </row>
    <row r="222" spans="1:21" s="4" customFormat="1" ht="57" customHeight="1">
      <c r="A222" s="2"/>
      <c r="B222" s="2"/>
      <c r="C222" s="2"/>
      <c r="D222" s="2"/>
      <c r="E222" s="2"/>
      <c r="F222" s="2"/>
      <c r="G222" s="2"/>
      <c r="H222" s="2"/>
      <c r="I222" s="2"/>
      <c r="J222" s="2"/>
      <c r="K222" s="2"/>
      <c r="L222" s="2"/>
      <c r="M222" s="2"/>
      <c r="N222" s="59"/>
      <c r="O222" s="7"/>
      <c r="P222" s="70"/>
      <c r="S222" s="11"/>
      <c r="T222" s="11"/>
      <c r="U222" s="11"/>
    </row>
    <row r="223" spans="1:21" ht="11.25" customHeight="1">
      <c r="N223" s="58"/>
    </row>
    <row r="224" spans="1:21" s="4" customFormat="1" ht="47.25" customHeight="1">
      <c r="A224" s="2"/>
      <c r="B224" s="2"/>
      <c r="C224" s="2"/>
      <c r="D224" s="2"/>
      <c r="E224" s="2"/>
      <c r="F224" s="2"/>
      <c r="G224" s="2"/>
      <c r="H224" s="2"/>
      <c r="I224" s="2"/>
      <c r="J224" s="2"/>
      <c r="K224" s="2"/>
      <c r="L224" s="2"/>
      <c r="M224" s="2"/>
      <c r="N224" s="59"/>
      <c r="O224" s="7"/>
      <c r="P224" s="70"/>
      <c r="S224" s="11"/>
      <c r="T224" s="11"/>
      <c r="U224" s="11"/>
    </row>
    <row r="225" spans="1:21" ht="11.25" customHeight="1">
      <c r="N225" s="58"/>
    </row>
    <row r="226" spans="1:21" ht="12" customHeight="1"/>
    <row r="227" spans="1:21" s="66" customFormat="1" ht="22.5" customHeight="1">
      <c r="A227" s="2"/>
      <c r="B227" s="2"/>
      <c r="C227" s="2"/>
      <c r="D227" s="2"/>
      <c r="E227" s="2"/>
      <c r="F227" s="2"/>
      <c r="G227" s="2"/>
      <c r="H227" s="2"/>
      <c r="I227" s="2"/>
      <c r="J227" s="2"/>
      <c r="K227" s="2"/>
      <c r="L227" s="2"/>
      <c r="M227" s="2"/>
      <c r="N227" s="59"/>
      <c r="O227" s="7"/>
      <c r="P227" s="70"/>
      <c r="S227" s="35"/>
      <c r="T227" s="35"/>
      <c r="U227" s="35"/>
    </row>
    <row r="228" spans="1:21" s="4" customFormat="1" ht="30.75" customHeight="1">
      <c r="A228" s="2"/>
      <c r="B228" s="2"/>
      <c r="C228" s="2"/>
      <c r="D228" s="2"/>
      <c r="E228" s="2"/>
      <c r="F228" s="2"/>
      <c r="G228" s="2"/>
      <c r="H228" s="2"/>
      <c r="I228" s="2"/>
      <c r="J228" s="2"/>
      <c r="K228" s="2"/>
      <c r="L228" s="2"/>
      <c r="M228" s="2"/>
      <c r="N228" s="67"/>
      <c r="O228" s="7"/>
      <c r="P228" s="70"/>
      <c r="S228" s="11"/>
      <c r="T228" s="11"/>
      <c r="U228" s="11"/>
    </row>
    <row r="229" spans="1:21" ht="11.25" customHeight="1">
      <c r="N229" s="13"/>
    </row>
    <row r="230" spans="1:21" s="4" customFormat="1" ht="33" customHeight="1">
      <c r="A230" s="2"/>
      <c r="B230" s="2"/>
      <c r="C230" s="2"/>
      <c r="D230" s="2"/>
      <c r="E230" s="2"/>
      <c r="F230" s="2"/>
      <c r="G230" s="2"/>
      <c r="H230" s="2"/>
      <c r="I230" s="2"/>
      <c r="J230" s="2"/>
      <c r="K230" s="2"/>
      <c r="L230" s="2"/>
      <c r="M230" s="2"/>
      <c r="N230" s="59"/>
      <c r="O230" s="7"/>
      <c r="P230" s="70"/>
      <c r="S230" s="11"/>
      <c r="T230" s="11"/>
      <c r="U230" s="11"/>
    </row>
    <row r="231" spans="1:21" ht="21" customHeight="1"/>
    <row r="232" spans="1:21" s="4" customFormat="1" ht="30" customHeight="1">
      <c r="A232" s="2"/>
      <c r="B232" s="2"/>
      <c r="C232" s="2"/>
      <c r="D232" s="2"/>
      <c r="E232" s="2"/>
      <c r="F232" s="2"/>
      <c r="G232" s="2"/>
      <c r="H232" s="2"/>
      <c r="I232" s="2"/>
      <c r="J232" s="2"/>
      <c r="K232" s="2"/>
      <c r="L232" s="2"/>
      <c r="M232" s="2"/>
      <c r="N232" s="67"/>
      <c r="O232" s="7"/>
      <c r="P232" s="70"/>
      <c r="S232" s="11"/>
      <c r="T232" s="11"/>
      <c r="U232" s="11"/>
    </row>
    <row r="233" spans="1:21" ht="11.25" customHeight="1">
      <c r="N233" s="61"/>
    </row>
    <row r="234" spans="1:21" s="4" customFormat="1" ht="22.5" customHeight="1">
      <c r="A234" s="2"/>
      <c r="B234" s="2"/>
      <c r="C234" s="2"/>
      <c r="D234" s="2"/>
      <c r="E234" s="2"/>
      <c r="F234" s="2"/>
      <c r="G234" s="2"/>
      <c r="H234" s="2"/>
      <c r="I234" s="2"/>
      <c r="J234" s="2"/>
      <c r="K234" s="2"/>
      <c r="L234" s="2"/>
      <c r="M234" s="2"/>
      <c r="N234" s="62"/>
      <c r="O234" s="7"/>
      <c r="P234" s="70"/>
      <c r="S234" s="11"/>
      <c r="T234" s="11"/>
      <c r="U234" s="11"/>
    </row>
    <row r="235" spans="1:21" ht="11.25" customHeight="1">
      <c r="N235" s="63"/>
    </row>
    <row r="236" spans="1:21" s="4" customFormat="1" ht="39" customHeight="1">
      <c r="A236" s="2"/>
      <c r="B236" s="2"/>
      <c r="C236" s="2"/>
      <c r="D236" s="2"/>
      <c r="E236" s="2"/>
      <c r="F236" s="2"/>
      <c r="G236" s="2"/>
      <c r="H236" s="2"/>
      <c r="I236" s="2"/>
      <c r="J236" s="2"/>
      <c r="K236" s="2"/>
      <c r="L236" s="2"/>
      <c r="M236" s="2"/>
      <c r="N236" s="62"/>
      <c r="O236" s="7"/>
      <c r="P236" s="70"/>
      <c r="S236" s="11"/>
      <c r="T236" s="11"/>
      <c r="U236" s="11"/>
    </row>
    <row r="237" spans="1:21" ht="11.25" customHeight="1"/>
    <row r="238" spans="1:21" s="4" customFormat="1" ht="22.5" customHeight="1">
      <c r="A238" s="2"/>
      <c r="B238" s="2"/>
      <c r="C238" s="2"/>
      <c r="D238" s="2"/>
      <c r="E238" s="2"/>
      <c r="F238" s="2"/>
      <c r="G238" s="2"/>
      <c r="H238" s="2"/>
      <c r="I238" s="2"/>
      <c r="J238" s="2"/>
      <c r="K238" s="2"/>
      <c r="L238" s="2"/>
      <c r="M238" s="2"/>
      <c r="N238" s="59"/>
      <c r="O238" s="7"/>
      <c r="P238" s="70"/>
      <c r="S238" s="11"/>
      <c r="T238" s="11"/>
      <c r="U238" s="11"/>
    </row>
    <row r="239" spans="1:21" ht="11.25" customHeight="1"/>
    <row r="240" spans="1:21" ht="12" customHeight="1"/>
    <row r="241" spans="1:21" s="66" customFormat="1" ht="22.5" customHeight="1">
      <c r="A241" s="2"/>
      <c r="B241" s="2"/>
      <c r="C241" s="2"/>
      <c r="D241" s="2"/>
      <c r="E241" s="2"/>
      <c r="F241" s="2"/>
      <c r="G241" s="2"/>
      <c r="H241" s="2"/>
      <c r="I241" s="2"/>
      <c r="J241" s="2"/>
      <c r="K241" s="2"/>
      <c r="L241" s="2"/>
      <c r="M241" s="2"/>
      <c r="N241" s="59"/>
      <c r="O241" s="7"/>
      <c r="P241" s="70"/>
      <c r="S241" s="35"/>
      <c r="T241" s="35"/>
      <c r="U241" s="35"/>
    </row>
    <row r="242" spans="1:21" s="13" customFormat="1" ht="249.95" customHeight="1">
      <c r="A242" s="2"/>
      <c r="B242" s="2"/>
      <c r="C242" s="2"/>
      <c r="D242" s="2"/>
      <c r="E242" s="2"/>
      <c r="F242" s="2"/>
      <c r="G242" s="2"/>
      <c r="H242" s="2"/>
      <c r="I242" s="2"/>
      <c r="J242" s="2"/>
      <c r="K242" s="2"/>
      <c r="L242" s="2"/>
      <c r="M242" s="2"/>
      <c r="N242" s="59"/>
      <c r="O242" s="7"/>
      <c r="P242" s="70"/>
      <c r="S242" s="17"/>
      <c r="T242" s="17"/>
      <c r="U242" s="17"/>
    </row>
    <row r="244" spans="1:21" ht="12" customHeight="1"/>
    <row r="245" spans="1:21" s="66" customFormat="1" ht="22.5" customHeight="1">
      <c r="A245" s="2"/>
      <c r="B245" s="2"/>
      <c r="C245" s="2"/>
      <c r="D245" s="2"/>
      <c r="E245" s="2"/>
      <c r="F245" s="2"/>
      <c r="G245" s="2"/>
      <c r="H245" s="2"/>
      <c r="I245" s="2"/>
      <c r="J245" s="2"/>
      <c r="K245" s="2"/>
      <c r="L245" s="2"/>
      <c r="M245" s="2"/>
      <c r="N245" s="59"/>
      <c r="O245" s="7"/>
      <c r="P245" s="70"/>
      <c r="S245" s="35"/>
      <c r="T245" s="35"/>
      <c r="U245" s="35"/>
    </row>
    <row r="246" spans="1:21" s="16" customFormat="1" ht="22.5" customHeight="1">
      <c r="A246" s="2"/>
      <c r="B246" s="2"/>
      <c r="C246" s="2"/>
      <c r="D246" s="2"/>
      <c r="E246" s="2"/>
      <c r="F246" s="2"/>
      <c r="G246" s="2"/>
      <c r="H246" s="2"/>
      <c r="I246" s="2"/>
      <c r="J246" s="2"/>
      <c r="K246" s="2"/>
      <c r="L246" s="2"/>
      <c r="M246" s="2"/>
      <c r="N246" s="59"/>
      <c r="O246" s="7"/>
      <c r="P246" s="70"/>
      <c r="S246" s="11"/>
      <c r="T246" s="11"/>
      <c r="U246" s="11"/>
    </row>
    <row r="247" spans="1:21" s="7" customFormat="1">
      <c r="A247" s="2"/>
      <c r="B247" s="2"/>
      <c r="C247" s="2"/>
      <c r="D247" s="2"/>
      <c r="E247" s="2"/>
      <c r="F247" s="2"/>
      <c r="G247" s="2"/>
      <c r="H247" s="2"/>
      <c r="I247" s="2"/>
      <c r="J247" s="2"/>
      <c r="K247" s="2"/>
      <c r="L247" s="2"/>
      <c r="M247" s="2"/>
      <c r="N247" s="59"/>
      <c r="P247" s="70"/>
    </row>
    <row r="248" spans="1:21" s="6" customFormat="1" ht="22.5" customHeight="1">
      <c r="A248" s="2"/>
      <c r="B248" s="2"/>
      <c r="C248" s="2"/>
      <c r="D248" s="2"/>
      <c r="E248" s="2"/>
      <c r="F248" s="2"/>
      <c r="G248" s="2"/>
      <c r="H248" s="2"/>
      <c r="I248" s="2"/>
      <c r="J248" s="2"/>
      <c r="K248" s="2"/>
      <c r="L248" s="2"/>
      <c r="M248" s="2"/>
      <c r="N248" s="59"/>
      <c r="O248" s="7"/>
      <c r="P248" s="70"/>
      <c r="S248" s="7"/>
      <c r="T248" s="7"/>
      <c r="U248" s="7"/>
    </row>
    <row r="249" spans="1:21" s="7" customFormat="1">
      <c r="A249" s="2"/>
      <c r="B249" s="2"/>
      <c r="C249" s="2"/>
      <c r="D249" s="2"/>
      <c r="E249" s="2"/>
      <c r="F249" s="2"/>
      <c r="G249" s="2"/>
      <c r="H249" s="2"/>
      <c r="I249" s="2"/>
      <c r="J249" s="2"/>
      <c r="K249" s="2"/>
      <c r="L249" s="2"/>
      <c r="M249" s="2"/>
      <c r="N249" s="59"/>
      <c r="P249" s="70"/>
    </row>
  </sheetData>
  <phoneticPr fontId="1" type="noConversion"/>
  <conditionalFormatting sqref="B93 K27 K42">
    <cfRule type="cellIs" dxfId="46" priority="132" stopIfTrue="1" operator="equal">
      <formula>#REF!</formula>
    </cfRule>
  </conditionalFormatting>
  <conditionalFormatting sqref="E93:E94">
    <cfRule type="cellIs" dxfId="45" priority="68" stopIfTrue="1" operator="equal">
      <formula>#REF!</formula>
    </cfRule>
  </conditionalFormatting>
  <conditionalFormatting sqref="F93:F94">
    <cfRule type="cellIs" dxfId="44" priority="67" stopIfTrue="1" operator="equal">
      <formula>#REF!</formula>
    </cfRule>
  </conditionalFormatting>
  <conditionalFormatting sqref="G93:G94">
    <cfRule type="cellIs" dxfId="43" priority="66" stopIfTrue="1" operator="equal">
      <formula>#REF!</formula>
    </cfRule>
  </conditionalFormatting>
  <conditionalFormatting sqref="H71">
    <cfRule type="cellIs" dxfId="42" priority="65" stopIfTrue="1" operator="equal">
      <formula>#REF!</formula>
    </cfRule>
  </conditionalFormatting>
  <conditionalFormatting sqref="H93">
    <cfRule type="cellIs" dxfId="41" priority="64" stopIfTrue="1" operator="equal">
      <formula>#REF!</formula>
    </cfRule>
  </conditionalFormatting>
  <conditionalFormatting sqref="H94">
    <cfRule type="cellIs" dxfId="40" priority="63" stopIfTrue="1" operator="equal">
      <formula>#REF!</formula>
    </cfRule>
  </conditionalFormatting>
  <conditionalFormatting sqref="I93:I94">
    <cfRule type="cellIs" dxfId="39" priority="60" stopIfTrue="1" operator="equal">
      <formula>#REF!</formula>
    </cfRule>
  </conditionalFormatting>
  <conditionalFormatting sqref="L94">
    <cfRule type="cellIs" dxfId="38" priority="5" stopIfTrue="1" operator="equal">
      <formula>#REF!</formula>
    </cfRule>
  </conditionalFormatting>
  <conditionalFormatting sqref="L97 L10 L16">
    <cfRule type="cellIs" dxfId="37" priority="30" stopIfTrue="1" operator="equal">
      <formula>#REF!</formula>
    </cfRule>
  </conditionalFormatting>
  <conditionalFormatting sqref="L32 L34 L38 L40">
    <cfRule type="cellIs" dxfId="36" priority="28" stopIfTrue="1" operator="equal">
      <formula>#REF!</formula>
    </cfRule>
  </conditionalFormatting>
  <conditionalFormatting sqref="L26:L27">
    <cfRule type="cellIs" dxfId="35" priority="29" stopIfTrue="1" operator="equal">
      <formula>#REF!</formula>
    </cfRule>
  </conditionalFormatting>
  <conditionalFormatting sqref="L88 L90">
    <cfRule type="cellIs" dxfId="34" priority="27" stopIfTrue="1" operator="equal">
      <formula>#REF!</formula>
    </cfRule>
  </conditionalFormatting>
  <conditionalFormatting sqref="L50">
    <cfRule type="cellIs" dxfId="33" priority="26" stopIfTrue="1" operator="equal">
      <formula>#REF!</formula>
    </cfRule>
  </conditionalFormatting>
  <conditionalFormatting sqref="L80 L82">
    <cfRule type="cellIs" dxfId="32" priority="25" stopIfTrue="1" operator="equal">
      <formula>#REF!</formula>
    </cfRule>
  </conditionalFormatting>
  <conditionalFormatting sqref="L74">
    <cfRule type="cellIs" dxfId="31" priority="24" stopIfTrue="1" operator="equal">
      <formula>#REF!</formula>
    </cfRule>
  </conditionalFormatting>
  <conditionalFormatting sqref="L42">
    <cfRule type="cellIs" dxfId="30" priority="23" stopIfTrue="1" operator="equal">
      <formula>#REF!</formula>
    </cfRule>
  </conditionalFormatting>
  <conditionalFormatting sqref="L84">
    <cfRule type="cellIs" dxfId="29" priority="22" stopIfTrue="1" operator="equal">
      <formula>#REF!</formula>
    </cfRule>
  </conditionalFormatting>
  <conditionalFormatting sqref="L30">
    <cfRule type="cellIs" dxfId="28" priority="21" stopIfTrue="1" operator="equal">
      <formula>#REF!</formula>
    </cfRule>
  </conditionalFormatting>
  <conditionalFormatting sqref="L78">
    <cfRule type="cellIs" dxfId="27" priority="20" stopIfTrue="1" operator="equal">
      <formula>#REF!</formula>
    </cfRule>
  </conditionalFormatting>
  <conditionalFormatting sqref="L8">
    <cfRule type="cellIs" dxfId="26" priority="19" stopIfTrue="1" operator="equal">
      <formula>#REF!</formula>
    </cfRule>
  </conditionalFormatting>
  <conditionalFormatting sqref="L14">
    <cfRule type="cellIs" dxfId="25" priority="18" stopIfTrue="1" operator="equal">
      <formula>#REF!</formula>
    </cfRule>
  </conditionalFormatting>
  <conditionalFormatting sqref="L22">
    <cfRule type="cellIs" dxfId="24" priority="17" stopIfTrue="1" operator="equal">
      <formula>#REF!</formula>
    </cfRule>
  </conditionalFormatting>
  <conditionalFormatting sqref="L12">
    <cfRule type="cellIs" dxfId="23" priority="16" stopIfTrue="1" operator="equal">
      <formula>#REF!</formula>
    </cfRule>
  </conditionalFormatting>
  <conditionalFormatting sqref="L20">
    <cfRule type="cellIs" dxfId="22" priority="15" stopIfTrue="1" operator="equal">
      <formula>#REF!</formula>
    </cfRule>
  </conditionalFormatting>
  <conditionalFormatting sqref="L24">
    <cfRule type="cellIs" dxfId="21" priority="14" stopIfTrue="1" operator="equal">
      <formula>#REF!</formula>
    </cfRule>
  </conditionalFormatting>
  <conditionalFormatting sqref="L46">
    <cfRule type="cellIs" dxfId="20" priority="13" stopIfTrue="1" operator="equal">
      <formula>#REF!</formula>
    </cfRule>
  </conditionalFormatting>
  <conditionalFormatting sqref="L54">
    <cfRule type="cellIs" dxfId="19" priority="12" stopIfTrue="1" operator="equal">
      <formula>#REF!</formula>
    </cfRule>
  </conditionalFormatting>
  <conditionalFormatting sqref="L56">
    <cfRule type="cellIs" dxfId="18" priority="11" stopIfTrue="1" operator="equal">
      <formula>#REF!</formula>
    </cfRule>
  </conditionalFormatting>
  <conditionalFormatting sqref="L62">
    <cfRule type="cellIs" dxfId="17" priority="10" stopIfTrue="1" operator="equal">
      <formula>#REF!</formula>
    </cfRule>
  </conditionalFormatting>
  <conditionalFormatting sqref="L64">
    <cfRule type="cellIs" dxfId="16" priority="9" stopIfTrue="1" operator="equal">
      <formula>#REF!</formula>
    </cfRule>
  </conditionalFormatting>
  <conditionalFormatting sqref="L70">
    <cfRule type="cellIs" dxfId="15" priority="8" stopIfTrue="1" operator="equal">
      <formula>#REF!</formula>
    </cfRule>
  </conditionalFormatting>
  <conditionalFormatting sqref="L66">
    <cfRule type="cellIs" dxfId="14" priority="7" stopIfTrue="1" operator="equal">
      <formula>#REF!</formula>
    </cfRule>
  </conditionalFormatting>
  <conditionalFormatting sqref="L58">
    <cfRule type="cellIs" dxfId="13" priority="6" stopIfTrue="1" operator="equal">
      <formula>#REF!</formula>
    </cfRule>
  </conditionalFormatting>
  <conditionalFormatting sqref="L6">
    <cfRule type="cellIs" dxfId="12" priority="4" stopIfTrue="1" operator="equal">
      <formula>#REF!</formula>
    </cfRule>
  </conditionalFormatting>
  <conditionalFormatting sqref="K94 K97 K10 K16 K32 K34 K38 K40 K26 K88 K90 K80 K82 K74 K84 K30 K78 K8 K14 K22 K12 K20 K46 K54 K56 K62 K64 K70 K58 K6 K50 K24 K66">
    <cfRule type="cellIs" dxfId="11" priority="3" stopIfTrue="1" operator="equal">
      <formula>#REF!</formula>
    </cfRule>
  </conditionalFormatting>
  <conditionalFormatting sqref="C93">
    <cfRule type="cellIs" dxfId="10" priority="2" stopIfTrue="1" operator="equal">
      <formula>#REF!</formula>
    </cfRule>
  </conditionalFormatting>
  <conditionalFormatting sqref="D93">
    <cfRule type="cellIs" dxfId="9" priority="1" stopIfTrue="1" operator="equal">
      <formula>#REF!</formula>
    </cfRule>
  </conditionalFormatting>
  <printOptions horizontalCentered="1"/>
  <pageMargins left="0.39370078740157483" right="0.39370078740157483" top="1.1811023622047245" bottom="0.78740157480314965" header="0.51181102362204722" footer="0.51181102362204722"/>
  <pageSetup paperSize="9" orientation="landscape"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7"/>
  <sheetViews>
    <sheetView workbookViewId="0">
      <selection activeCell="H19" sqref="H19"/>
    </sheetView>
  </sheetViews>
  <sheetFormatPr baseColWidth="10" defaultRowHeight="12.75"/>
  <cols>
    <col min="1" max="1" width="6.42578125" style="123" customWidth="1"/>
    <col min="2" max="2" width="26.5703125" style="123" customWidth="1"/>
    <col min="3" max="3" width="25.28515625" customWidth="1"/>
    <col min="4" max="4" width="26.7109375" style="123" customWidth="1"/>
    <col min="5" max="5" width="22.5703125" style="123" customWidth="1"/>
    <col min="6" max="6" width="11.42578125" style="123"/>
    <col min="8" max="8" width="25.42578125" style="123" customWidth="1"/>
  </cols>
  <sheetData>
    <row r="2" spans="1:8" ht="23.25" customHeight="1">
      <c r="A2" s="127" t="s">
        <v>282</v>
      </c>
      <c r="B2" s="127" t="s">
        <v>247</v>
      </c>
      <c r="C2" s="127" t="s">
        <v>231</v>
      </c>
      <c r="D2" s="127" t="s">
        <v>241</v>
      </c>
      <c r="E2" s="127" t="s">
        <v>242</v>
      </c>
      <c r="F2" s="127" t="s">
        <v>243</v>
      </c>
      <c r="G2" s="127" t="s">
        <v>273</v>
      </c>
      <c r="H2" s="127" t="s">
        <v>276</v>
      </c>
    </row>
    <row r="3" spans="1:8" ht="20.100000000000001" customHeight="1">
      <c r="A3" s="123">
        <v>1</v>
      </c>
      <c r="B3" s="125" t="s">
        <v>269</v>
      </c>
      <c r="C3" s="126"/>
      <c r="D3" s="125" t="s">
        <v>271</v>
      </c>
      <c r="E3" s="125" t="s">
        <v>244</v>
      </c>
      <c r="F3" s="125" t="s">
        <v>270</v>
      </c>
      <c r="G3" s="130" t="s">
        <v>0</v>
      </c>
    </row>
    <row r="4" spans="1:8" ht="20.100000000000001" customHeight="1">
      <c r="A4" s="123">
        <v>2</v>
      </c>
      <c r="B4" s="125" t="s">
        <v>277</v>
      </c>
      <c r="C4" s="131"/>
      <c r="D4" s="125"/>
      <c r="E4" s="125"/>
      <c r="F4" s="125"/>
      <c r="G4" s="130"/>
      <c r="H4" s="124" t="s">
        <v>278</v>
      </c>
    </row>
    <row r="5" spans="1:8" ht="20.100000000000001" customHeight="1">
      <c r="A5" s="123">
        <v>3</v>
      </c>
      <c r="B5" s="125" t="s">
        <v>248</v>
      </c>
      <c r="C5" s="126" t="s">
        <v>355</v>
      </c>
      <c r="D5" s="125" t="s">
        <v>267</v>
      </c>
      <c r="E5" s="125" t="s">
        <v>5</v>
      </c>
      <c r="F5" s="125" t="s">
        <v>0</v>
      </c>
      <c r="G5" s="129" t="s">
        <v>5</v>
      </c>
      <c r="H5" s="128" t="s">
        <v>358</v>
      </c>
    </row>
    <row r="6" spans="1:8" ht="20.100000000000001" customHeight="1">
      <c r="A6" s="123" t="s">
        <v>0</v>
      </c>
      <c r="B6" s="125" t="s">
        <v>248</v>
      </c>
      <c r="C6" s="126" t="s">
        <v>356</v>
      </c>
      <c r="D6" s="125" t="s">
        <v>267</v>
      </c>
      <c r="E6" s="125" t="s">
        <v>5</v>
      </c>
      <c r="F6" s="125" t="s">
        <v>0</v>
      </c>
      <c r="G6" s="129" t="s">
        <v>5</v>
      </c>
      <c r="H6" s="128" t="s">
        <v>358</v>
      </c>
    </row>
    <row r="7" spans="1:8" ht="20.100000000000001" customHeight="1">
      <c r="B7" s="125" t="s">
        <v>248</v>
      </c>
      <c r="C7" s="126" t="s">
        <v>357</v>
      </c>
      <c r="D7" s="125" t="s">
        <v>267</v>
      </c>
      <c r="E7" s="125" t="s">
        <v>5</v>
      </c>
      <c r="F7" s="125" t="s">
        <v>0</v>
      </c>
      <c r="G7" s="129" t="s">
        <v>5</v>
      </c>
      <c r="H7" s="128" t="s">
        <v>358</v>
      </c>
    </row>
    <row r="8" spans="1:8" ht="20.100000000000001" customHeight="1">
      <c r="A8" s="123">
        <v>4</v>
      </c>
      <c r="B8" s="125" t="s">
        <v>249</v>
      </c>
      <c r="C8" s="126" t="s">
        <v>261</v>
      </c>
      <c r="D8" s="125" t="s">
        <v>271</v>
      </c>
      <c r="E8" s="125" t="s">
        <v>244</v>
      </c>
      <c r="F8" s="125" t="s">
        <v>245</v>
      </c>
      <c r="G8" s="129" t="s">
        <v>5</v>
      </c>
      <c r="H8" s="128"/>
    </row>
    <row r="9" spans="1:8" ht="20.100000000000001" customHeight="1">
      <c r="A9" s="123">
        <v>5</v>
      </c>
      <c r="B9" s="128" t="s">
        <v>246</v>
      </c>
      <c r="C9" s="126" t="s">
        <v>264</v>
      </c>
      <c r="D9" s="125" t="s">
        <v>64</v>
      </c>
      <c r="E9" s="125" t="s">
        <v>5</v>
      </c>
      <c r="F9" s="125" t="s">
        <v>245</v>
      </c>
      <c r="G9" s="130" t="s">
        <v>0</v>
      </c>
    </row>
    <row r="10" spans="1:8" ht="20.100000000000001" customHeight="1">
      <c r="A10" s="123">
        <v>6</v>
      </c>
      <c r="B10" s="128" t="s">
        <v>254</v>
      </c>
      <c r="C10" s="126" t="s">
        <v>260</v>
      </c>
      <c r="D10" s="125" t="s">
        <v>64</v>
      </c>
      <c r="E10" s="125" t="s">
        <v>5</v>
      </c>
      <c r="F10" s="125" t="s">
        <v>0</v>
      </c>
      <c r="G10" s="129" t="s">
        <v>5</v>
      </c>
    </row>
    <row r="11" spans="1:8" ht="20.100000000000001" customHeight="1">
      <c r="A11" s="123">
        <v>7</v>
      </c>
      <c r="B11" s="128" t="s">
        <v>250</v>
      </c>
      <c r="C11" s="126" t="s">
        <v>259</v>
      </c>
      <c r="D11" s="125" t="s">
        <v>64</v>
      </c>
      <c r="E11" s="125" t="s">
        <v>5</v>
      </c>
      <c r="F11" s="125" t="s">
        <v>0</v>
      </c>
      <c r="G11" s="129" t="s">
        <v>5</v>
      </c>
    </row>
    <row r="12" spans="1:8" ht="20.100000000000001" customHeight="1">
      <c r="A12" s="123">
        <v>8</v>
      </c>
      <c r="B12" s="128" t="s">
        <v>265</v>
      </c>
      <c r="C12" s="126" t="s">
        <v>266</v>
      </c>
      <c r="D12" s="125" t="s">
        <v>64</v>
      </c>
      <c r="E12" s="125" t="s">
        <v>5</v>
      </c>
      <c r="F12" s="125"/>
      <c r="G12" s="130" t="s">
        <v>0</v>
      </c>
    </row>
    <row r="13" spans="1:8" ht="20.100000000000001" customHeight="1">
      <c r="A13" s="123">
        <v>9</v>
      </c>
      <c r="B13" s="128" t="s">
        <v>272</v>
      </c>
      <c r="C13" s="126"/>
      <c r="D13" s="125" t="s">
        <v>271</v>
      </c>
      <c r="E13" s="125" t="s">
        <v>244</v>
      </c>
      <c r="F13" s="125" t="s">
        <v>270</v>
      </c>
      <c r="G13" s="130" t="s">
        <v>0</v>
      </c>
    </row>
    <row r="14" spans="1:8" ht="20.100000000000001" customHeight="1">
      <c r="B14" s="128" t="s">
        <v>285</v>
      </c>
      <c r="C14" s="126" t="s">
        <v>286</v>
      </c>
      <c r="D14" s="125" t="s">
        <v>271</v>
      </c>
      <c r="E14" s="125" t="s">
        <v>244</v>
      </c>
      <c r="F14" s="125" t="s">
        <v>270</v>
      </c>
      <c r="G14" s="130"/>
    </row>
    <row r="15" spans="1:8" ht="20.100000000000001" customHeight="1">
      <c r="A15" s="123">
        <v>10</v>
      </c>
      <c r="B15" s="128" t="s">
        <v>263</v>
      </c>
      <c r="C15" s="126" t="s">
        <v>264</v>
      </c>
      <c r="D15" s="125" t="s">
        <v>64</v>
      </c>
      <c r="E15" s="125" t="s">
        <v>5</v>
      </c>
      <c r="F15" s="125"/>
      <c r="G15" s="130" t="s">
        <v>0</v>
      </c>
    </row>
    <row r="16" spans="1:8" ht="20.100000000000001" customHeight="1">
      <c r="A16" s="123" t="s">
        <v>0</v>
      </c>
      <c r="B16" s="128" t="s">
        <v>283</v>
      </c>
      <c r="C16" s="131"/>
      <c r="D16" s="125"/>
      <c r="E16" s="125"/>
      <c r="F16" s="125"/>
      <c r="G16" s="130" t="s">
        <v>0</v>
      </c>
      <c r="H16" s="123" t="s">
        <v>284</v>
      </c>
    </row>
    <row r="17" spans="1:8" ht="20.100000000000001" customHeight="1">
      <c r="A17" s="123">
        <v>11</v>
      </c>
      <c r="B17" s="128" t="s">
        <v>275</v>
      </c>
      <c r="C17" s="131"/>
      <c r="D17" s="125" t="s">
        <v>271</v>
      </c>
      <c r="E17" s="125"/>
      <c r="F17" s="125" t="s">
        <v>245</v>
      </c>
      <c r="G17" s="130" t="s">
        <v>0</v>
      </c>
      <c r="H17" s="128" t="s">
        <v>281</v>
      </c>
    </row>
    <row r="18" spans="1:8" ht="20.100000000000001" customHeight="1">
      <c r="A18" s="123">
        <v>12</v>
      </c>
      <c r="B18" s="128" t="s">
        <v>251</v>
      </c>
      <c r="C18" s="126" t="s">
        <v>377</v>
      </c>
      <c r="D18" s="125" t="s">
        <v>64</v>
      </c>
      <c r="E18" s="125" t="s">
        <v>5</v>
      </c>
      <c r="F18" s="125" t="s">
        <v>0</v>
      </c>
      <c r="G18" s="129" t="s">
        <v>5</v>
      </c>
      <c r="H18" s="123" t="s">
        <v>378</v>
      </c>
    </row>
    <row r="19" spans="1:8" ht="20.100000000000001" customHeight="1">
      <c r="A19" s="123">
        <v>13</v>
      </c>
      <c r="B19" s="128" t="s">
        <v>252</v>
      </c>
      <c r="C19" s="126" t="s">
        <v>258</v>
      </c>
      <c r="D19" s="125" t="s">
        <v>64</v>
      </c>
      <c r="E19" s="125" t="s">
        <v>244</v>
      </c>
      <c r="F19" s="125" t="s">
        <v>262</v>
      </c>
      <c r="G19" s="129" t="s">
        <v>5</v>
      </c>
    </row>
    <row r="20" spans="1:8" ht="20.100000000000001" customHeight="1">
      <c r="A20" s="123">
        <v>14</v>
      </c>
      <c r="B20" s="128" t="s">
        <v>279</v>
      </c>
      <c r="C20" s="126"/>
      <c r="D20" s="125" t="s">
        <v>271</v>
      </c>
      <c r="E20" s="125" t="s">
        <v>244</v>
      </c>
      <c r="F20" s="125" t="s">
        <v>245</v>
      </c>
      <c r="G20" s="130" t="s">
        <v>0</v>
      </c>
      <c r="H20" s="124" t="s">
        <v>280</v>
      </c>
    </row>
    <row r="21" spans="1:8" ht="20.100000000000001" customHeight="1">
      <c r="B21" s="128" t="s">
        <v>287</v>
      </c>
      <c r="C21" s="126" t="s">
        <v>288</v>
      </c>
      <c r="D21" s="125" t="s">
        <v>271</v>
      </c>
      <c r="E21" s="125" t="s">
        <v>244</v>
      </c>
      <c r="F21" s="125" t="s">
        <v>262</v>
      </c>
      <c r="G21" s="129" t="s">
        <v>5</v>
      </c>
      <c r="H21" s="128" t="s">
        <v>359</v>
      </c>
    </row>
    <row r="22" spans="1:8" ht="20.100000000000001" customHeight="1">
      <c r="A22" s="123">
        <v>15</v>
      </c>
      <c r="B22" s="125" t="s">
        <v>253</v>
      </c>
      <c r="C22" s="126" t="s">
        <v>257</v>
      </c>
      <c r="D22" s="125" t="s">
        <v>64</v>
      </c>
      <c r="E22" s="125" t="s">
        <v>5</v>
      </c>
      <c r="F22" s="125" t="s">
        <v>0</v>
      </c>
      <c r="G22" s="129" t="s">
        <v>5</v>
      </c>
      <c r="H22" s="128" t="s">
        <v>359</v>
      </c>
    </row>
    <row r="23" spans="1:8" ht="20.100000000000001" customHeight="1">
      <c r="A23" s="123">
        <v>16</v>
      </c>
      <c r="B23" s="125" t="s">
        <v>255</v>
      </c>
      <c r="C23" s="126" t="s">
        <v>256</v>
      </c>
      <c r="D23" s="125" t="s">
        <v>271</v>
      </c>
      <c r="E23" s="125" t="s">
        <v>244</v>
      </c>
      <c r="F23" s="125" t="s">
        <v>245</v>
      </c>
      <c r="G23" s="129" t="s">
        <v>5</v>
      </c>
    </row>
    <row r="24" spans="1:8" ht="20.100000000000001" customHeight="1">
      <c r="A24" s="123">
        <v>17</v>
      </c>
      <c r="B24" s="125" t="s">
        <v>268</v>
      </c>
      <c r="C24" s="126" t="s">
        <v>264</v>
      </c>
      <c r="D24" s="125" t="s">
        <v>64</v>
      </c>
      <c r="E24" s="125" t="s">
        <v>5</v>
      </c>
      <c r="F24" s="125" t="s">
        <v>0</v>
      </c>
      <c r="G24" s="130" t="s">
        <v>0</v>
      </c>
    </row>
    <row r="25" spans="1:8" ht="20.100000000000001" customHeight="1">
      <c r="A25" s="123">
        <v>18</v>
      </c>
      <c r="B25" s="125" t="s">
        <v>274</v>
      </c>
      <c r="C25" s="126" t="s">
        <v>264</v>
      </c>
      <c r="D25" s="125" t="s">
        <v>64</v>
      </c>
      <c r="E25" s="125" t="s">
        <v>5</v>
      </c>
      <c r="F25" s="125" t="s">
        <v>0</v>
      </c>
      <c r="G25" s="130" t="s">
        <v>0</v>
      </c>
    </row>
    <row r="27" spans="1:8">
      <c r="B27" s="132" t="s">
        <v>366</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6"/>
  <sheetViews>
    <sheetView topLeftCell="A76" zoomScaleNormal="100" workbookViewId="0">
      <selection activeCell="D5" sqref="D5"/>
    </sheetView>
  </sheetViews>
  <sheetFormatPr baseColWidth="10" defaultRowHeight="12.75"/>
  <cols>
    <col min="1" max="1" width="37.7109375" customWidth="1"/>
    <col min="2" max="6" width="23.7109375" style="2" customWidth="1"/>
    <col min="7" max="16384" width="11.42578125" style="7"/>
  </cols>
  <sheetData>
    <row r="1" spans="1:10" s="11" customFormat="1" ht="20.100000000000001" customHeight="1">
      <c r="A1" s="80" t="s">
        <v>17</v>
      </c>
      <c r="B1" s="88" t="s">
        <v>55</v>
      </c>
      <c r="C1" s="88" t="s">
        <v>56</v>
      </c>
      <c r="D1" s="88" t="s">
        <v>122</v>
      </c>
      <c r="E1" s="88" t="s">
        <v>123</v>
      </c>
      <c r="F1" s="88" t="s">
        <v>124</v>
      </c>
      <c r="G1" s="17"/>
      <c r="H1" s="7"/>
      <c r="I1" s="7"/>
      <c r="J1" s="7"/>
    </row>
    <row r="2" spans="1:10" ht="36" customHeight="1">
      <c r="A2" s="19" t="s">
        <v>222</v>
      </c>
      <c r="B2" s="10" t="s">
        <v>58</v>
      </c>
      <c r="C2" s="10" t="s">
        <v>59</v>
      </c>
      <c r="D2" s="10" t="s">
        <v>128</v>
      </c>
      <c r="E2" s="10" t="s">
        <v>129</v>
      </c>
      <c r="F2" s="10" t="s">
        <v>130</v>
      </c>
    </row>
    <row r="3" spans="1:10" ht="12" customHeight="1">
      <c r="A3" s="7"/>
      <c r="B3" s="92"/>
      <c r="C3" s="92"/>
      <c r="D3" s="92"/>
      <c r="E3" s="92"/>
      <c r="F3" s="93"/>
    </row>
    <row r="4" spans="1:10" ht="20.100000000000001" customHeight="1">
      <c r="A4" s="27"/>
      <c r="B4" s="96" t="str">
        <f>B1</f>
        <v>ARAG Web aktiv</v>
      </c>
      <c r="C4" s="96" t="str">
        <f>C1</f>
        <v>ARAG Web aktiv plus</v>
      </c>
      <c r="D4" s="96" t="str">
        <f>D1</f>
        <v>INTER CyberGuard Basis</v>
      </c>
      <c r="E4" s="96" t="str">
        <f>E1</f>
        <v>INTER CyberGuard Exklusiv</v>
      </c>
      <c r="F4" s="96" t="str">
        <f>F1</f>
        <v>INTER CyberGuard Premium</v>
      </c>
    </row>
    <row r="5" spans="1:10" ht="36" customHeight="1">
      <c r="A5" s="19" t="s">
        <v>19</v>
      </c>
      <c r="B5" s="10" t="s">
        <v>62</v>
      </c>
      <c r="C5" s="10" t="s">
        <v>62</v>
      </c>
      <c r="D5" s="10" t="s">
        <v>64</v>
      </c>
      <c r="E5" s="10" t="s">
        <v>64</v>
      </c>
      <c r="F5" s="10" t="s">
        <v>64</v>
      </c>
    </row>
    <row r="6" spans="1:10" ht="12" customHeight="1">
      <c r="A6" s="28"/>
      <c r="B6" s="85" t="s">
        <v>0</v>
      </c>
      <c r="C6" s="85" t="s">
        <v>0</v>
      </c>
      <c r="D6" s="85" t="s">
        <v>0</v>
      </c>
      <c r="E6" s="85" t="s">
        <v>0</v>
      </c>
      <c r="F6" s="85" t="s">
        <v>0</v>
      </c>
    </row>
    <row r="7" spans="1:10" s="35" customFormat="1" ht="36" customHeight="1">
      <c r="A7" s="19" t="s">
        <v>20</v>
      </c>
      <c r="B7" s="122">
        <v>100000</v>
      </c>
      <c r="C7" s="122">
        <v>200000</v>
      </c>
      <c r="D7" s="10" t="s">
        <v>0</v>
      </c>
      <c r="E7" s="10" t="s">
        <v>0</v>
      </c>
      <c r="F7" s="10" t="s">
        <v>0</v>
      </c>
    </row>
    <row r="8" spans="1:10" ht="12" customHeight="1">
      <c r="A8" s="28"/>
      <c r="B8" s="85" t="s">
        <v>66</v>
      </c>
      <c r="C8" s="85" t="s">
        <v>66</v>
      </c>
      <c r="D8" s="85" t="s">
        <v>0</v>
      </c>
      <c r="E8" s="85" t="s">
        <v>0</v>
      </c>
      <c r="F8" s="85" t="s">
        <v>0</v>
      </c>
    </row>
    <row r="9" spans="1:10" ht="36" customHeight="1">
      <c r="A9" s="19" t="s">
        <v>21</v>
      </c>
      <c r="B9" s="10" t="s">
        <v>0</v>
      </c>
      <c r="C9" s="10" t="s">
        <v>68</v>
      </c>
      <c r="D9" s="10" t="s">
        <v>13</v>
      </c>
      <c r="E9" s="10" t="s">
        <v>14</v>
      </c>
      <c r="F9" s="10" t="s">
        <v>14</v>
      </c>
    </row>
    <row r="10" spans="1:10" ht="12" customHeight="1">
      <c r="A10" s="81"/>
      <c r="B10" s="85" t="s">
        <v>0</v>
      </c>
      <c r="C10" s="85" t="s">
        <v>70</v>
      </c>
      <c r="D10" s="85" t="s">
        <v>135</v>
      </c>
      <c r="E10" s="85" t="s">
        <v>135</v>
      </c>
      <c r="F10" s="85" t="s">
        <v>135</v>
      </c>
    </row>
    <row r="11" spans="1:10" ht="36" customHeight="1">
      <c r="A11" s="19" t="s">
        <v>22</v>
      </c>
      <c r="B11" s="10" t="s">
        <v>71</v>
      </c>
      <c r="C11" s="10" t="s">
        <v>71</v>
      </c>
      <c r="D11" s="90" t="s">
        <v>0</v>
      </c>
      <c r="E11" s="10" t="s">
        <v>0</v>
      </c>
      <c r="F11" s="10" t="s">
        <v>0</v>
      </c>
    </row>
    <row r="12" spans="1:10" ht="12" customHeight="1">
      <c r="A12" s="28" t="s">
        <v>10</v>
      </c>
      <c r="B12" s="85" t="s">
        <v>72</v>
      </c>
      <c r="C12" s="85" t="s">
        <v>72</v>
      </c>
      <c r="D12" s="85" t="s">
        <v>0</v>
      </c>
      <c r="E12" s="85" t="s">
        <v>0</v>
      </c>
      <c r="F12" s="85" t="s">
        <v>0</v>
      </c>
    </row>
    <row r="13" spans="1:10" ht="36" customHeight="1">
      <c r="A13" s="19" t="s">
        <v>23</v>
      </c>
      <c r="B13" s="10" t="s">
        <v>73</v>
      </c>
      <c r="C13" s="10" t="s">
        <v>73</v>
      </c>
      <c r="D13" s="90" t="s">
        <v>137</v>
      </c>
      <c r="E13" s="10" t="s">
        <v>138</v>
      </c>
      <c r="F13" s="10" t="s">
        <v>139</v>
      </c>
    </row>
    <row r="14" spans="1:10" ht="12" customHeight="1">
      <c r="A14" s="28" t="s">
        <v>10</v>
      </c>
      <c r="B14" s="85" t="s">
        <v>75</v>
      </c>
      <c r="C14" s="85" t="s">
        <v>75</v>
      </c>
      <c r="D14" s="85" t="s">
        <v>141</v>
      </c>
      <c r="E14" s="85" t="s">
        <v>142</v>
      </c>
      <c r="F14" s="85" t="s">
        <v>143</v>
      </c>
    </row>
    <row r="15" spans="1:10" ht="36" customHeight="1">
      <c r="A15" s="19" t="s">
        <v>223</v>
      </c>
      <c r="B15" s="10" t="s">
        <v>78</v>
      </c>
      <c r="C15" s="10" t="s">
        <v>78</v>
      </c>
      <c r="D15" s="10" t="s">
        <v>238</v>
      </c>
      <c r="E15" s="10" t="s">
        <v>238</v>
      </c>
      <c r="F15" s="10" t="s">
        <v>238</v>
      </c>
    </row>
    <row r="16" spans="1:10" ht="12" customHeight="1">
      <c r="A16" s="28" t="s">
        <v>10</v>
      </c>
      <c r="B16" s="85" t="s">
        <v>80</v>
      </c>
      <c r="C16" s="85" t="s">
        <v>80</v>
      </c>
      <c r="D16" s="85" t="s">
        <v>239</v>
      </c>
      <c r="E16" s="85" t="s">
        <v>239</v>
      </c>
      <c r="F16" s="85" t="s">
        <v>239</v>
      </c>
    </row>
    <row r="17" spans="1:6" ht="12" customHeight="1">
      <c r="A17" s="29"/>
      <c r="B17" s="98"/>
      <c r="C17" s="98"/>
      <c r="D17" s="98"/>
      <c r="E17" s="98"/>
      <c r="F17" s="99"/>
    </row>
    <row r="18" spans="1:6" ht="20.100000000000001" customHeight="1">
      <c r="A18" s="27" t="s">
        <v>25</v>
      </c>
      <c r="B18" s="96" t="str">
        <f>B1</f>
        <v>ARAG Web aktiv</v>
      </c>
      <c r="C18" s="96" t="str">
        <f>C1</f>
        <v>ARAG Web aktiv plus</v>
      </c>
      <c r="D18" s="96" t="str">
        <f>D1</f>
        <v>INTER CyberGuard Basis</v>
      </c>
      <c r="E18" s="96" t="str">
        <f>E1</f>
        <v>INTER CyberGuard Exklusiv</v>
      </c>
      <c r="F18" s="96" t="str">
        <f>F1</f>
        <v>INTER CyberGuard Premium</v>
      </c>
    </row>
    <row r="19" spans="1:6" ht="36" customHeight="1">
      <c r="A19" s="19" t="s">
        <v>26</v>
      </c>
      <c r="B19" s="10" t="s">
        <v>15</v>
      </c>
      <c r="C19" s="10" t="s">
        <v>15</v>
      </c>
      <c r="D19" s="10" t="s">
        <v>0</v>
      </c>
      <c r="E19" s="10" t="s">
        <v>0</v>
      </c>
      <c r="F19" s="10" t="s">
        <v>0</v>
      </c>
    </row>
    <row r="20" spans="1:6" s="11" customFormat="1" ht="12" customHeight="1">
      <c r="A20" s="28" t="s">
        <v>10</v>
      </c>
      <c r="B20" s="85" t="s">
        <v>83</v>
      </c>
      <c r="C20" s="85" t="s">
        <v>83</v>
      </c>
      <c r="D20" s="85" t="s">
        <v>0</v>
      </c>
      <c r="E20" s="85" t="s">
        <v>0</v>
      </c>
      <c r="F20" s="85" t="s">
        <v>0</v>
      </c>
    </row>
    <row r="21" spans="1:6" ht="36" customHeight="1">
      <c r="A21" s="19" t="s">
        <v>27</v>
      </c>
      <c r="B21" s="90" t="s">
        <v>85</v>
      </c>
      <c r="C21" s="90" t="s">
        <v>85</v>
      </c>
      <c r="D21" s="10" t="s">
        <v>0</v>
      </c>
      <c r="E21" s="10" t="s">
        <v>0</v>
      </c>
      <c r="F21" s="10" t="s">
        <v>0</v>
      </c>
    </row>
    <row r="22" spans="1:6" ht="12" customHeight="1">
      <c r="A22" s="28" t="s">
        <v>10</v>
      </c>
      <c r="B22" s="85" t="s">
        <v>86</v>
      </c>
      <c r="C22" s="85" t="s">
        <v>86</v>
      </c>
      <c r="D22" s="85" t="s">
        <v>0</v>
      </c>
      <c r="E22" s="85" t="s">
        <v>0</v>
      </c>
      <c r="F22" s="85" t="s">
        <v>0</v>
      </c>
    </row>
    <row r="23" spans="1:6" ht="36" customHeight="1">
      <c r="A23" s="19" t="s">
        <v>28</v>
      </c>
      <c r="B23" s="90" t="s">
        <v>0</v>
      </c>
      <c r="C23" s="10" t="s">
        <v>87</v>
      </c>
      <c r="D23" s="10" t="s">
        <v>153</v>
      </c>
      <c r="E23" s="10" t="s">
        <v>153</v>
      </c>
      <c r="F23" s="10" t="s">
        <v>154</v>
      </c>
    </row>
    <row r="24" spans="1:6" ht="12" customHeight="1">
      <c r="A24" s="28" t="s">
        <v>10</v>
      </c>
      <c r="B24" s="85" t="s">
        <v>0</v>
      </c>
      <c r="C24" s="85" t="s">
        <v>88</v>
      </c>
      <c r="D24" s="85" t="s">
        <v>155</v>
      </c>
      <c r="E24" s="85" t="s">
        <v>155</v>
      </c>
      <c r="F24" s="85" t="s">
        <v>155</v>
      </c>
    </row>
    <row r="25" spans="1:6" ht="36" customHeight="1">
      <c r="A25" s="19" t="s">
        <v>29</v>
      </c>
      <c r="B25" s="10" t="s">
        <v>0</v>
      </c>
      <c r="C25" s="10" t="s">
        <v>0</v>
      </c>
      <c r="D25" s="10" t="s">
        <v>153</v>
      </c>
      <c r="E25" s="10" t="s">
        <v>153</v>
      </c>
      <c r="F25" s="10" t="s">
        <v>153</v>
      </c>
    </row>
    <row r="26" spans="1:6" s="48" customFormat="1" ht="12" customHeight="1">
      <c r="A26" s="28" t="s">
        <v>10</v>
      </c>
      <c r="B26" s="85" t="s">
        <v>0</v>
      </c>
      <c r="C26" s="85" t="s">
        <v>0</v>
      </c>
      <c r="D26" s="85" t="s">
        <v>163</v>
      </c>
      <c r="E26" s="85" t="s">
        <v>163</v>
      </c>
      <c r="F26" s="85" t="s">
        <v>163</v>
      </c>
    </row>
    <row r="27" spans="1:6" ht="12" customHeight="1">
      <c r="A27" s="82"/>
      <c r="B27" s="106"/>
      <c r="C27" s="106"/>
      <c r="D27" s="106"/>
      <c r="E27" s="106"/>
      <c r="F27" s="106"/>
    </row>
    <row r="28" spans="1:6" ht="20.100000000000001" customHeight="1">
      <c r="A28" s="27" t="s">
        <v>30</v>
      </c>
      <c r="B28" s="96" t="str">
        <f>B1</f>
        <v>ARAG Web aktiv</v>
      </c>
      <c r="C28" s="96" t="str">
        <f>C1</f>
        <v>ARAG Web aktiv plus</v>
      </c>
      <c r="D28" s="96" t="str">
        <f>D1</f>
        <v>INTER CyberGuard Basis</v>
      </c>
      <c r="E28" s="96" t="str">
        <f>E1</f>
        <v>INTER CyberGuard Exklusiv</v>
      </c>
      <c r="F28" s="96" t="str">
        <f>F1</f>
        <v>INTER CyberGuard Premium</v>
      </c>
    </row>
    <row r="29" spans="1:6" ht="36" customHeight="1">
      <c r="A29" s="45" t="s">
        <v>31</v>
      </c>
      <c r="B29" s="10" t="s">
        <v>15</v>
      </c>
      <c r="C29" s="10" t="s">
        <v>15</v>
      </c>
      <c r="D29" s="10" t="s">
        <v>0</v>
      </c>
      <c r="E29" s="10" t="s">
        <v>0</v>
      </c>
      <c r="F29" s="10" t="s">
        <v>0</v>
      </c>
    </row>
    <row r="30" spans="1:6" ht="12" customHeight="1">
      <c r="A30" s="28" t="s">
        <v>10</v>
      </c>
      <c r="B30" s="85" t="s">
        <v>91</v>
      </c>
      <c r="C30" s="85" t="s">
        <v>91</v>
      </c>
      <c r="D30" s="85" t="s">
        <v>0</v>
      </c>
      <c r="E30" s="85" t="s">
        <v>0</v>
      </c>
      <c r="F30" s="85" t="s">
        <v>0</v>
      </c>
    </row>
    <row r="31" spans="1:6" ht="48" customHeight="1">
      <c r="A31" s="45" t="s">
        <v>224</v>
      </c>
      <c r="B31" s="10" t="s">
        <v>0</v>
      </c>
      <c r="C31" s="10" t="s">
        <v>87</v>
      </c>
      <c r="D31" s="10" t="s">
        <v>169</v>
      </c>
      <c r="E31" s="10" t="s">
        <v>170</v>
      </c>
      <c r="F31" s="10" t="s">
        <v>170</v>
      </c>
    </row>
    <row r="32" spans="1:6" ht="12" customHeight="1">
      <c r="A32" s="28" t="s">
        <v>10</v>
      </c>
      <c r="B32" s="85" t="s">
        <v>0</v>
      </c>
      <c r="C32" s="85" t="s">
        <v>94</v>
      </c>
      <c r="D32" s="85" t="s">
        <v>172</v>
      </c>
      <c r="E32" s="85" t="s">
        <v>172</v>
      </c>
      <c r="F32" s="85" t="s">
        <v>172</v>
      </c>
    </row>
    <row r="33" spans="1:6" ht="36" customHeight="1">
      <c r="A33" s="45" t="s">
        <v>33</v>
      </c>
      <c r="B33" s="10" t="s">
        <v>0</v>
      </c>
      <c r="C33" s="10" t="s">
        <v>87</v>
      </c>
      <c r="D33" s="10" t="s">
        <v>169</v>
      </c>
      <c r="E33" s="10" t="s">
        <v>170</v>
      </c>
      <c r="F33" s="10" t="s">
        <v>170</v>
      </c>
    </row>
    <row r="34" spans="1:6" s="11" customFormat="1" ht="12" customHeight="1">
      <c r="A34" s="28" t="s">
        <v>10</v>
      </c>
      <c r="B34" s="85" t="s">
        <v>0</v>
      </c>
      <c r="C34" s="85" t="s">
        <v>94</v>
      </c>
      <c r="D34" s="85" t="s">
        <v>172</v>
      </c>
      <c r="E34" s="85" t="s">
        <v>172</v>
      </c>
      <c r="F34" s="85" t="s">
        <v>172</v>
      </c>
    </row>
    <row r="35" spans="1:6" s="50" customFormat="1" ht="12" customHeight="1">
      <c r="A35" s="83"/>
      <c r="B35" s="108"/>
      <c r="C35" s="108"/>
      <c r="D35" s="108"/>
      <c r="E35" s="108"/>
      <c r="F35" s="109"/>
    </row>
    <row r="36" spans="1:6" ht="20.100000000000001" customHeight="1">
      <c r="A36" s="27" t="s">
        <v>34</v>
      </c>
      <c r="B36" s="96" t="str">
        <f>B1</f>
        <v>ARAG Web aktiv</v>
      </c>
      <c r="C36" s="96" t="str">
        <f>C1</f>
        <v>ARAG Web aktiv plus</v>
      </c>
      <c r="D36" s="96" t="str">
        <f>D1</f>
        <v>INTER CyberGuard Basis</v>
      </c>
      <c r="E36" s="96" t="str">
        <f>E1</f>
        <v>INTER CyberGuard Exklusiv</v>
      </c>
      <c r="F36" s="96" t="str">
        <f>F1</f>
        <v>INTER CyberGuard Premium</v>
      </c>
    </row>
    <row r="37" spans="1:6" ht="36" customHeight="1">
      <c r="A37" s="45" t="s">
        <v>35</v>
      </c>
      <c r="B37" s="10" t="s">
        <v>0</v>
      </c>
      <c r="C37" s="10" t="s">
        <v>0</v>
      </c>
      <c r="D37" s="10" t="s">
        <v>153</v>
      </c>
      <c r="E37" s="10" t="s">
        <v>154</v>
      </c>
      <c r="F37" s="10" t="s">
        <v>154</v>
      </c>
    </row>
    <row r="38" spans="1:6" ht="12" customHeight="1">
      <c r="A38" s="28" t="s">
        <v>10</v>
      </c>
      <c r="B38" s="85" t="s">
        <v>0</v>
      </c>
      <c r="C38" s="85" t="s">
        <v>0</v>
      </c>
      <c r="D38" s="85" t="s">
        <v>176</v>
      </c>
      <c r="E38" s="85" t="s">
        <v>176</v>
      </c>
      <c r="F38" s="85" t="s">
        <v>176</v>
      </c>
    </row>
    <row r="39" spans="1:6" ht="36" customHeight="1">
      <c r="A39" s="89" t="s">
        <v>382</v>
      </c>
      <c r="B39" s="10" t="s">
        <v>0</v>
      </c>
      <c r="C39" s="10" t="s">
        <v>0</v>
      </c>
      <c r="D39" s="10" t="s">
        <v>381</v>
      </c>
      <c r="E39" s="10" t="s">
        <v>381</v>
      </c>
      <c r="F39" s="10" t="s">
        <v>381</v>
      </c>
    </row>
    <row r="40" spans="1:6" ht="12" customHeight="1">
      <c r="A40" s="28" t="s">
        <v>10</v>
      </c>
      <c r="B40" s="85" t="s">
        <v>0</v>
      </c>
      <c r="C40" s="85" t="s">
        <v>0</v>
      </c>
      <c r="D40" s="85" t="s">
        <v>177</v>
      </c>
      <c r="E40" s="85" t="s">
        <v>177</v>
      </c>
      <c r="F40" s="85" t="s">
        <v>177</v>
      </c>
    </row>
    <row r="41" spans="1:6" ht="36" customHeight="1">
      <c r="A41" s="45" t="s">
        <v>376</v>
      </c>
      <c r="B41" s="10" t="s">
        <v>0</v>
      </c>
      <c r="C41" s="10" t="s">
        <v>0</v>
      </c>
      <c r="D41" s="10" t="s">
        <v>164</v>
      </c>
      <c r="E41" s="10" t="s">
        <v>165</v>
      </c>
      <c r="F41" s="10" t="s">
        <v>165</v>
      </c>
    </row>
    <row r="42" spans="1:6" ht="12" customHeight="1">
      <c r="A42" s="28" t="s">
        <v>10</v>
      </c>
      <c r="B42" s="85" t="s">
        <v>0</v>
      </c>
      <c r="C42" s="85" t="s">
        <v>0</v>
      </c>
      <c r="D42" s="85" t="s">
        <v>166</v>
      </c>
      <c r="E42" s="85" t="s">
        <v>166</v>
      </c>
      <c r="F42" s="85" t="s">
        <v>166</v>
      </c>
    </row>
    <row r="43" spans="1:6" ht="12" customHeight="1">
      <c r="A43" s="57"/>
      <c r="B43" s="69"/>
      <c r="C43" s="69"/>
      <c r="D43" s="69"/>
      <c r="E43" s="69"/>
      <c r="F43" s="69"/>
    </row>
    <row r="44" spans="1:6" ht="20.100000000000001" customHeight="1">
      <c r="A44" s="27" t="s">
        <v>36</v>
      </c>
      <c r="B44" s="96" t="str">
        <f>B1</f>
        <v>ARAG Web aktiv</v>
      </c>
      <c r="C44" s="96" t="str">
        <f>C1</f>
        <v>ARAG Web aktiv plus</v>
      </c>
      <c r="D44" s="96" t="str">
        <f>D1</f>
        <v>INTER CyberGuard Basis</v>
      </c>
      <c r="E44" s="96" t="str">
        <f>E1</f>
        <v>INTER CyberGuard Exklusiv</v>
      </c>
      <c r="F44" s="96" t="str">
        <f>F1</f>
        <v>INTER CyberGuard Premium</v>
      </c>
    </row>
    <row r="45" spans="1:6" ht="36" customHeight="1">
      <c r="A45" s="57" t="s">
        <v>37</v>
      </c>
      <c r="B45" s="111" t="s">
        <v>0</v>
      </c>
      <c r="C45" s="10" t="s">
        <v>96</v>
      </c>
      <c r="D45" s="10" t="s">
        <v>179</v>
      </c>
      <c r="E45" s="10" t="s">
        <v>165</v>
      </c>
      <c r="F45" s="10" t="s">
        <v>165</v>
      </c>
    </row>
    <row r="46" spans="1:6" ht="12" customHeight="1">
      <c r="A46" s="28" t="s">
        <v>10</v>
      </c>
      <c r="B46" s="85" t="s">
        <v>0</v>
      </c>
      <c r="C46" s="85" t="s">
        <v>97</v>
      </c>
      <c r="D46" s="85" t="s">
        <v>182</v>
      </c>
      <c r="E46" s="85" t="s">
        <v>182</v>
      </c>
      <c r="F46" s="85" t="s">
        <v>182</v>
      </c>
    </row>
    <row r="47" spans="1:6" ht="12" customHeight="1">
      <c r="A47" s="19"/>
      <c r="B47" s="10"/>
      <c r="C47" s="10"/>
      <c r="D47" s="10"/>
      <c r="E47" s="10"/>
      <c r="F47" s="10"/>
    </row>
    <row r="48" spans="1:6" ht="20.100000000000001" customHeight="1">
      <c r="A48" s="27" t="s">
        <v>38</v>
      </c>
      <c r="B48" s="96" t="str">
        <f>B1</f>
        <v>ARAG Web aktiv</v>
      </c>
      <c r="C48" s="96" t="str">
        <f>C1</f>
        <v>ARAG Web aktiv plus</v>
      </c>
      <c r="D48" s="96" t="str">
        <f>D1</f>
        <v>INTER CyberGuard Basis</v>
      </c>
      <c r="E48" s="96" t="str">
        <f>E1</f>
        <v>INTER CyberGuard Exklusiv</v>
      </c>
      <c r="F48" s="96" t="str">
        <f>F1</f>
        <v>INTER CyberGuard Premium</v>
      </c>
    </row>
    <row r="49" spans="1:6" ht="36" customHeight="1">
      <c r="A49" s="19" t="s">
        <v>39</v>
      </c>
      <c r="B49" s="10" t="s">
        <v>0</v>
      </c>
      <c r="C49" s="10" t="s">
        <v>0</v>
      </c>
      <c r="D49" s="10" t="s">
        <v>164</v>
      </c>
      <c r="E49" s="10" t="s">
        <v>165</v>
      </c>
      <c r="F49" s="10" t="s">
        <v>165</v>
      </c>
    </row>
    <row r="50" spans="1:6" ht="12" customHeight="1">
      <c r="A50" s="28" t="s">
        <v>10</v>
      </c>
      <c r="B50" s="85" t="s">
        <v>0</v>
      </c>
      <c r="C50" s="85" t="s">
        <v>0</v>
      </c>
      <c r="D50" s="85" t="s">
        <v>393</v>
      </c>
      <c r="E50" s="85" t="s">
        <v>393</v>
      </c>
      <c r="F50" s="85" t="s">
        <v>393</v>
      </c>
    </row>
    <row r="51" spans="1:6" ht="12" customHeight="1">
      <c r="A51" s="19"/>
      <c r="B51" s="90"/>
      <c r="C51" s="90"/>
      <c r="D51" s="90"/>
      <c r="E51" s="90"/>
      <c r="F51" s="90"/>
    </row>
    <row r="52" spans="1:6" ht="20.100000000000001" customHeight="1">
      <c r="A52" s="27" t="s">
        <v>40</v>
      </c>
      <c r="B52" s="96" t="str">
        <f>B1</f>
        <v>ARAG Web aktiv</v>
      </c>
      <c r="C52" s="96" t="str">
        <f>C1</f>
        <v>ARAG Web aktiv plus</v>
      </c>
      <c r="D52" s="96" t="str">
        <f>D1</f>
        <v>INTER CyberGuard Basis</v>
      </c>
      <c r="E52" s="96" t="str">
        <f>E1</f>
        <v>INTER CyberGuard Exklusiv</v>
      </c>
      <c r="F52" s="96" t="str">
        <f>F1</f>
        <v>INTER CyberGuard Premium</v>
      </c>
    </row>
    <row r="53" spans="1:6" ht="36" customHeight="1">
      <c r="A53" s="19" t="s">
        <v>41</v>
      </c>
      <c r="B53" s="10" t="s">
        <v>98</v>
      </c>
      <c r="C53" s="10" t="s">
        <v>98</v>
      </c>
      <c r="D53" s="10" t="s">
        <v>185</v>
      </c>
      <c r="E53" s="10" t="s">
        <v>186</v>
      </c>
      <c r="F53" s="10" t="s">
        <v>187</v>
      </c>
    </row>
    <row r="54" spans="1:6" ht="12" customHeight="1">
      <c r="A54" s="28" t="s">
        <v>10</v>
      </c>
      <c r="B54" s="85" t="s">
        <v>99</v>
      </c>
      <c r="C54" s="85" t="s">
        <v>99</v>
      </c>
      <c r="D54" s="85" t="s">
        <v>188</v>
      </c>
      <c r="E54" s="85" t="s">
        <v>188</v>
      </c>
      <c r="F54" s="85" t="s">
        <v>188</v>
      </c>
    </row>
    <row r="55" spans="1:6" ht="48" customHeight="1">
      <c r="A55" s="19" t="s">
        <v>42</v>
      </c>
      <c r="B55" s="10" t="s">
        <v>100</v>
      </c>
      <c r="C55" s="10" t="s">
        <v>100</v>
      </c>
      <c r="D55" s="10" t="s">
        <v>388</v>
      </c>
      <c r="E55" s="10" t="s">
        <v>388</v>
      </c>
      <c r="F55" s="10" t="s">
        <v>388</v>
      </c>
    </row>
    <row r="56" spans="1:6" ht="12" customHeight="1">
      <c r="A56" s="28" t="s">
        <v>10</v>
      </c>
      <c r="B56" s="85" t="s">
        <v>101</v>
      </c>
      <c r="C56" s="85" t="s">
        <v>101</v>
      </c>
      <c r="D56" s="85" t="s">
        <v>188</v>
      </c>
      <c r="E56" s="85" t="s">
        <v>188</v>
      </c>
      <c r="F56" s="85" t="s">
        <v>188</v>
      </c>
    </row>
    <row r="57" spans="1:6" s="48" customFormat="1" ht="36" customHeight="1">
      <c r="A57" s="57" t="s">
        <v>43</v>
      </c>
      <c r="B57" s="90" t="s">
        <v>0</v>
      </c>
      <c r="C57" s="90" t="s">
        <v>0</v>
      </c>
      <c r="D57" s="10" t="s">
        <v>164</v>
      </c>
      <c r="E57" s="10" t="s">
        <v>190</v>
      </c>
      <c r="F57" s="10" t="s">
        <v>191</v>
      </c>
    </row>
    <row r="58" spans="1:6" ht="12" customHeight="1">
      <c r="A58" s="28" t="s">
        <v>10</v>
      </c>
      <c r="B58" s="85" t="s">
        <v>0</v>
      </c>
      <c r="C58" s="85" t="s">
        <v>0</v>
      </c>
      <c r="D58" s="85" t="s">
        <v>194</v>
      </c>
      <c r="E58" s="85" t="s">
        <v>194</v>
      </c>
      <c r="F58" s="85" t="s">
        <v>194</v>
      </c>
    </row>
    <row r="59" spans="1:6" s="48" customFormat="1" ht="12" customHeight="1">
      <c r="A59" s="121"/>
      <c r="B59" s="100"/>
      <c r="C59" s="100"/>
      <c r="D59" s="100"/>
      <c r="E59" s="100"/>
      <c r="F59" s="113"/>
    </row>
    <row r="60" spans="1:6" ht="20.100000000000001" customHeight="1">
      <c r="A60" s="27" t="s">
        <v>44</v>
      </c>
      <c r="B60" s="96" t="str">
        <f>B1</f>
        <v>ARAG Web aktiv</v>
      </c>
      <c r="C60" s="96" t="str">
        <f>C1</f>
        <v>ARAG Web aktiv plus</v>
      </c>
      <c r="D60" s="96" t="str">
        <f>D1</f>
        <v>INTER CyberGuard Basis</v>
      </c>
      <c r="E60" s="96" t="str">
        <f>E1</f>
        <v>INTER CyberGuard Exklusiv</v>
      </c>
      <c r="F60" s="96" t="str">
        <f>F1</f>
        <v>INTER CyberGuard Premium</v>
      </c>
    </row>
    <row r="61" spans="1:6" ht="36" customHeight="1">
      <c r="A61" s="19" t="s">
        <v>41</v>
      </c>
      <c r="B61" s="10" t="s">
        <v>98</v>
      </c>
      <c r="C61" s="10" t="s">
        <v>98</v>
      </c>
      <c r="D61" s="10" t="s">
        <v>185</v>
      </c>
      <c r="E61" s="10" t="s">
        <v>186</v>
      </c>
      <c r="F61" s="10" t="s">
        <v>187</v>
      </c>
    </row>
    <row r="62" spans="1:6" ht="12" customHeight="1">
      <c r="A62" s="28" t="s">
        <v>10</v>
      </c>
      <c r="B62" s="85" t="s">
        <v>99</v>
      </c>
      <c r="C62" s="85" t="s">
        <v>99</v>
      </c>
      <c r="D62" s="85" t="s">
        <v>197</v>
      </c>
      <c r="E62" s="85" t="s">
        <v>197</v>
      </c>
      <c r="F62" s="85" t="s">
        <v>197</v>
      </c>
    </row>
    <row r="63" spans="1:6" ht="48" customHeight="1">
      <c r="A63" s="19" t="s">
        <v>42</v>
      </c>
      <c r="B63" s="10" t="s">
        <v>100</v>
      </c>
      <c r="C63" s="10" t="s">
        <v>100</v>
      </c>
      <c r="D63" s="10" t="s">
        <v>388</v>
      </c>
      <c r="E63" s="10" t="s">
        <v>388</v>
      </c>
      <c r="F63" s="10" t="s">
        <v>388</v>
      </c>
    </row>
    <row r="64" spans="1:6" ht="12" customHeight="1">
      <c r="A64" s="28" t="s">
        <v>10</v>
      </c>
      <c r="B64" s="85" t="s">
        <v>104</v>
      </c>
      <c r="C64" s="85" t="s">
        <v>104</v>
      </c>
      <c r="D64" s="85" t="s">
        <v>197</v>
      </c>
      <c r="E64" s="85" t="s">
        <v>197</v>
      </c>
      <c r="F64" s="85" t="s">
        <v>197</v>
      </c>
    </row>
    <row r="65" spans="1:6" ht="36" customHeight="1">
      <c r="A65" s="19" t="s">
        <v>45</v>
      </c>
      <c r="B65" s="10" t="s">
        <v>105</v>
      </c>
      <c r="C65" s="10" t="s">
        <v>105</v>
      </c>
      <c r="D65" s="10" t="s">
        <v>164</v>
      </c>
      <c r="E65" s="10" t="s">
        <v>199</v>
      </c>
      <c r="F65" s="10" t="s">
        <v>200</v>
      </c>
    </row>
    <row r="66" spans="1:6" ht="12" customHeight="1">
      <c r="A66" s="28" t="s">
        <v>10</v>
      </c>
      <c r="B66" s="85" t="s">
        <v>107</v>
      </c>
      <c r="C66" s="85" t="s">
        <v>108</v>
      </c>
      <c r="D66" s="85" t="s">
        <v>203</v>
      </c>
      <c r="E66" s="85" t="s">
        <v>203</v>
      </c>
      <c r="F66" s="85" t="s">
        <v>203</v>
      </c>
    </row>
    <row r="67" spans="1:6" ht="12" customHeight="1">
      <c r="A67" s="19"/>
      <c r="B67" s="10"/>
      <c r="C67" s="10"/>
      <c r="D67" s="10"/>
      <c r="E67" s="10"/>
      <c r="F67" s="10"/>
    </row>
    <row r="68" spans="1:6" ht="20.100000000000001" customHeight="1">
      <c r="A68" s="27" t="s">
        <v>46</v>
      </c>
      <c r="B68" s="96" t="str">
        <f>B1</f>
        <v>ARAG Web aktiv</v>
      </c>
      <c r="C68" s="96" t="str">
        <f>C1</f>
        <v>ARAG Web aktiv plus</v>
      </c>
      <c r="D68" s="96" t="str">
        <f>D1</f>
        <v>INTER CyberGuard Basis</v>
      </c>
      <c r="E68" s="96" t="str">
        <f>E1</f>
        <v>INTER CyberGuard Exklusiv</v>
      </c>
      <c r="F68" s="96" t="str">
        <f>F1</f>
        <v>INTER CyberGuard Premium</v>
      </c>
    </row>
    <row r="69" spans="1:6" ht="36" customHeight="1">
      <c r="A69" s="19" t="s">
        <v>41</v>
      </c>
      <c r="B69" s="10" t="s">
        <v>110</v>
      </c>
      <c r="C69" s="10" t="s">
        <v>111</v>
      </c>
      <c r="D69" s="10" t="s">
        <v>185</v>
      </c>
      <c r="E69" s="10" t="s">
        <v>186</v>
      </c>
      <c r="F69" s="10" t="s">
        <v>187</v>
      </c>
    </row>
    <row r="70" spans="1:6" ht="12" customHeight="1">
      <c r="A70" s="28" t="s">
        <v>10</v>
      </c>
      <c r="B70" s="85" t="s">
        <v>112</v>
      </c>
      <c r="C70" s="85" t="s">
        <v>113</v>
      </c>
      <c r="D70" s="85" t="s">
        <v>396</v>
      </c>
      <c r="E70" s="85" t="s">
        <v>396</v>
      </c>
      <c r="F70" s="85" t="s">
        <v>396</v>
      </c>
    </row>
    <row r="71" spans="1:6" ht="12" customHeight="1">
      <c r="A71" s="19"/>
      <c r="B71" s="10"/>
      <c r="C71" s="10"/>
      <c r="D71" s="10"/>
      <c r="E71" s="10"/>
      <c r="F71" s="10"/>
    </row>
    <row r="72" spans="1:6" ht="20.100000000000001" customHeight="1">
      <c r="A72" s="27" t="s">
        <v>47</v>
      </c>
      <c r="B72" s="96" t="str">
        <f>B1</f>
        <v>ARAG Web aktiv</v>
      </c>
      <c r="C72" s="96" t="str">
        <f>C1</f>
        <v>ARAG Web aktiv plus</v>
      </c>
      <c r="D72" s="96" t="str">
        <f>D1</f>
        <v>INTER CyberGuard Basis</v>
      </c>
      <c r="E72" s="96" t="str">
        <f>E1</f>
        <v>INTER CyberGuard Exklusiv</v>
      </c>
      <c r="F72" s="96" t="str">
        <f>F1</f>
        <v>INTER CyberGuard Premium</v>
      </c>
    </row>
    <row r="73" spans="1:6" ht="36" customHeight="1">
      <c r="A73" s="89" t="s">
        <v>399</v>
      </c>
      <c r="B73" s="90" t="s">
        <v>0</v>
      </c>
      <c r="C73" s="90" t="s">
        <v>0</v>
      </c>
      <c r="D73" s="10" t="s">
        <v>206</v>
      </c>
      <c r="E73" s="10" t="s">
        <v>207</v>
      </c>
      <c r="F73" s="10" t="s">
        <v>208</v>
      </c>
    </row>
    <row r="74" spans="1:6" ht="12" customHeight="1">
      <c r="A74" s="28" t="s">
        <v>10</v>
      </c>
      <c r="B74" s="85" t="s">
        <v>0</v>
      </c>
      <c r="C74" s="85" t="s">
        <v>0</v>
      </c>
      <c r="D74" s="85" t="s">
        <v>398</v>
      </c>
      <c r="E74" s="85" t="s">
        <v>398</v>
      </c>
      <c r="F74" s="85" t="s">
        <v>398</v>
      </c>
    </row>
    <row r="75" spans="1:6" s="11" customFormat="1" ht="12" customHeight="1">
      <c r="A75" s="19"/>
      <c r="B75" s="10"/>
      <c r="C75" s="10"/>
      <c r="D75" s="10"/>
      <c r="E75" s="10"/>
      <c r="F75" s="10"/>
    </row>
    <row r="76" spans="1:6" s="50" customFormat="1" ht="20.100000000000001" customHeight="1">
      <c r="A76" s="27" t="s">
        <v>48</v>
      </c>
      <c r="B76" s="96" t="str">
        <f>B1</f>
        <v>ARAG Web aktiv</v>
      </c>
      <c r="C76" s="96" t="str">
        <f>C1</f>
        <v>ARAG Web aktiv plus</v>
      </c>
      <c r="D76" s="96" t="str">
        <f>D1</f>
        <v>INTER CyberGuard Basis</v>
      </c>
      <c r="E76" s="96" t="str">
        <f>E1</f>
        <v>INTER CyberGuard Exklusiv</v>
      </c>
      <c r="F76" s="96" t="str">
        <f>F1</f>
        <v>INTER CyberGuard Premium</v>
      </c>
    </row>
    <row r="77" spans="1:6" ht="36" customHeight="1">
      <c r="A77" s="19" t="s">
        <v>42</v>
      </c>
      <c r="B77" s="10" t="s">
        <v>0</v>
      </c>
      <c r="C77" s="10" t="s">
        <v>0</v>
      </c>
      <c r="D77" s="10" t="s">
        <v>0</v>
      </c>
      <c r="E77" s="10" t="s">
        <v>0</v>
      </c>
      <c r="F77" s="10" t="s">
        <v>0</v>
      </c>
    </row>
    <row r="78" spans="1:6" ht="12" customHeight="1">
      <c r="A78" s="28" t="s">
        <v>10</v>
      </c>
      <c r="B78" s="85" t="s">
        <v>91</v>
      </c>
      <c r="C78" s="85" t="s">
        <v>91</v>
      </c>
      <c r="D78" s="85" t="s">
        <v>0</v>
      </c>
      <c r="E78" s="85" t="s">
        <v>0</v>
      </c>
      <c r="F78" s="85" t="s">
        <v>0</v>
      </c>
    </row>
    <row r="79" spans="1:6" ht="36" customHeight="1">
      <c r="A79" s="45" t="s">
        <v>49</v>
      </c>
      <c r="B79" s="10" t="s">
        <v>0</v>
      </c>
      <c r="C79" s="10" t="s">
        <v>0</v>
      </c>
      <c r="D79" s="10" t="s">
        <v>400</v>
      </c>
      <c r="E79" s="10" t="s">
        <v>400</v>
      </c>
      <c r="F79" s="10" t="s">
        <v>400</v>
      </c>
    </row>
    <row r="80" spans="1:6" ht="12" customHeight="1">
      <c r="A80" s="28" t="s">
        <v>10</v>
      </c>
      <c r="B80" s="85" t="s">
        <v>0</v>
      </c>
      <c r="C80" s="85" t="s">
        <v>0</v>
      </c>
      <c r="D80" s="85" t="s">
        <v>176</v>
      </c>
      <c r="E80" s="85" t="s">
        <v>176</v>
      </c>
      <c r="F80" s="85" t="s">
        <v>176</v>
      </c>
    </row>
    <row r="81" spans="1:6" s="11" customFormat="1" ht="36" customHeight="1">
      <c r="A81" s="19" t="s">
        <v>50</v>
      </c>
      <c r="B81" s="10" t="s">
        <v>0</v>
      </c>
      <c r="C81" s="10" t="s">
        <v>0</v>
      </c>
      <c r="D81" s="10" t="s">
        <v>153</v>
      </c>
      <c r="E81" s="10" t="s">
        <v>154</v>
      </c>
      <c r="F81" s="10" t="s">
        <v>154</v>
      </c>
    </row>
    <row r="82" spans="1:6" ht="12" customHeight="1">
      <c r="A82" s="28" t="s">
        <v>10</v>
      </c>
      <c r="B82" s="85" t="s">
        <v>0</v>
      </c>
      <c r="C82" s="85" t="s">
        <v>0</v>
      </c>
      <c r="D82" s="85" t="s">
        <v>210</v>
      </c>
      <c r="E82" s="85" t="s">
        <v>210</v>
      </c>
      <c r="F82" s="85" t="s">
        <v>210</v>
      </c>
    </row>
    <row r="83" spans="1:6" ht="36" customHeight="1">
      <c r="A83" s="19" t="s">
        <v>51</v>
      </c>
      <c r="B83" s="10" t="s">
        <v>0</v>
      </c>
      <c r="C83" s="10" t="s">
        <v>0</v>
      </c>
      <c r="D83" s="10" t="s">
        <v>402</v>
      </c>
      <c r="E83" s="10" t="s">
        <v>402</v>
      </c>
      <c r="F83" s="10" t="s">
        <v>402</v>
      </c>
    </row>
    <row r="84" spans="1:6" ht="12" customHeight="1">
      <c r="A84" s="28" t="s">
        <v>10</v>
      </c>
      <c r="B84" s="85" t="s">
        <v>0</v>
      </c>
      <c r="C84" s="85" t="s">
        <v>0</v>
      </c>
      <c r="D84" s="85" t="s">
        <v>209</v>
      </c>
      <c r="E84" s="85" t="s">
        <v>209</v>
      </c>
      <c r="F84" s="85" t="s">
        <v>209</v>
      </c>
    </row>
    <row r="85" spans="1:6" s="11" customFormat="1" ht="12" customHeight="1">
      <c r="A85" s="31"/>
      <c r="B85" s="112"/>
      <c r="C85" s="112"/>
      <c r="D85" s="112"/>
      <c r="E85" s="112"/>
      <c r="F85" s="113"/>
    </row>
    <row r="86" spans="1:6" ht="20.100000000000001" customHeight="1">
      <c r="A86" s="27" t="s">
        <v>52</v>
      </c>
      <c r="B86" s="96" t="str">
        <f>B1</f>
        <v>ARAG Web aktiv</v>
      </c>
      <c r="C86" s="96" t="str">
        <f>C1</f>
        <v>ARAG Web aktiv plus</v>
      </c>
      <c r="D86" s="96" t="str">
        <f>D1</f>
        <v>INTER CyberGuard Basis</v>
      </c>
      <c r="E86" s="96" t="str">
        <f>E1</f>
        <v>INTER CyberGuard Exklusiv</v>
      </c>
      <c r="F86" s="96" t="str">
        <f>F1</f>
        <v>INTER CyberGuard Premium</v>
      </c>
    </row>
    <row r="87" spans="1:6" ht="36" customHeight="1">
      <c r="A87" s="19" t="s">
        <v>53</v>
      </c>
      <c r="B87" s="90" t="s">
        <v>0</v>
      </c>
      <c r="C87" s="90" t="s">
        <v>0</v>
      </c>
      <c r="D87" s="10" t="s">
        <v>211</v>
      </c>
      <c r="E87" s="10" t="s">
        <v>211</v>
      </c>
      <c r="F87" s="10" t="s">
        <v>211</v>
      </c>
    </row>
    <row r="88" spans="1:6" ht="12" customHeight="1">
      <c r="A88" s="28" t="s">
        <v>10</v>
      </c>
      <c r="B88" s="85" t="s">
        <v>0</v>
      </c>
      <c r="C88" s="85" t="s">
        <v>0</v>
      </c>
      <c r="D88" s="85" t="s">
        <v>0</v>
      </c>
      <c r="E88" s="85" t="s">
        <v>0</v>
      </c>
      <c r="F88" s="85" t="s">
        <v>0</v>
      </c>
    </row>
    <row r="89" spans="1:6" s="11" customFormat="1" ht="36" customHeight="1">
      <c r="A89" s="19" t="s">
        <v>54</v>
      </c>
      <c r="B89" s="90" t="s">
        <v>0</v>
      </c>
      <c r="C89" s="90" t="s">
        <v>0</v>
      </c>
      <c r="D89" s="10" t="s">
        <v>212</v>
      </c>
      <c r="E89" s="10" t="s">
        <v>213</v>
      </c>
      <c r="F89" s="10" t="s">
        <v>214</v>
      </c>
    </row>
    <row r="90" spans="1:6" ht="12" customHeight="1">
      <c r="A90" s="28" t="s">
        <v>10</v>
      </c>
      <c r="B90" s="85" t="s">
        <v>0</v>
      </c>
      <c r="C90" s="85" t="s">
        <v>0</v>
      </c>
      <c r="D90" s="85" t="s">
        <v>0</v>
      </c>
      <c r="E90" s="85" t="s">
        <v>0</v>
      </c>
      <c r="F90" s="85" t="s">
        <v>0</v>
      </c>
    </row>
    <row r="91" spans="1:6" ht="12" customHeight="1">
      <c r="A91" s="31"/>
      <c r="B91" s="112"/>
      <c r="C91" s="112"/>
      <c r="D91" s="112"/>
      <c r="E91" s="112"/>
      <c r="F91" s="113"/>
    </row>
    <row r="92" spans="1:6" ht="20.100000000000001" customHeight="1">
      <c r="A92" s="27" t="s">
        <v>9</v>
      </c>
      <c r="B92" s="96" t="str">
        <f>B1</f>
        <v>ARAG Web aktiv</v>
      </c>
      <c r="C92" s="96" t="str">
        <f>C1</f>
        <v>ARAG Web aktiv plus</v>
      </c>
      <c r="D92" s="96" t="str">
        <f>D1</f>
        <v>INTER CyberGuard Basis</v>
      </c>
      <c r="E92" s="96" t="str">
        <f>E1</f>
        <v>INTER CyberGuard Exklusiv</v>
      </c>
      <c r="F92" s="96" t="str">
        <f>F1</f>
        <v>INTER CyberGuard Premium</v>
      </c>
    </row>
    <row r="93" spans="1:6" ht="120" customHeight="1">
      <c r="A93" s="20"/>
      <c r="B93" s="116" t="s">
        <v>0</v>
      </c>
      <c r="C93" s="116" t="s">
        <v>0</v>
      </c>
      <c r="D93" s="116" t="s">
        <v>215</v>
      </c>
      <c r="E93" s="116" t="s">
        <v>215</v>
      </c>
      <c r="F93" s="116" t="s">
        <v>215</v>
      </c>
    </row>
    <row r="94" spans="1:6" ht="12" customHeight="1">
      <c r="A94" s="28" t="s">
        <v>10</v>
      </c>
      <c r="B94" s="85" t="s">
        <v>0</v>
      </c>
      <c r="C94" s="85" t="s">
        <v>0</v>
      </c>
      <c r="D94" s="85" t="s">
        <v>217</v>
      </c>
      <c r="E94" s="85" t="s">
        <v>217</v>
      </c>
      <c r="F94" s="85" t="s">
        <v>217</v>
      </c>
    </row>
    <row r="95" spans="1:6" s="11" customFormat="1" ht="12" customHeight="1">
      <c r="A95" s="7"/>
      <c r="B95" s="91"/>
      <c r="C95" s="91"/>
      <c r="D95" s="91"/>
      <c r="E95" s="91"/>
      <c r="F95" s="91"/>
    </row>
    <row r="96" spans="1:6" s="51" customFormat="1" ht="20.100000000000001" customHeight="1">
      <c r="A96" s="27" t="s">
        <v>8</v>
      </c>
      <c r="B96" s="96" t="str">
        <f>B1</f>
        <v>ARAG Web aktiv</v>
      </c>
      <c r="C96" s="96" t="str">
        <f>C1</f>
        <v>ARAG Web aktiv plus</v>
      </c>
      <c r="D96" s="96" t="str">
        <f>D1</f>
        <v>INTER CyberGuard Basis</v>
      </c>
      <c r="E96" s="96" t="str">
        <f>E1</f>
        <v>INTER CyberGuard Exklusiv</v>
      </c>
      <c r="F96" s="96" t="str">
        <f>F1</f>
        <v>INTER CyberGuard Premium</v>
      </c>
    </row>
    <row r="97" spans="1:6" ht="22.5" customHeight="1">
      <c r="A97" s="19"/>
      <c r="B97" s="10" t="s">
        <v>116</v>
      </c>
      <c r="C97" s="10" t="s">
        <v>117</v>
      </c>
      <c r="D97" s="10" t="s">
        <v>220</v>
      </c>
      <c r="E97" s="10" t="s">
        <v>220</v>
      </c>
      <c r="F97" s="10" t="s">
        <v>220</v>
      </c>
    </row>
    <row r="98" spans="1:6" ht="12" customHeight="1">
      <c r="A98" s="7"/>
      <c r="B98" s="91"/>
      <c r="C98" s="91"/>
      <c r="D98" s="91"/>
      <c r="E98" s="91"/>
      <c r="F98" s="91"/>
    </row>
    <row r="99" spans="1:6" ht="20.100000000000001" customHeight="1">
      <c r="A99" s="19" t="s">
        <v>12</v>
      </c>
      <c r="B99" s="118" t="s">
        <v>119</v>
      </c>
      <c r="C99" s="118" t="s">
        <v>119</v>
      </c>
      <c r="D99" s="120">
        <v>43893</v>
      </c>
      <c r="E99" s="120">
        <v>43893</v>
      </c>
      <c r="F99" s="120">
        <v>43893</v>
      </c>
    </row>
    <row r="100" spans="1:6" ht="11.25" customHeight="1">
      <c r="B100" s="32" t="s">
        <v>289</v>
      </c>
      <c r="C100" s="32" t="s">
        <v>289</v>
      </c>
      <c r="D100" s="32" t="s">
        <v>289</v>
      </c>
      <c r="E100" s="32" t="s">
        <v>289</v>
      </c>
      <c r="F100" s="32" t="s">
        <v>289</v>
      </c>
    </row>
    <row r="101" spans="1:6" s="11" customFormat="1" ht="22.5" customHeight="1">
      <c r="A101"/>
      <c r="B101" s="2"/>
      <c r="C101" s="2"/>
      <c r="D101" s="2"/>
      <c r="E101" s="2"/>
      <c r="F101" s="2"/>
    </row>
    <row r="102" spans="1:6" ht="11.25" customHeight="1">
      <c r="B102" s="23"/>
      <c r="C102" s="23"/>
      <c r="D102" s="23"/>
      <c r="E102" s="23"/>
      <c r="F102" s="30"/>
    </row>
    <row r="103" spans="1:6" s="11" customFormat="1" ht="22.5" customHeight="1">
      <c r="A103"/>
      <c r="B103" s="7"/>
      <c r="C103" s="7"/>
      <c r="D103" s="7"/>
      <c r="E103" s="7"/>
    </row>
    <row r="104" spans="1:6" ht="11.25" customHeight="1">
      <c r="F104" s="30"/>
    </row>
    <row r="105" spans="1:6" ht="22.5" customHeight="1">
      <c r="B105" s="53"/>
      <c r="C105" s="53"/>
      <c r="D105" s="53"/>
      <c r="E105" s="53"/>
    </row>
    <row r="106" spans="1:6" ht="11.25" customHeight="1"/>
    <row r="107" spans="1:6" ht="22.5" customHeight="1"/>
    <row r="108" spans="1:6" ht="11.25" customHeight="1">
      <c r="F108" s="4"/>
    </row>
    <row r="109" spans="1:6" s="48" customFormat="1" ht="22.5" customHeight="1">
      <c r="A109"/>
      <c r="B109" s="2"/>
      <c r="C109" s="2"/>
      <c r="D109" s="2"/>
      <c r="E109" s="2"/>
      <c r="F109" s="2"/>
    </row>
    <row r="110" spans="1:6" ht="11.25" customHeight="1"/>
    <row r="111" spans="1:6" ht="34.5" customHeight="1"/>
    <row r="112" spans="1:6" ht="11.25" customHeight="1"/>
    <row r="113" spans="1:6" s="48" customFormat="1" ht="24.75" customHeight="1">
      <c r="A113"/>
      <c r="B113" s="2"/>
      <c r="C113" s="2"/>
      <c r="D113" s="2"/>
      <c r="E113" s="2"/>
      <c r="F113" s="2"/>
    </row>
    <row r="114" spans="1:6" ht="11.25" customHeight="1"/>
    <row r="115" spans="1:6" ht="22.5" customHeight="1"/>
    <row r="116" spans="1:6" ht="11.25" customHeight="1"/>
    <row r="117" spans="1:6" ht="22.5" customHeight="1"/>
    <row r="118" spans="1:6" ht="11.25" customHeight="1"/>
    <row r="119" spans="1:6" ht="22.5" customHeight="1"/>
    <row r="120" spans="1:6" ht="11.25" customHeight="1"/>
    <row r="121" spans="1:6" ht="22.5" customHeight="1"/>
    <row r="122" spans="1:6" ht="11.25" customHeight="1"/>
    <row r="123" spans="1:6" s="11" customFormat="1" ht="22.5" customHeight="1">
      <c r="A123"/>
      <c r="B123" s="2"/>
      <c r="C123" s="2"/>
      <c r="D123" s="2"/>
      <c r="E123" s="2"/>
      <c r="F123" s="2"/>
    </row>
    <row r="124" spans="1:6" ht="11.25" customHeight="1"/>
    <row r="125" spans="1:6" ht="22.5" customHeight="1"/>
    <row r="126" spans="1:6" ht="11.25" customHeight="1"/>
    <row r="127" spans="1:6" s="11" customFormat="1" ht="22.5" customHeight="1">
      <c r="A127"/>
      <c r="B127" s="2"/>
      <c r="C127" s="2"/>
      <c r="D127" s="2"/>
      <c r="E127" s="2"/>
      <c r="F127" s="2"/>
    </row>
    <row r="128" spans="1:6" ht="11.25" customHeight="1"/>
    <row r="129" spans="1:6" s="48" customFormat="1" ht="11.25" customHeight="1">
      <c r="A129"/>
      <c r="B129" s="2"/>
      <c r="C129" s="2"/>
      <c r="D129" s="2"/>
      <c r="E129" s="2"/>
      <c r="F129" s="2"/>
    </row>
    <row r="130" spans="1:6" s="50" customFormat="1" ht="22.5" customHeight="1">
      <c r="A130"/>
      <c r="B130" s="2"/>
      <c r="C130" s="2"/>
      <c r="D130" s="2"/>
      <c r="E130" s="2"/>
      <c r="F130" s="2"/>
    </row>
    <row r="131" spans="1:6" ht="22.5" customHeight="1"/>
    <row r="132" spans="1:6" ht="11.25" customHeight="1"/>
    <row r="133" spans="1:6" ht="22.5" customHeight="1"/>
    <row r="134" spans="1:6" ht="11.25" customHeight="1"/>
    <row r="135" spans="1:6" ht="22.5" customHeight="1"/>
    <row r="136" spans="1:6" ht="11.25" customHeight="1"/>
    <row r="137" spans="1:6" s="48" customFormat="1" ht="11.25" customHeight="1">
      <c r="A137"/>
      <c r="B137" s="2"/>
      <c r="C137" s="2"/>
      <c r="D137" s="2"/>
      <c r="E137" s="2"/>
      <c r="F137" s="2"/>
    </row>
    <row r="138" spans="1:6" s="51" customFormat="1" ht="22.5" customHeight="1">
      <c r="A138"/>
      <c r="B138" s="2"/>
      <c r="C138" s="2"/>
      <c r="D138" s="2"/>
      <c r="E138" s="2"/>
      <c r="F138" s="2"/>
    </row>
    <row r="139" spans="1:6" ht="22.5" customHeight="1"/>
    <row r="140" spans="1:6" ht="11.25" customHeight="1"/>
    <row r="141" spans="1:6" s="11" customFormat="1" ht="22.5" customHeight="1">
      <c r="A141"/>
      <c r="B141" s="2"/>
      <c r="C141" s="2"/>
      <c r="D141" s="2"/>
      <c r="E141" s="2"/>
      <c r="F141" s="2"/>
    </row>
    <row r="142" spans="1:6" ht="11.25" customHeight="1"/>
    <row r="143" spans="1:6" ht="22.5" customHeight="1"/>
    <row r="144" spans="1:6" ht="11.25" customHeight="1"/>
    <row r="145" spans="1:6" ht="22.5" customHeight="1"/>
    <row r="146" spans="1:6" ht="11.25" customHeight="1"/>
    <row r="147" spans="1:6" s="11" customFormat="1" ht="22.5" customHeight="1">
      <c r="A147"/>
      <c r="B147" s="2"/>
      <c r="C147" s="2"/>
      <c r="D147" s="2"/>
      <c r="E147" s="2"/>
      <c r="F147" s="2"/>
    </row>
    <row r="148" spans="1:6" ht="11.25" customHeight="1"/>
    <row r="149" spans="1:6" s="11" customFormat="1" ht="22.5" customHeight="1">
      <c r="A149"/>
      <c r="B149" s="2"/>
      <c r="C149" s="2"/>
      <c r="D149" s="2"/>
      <c r="E149" s="2"/>
      <c r="F149" s="2"/>
    </row>
    <row r="150" spans="1:6" ht="11.25" customHeight="1"/>
    <row r="151" spans="1:6" s="11" customFormat="1" ht="22.5" customHeight="1">
      <c r="A151"/>
      <c r="B151" s="2"/>
      <c r="C151" s="2"/>
      <c r="D151" s="2"/>
      <c r="E151" s="2"/>
      <c r="F151" s="2"/>
    </row>
    <row r="152" spans="1:6" s="66" customFormat="1" ht="22.5" customHeight="1">
      <c r="A152"/>
      <c r="B152" s="2"/>
      <c r="C152" s="2"/>
      <c r="D152" s="2"/>
      <c r="E152" s="2"/>
      <c r="F152" s="2"/>
    </row>
    <row r="153" spans="1:6" ht="22.5" customHeight="1"/>
    <row r="154" spans="1:6" ht="11.25" customHeight="1"/>
    <row r="155" spans="1:6" ht="22.5" customHeight="1"/>
    <row r="156" spans="1:6" ht="11.25" customHeight="1"/>
    <row r="157" spans="1:6" s="11" customFormat="1" ht="22.5" customHeight="1">
      <c r="A157"/>
      <c r="B157" s="2"/>
      <c r="C157" s="2"/>
      <c r="D157" s="2"/>
      <c r="E157" s="2"/>
      <c r="F157" s="2"/>
    </row>
    <row r="158" spans="1:6" ht="11.25" customHeight="1"/>
    <row r="159" spans="1:6" s="11" customFormat="1" ht="22.5" customHeight="1">
      <c r="A159"/>
      <c r="B159" s="2"/>
      <c r="C159" s="2"/>
      <c r="D159" s="2"/>
      <c r="E159" s="2"/>
      <c r="F159" s="2"/>
    </row>
    <row r="160" spans="1:6" ht="11.25" customHeight="1"/>
    <row r="161" spans="1:6" s="11" customFormat="1" ht="22.5" customHeight="1">
      <c r="A161"/>
      <c r="B161" s="2"/>
      <c r="C161" s="2"/>
      <c r="D161" s="2"/>
      <c r="E161" s="2"/>
      <c r="F161" s="2"/>
    </row>
    <row r="162" spans="1:6" ht="11.25" customHeight="1"/>
    <row r="163" spans="1:6" ht="22.5" customHeight="1"/>
    <row r="164" spans="1:6" ht="11.25" customHeight="1"/>
    <row r="165" spans="1:6" s="65" customFormat="1" ht="22.5" customHeight="1">
      <c r="A165"/>
      <c r="B165" s="2"/>
      <c r="C165" s="2"/>
      <c r="D165" s="2"/>
      <c r="E165" s="2"/>
      <c r="F165" s="2"/>
    </row>
    <row r="166" spans="1:6" ht="11.25" customHeight="1"/>
    <row r="167" spans="1:6" s="65" customFormat="1" ht="22.5" customHeight="1">
      <c r="A167"/>
      <c r="B167" s="2"/>
      <c r="C167" s="2"/>
      <c r="D167" s="2"/>
      <c r="E167" s="2"/>
      <c r="F167" s="2"/>
    </row>
    <row r="168" spans="1:6" ht="11.25" customHeight="1"/>
    <row r="169" spans="1:6" ht="22.5" customHeight="1"/>
    <row r="170" spans="1:6" ht="11.25" customHeight="1"/>
    <row r="171" spans="1:6" ht="22.5" customHeight="1"/>
    <row r="172" spans="1:6" ht="11.25" customHeight="1"/>
    <row r="173" spans="1:6" ht="36" customHeight="1"/>
    <row r="174" spans="1:6" ht="11.25" customHeight="1"/>
    <row r="175" spans="1:6" s="48" customFormat="1" ht="24.75" customHeight="1">
      <c r="A175"/>
      <c r="B175" s="2"/>
      <c r="C175" s="2"/>
      <c r="D175" s="2"/>
      <c r="E175" s="2"/>
      <c r="F175" s="2"/>
    </row>
    <row r="176" spans="1:6" ht="11.25" customHeight="1"/>
    <row r="177" spans="1:6" ht="22.5" customHeight="1"/>
    <row r="178" spans="1:6" ht="11.25" customHeight="1"/>
    <row r="179" spans="1:6" ht="22.5" customHeight="1"/>
    <row r="180" spans="1:6" ht="11.25" customHeight="1"/>
    <row r="181" spans="1:6" ht="22.5" customHeight="1"/>
    <row r="182" spans="1:6" ht="11.25" customHeight="1"/>
    <row r="183" spans="1:6" s="48" customFormat="1" ht="21.75" customHeight="1">
      <c r="A183"/>
      <c r="B183" s="2"/>
      <c r="C183" s="2"/>
      <c r="D183" s="2"/>
      <c r="E183" s="2"/>
      <c r="F183" s="2"/>
    </row>
    <row r="184" spans="1:6" ht="11.25" customHeight="1"/>
    <row r="185" spans="1:6" s="48" customFormat="1" ht="33" customHeight="1">
      <c r="A185"/>
      <c r="B185" s="2"/>
      <c r="C185" s="2"/>
      <c r="D185" s="2"/>
      <c r="E185" s="2"/>
      <c r="F185" s="2"/>
    </row>
    <row r="186" spans="1:6" ht="11.25" customHeight="1"/>
    <row r="187" spans="1:6" s="11" customFormat="1" ht="22.5" customHeight="1">
      <c r="A187"/>
      <c r="B187" s="2"/>
      <c r="C187" s="2"/>
      <c r="D187" s="2"/>
      <c r="E187" s="2"/>
      <c r="F187" s="2"/>
    </row>
    <row r="188" spans="1:6" s="51" customFormat="1" ht="22.5" customHeight="1">
      <c r="A188"/>
      <c r="B188" s="2"/>
      <c r="C188" s="2"/>
      <c r="D188" s="2"/>
      <c r="E188" s="2"/>
      <c r="F188" s="2"/>
    </row>
    <row r="189" spans="1:6" ht="22.5" customHeight="1"/>
    <row r="190" spans="1:6" ht="11.25" customHeight="1"/>
    <row r="191" spans="1:6" s="11" customFormat="1" ht="22.5" customHeight="1">
      <c r="A191"/>
      <c r="B191" s="2"/>
      <c r="C191" s="2"/>
      <c r="D191" s="2"/>
      <c r="E191" s="2"/>
      <c r="F191" s="2"/>
    </row>
    <row r="192" spans="1:6" ht="11.25" customHeight="1"/>
    <row r="193" spans="1:19" ht="22.5" customHeight="1"/>
    <row r="194" spans="1:19" ht="11.25" customHeight="1"/>
    <row r="195" spans="1:19" ht="22.5" customHeight="1"/>
    <row r="196" spans="1:19" ht="11.25" customHeight="1"/>
    <row r="197" spans="1:19" s="11" customFormat="1" ht="22.5" customHeight="1">
      <c r="A197"/>
      <c r="B197" s="2"/>
      <c r="C197" s="2"/>
      <c r="D197" s="2"/>
      <c r="E197" s="2"/>
      <c r="F197" s="2"/>
    </row>
    <row r="198" spans="1:19" ht="11.25" customHeight="1"/>
    <row r="199" spans="1:19" ht="22.5" customHeight="1"/>
    <row r="200" spans="1:19" ht="11.25" customHeight="1"/>
    <row r="201" spans="1:19" ht="22.5" customHeight="1"/>
    <row r="202" spans="1:19" ht="11.25" customHeight="1"/>
    <row r="203" spans="1:19" s="2" customFormat="1" ht="22.5" customHeight="1">
      <c r="A203"/>
      <c r="G203" s="30"/>
      <c r="H203" s="30"/>
      <c r="I203" s="30"/>
      <c r="J203" s="30"/>
      <c r="M203" s="11"/>
      <c r="N203" s="11"/>
      <c r="Q203" s="7"/>
      <c r="R203" s="7"/>
      <c r="S203" s="7"/>
    </row>
    <row r="204" spans="1:19" ht="22.5" customHeight="1"/>
    <row r="205" spans="1:19" ht="11.25" customHeight="1"/>
    <row r="206" spans="1:19" s="11" customFormat="1" ht="22.5" customHeight="1">
      <c r="A206"/>
      <c r="B206" s="2"/>
      <c r="C206" s="2"/>
      <c r="D206" s="2"/>
      <c r="E206" s="2"/>
      <c r="F206" s="2"/>
    </row>
    <row r="207" spans="1:19" ht="11.25" customHeight="1"/>
    <row r="208" spans="1:19" s="11" customFormat="1" ht="22.5" customHeight="1">
      <c r="A208"/>
      <c r="B208" s="2"/>
      <c r="C208" s="2"/>
      <c r="D208" s="2"/>
      <c r="E208" s="2"/>
      <c r="F208" s="2"/>
    </row>
    <row r="209" spans="1:6" ht="11.25" customHeight="1"/>
    <row r="210" spans="1:6" s="11" customFormat="1" ht="22.5" customHeight="1">
      <c r="A210"/>
      <c r="B210" s="2"/>
      <c r="C210" s="2"/>
      <c r="D210" s="2"/>
      <c r="E210" s="2"/>
      <c r="F210" s="2"/>
    </row>
    <row r="211" spans="1:6" ht="11.25" customHeight="1"/>
    <row r="212" spans="1:6" s="11" customFormat="1" ht="22.5" customHeight="1">
      <c r="A212"/>
      <c r="B212" s="2"/>
      <c r="C212" s="2"/>
      <c r="D212" s="2"/>
      <c r="E212" s="2"/>
      <c r="F212" s="2"/>
    </row>
    <row r="213" spans="1:6" ht="11.25" customHeight="1"/>
    <row r="214" spans="1:6" ht="22.5" customHeight="1"/>
    <row r="215" spans="1:6" ht="11.25" customHeight="1"/>
    <row r="216" spans="1:6" s="11" customFormat="1" ht="22.5" customHeight="1">
      <c r="A216"/>
      <c r="B216" s="2"/>
      <c r="C216" s="2"/>
      <c r="D216" s="2"/>
      <c r="E216" s="2"/>
      <c r="F216" s="2"/>
    </row>
    <row r="217" spans="1:6" ht="11.25" customHeight="1"/>
    <row r="218" spans="1:6" s="11" customFormat="1" ht="22.5" customHeight="1">
      <c r="A218"/>
      <c r="B218" s="2"/>
      <c r="C218" s="2"/>
      <c r="D218" s="2"/>
      <c r="E218" s="2"/>
      <c r="F218" s="2"/>
    </row>
    <row r="219" spans="1:6" ht="11.25" customHeight="1"/>
    <row r="220" spans="1:6" ht="22.5" customHeight="1"/>
    <row r="221" spans="1:6" ht="11.25" customHeight="1"/>
    <row r="222" spans="1:6" ht="22.5" customHeight="1"/>
    <row r="223" spans="1:6" ht="11.25" customHeight="1"/>
    <row r="224" spans="1:6" ht="22.5" customHeight="1"/>
    <row r="225" spans="1:6" ht="11.25" customHeight="1"/>
    <row r="226" spans="1:6" s="11" customFormat="1" ht="22.5" customHeight="1">
      <c r="A226"/>
      <c r="B226" s="2"/>
      <c r="C226" s="2"/>
      <c r="D226" s="2"/>
      <c r="E226" s="2"/>
      <c r="F226" s="2"/>
    </row>
    <row r="227" spans="1:6" ht="22.5" customHeight="1"/>
    <row r="228" spans="1:6" ht="22.5" customHeight="1"/>
    <row r="229" spans="1:6" ht="11.25" customHeight="1"/>
    <row r="230" spans="1:6" ht="22.5" customHeight="1"/>
    <row r="231" spans="1:6" ht="11.25" customHeight="1"/>
    <row r="232" spans="1:6" s="11" customFormat="1" ht="22.5" customHeight="1">
      <c r="A232"/>
      <c r="B232" s="2"/>
      <c r="C232" s="2"/>
      <c r="D232" s="2"/>
      <c r="E232" s="2"/>
      <c r="F232" s="2"/>
    </row>
    <row r="233" spans="1:6" ht="11.25" customHeight="1"/>
    <row r="234" spans="1:6" ht="22.5" customHeight="1"/>
    <row r="235" spans="1:6" ht="11.25" customHeight="1"/>
    <row r="236" spans="1:6" ht="22.5" customHeight="1"/>
    <row r="237" spans="1:6" ht="11.25" customHeight="1"/>
    <row r="238" spans="1:6" ht="22.5" customHeight="1"/>
    <row r="239" spans="1:6" ht="11.25" customHeight="1"/>
    <row r="240" spans="1:6" s="11" customFormat="1" ht="22.5" customHeight="1">
      <c r="A240"/>
      <c r="B240" s="2"/>
      <c r="C240" s="2"/>
      <c r="D240" s="2"/>
      <c r="E240" s="2"/>
      <c r="F240" s="2"/>
    </row>
    <row r="241" spans="1:6" s="52" customFormat="1" ht="22.5" customHeight="1">
      <c r="A241"/>
      <c r="B241" s="2"/>
      <c r="C241" s="2"/>
      <c r="D241" s="2"/>
      <c r="E241" s="2"/>
      <c r="F241" s="2"/>
    </row>
    <row r="244" spans="1:6" s="11" customFormat="1" ht="22.5" customHeight="1">
      <c r="A244"/>
      <c r="B244" s="2"/>
      <c r="C244" s="2"/>
      <c r="D244" s="2"/>
      <c r="E244" s="2"/>
      <c r="F244" s="2"/>
    </row>
    <row r="245" spans="1:6" s="51" customFormat="1" ht="22.5" customHeight="1">
      <c r="A245"/>
      <c r="B245" s="2"/>
      <c r="C245" s="2"/>
      <c r="D245" s="2"/>
      <c r="E245" s="2"/>
      <c r="F245" s="2"/>
    </row>
    <row r="246" spans="1:6" ht="22.5" customHeight="1"/>
  </sheetData>
  <conditionalFormatting sqref="G203:H203">
    <cfRule type="cellIs" dxfId="8" priority="758" stopIfTrue="1" operator="equal">
      <formula>#REF!</formula>
    </cfRule>
  </conditionalFormatting>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8" stopIfTrue="1" operator="equal" id="{2A066908-02FC-4267-8CA4-FA92D6A360AB}">
            <xm:f>'P-Cyber-Daten'!#REF!</xm:f>
            <x14:dxf>
              <fill>
                <patternFill>
                  <bgColor indexed="22"/>
                </patternFill>
              </fill>
            </x14:dxf>
          </x14:cfRule>
          <xm:sqref>B93:B94</xm:sqref>
        </x14:conditionalFormatting>
        <x14:conditionalFormatting xmlns:xm="http://schemas.microsoft.com/office/excel/2006/main">
          <x14:cfRule type="cellIs" priority="7" stopIfTrue="1" operator="equal" id="{22F3030C-62A2-4608-B012-EEFC39940993}">
            <xm:f>'P-Cyber-Daten'!#REF!</xm:f>
            <x14:dxf>
              <fill>
                <patternFill>
                  <bgColor indexed="22"/>
                </patternFill>
              </fill>
            </x14:dxf>
          </x14:cfRule>
          <xm:sqref>C93:C94</xm:sqref>
        </x14:conditionalFormatting>
        <x14:conditionalFormatting xmlns:xm="http://schemas.microsoft.com/office/excel/2006/main">
          <x14:cfRule type="cellIs" priority="6" stopIfTrue="1" operator="equal" id="{17A8DD0D-5606-4BC5-B606-2AFBD07AE198}">
            <xm:f>'P-Cyber-Daten'!#REF!</xm:f>
            <x14:dxf>
              <fill>
                <patternFill>
                  <bgColor indexed="22"/>
                </patternFill>
              </fill>
            </x14:dxf>
          </x14:cfRule>
          <xm:sqref>D94:E94</xm:sqref>
        </x14:conditionalFormatting>
        <x14:conditionalFormatting xmlns:xm="http://schemas.microsoft.com/office/excel/2006/main">
          <x14:cfRule type="cellIs" priority="5" stopIfTrue="1" operator="equal" id="{67835F13-570B-43D2-AA87-1FF7F163E742}">
            <xm:f>'P-Cyber-Daten'!#REF!</xm:f>
            <x14:dxf>
              <fill>
                <patternFill>
                  <bgColor indexed="22"/>
                </patternFill>
              </fill>
            </x14:dxf>
          </x14:cfRule>
          <xm:sqref>F71</xm:sqref>
        </x14:conditionalFormatting>
        <x14:conditionalFormatting xmlns:xm="http://schemas.microsoft.com/office/excel/2006/main">
          <x14:cfRule type="cellIs" priority="4" stopIfTrue="1" operator="equal" id="{BF5A2884-0287-4DBE-A6A9-E36FFC925761}">
            <xm:f>'P-Cyber-Daten'!#REF!</xm:f>
            <x14:dxf>
              <fill>
                <patternFill>
                  <bgColor indexed="22"/>
                </patternFill>
              </fill>
            </x14:dxf>
          </x14:cfRule>
          <xm:sqref>F93</xm:sqref>
        </x14:conditionalFormatting>
        <x14:conditionalFormatting xmlns:xm="http://schemas.microsoft.com/office/excel/2006/main">
          <x14:cfRule type="cellIs" priority="1" stopIfTrue="1" operator="equal" id="{FDF2A078-EE67-48D2-9E38-533FE27F3DF2}">
            <xm:f>'P-Cyber-Daten'!#REF!</xm:f>
            <x14:dxf>
              <fill>
                <patternFill>
                  <bgColor indexed="22"/>
                </patternFill>
              </fill>
            </x14:dxf>
          </x14:cfRule>
          <xm:sqref>D93</xm:sqref>
        </x14:conditionalFormatting>
        <x14:conditionalFormatting xmlns:xm="http://schemas.microsoft.com/office/excel/2006/main">
          <x14:cfRule type="cellIs" priority="3" stopIfTrue="1" operator="equal" id="{587F079C-9E30-46A5-BB5C-3891EAE8E63F}">
            <xm:f>'P-Cyber-Daten'!#REF!</xm:f>
            <x14:dxf>
              <fill>
                <patternFill>
                  <bgColor indexed="22"/>
                </patternFill>
              </fill>
            </x14:dxf>
          </x14:cfRule>
          <xm:sqref>F94</xm:sqref>
        </x14:conditionalFormatting>
        <x14:conditionalFormatting xmlns:xm="http://schemas.microsoft.com/office/excel/2006/main">
          <x14:cfRule type="cellIs" priority="2" stopIfTrue="1" operator="equal" id="{E8775BB0-8D17-48EA-A3A4-69CFF77D5F59}">
            <xm:f>'P-Cyber-Daten'!#REF!</xm:f>
            <x14:dxf>
              <fill>
                <patternFill>
                  <bgColor indexed="22"/>
                </patternFill>
              </fill>
            </x14:dxf>
          </x14:cfRule>
          <xm:sqref>E93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7</vt:i4>
      </vt:variant>
    </vt:vector>
  </HeadingPairs>
  <TitlesOfParts>
    <vt:vector size="11" baseType="lpstr">
      <vt:lpstr>P-Cyber-Druck</vt:lpstr>
      <vt:lpstr>P-Cyber-Daten</vt:lpstr>
      <vt:lpstr>Gesellschaften</vt:lpstr>
      <vt:lpstr>P-Cyber-Archiv</vt:lpstr>
      <vt:lpstr>Auswahl1</vt:lpstr>
      <vt:lpstr>Auswahl2</vt:lpstr>
      <vt:lpstr>Auswahl3</vt:lpstr>
      <vt:lpstr>AuswMatrix</vt:lpstr>
      <vt:lpstr>'P-Cyber-Druck'!Drucktitel</vt:lpstr>
      <vt:lpstr>Gesmatrix</vt:lpstr>
      <vt:lpstr>VergleichMatrix</vt:lpstr>
    </vt:vector>
  </TitlesOfParts>
  <Company>afm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kiss@afm-gruppe.de</dc:creator>
  <cp:lastModifiedBy>Andreas Kiss</cp:lastModifiedBy>
  <cp:lastPrinted>2020-05-20T14:13:22Z</cp:lastPrinted>
  <dcterms:created xsi:type="dcterms:W3CDTF">2006-03-21T16:51:38Z</dcterms:created>
  <dcterms:modified xsi:type="dcterms:W3CDTF">2020-05-20T14:17:09Z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489240632</vt:i4>
  </property>
  <property fmtid="{D5CDD505-2E9C-101B-9397-08002B2CF9AE}" pid="3" name="_EmailSubject">
    <vt:lpwstr/>
  </property>
  <property fmtid="{D5CDD505-2E9C-101B-9397-08002B2CF9AE}" pid="4" name="_AuthorEmail">
    <vt:lpwstr>boehm@afm-gruppe.de</vt:lpwstr>
  </property>
  <property fmtid="{D5CDD505-2E9C-101B-9397-08002B2CF9AE}" pid="5" name="_AuthorEmailDisplayName">
    <vt:lpwstr>Böhm, Andreas</vt:lpwstr>
  </property>
  <property fmtid="{D5CDD505-2E9C-101B-9397-08002B2CF9AE}" pid="6" name="_NewReviewCycle">
    <vt:lpwstr/>
  </property>
  <property fmtid="{D5CDD505-2E9C-101B-9397-08002B2CF9AE}" pid="7" name="_PreviousAdHocReviewCycleID">
    <vt:i4>1382306637</vt:i4>
  </property>
  <property fmtid="{D5CDD505-2E9C-101B-9397-08002B2CF9AE}" pid="8" name="_ReviewingToolsShownOnce">
    <vt:lpwstr/>
  </property>
</Properties>
</file>