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Vertriebssupport\Privatversicherungen\Marktanalyse\Leistungsvergleiche\Wohngebäude\"/>
    </mc:Choice>
  </mc:AlternateContent>
  <workbookProtection workbookPassword="98DB" lockStructure="1"/>
  <bookViews>
    <workbookView xWindow="4770" yWindow="60" windowWidth="13995" windowHeight="8955"/>
  </bookViews>
  <sheets>
    <sheet name="WG-Druck" sheetId="8" r:id="rId1"/>
    <sheet name="WG-Daten" sheetId="3" state="hidden" r:id="rId2"/>
    <sheet name="WG-Daten Archiv" sheetId="15" state="hidden" r:id="rId3"/>
    <sheet name="Definitionen" sheetId="18" state="hidden" r:id="rId4"/>
    <sheet name="Gesellschaften" sheetId="16" state="hidden" r:id="rId5"/>
    <sheet name="Archiv Daten 2018-12 alt " sheetId="10" state="hidden" r:id="rId6"/>
    <sheet name="Aufbau 2019 NeuAlt " sheetId="14" state="hidden" r:id="rId7"/>
  </sheets>
  <definedNames>
    <definedName name="Auswahl1WG">'WG-Daten'!$AJ$3</definedName>
    <definedName name="Auswahl2WG">'WG-Daten'!$AK$3</definedName>
    <definedName name="Auswahl3WG">'WG-Daten'!$AL$3</definedName>
    <definedName name="AuswMatrixWG">'WG-Daten'!$AF$2:$AG$30</definedName>
    <definedName name="_xlnm.Print_Titles" localSheetId="0">'WG-Druck'!$A:$A,'WG-Druck'!$3:$3</definedName>
    <definedName name="GesMatrixWG">'WG-Daten'!$AG$2:$AG$30</definedName>
    <definedName name="VergleichMatrixWG">'WG-Daten'!$C$1:$AC$246</definedName>
  </definedNames>
  <calcPr calcId="152511"/>
</workbook>
</file>

<file path=xl/calcChain.xml><?xml version="1.0" encoding="utf-8"?>
<calcChain xmlns="http://schemas.openxmlformats.org/spreadsheetml/2006/main">
  <c r="DJ9" i="10" l="1"/>
  <c r="DK9" i="10"/>
  <c r="DO9" i="10"/>
  <c r="DP9" i="10"/>
  <c r="DT9" i="10"/>
  <c r="DU9" i="10"/>
  <c r="DY9" i="10"/>
  <c r="DJ25" i="10"/>
  <c r="DK25" i="10"/>
  <c r="DO25" i="10"/>
  <c r="DP25" i="10"/>
  <c r="DT25" i="10"/>
  <c r="DU25" i="10"/>
  <c r="DY25" i="10"/>
  <c r="DJ97" i="10"/>
  <c r="DK97" i="10"/>
  <c r="DO97" i="10"/>
  <c r="DP97" i="10"/>
  <c r="DT97" i="10"/>
  <c r="DU97" i="10"/>
  <c r="DY97" i="10"/>
  <c r="DJ141" i="10"/>
  <c r="DK141" i="10"/>
  <c r="DO141" i="10"/>
  <c r="DP141" i="10"/>
  <c r="DT141" i="10"/>
  <c r="DU141" i="10"/>
  <c r="DY141" i="10"/>
  <c r="DJ145" i="10"/>
  <c r="DK145" i="10"/>
  <c r="DO145" i="10"/>
  <c r="DP145" i="10"/>
  <c r="DT145" i="10"/>
  <c r="DU145" i="10"/>
  <c r="DY145" i="10"/>
  <c r="DJ153" i="10"/>
  <c r="DK153" i="10"/>
  <c r="DO153" i="10"/>
  <c r="DP153" i="10"/>
  <c r="DT153" i="10"/>
  <c r="DU153" i="10"/>
  <c r="DY153" i="10"/>
  <c r="DJ157" i="10"/>
  <c r="DK157" i="10"/>
  <c r="DO157" i="10"/>
  <c r="DP157" i="10"/>
  <c r="DT157" i="10"/>
  <c r="DU157" i="10"/>
  <c r="DY157" i="10"/>
  <c r="DB9" i="10"/>
  <c r="DC9" i="10"/>
  <c r="DD9" i="10"/>
  <c r="DB25" i="10"/>
  <c r="DC25" i="10"/>
  <c r="DD25" i="10"/>
  <c r="DB97" i="10"/>
  <c r="DC97" i="10"/>
  <c r="DD97" i="10"/>
  <c r="DB141" i="10"/>
  <c r="DC141" i="10"/>
  <c r="DD141" i="10"/>
  <c r="DB145" i="10"/>
  <c r="DC145" i="10"/>
  <c r="DD145" i="10"/>
  <c r="DB153" i="10"/>
  <c r="DC153" i="10"/>
  <c r="DD153" i="10"/>
  <c r="DB157" i="10"/>
  <c r="DC157" i="10"/>
  <c r="DD157" i="10"/>
  <c r="CX9" i="10"/>
  <c r="CX25" i="10"/>
  <c r="CX97" i="10"/>
  <c r="CX141" i="10"/>
  <c r="CX145" i="10"/>
  <c r="CX153" i="10"/>
  <c r="CX157" i="10"/>
  <c r="CM9" i="10"/>
  <c r="CN9" i="10"/>
  <c r="CM25" i="10"/>
  <c r="CN25" i="10"/>
  <c r="CM97" i="10"/>
  <c r="CN97" i="10"/>
  <c r="CM141" i="10"/>
  <c r="CN141" i="10"/>
  <c r="CM145" i="10"/>
  <c r="CN145" i="10"/>
  <c r="CM153" i="10"/>
  <c r="CN153" i="10"/>
  <c r="CM157" i="10"/>
  <c r="CN157" i="10"/>
  <c r="CH9" i="10"/>
  <c r="CH25" i="10"/>
  <c r="CH97" i="10"/>
  <c r="CH141" i="10"/>
  <c r="CH145" i="10"/>
  <c r="CH153" i="10"/>
  <c r="CH157" i="10"/>
  <c r="CA9" i="10"/>
  <c r="CB9" i="10"/>
  <c r="CA25" i="10"/>
  <c r="CB25" i="10"/>
  <c r="CA97" i="10"/>
  <c r="CB97" i="10"/>
  <c r="CA141" i="10"/>
  <c r="CB141" i="10"/>
  <c r="CA145" i="10"/>
  <c r="CB145" i="10"/>
  <c r="CA153" i="10"/>
  <c r="CB153" i="10"/>
  <c r="CA157" i="10"/>
  <c r="CB157" i="10"/>
  <c r="BR9" i="10"/>
  <c r="BS9" i="10"/>
  <c r="BT9" i="10"/>
  <c r="BR25" i="10"/>
  <c r="BS25" i="10"/>
  <c r="BT25" i="10"/>
  <c r="BR97" i="10"/>
  <c r="BS97" i="10"/>
  <c r="BT97" i="10"/>
  <c r="BR141" i="10"/>
  <c r="BS141" i="10"/>
  <c r="BT141" i="10"/>
  <c r="BR145" i="10"/>
  <c r="BS145" i="10"/>
  <c r="BT145" i="10"/>
  <c r="BR153" i="10"/>
  <c r="BS153" i="10"/>
  <c r="BT153" i="10"/>
  <c r="BR157" i="10"/>
  <c r="BS157" i="10"/>
  <c r="BT157" i="10"/>
  <c r="BL9" i="10"/>
  <c r="BP9" i="10"/>
  <c r="BQ9" i="10"/>
  <c r="BL25" i="10"/>
  <c r="BP25" i="10"/>
  <c r="BQ25" i="10"/>
  <c r="BL97" i="10"/>
  <c r="BP97" i="10"/>
  <c r="BQ97" i="10"/>
  <c r="BL141" i="10"/>
  <c r="BP141" i="10"/>
  <c r="BQ141" i="10"/>
  <c r="BL145" i="10"/>
  <c r="BP145" i="10"/>
  <c r="BQ145" i="10"/>
  <c r="BL153" i="10"/>
  <c r="BP153" i="10"/>
  <c r="BQ153" i="10"/>
  <c r="BL157" i="10"/>
  <c r="BP157" i="10"/>
  <c r="BQ157" i="10"/>
  <c r="BK9" i="10"/>
  <c r="BK25" i="10"/>
  <c r="BK97" i="10"/>
  <c r="BK141" i="10"/>
  <c r="BK145" i="10"/>
  <c r="BK153" i="10"/>
  <c r="BK157" i="10"/>
  <c r="AX9" i="10"/>
  <c r="AY9" i="10"/>
  <c r="AZ9" i="10"/>
  <c r="BA9" i="10"/>
  <c r="BB9" i="10"/>
  <c r="AX25" i="10"/>
  <c r="AY25" i="10"/>
  <c r="AZ25" i="10"/>
  <c r="BA25" i="10"/>
  <c r="BB25" i="10"/>
  <c r="AX97" i="10"/>
  <c r="AY97" i="10"/>
  <c r="AZ97" i="10"/>
  <c r="BA97" i="10"/>
  <c r="BB97" i="10"/>
  <c r="AX141" i="10"/>
  <c r="AY141" i="10"/>
  <c r="AZ141" i="10"/>
  <c r="BA141" i="10"/>
  <c r="BB141" i="10"/>
  <c r="AX145" i="10"/>
  <c r="AY145" i="10"/>
  <c r="AZ145" i="10"/>
  <c r="BA145" i="10"/>
  <c r="BB145" i="10"/>
  <c r="AX153" i="10"/>
  <c r="AY153" i="10"/>
  <c r="AZ153" i="10"/>
  <c r="BA153" i="10"/>
  <c r="BB153" i="10"/>
  <c r="AX157" i="10"/>
  <c r="AY157" i="10"/>
  <c r="AZ157" i="10"/>
  <c r="BA157" i="10"/>
  <c r="BB157" i="10"/>
  <c r="AS9" i="10"/>
  <c r="AT9" i="10"/>
  <c r="AS25" i="10"/>
  <c r="AT25" i="10"/>
  <c r="AS97" i="10"/>
  <c r="AT97" i="10"/>
  <c r="AS141" i="10"/>
  <c r="AT141" i="10"/>
  <c r="AS145" i="10"/>
  <c r="AT145" i="10"/>
  <c r="AS153" i="10"/>
  <c r="AT153" i="10"/>
  <c r="AS157" i="10"/>
  <c r="AT157" i="10"/>
  <c r="AN9" i="10"/>
  <c r="AP9" i="10"/>
  <c r="AN25" i="10"/>
  <c r="AP25" i="10"/>
  <c r="AN97" i="10"/>
  <c r="AP97" i="10"/>
  <c r="AN141" i="10"/>
  <c r="AP141" i="10"/>
  <c r="AN145" i="10"/>
  <c r="AP145" i="10"/>
  <c r="AN153" i="10"/>
  <c r="AP153" i="10"/>
  <c r="AN157" i="10"/>
  <c r="AP157" i="10"/>
  <c r="AK9" i="10"/>
  <c r="AL9" i="10"/>
  <c r="AM9" i="10"/>
  <c r="AK25" i="10"/>
  <c r="AL25" i="10"/>
  <c r="AM25" i="10"/>
  <c r="AK97" i="10"/>
  <c r="AL97" i="10"/>
  <c r="AM97" i="10"/>
  <c r="AK141" i="10"/>
  <c r="AL141" i="10"/>
  <c r="AM141" i="10"/>
  <c r="AK145" i="10"/>
  <c r="AL145" i="10"/>
  <c r="AM145" i="10"/>
  <c r="AK153" i="10"/>
  <c r="AL153" i="10"/>
  <c r="AM153" i="10"/>
  <c r="AK157" i="10"/>
  <c r="AL157" i="10"/>
  <c r="AM157" i="10"/>
  <c r="AE9" i="10"/>
  <c r="AF9" i="10"/>
  <c r="AG9" i="10"/>
  <c r="AE25" i="10"/>
  <c r="AF25" i="10"/>
  <c r="AG25" i="10"/>
  <c r="AE97" i="10"/>
  <c r="AF97" i="10"/>
  <c r="AG97" i="10"/>
  <c r="AE141" i="10"/>
  <c r="AF141" i="10"/>
  <c r="AG141" i="10"/>
  <c r="AE145" i="10"/>
  <c r="AF145" i="10"/>
  <c r="AG145" i="10"/>
  <c r="AE153" i="10"/>
  <c r="AF153" i="10"/>
  <c r="AG153" i="10"/>
  <c r="AE157" i="10"/>
  <c r="AF157" i="10"/>
  <c r="AG157" i="10"/>
  <c r="X9" i="10"/>
  <c r="X25" i="10"/>
  <c r="X97" i="10"/>
  <c r="X141" i="10"/>
  <c r="X145" i="10"/>
  <c r="X153" i="10"/>
  <c r="X157" i="10"/>
  <c r="U9" i="10"/>
  <c r="U25" i="10"/>
  <c r="U97" i="10"/>
  <c r="U141" i="10"/>
  <c r="U145" i="10"/>
  <c r="U153" i="10"/>
  <c r="U157" i="10"/>
  <c r="L9" i="10"/>
  <c r="M9" i="10"/>
  <c r="L25" i="10"/>
  <c r="M25" i="10"/>
  <c r="L97" i="10"/>
  <c r="M97" i="10"/>
  <c r="L141" i="10"/>
  <c r="M141" i="10"/>
  <c r="L145" i="10"/>
  <c r="M145" i="10"/>
  <c r="L153" i="10"/>
  <c r="M153" i="10"/>
  <c r="L157" i="10"/>
  <c r="M157" i="10"/>
  <c r="E9" i="10"/>
  <c r="E25" i="10"/>
  <c r="E97" i="10"/>
  <c r="E141" i="10"/>
  <c r="E145" i="10"/>
  <c r="E153" i="10"/>
  <c r="E157" i="10"/>
  <c r="D9" i="10"/>
  <c r="D25" i="10"/>
  <c r="D97" i="10"/>
  <c r="D141" i="10"/>
  <c r="D145" i="10"/>
  <c r="D153" i="10"/>
  <c r="D157" i="10"/>
  <c r="O19" i="3" l="1"/>
  <c r="O49" i="3"/>
  <c r="O72" i="3"/>
  <c r="O143" i="3"/>
  <c r="O149" i="3"/>
  <c r="O175" i="3"/>
  <c r="O223" i="3"/>
  <c r="O231" i="3"/>
  <c r="O241" i="3"/>
  <c r="O245" i="3"/>
  <c r="E128" i="8" l="1"/>
  <c r="E109" i="8"/>
  <c r="E87" i="8"/>
  <c r="E78" i="8"/>
  <c r="E26" i="8" l="1"/>
  <c r="AC72" i="3" l="1"/>
  <c r="AB72" i="3"/>
  <c r="AA72" i="3"/>
  <c r="Z72" i="3"/>
  <c r="Y72" i="3"/>
  <c r="X72" i="3"/>
  <c r="V72" i="3"/>
  <c r="U72" i="3"/>
  <c r="W72" i="3"/>
  <c r="T72" i="3"/>
  <c r="S72" i="3"/>
  <c r="R72" i="3"/>
  <c r="Q72" i="3"/>
  <c r="P72" i="3"/>
  <c r="M72" i="3"/>
  <c r="K72" i="3"/>
  <c r="L72" i="3"/>
  <c r="N72" i="3"/>
  <c r="J72" i="3"/>
  <c r="I72" i="3"/>
  <c r="G72" i="3"/>
  <c r="H72" i="3"/>
  <c r="F72" i="3"/>
  <c r="AC49" i="3"/>
  <c r="AB49" i="3"/>
  <c r="AC19" i="3"/>
  <c r="AB19" i="3"/>
  <c r="D245" i="3" l="1"/>
  <c r="D241" i="3"/>
  <c r="D231" i="3"/>
  <c r="D223" i="3"/>
  <c r="D175" i="3"/>
  <c r="D149" i="3"/>
  <c r="D143" i="3"/>
  <c r="D72" i="3"/>
  <c r="D49" i="3"/>
  <c r="D19" i="3"/>
  <c r="R245" i="3"/>
  <c r="Q245" i="3"/>
  <c r="P245" i="3"/>
  <c r="R241" i="3"/>
  <c r="Q241" i="3"/>
  <c r="P241" i="3"/>
  <c r="R231" i="3"/>
  <c r="Q231" i="3"/>
  <c r="P231" i="3"/>
  <c r="R223" i="3"/>
  <c r="Q223" i="3"/>
  <c r="P223" i="3"/>
  <c r="R175" i="3"/>
  <c r="Q175" i="3"/>
  <c r="P175" i="3"/>
  <c r="R143" i="3"/>
  <c r="Q143" i="3"/>
  <c r="P143" i="3"/>
  <c r="R49" i="3"/>
  <c r="Q49" i="3"/>
  <c r="Q149" i="3" s="1"/>
  <c r="P49" i="3"/>
  <c r="P149" i="3" s="1"/>
  <c r="R19" i="3"/>
  <c r="Q19" i="3"/>
  <c r="P19" i="3"/>
  <c r="AC245" i="3"/>
  <c r="AB245" i="3"/>
  <c r="AA245" i="3"/>
  <c r="Z245" i="3"/>
  <c r="Y245" i="3"/>
  <c r="AC175" i="3"/>
  <c r="AB175" i="3"/>
  <c r="BC19" i="15"/>
  <c r="BD19" i="15"/>
  <c r="BE19" i="15"/>
  <c r="BC49" i="15"/>
  <c r="BC149" i="15" s="1"/>
  <c r="BD49" i="15"/>
  <c r="BD149" i="15" s="1"/>
  <c r="BE49" i="15"/>
  <c r="BE72" i="15" s="1"/>
  <c r="BC143" i="15"/>
  <c r="BD143" i="15"/>
  <c r="BE143" i="15"/>
  <c r="BC175" i="15"/>
  <c r="BD175" i="15"/>
  <c r="BE175" i="15"/>
  <c r="BC223" i="15"/>
  <c r="BD223" i="15"/>
  <c r="BE223" i="15"/>
  <c r="BC231" i="15"/>
  <c r="BD231" i="15"/>
  <c r="BE231" i="15"/>
  <c r="BC241" i="15"/>
  <c r="BD241" i="15"/>
  <c r="BE241" i="15"/>
  <c r="BC245" i="15"/>
  <c r="BD245" i="15"/>
  <c r="BE245" i="15"/>
  <c r="AU19" i="15"/>
  <c r="AV19" i="15"/>
  <c r="AW19" i="15"/>
  <c r="AX19" i="15"/>
  <c r="AY19" i="15"/>
  <c r="AU49" i="15"/>
  <c r="AU72" i="15" s="1"/>
  <c r="AV49" i="15"/>
  <c r="AV72" i="15" s="1"/>
  <c r="AW49" i="15"/>
  <c r="AW72" i="15" s="1"/>
  <c r="AX49" i="15"/>
  <c r="AX72" i="15" s="1"/>
  <c r="AY49" i="15"/>
  <c r="AY149" i="15" s="1"/>
  <c r="AU143" i="15"/>
  <c r="AV143" i="15"/>
  <c r="AW143" i="15"/>
  <c r="AX143" i="15"/>
  <c r="AY143" i="15"/>
  <c r="AZ143" i="15"/>
  <c r="AZ149" i="15"/>
  <c r="AU175" i="15"/>
  <c r="AV175" i="15"/>
  <c r="AW175" i="15"/>
  <c r="AX175" i="15"/>
  <c r="AY175" i="15"/>
  <c r="AU223" i="15"/>
  <c r="AV223" i="15"/>
  <c r="AW223" i="15"/>
  <c r="AX223" i="15"/>
  <c r="AY223" i="15"/>
  <c r="AU231" i="15"/>
  <c r="AV231" i="15"/>
  <c r="AW231" i="15"/>
  <c r="AX231" i="15"/>
  <c r="AY231" i="15"/>
  <c r="AU241" i="15"/>
  <c r="AV241" i="15"/>
  <c r="AW241" i="15"/>
  <c r="AX241" i="15"/>
  <c r="AY241" i="15"/>
  <c r="AU245" i="15"/>
  <c r="AV245" i="15"/>
  <c r="AW245" i="15"/>
  <c r="AX245" i="15"/>
  <c r="AY245" i="15"/>
  <c r="AA241" i="3"/>
  <c r="Z241" i="3"/>
  <c r="Y241" i="3"/>
  <c r="AA231" i="3"/>
  <c r="Z231" i="3"/>
  <c r="Y231" i="3"/>
  <c r="AA223" i="3"/>
  <c r="Z223" i="3"/>
  <c r="Y223" i="3"/>
  <c r="AA175" i="3"/>
  <c r="Z175" i="3"/>
  <c r="Y175" i="3"/>
  <c r="AA143" i="3"/>
  <c r="Z143" i="3"/>
  <c r="Y143" i="3"/>
  <c r="AA49" i="3"/>
  <c r="Z49" i="3"/>
  <c r="Y49" i="3"/>
  <c r="Y149" i="3" s="1"/>
  <c r="AA19" i="3"/>
  <c r="Z19" i="3"/>
  <c r="Y19" i="3"/>
  <c r="BD72" i="15" l="1"/>
  <c r="AX149" i="15"/>
  <c r="BE149" i="15"/>
  <c r="R149" i="3"/>
  <c r="AW149" i="15"/>
  <c r="AV149" i="15"/>
  <c r="BC72" i="15"/>
  <c r="AY72" i="15"/>
  <c r="AU149" i="15"/>
  <c r="Z149" i="3"/>
  <c r="AA149" i="3"/>
  <c r="AT19" i="15" l="1"/>
  <c r="AT49" i="15"/>
  <c r="AT72" i="15" s="1"/>
  <c r="AQ143" i="15"/>
  <c r="AR143" i="15"/>
  <c r="AS143" i="15"/>
  <c r="AT143" i="15"/>
  <c r="AQ149" i="15"/>
  <c r="AR149" i="15"/>
  <c r="AS149" i="15"/>
  <c r="AT149" i="15"/>
  <c r="AT175" i="15"/>
  <c r="AT223" i="15"/>
  <c r="AT231" i="15"/>
  <c r="AT241" i="15"/>
  <c r="AT245" i="15"/>
  <c r="AC149" i="3"/>
  <c r="AB149" i="3"/>
  <c r="AC143" i="3"/>
  <c r="AB143" i="3"/>
  <c r="X143" i="3"/>
  <c r="AO19" i="15"/>
  <c r="AP19" i="15"/>
  <c r="AO49" i="15"/>
  <c r="AO149" i="15" s="1"/>
  <c r="AP49" i="15"/>
  <c r="AP72" i="15" s="1"/>
  <c r="AO143" i="15"/>
  <c r="AP143" i="15"/>
  <c r="AO175" i="15"/>
  <c r="AP175" i="15"/>
  <c r="AO223" i="15"/>
  <c r="AP223" i="15"/>
  <c r="AO231" i="15"/>
  <c r="AP231" i="15"/>
  <c r="AO241" i="15"/>
  <c r="AP241" i="15"/>
  <c r="AO245" i="15"/>
  <c r="AP245" i="15"/>
  <c r="V19" i="3"/>
  <c r="U19" i="3"/>
  <c r="W19" i="3"/>
  <c r="T19" i="3"/>
  <c r="S19" i="3"/>
  <c r="V223" i="3"/>
  <c r="V175" i="3"/>
  <c r="V231" i="3"/>
  <c r="V245" i="3"/>
  <c r="V241" i="3"/>
  <c r="V149" i="3"/>
  <c r="V143" i="3"/>
  <c r="V49" i="3"/>
  <c r="U231" i="3"/>
  <c r="U241" i="3"/>
  <c r="U223" i="3"/>
  <c r="U175" i="3"/>
  <c r="U149" i="3"/>
  <c r="U143" i="3"/>
  <c r="U49" i="3"/>
  <c r="U245" i="3"/>
  <c r="W245" i="3"/>
  <c r="W241" i="3"/>
  <c r="AO72" i="15" l="1"/>
  <c r="AP149" i="15"/>
  <c r="W223" i="3"/>
  <c r="W149" i="3"/>
  <c r="W143" i="3"/>
  <c r="W231" i="3" l="1"/>
  <c r="T231" i="3"/>
  <c r="W175" i="3"/>
  <c r="T175" i="3"/>
  <c r="T223" i="3"/>
  <c r="T245" i="3"/>
  <c r="T241" i="3"/>
  <c r="T149" i="3"/>
  <c r="T143" i="3"/>
  <c r="W49" i="3"/>
  <c r="T49" i="3"/>
  <c r="S49" i="3"/>
  <c r="S149" i="3" l="1"/>
  <c r="AJ19" i="15"/>
  <c r="AJ49" i="15"/>
  <c r="AJ72" i="15" s="1"/>
  <c r="AJ143" i="15"/>
  <c r="AJ175" i="15"/>
  <c r="AJ223" i="15"/>
  <c r="AJ231" i="15"/>
  <c r="AJ241" i="15"/>
  <c r="AJ245" i="15"/>
  <c r="AH19" i="15"/>
  <c r="AI19" i="15"/>
  <c r="AH49" i="15"/>
  <c r="AH149" i="15" s="1"/>
  <c r="AI49" i="15"/>
  <c r="AI72" i="15" s="1"/>
  <c r="AH143" i="15"/>
  <c r="AI143" i="15"/>
  <c r="AH175" i="15"/>
  <c r="AI175" i="15"/>
  <c r="AH223" i="15"/>
  <c r="AI223" i="15"/>
  <c r="AH231" i="15"/>
  <c r="AI231" i="15"/>
  <c r="AH241" i="15"/>
  <c r="AI241" i="15"/>
  <c r="AH245" i="15"/>
  <c r="AI245" i="15"/>
  <c r="AJ149" i="15" l="1"/>
  <c r="AH72" i="15"/>
  <c r="AI149" i="15"/>
  <c r="S231" i="3"/>
  <c r="S223" i="3"/>
  <c r="S245" i="3"/>
  <c r="S241" i="3"/>
  <c r="S175" i="3"/>
  <c r="S143" i="3"/>
  <c r="AC19" i="15"/>
  <c r="AD19" i="15"/>
  <c r="AE19" i="15"/>
  <c r="AF19" i="15"/>
  <c r="AG19" i="15"/>
  <c r="AC49" i="15"/>
  <c r="AC149" i="15" s="1"/>
  <c r="AD49" i="15"/>
  <c r="AD72" i="15" s="1"/>
  <c r="AE49" i="15"/>
  <c r="AE72" i="15" s="1"/>
  <c r="AF49" i="15"/>
  <c r="AF72" i="15" s="1"/>
  <c r="AG49" i="15"/>
  <c r="AG72" i="15" s="1"/>
  <c r="AC143" i="15"/>
  <c r="AD143" i="15"/>
  <c r="AE143" i="15"/>
  <c r="AF143" i="15"/>
  <c r="AG143" i="15"/>
  <c r="AC175" i="15"/>
  <c r="AD175" i="15"/>
  <c r="AE175" i="15"/>
  <c r="AF175" i="15"/>
  <c r="AG175" i="15"/>
  <c r="AC223" i="15"/>
  <c r="AD223" i="15"/>
  <c r="AE223" i="15"/>
  <c r="AF223" i="15"/>
  <c r="AG223" i="15"/>
  <c r="AC231" i="15"/>
  <c r="AD231" i="15"/>
  <c r="AE231" i="15"/>
  <c r="AF231" i="15"/>
  <c r="AG231" i="15"/>
  <c r="AC241" i="15"/>
  <c r="AD241" i="15"/>
  <c r="AE241" i="15"/>
  <c r="AF241" i="15"/>
  <c r="AG241" i="15"/>
  <c r="AC245" i="15"/>
  <c r="AD245" i="15"/>
  <c r="AE245" i="15"/>
  <c r="AF245" i="15"/>
  <c r="AG245" i="15"/>
  <c r="AG149" i="15" l="1"/>
  <c r="AF149" i="15"/>
  <c r="AC72" i="15"/>
  <c r="AD149" i="15"/>
  <c r="AE149" i="15"/>
  <c r="BB245" i="15"/>
  <c r="BA245" i="15"/>
  <c r="BB241" i="15"/>
  <c r="BA241" i="15"/>
  <c r="BB231" i="15"/>
  <c r="BA231" i="15"/>
  <c r="BB223" i="15"/>
  <c r="BA223" i="15"/>
  <c r="BB175" i="15"/>
  <c r="BA175" i="15"/>
  <c r="BB143" i="15"/>
  <c r="BA143" i="15"/>
  <c r="BB49" i="15"/>
  <c r="BB72" i="15" s="1"/>
  <c r="BA49" i="15"/>
  <c r="BA149" i="15" s="1"/>
  <c r="BB19" i="15"/>
  <c r="BA19" i="15"/>
  <c r="BB149" i="15" l="1"/>
  <c r="BA72" i="15"/>
  <c r="X19" i="15"/>
  <c r="Y19" i="15"/>
  <c r="Z19" i="15"/>
  <c r="AA19" i="15"/>
  <c r="AB19" i="15"/>
  <c r="X49" i="15"/>
  <c r="X72" i="15" s="1"/>
  <c r="Y49" i="15"/>
  <c r="Y149" i="15" s="1"/>
  <c r="Z49" i="15"/>
  <c r="Z72" i="15" s="1"/>
  <c r="AA49" i="15"/>
  <c r="AA72" i="15" s="1"/>
  <c r="AB49" i="15"/>
  <c r="AB149" i="15" s="1"/>
  <c r="X143" i="15"/>
  <c r="Y143" i="15"/>
  <c r="Z143" i="15"/>
  <c r="AA143" i="15"/>
  <c r="AB143" i="15"/>
  <c r="X175" i="15"/>
  <c r="Y175" i="15"/>
  <c r="Z175" i="15"/>
  <c r="AA175" i="15"/>
  <c r="AB175" i="15"/>
  <c r="X223" i="15"/>
  <c r="Y223" i="15"/>
  <c r="Z223" i="15"/>
  <c r="AA223" i="15"/>
  <c r="AB223" i="15"/>
  <c r="X231" i="15"/>
  <c r="Y231" i="15"/>
  <c r="Z231" i="15"/>
  <c r="AA231" i="15"/>
  <c r="AB231" i="15"/>
  <c r="X241" i="15"/>
  <c r="Y241" i="15"/>
  <c r="Z241" i="15"/>
  <c r="AA241" i="15"/>
  <c r="AB241" i="15"/>
  <c r="X245" i="15"/>
  <c r="Y245" i="15"/>
  <c r="Z245" i="15"/>
  <c r="AA245" i="15"/>
  <c r="AB245" i="15"/>
  <c r="M245" i="3"/>
  <c r="K245" i="3"/>
  <c r="M241" i="3"/>
  <c r="K241" i="3"/>
  <c r="M231" i="3"/>
  <c r="K231" i="3"/>
  <c r="M223" i="3"/>
  <c r="K223" i="3"/>
  <c r="M175" i="3"/>
  <c r="K175" i="3"/>
  <c r="M149" i="3"/>
  <c r="K149" i="3"/>
  <c r="M143" i="3"/>
  <c r="K143" i="3"/>
  <c r="M49" i="3"/>
  <c r="K49" i="3"/>
  <c r="M19" i="3"/>
  <c r="K19" i="3"/>
  <c r="X149" i="15" l="1"/>
  <c r="AB72" i="15"/>
  <c r="AA149" i="15"/>
  <c r="Y72" i="15"/>
  <c r="Z149" i="15"/>
  <c r="L245" i="3"/>
  <c r="N245" i="3"/>
  <c r="J245" i="3"/>
  <c r="L241" i="3"/>
  <c r="N241" i="3"/>
  <c r="J241" i="3"/>
  <c r="L231" i="3"/>
  <c r="N231" i="3"/>
  <c r="J231" i="3"/>
  <c r="L223" i="3"/>
  <c r="N223" i="3"/>
  <c r="J223" i="3"/>
  <c r="L175" i="3"/>
  <c r="N175" i="3"/>
  <c r="J175" i="3"/>
  <c r="L149" i="3"/>
  <c r="N149" i="3"/>
  <c r="J149" i="3"/>
  <c r="L143" i="3"/>
  <c r="N143" i="3"/>
  <c r="J143" i="3"/>
  <c r="L49" i="3" l="1"/>
  <c r="N49" i="3"/>
  <c r="J49" i="3"/>
  <c r="L19" i="3"/>
  <c r="N19" i="3"/>
  <c r="J19" i="3"/>
  <c r="V19" i="15"/>
  <c r="W19" i="15"/>
  <c r="V49" i="15"/>
  <c r="V149" i="15" s="1"/>
  <c r="W49" i="15"/>
  <c r="W72" i="15" s="1"/>
  <c r="V143" i="15"/>
  <c r="W143" i="15"/>
  <c r="V175" i="15"/>
  <c r="W175" i="15"/>
  <c r="V223" i="15"/>
  <c r="W223" i="15"/>
  <c r="V231" i="15"/>
  <c r="W231" i="15"/>
  <c r="V241" i="15"/>
  <c r="W241" i="15"/>
  <c r="V245" i="15"/>
  <c r="W245" i="15"/>
  <c r="T19" i="15"/>
  <c r="U19" i="15"/>
  <c r="T49" i="15"/>
  <c r="T72" i="15" s="1"/>
  <c r="U49" i="15"/>
  <c r="U72" i="15" s="1"/>
  <c r="T143" i="15"/>
  <c r="U143" i="15"/>
  <c r="T175" i="15"/>
  <c r="U175" i="15"/>
  <c r="T223" i="15"/>
  <c r="U223" i="15"/>
  <c r="T231" i="15"/>
  <c r="U231" i="15"/>
  <c r="T241" i="15"/>
  <c r="U241" i="15"/>
  <c r="T245" i="15"/>
  <c r="U245" i="15"/>
  <c r="T149" i="15" l="1"/>
  <c r="V72" i="15"/>
  <c r="W149" i="15"/>
  <c r="U149" i="15"/>
  <c r="R19" i="15"/>
  <c r="R49" i="15"/>
  <c r="R72" i="15" s="1"/>
  <c r="R143" i="15"/>
  <c r="R175" i="15"/>
  <c r="R223" i="15"/>
  <c r="R231" i="15"/>
  <c r="R241" i="15"/>
  <c r="R245" i="15"/>
  <c r="Q19" i="15"/>
  <c r="Q49" i="15"/>
  <c r="Q72" i="15" s="1"/>
  <c r="Q143" i="15"/>
  <c r="Q175" i="15"/>
  <c r="Q223" i="15"/>
  <c r="Q231" i="15"/>
  <c r="Q241" i="15"/>
  <c r="Q245" i="15"/>
  <c r="I175" i="3"/>
  <c r="I19" i="3"/>
  <c r="I149" i="3"/>
  <c r="I143" i="3"/>
  <c r="I49" i="3"/>
  <c r="R149" i="15" l="1"/>
  <c r="Q149" i="15"/>
  <c r="G49" i="3"/>
  <c r="G19" i="3"/>
  <c r="G175" i="3"/>
  <c r="G149" i="3"/>
  <c r="G143" i="3"/>
  <c r="H175" i="3" l="1"/>
  <c r="H19" i="3"/>
  <c r="H49" i="3"/>
  <c r="I245" i="3" l="1"/>
  <c r="G245" i="3"/>
  <c r="H245" i="3"/>
  <c r="I241" i="3"/>
  <c r="G241" i="3"/>
  <c r="H241" i="3"/>
  <c r="I231" i="3"/>
  <c r="G231" i="3"/>
  <c r="H231" i="3"/>
  <c r="I223" i="3"/>
  <c r="G223" i="3"/>
  <c r="H223" i="3"/>
  <c r="H149" i="3"/>
  <c r="H143" i="3"/>
  <c r="P245" i="15" l="1"/>
  <c r="O245" i="15"/>
  <c r="N245" i="15"/>
  <c r="M245" i="15"/>
  <c r="L245" i="15"/>
  <c r="K245" i="15"/>
  <c r="J245" i="15"/>
  <c r="I245" i="15"/>
  <c r="H245" i="15"/>
  <c r="G245" i="15"/>
  <c r="F245" i="15"/>
  <c r="E245" i="15"/>
  <c r="D245" i="15"/>
  <c r="M19" i="15"/>
  <c r="N19" i="15"/>
  <c r="O19" i="15"/>
  <c r="P19" i="15"/>
  <c r="M49" i="15"/>
  <c r="M149" i="15" s="1"/>
  <c r="N49" i="15"/>
  <c r="N149" i="15" s="1"/>
  <c r="O49" i="15"/>
  <c r="O149" i="15" s="1"/>
  <c r="P49" i="15"/>
  <c r="P72" i="15" s="1"/>
  <c r="M143" i="15"/>
  <c r="N143" i="15"/>
  <c r="O143" i="15"/>
  <c r="P143" i="15"/>
  <c r="M175" i="15"/>
  <c r="N175" i="15"/>
  <c r="O175" i="15"/>
  <c r="P175" i="15"/>
  <c r="M223" i="15"/>
  <c r="N223" i="15"/>
  <c r="O223" i="15"/>
  <c r="P223" i="15"/>
  <c r="M231" i="15"/>
  <c r="N231" i="15"/>
  <c r="O231" i="15"/>
  <c r="P231" i="15"/>
  <c r="M241" i="15"/>
  <c r="N241" i="15"/>
  <c r="O241" i="15"/>
  <c r="P241" i="15"/>
  <c r="I19" i="15"/>
  <c r="J19" i="15"/>
  <c r="K19" i="15"/>
  <c r="L19" i="15"/>
  <c r="I49" i="15"/>
  <c r="I149" i="15" s="1"/>
  <c r="J49" i="15"/>
  <c r="J149" i="15" s="1"/>
  <c r="K49" i="15"/>
  <c r="K149" i="15" s="1"/>
  <c r="L49" i="15"/>
  <c r="L72" i="15" s="1"/>
  <c r="I143" i="15"/>
  <c r="J143" i="15"/>
  <c r="K143" i="15"/>
  <c r="L143" i="15"/>
  <c r="I175" i="15"/>
  <c r="J175" i="15"/>
  <c r="K175" i="15"/>
  <c r="L175" i="15"/>
  <c r="I223" i="15"/>
  <c r="J223" i="15"/>
  <c r="K223" i="15"/>
  <c r="L223" i="15"/>
  <c r="I231" i="15"/>
  <c r="J231" i="15"/>
  <c r="K231" i="15"/>
  <c r="L231" i="15"/>
  <c r="I241" i="15"/>
  <c r="J241" i="15"/>
  <c r="K241" i="15"/>
  <c r="L241" i="15"/>
  <c r="M72" i="15" l="1"/>
  <c r="P149" i="15"/>
  <c r="I72" i="15"/>
  <c r="J72" i="15"/>
  <c r="N72" i="15"/>
  <c r="K72" i="15"/>
  <c r="O72" i="15"/>
  <c r="L149" i="15"/>
  <c r="F245" i="3"/>
  <c r="E245" i="3"/>
  <c r="F175" i="3"/>
  <c r="E175" i="3"/>
  <c r="F241" i="3"/>
  <c r="E241" i="3"/>
  <c r="F223" i="3"/>
  <c r="E223" i="3"/>
  <c r="F231" i="3"/>
  <c r="E231" i="3"/>
  <c r="F19" i="3" l="1"/>
  <c r="E19" i="3"/>
  <c r="F149" i="3"/>
  <c r="E149" i="3"/>
  <c r="F143" i="3"/>
  <c r="E143" i="3"/>
  <c r="F49" i="3"/>
  <c r="E49" i="3"/>
  <c r="E72" i="3"/>
  <c r="E19" i="15" l="1"/>
  <c r="F19" i="15"/>
  <c r="E49" i="15"/>
  <c r="E72" i="15" s="1"/>
  <c r="F49" i="15"/>
  <c r="F72" i="15" s="1"/>
  <c r="E143" i="15"/>
  <c r="F143" i="15"/>
  <c r="E175" i="15"/>
  <c r="F175" i="15"/>
  <c r="E223" i="15"/>
  <c r="F223" i="15"/>
  <c r="E231" i="15"/>
  <c r="F231" i="15"/>
  <c r="E241" i="15"/>
  <c r="F241" i="15"/>
  <c r="D241" i="15"/>
  <c r="D231" i="15"/>
  <c r="D223" i="15"/>
  <c r="D175" i="15"/>
  <c r="D143" i="15"/>
  <c r="D49" i="15"/>
  <c r="D149" i="15" s="1"/>
  <c r="D19" i="15"/>
  <c r="C19" i="15"/>
  <c r="C49" i="15"/>
  <c r="C149" i="15" s="1"/>
  <c r="C143" i="15"/>
  <c r="C175" i="15"/>
  <c r="C223" i="15"/>
  <c r="C231" i="15"/>
  <c r="C241" i="15"/>
  <c r="C245" i="15"/>
  <c r="F149" i="15" l="1"/>
  <c r="E149" i="15"/>
  <c r="D72" i="15"/>
  <c r="C72" i="15"/>
  <c r="C245" i="3"/>
  <c r="C241" i="3"/>
  <c r="C231" i="3"/>
  <c r="C223" i="3"/>
  <c r="C175" i="3"/>
  <c r="C149" i="3"/>
  <c r="C143" i="3"/>
  <c r="C72" i="3"/>
  <c r="C49" i="3"/>
  <c r="C19" i="3"/>
  <c r="E156" i="8" l="1"/>
  <c r="E153" i="8"/>
  <c r="E147" i="8"/>
  <c r="E142" i="8"/>
  <c r="E99" i="8"/>
  <c r="E115" i="8"/>
  <c r="E52" i="8"/>
  <c r="E39" i="8"/>
  <c r="E17" i="8"/>
  <c r="E66" i="8" s="1"/>
  <c r="E7" i="8"/>
  <c r="E95" i="8"/>
  <c r="AJ3" i="3" l="1"/>
  <c r="B43" i="8" s="1"/>
  <c r="AK3" i="3"/>
  <c r="C11" i="8" s="1"/>
  <c r="AL3" i="3"/>
  <c r="D11" i="8" l="1"/>
  <c r="D123" i="8"/>
  <c r="B151" i="8"/>
  <c r="B145" i="8"/>
  <c r="B137" i="8"/>
  <c r="B101" i="8"/>
  <c r="B62" i="8"/>
  <c r="B47" i="8"/>
  <c r="B150" i="8"/>
  <c r="B144" i="8"/>
  <c r="B133" i="8"/>
  <c r="B92" i="8"/>
  <c r="B49" i="8"/>
  <c r="B46" i="8"/>
  <c r="B32" i="8"/>
  <c r="B28" i="8"/>
  <c r="B148" i="8"/>
  <c r="B103" i="8"/>
  <c r="B50" i="8"/>
  <c r="B30" i="8"/>
  <c r="B29" i="8"/>
  <c r="B157" i="8"/>
  <c r="B149" i="8"/>
  <c r="B143" i="8"/>
  <c r="B129" i="8"/>
  <c r="B90" i="8"/>
  <c r="B48" i="8"/>
  <c r="B36" i="8"/>
  <c r="B31" i="8"/>
  <c r="B154" i="8"/>
  <c r="B139" i="8"/>
  <c r="B81" i="8"/>
  <c r="B35" i="8"/>
  <c r="B33" i="8"/>
  <c r="B140" i="8"/>
  <c r="B134" i="8"/>
  <c r="B126" i="8"/>
  <c r="B122" i="8"/>
  <c r="B118" i="8"/>
  <c r="B112" i="8"/>
  <c r="B106" i="8"/>
  <c r="B100" i="8"/>
  <c r="B82" i="8"/>
  <c r="B74" i="8"/>
  <c r="B70" i="8"/>
  <c r="B63" i="8"/>
  <c r="B58" i="8"/>
  <c r="B54" i="8"/>
  <c r="B42" i="8"/>
  <c r="B24" i="8"/>
  <c r="B136" i="8"/>
  <c r="B124" i="8"/>
  <c r="B116" i="8"/>
  <c r="B104" i="8"/>
  <c r="B84" i="8"/>
  <c r="B72" i="8"/>
  <c r="B60" i="8"/>
  <c r="B44" i="8"/>
  <c r="B21" i="8"/>
  <c r="B135" i="8"/>
  <c r="B123" i="8"/>
  <c r="B113" i="8"/>
  <c r="B102" i="8"/>
  <c r="B83" i="8"/>
  <c r="B71" i="8"/>
  <c r="B59" i="8"/>
  <c r="B23" i="8"/>
  <c r="B138" i="8"/>
  <c r="B132" i="8"/>
  <c r="B125" i="8"/>
  <c r="B121" i="8"/>
  <c r="B117" i="8"/>
  <c r="B111" i="8"/>
  <c r="B105" i="8"/>
  <c r="B97" i="8"/>
  <c r="B89" i="8"/>
  <c r="B80" i="8"/>
  <c r="B73" i="8"/>
  <c r="B69" i="8"/>
  <c r="B61" i="8"/>
  <c r="B57" i="8"/>
  <c r="B45" i="8"/>
  <c r="B41" i="8"/>
  <c r="B34" i="8"/>
  <c r="B22" i="8"/>
  <c r="B131" i="8"/>
  <c r="B120" i="8"/>
  <c r="B110" i="8"/>
  <c r="B96" i="8"/>
  <c r="B76" i="8"/>
  <c r="B68" i="8"/>
  <c r="B56" i="8"/>
  <c r="B37" i="8"/>
  <c r="B20" i="8"/>
  <c r="B130" i="8"/>
  <c r="B119" i="8"/>
  <c r="B107" i="8"/>
  <c r="B93" i="8"/>
  <c r="B75" i="8"/>
  <c r="B64" i="8"/>
  <c r="B55" i="8"/>
  <c r="B19" i="8"/>
  <c r="C154" i="8"/>
  <c r="C150" i="8"/>
  <c r="C148" i="8"/>
  <c r="C143" i="8"/>
  <c r="C139" i="8"/>
  <c r="C133" i="8"/>
  <c r="C103" i="8"/>
  <c r="C92" i="8"/>
  <c r="C81" i="8"/>
  <c r="C49" i="8"/>
  <c r="C50" i="8"/>
  <c r="C46" i="8"/>
  <c r="C35" i="8"/>
  <c r="C31" i="8"/>
  <c r="C48" i="8"/>
  <c r="C30" i="8"/>
  <c r="C28" i="8"/>
  <c r="C101" i="8"/>
  <c r="C62" i="8"/>
  <c r="C36" i="8"/>
  <c r="C33" i="8"/>
  <c r="C151" i="8"/>
  <c r="C32" i="8"/>
  <c r="C157" i="8"/>
  <c r="C149" i="8"/>
  <c r="C145" i="8"/>
  <c r="C137" i="8"/>
  <c r="C129" i="8"/>
  <c r="C90" i="8"/>
  <c r="C47" i="8"/>
  <c r="C29" i="8"/>
  <c r="C144" i="8"/>
  <c r="C140" i="8"/>
  <c r="C136" i="8"/>
  <c r="C134" i="8"/>
  <c r="C131" i="8"/>
  <c r="C126" i="8"/>
  <c r="C124" i="8"/>
  <c r="C122" i="8"/>
  <c r="C120" i="8"/>
  <c r="C118" i="8"/>
  <c r="C116" i="8"/>
  <c r="C112" i="8"/>
  <c r="C110" i="8"/>
  <c r="C106" i="8"/>
  <c r="C104" i="8"/>
  <c r="C100" i="8"/>
  <c r="C96" i="8"/>
  <c r="C84" i="8"/>
  <c r="C82" i="8"/>
  <c r="C76" i="8"/>
  <c r="C74" i="8"/>
  <c r="C72" i="8"/>
  <c r="C70" i="8"/>
  <c r="C68" i="8"/>
  <c r="C63" i="8"/>
  <c r="C60" i="8"/>
  <c r="C58" i="8"/>
  <c r="C56" i="8"/>
  <c r="C54" i="8"/>
  <c r="C44" i="8"/>
  <c r="C42" i="8"/>
  <c r="C37" i="8"/>
  <c r="C21" i="8"/>
  <c r="C24" i="8"/>
  <c r="C20" i="8"/>
  <c r="C22" i="8"/>
  <c r="C138" i="8"/>
  <c r="C135" i="8"/>
  <c r="C132" i="8"/>
  <c r="C130" i="8"/>
  <c r="C125" i="8"/>
  <c r="C123" i="8"/>
  <c r="C121" i="8"/>
  <c r="C119" i="8"/>
  <c r="C117" i="8"/>
  <c r="C113" i="8"/>
  <c r="C111" i="8"/>
  <c r="C107" i="8"/>
  <c r="C105" i="8"/>
  <c r="C102" i="8"/>
  <c r="C97" i="8"/>
  <c r="C93" i="8"/>
  <c r="C89" i="8"/>
  <c r="C83" i="8"/>
  <c r="C80" i="8"/>
  <c r="C75" i="8"/>
  <c r="C73" i="8"/>
  <c r="C71" i="8"/>
  <c r="C69" i="8"/>
  <c r="C64" i="8"/>
  <c r="C61" i="8"/>
  <c r="C59" i="8"/>
  <c r="C57" i="8"/>
  <c r="C55" i="8"/>
  <c r="C45" i="8"/>
  <c r="C43" i="8"/>
  <c r="C41" i="8"/>
  <c r="C34" i="8"/>
  <c r="C23" i="8"/>
  <c r="C19" i="8"/>
  <c r="D157" i="8"/>
  <c r="D151" i="8"/>
  <c r="D149" i="8"/>
  <c r="D143" i="8"/>
  <c r="D129" i="8"/>
  <c r="D90" i="8"/>
  <c r="D36" i="8"/>
  <c r="D31" i="8"/>
  <c r="D133" i="8"/>
  <c r="D92" i="8"/>
  <c r="D49" i="8"/>
  <c r="D46" i="8"/>
  <c r="D150" i="8"/>
  <c r="D145" i="8"/>
  <c r="D137" i="8"/>
  <c r="D101" i="8"/>
  <c r="D62" i="8"/>
  <c r="D47" i="8"/>
  <c r="D33" i="8"/>
  <c r="D29" i="8"/>
  <c r="D28" i="8"/>
  <c r="D35" i="8"/>
  <c r="D50" i="8"/>
  <c r="D30" i="8"/>
  <c r="D154" i="8"/>
  <c r="D148" i="8"/>
  <c r="D144" i="8"/>
  <c r="D139" i="8"/>
  <c r="D103" i="8"/>
  <c r="D81" i="8"/>
  <c r="D48" i="8"/>
  <c r="D32" i="8"/>
  <c r="D140" i="8"/>
  <c r="D134" i="8"/>
  <c r="D126" i="8"/>
  <c r="D122" i="8"/>
  <c r="D118" i="8"/>
  <c r="D112" i="8"/>
  <c r="D106" i="8"/>
  <c r="D100" i="8"/>
  <c r="D82" i="8"/>
  <c r="D74" i="8"/>
  <c r="D70" i="8"/>
  <c r="D63" i="8"/>
  <c r="D58" i="8"/>
  <c r="D54" i="8"/>
  <c r="D42" i="8"/>
  <c r="D24" i="8"/>
  <c r="D23" i="8"/>
  <c r="D125" i="8"/>
  <c r="D117" i="8"/>
  <c r="D97" i="8"/>
  <c r="D73" i="8"/>
  <c r="D61" i="8"/>
  <c r="D34" i="8"/>
  <c r="D135" i="8"/>
  <c r="D130" i="8"/>
  <c r="D119" i="8"/>
  <c r="D113" i="8"/>
  <c r="D107" i="8"/>
  <c r="D102" i="8"/>
  <c r="D93" i="8"/>
  <c r="D83" i="8"/>
  <c r="D75" i="8"/>
  <c r="D71" i="8"/>
  <c r="D64" i="8"/>
  <c r="D59" i="8"/>
  <c r="D55" i="8"/>
  <c r="D43" i="8"/>
  <c r="D19" i="8"/>
  <c r="D121" i="8"/>
  <c r="D105" i="8"/>
  <c r="D80" i="8"/>
  <c r="D57" i="8"/>
  <c r="D41" i="8"/>
  <c r="D136" i="8"/>
  <c r="D131" i="8"/>
  <c r="D124" i="8"/>
  <c r="D120" i="8"/>
  <c r="D116" i="8"/>
  <c r="D110" i="8"/>
  <c r="D104" i="8"/>
  <c r="D96" i="8"/>
  <c r="D84" i="8"/>
  <c r="D76" i="8"/>
  <c r="D72" i="8"/>
  <c r="D68" i="8"/>
  <c r="D60" i="8"/>
  <c r="D56" i="8"/>
  <c r="D44" i="8"/>
  <c r="D37" i="8"/>
  <c r="D21" i="8"/>
  <c r="D20" i="8"/>
  <c r="D138" i="8"/>
  <c r="D132" i="8"/>
  <c r="D111" i="8"/>
  <c r="D89" i="8"/>
  <c r="D69" i="8"/>
  <c r="D45" i="8"/>
  <c r="D22" i="8"/>
  <c r="D18" i="8"/>
  <c r="C18" i="8"/>
  <c r="B18" i="8"/>
  <c r="AL5" i="3" l="1"/>
  <c r="AK5" i="3"/>
  <c r="AJ5" i="3"/>
  <c r="CG9" i="10" l="1"/>
  <c r="CG25" i="10"/>
  <c r="CG99" i="10"/>
  <c r="CG143" i="10"/>
  <c r="CG147" i="10"/>
  <c r="CG155" i="10"/>
  <c r="CG159" i="10"/>
  <c r="CF9" i="10"/>
  <c r="CF25" i="10"/>
  <c r="CF99" i="10"/>
  <c r="CF143" i="10"/>
  <c r="CF147" i="10"/>
  <c r="CF155" i="10"/>
  <c r="CF159" i="10"/>
  <c r="CE9" i="10"/>
  <c r="CE25" i="10"/>
  <c r="CE99" i="10"/>
  <c r="CE143" i="10"/>
  <c r="CE147" i="10"/>
  <c r="CE155" i="10"/>
  <c r="CE159" i="10"/>
  <c r="AQ157" i="10" l="1"/>
  <c r="AQ153" i="10"/>
  <c r="AQ145" i="10"/>
  <c r="AQ141" i="10"/>
  <c r="AQ97" i="10"/>
  <c r="AQ25" i="10"/>
  <c r="AQ9" i="10"/>
  <c r="AR157" i="10"/>
  <c r="AR153" i="10"/>
  <c r="AR145" i="10"/>
  <c r="AR141" i="10"/>
  <c r="AR97" i="10"/>
  <c r="AR25" i="10"/>
  <c r="AR9" i="10"/>
  <c r="CC9" i="10" l="1"/>
  <c r="CC25" i="10"/>
  <c r="CC97" i="10"/>
  <c r="CC141" i="10"/>
  <c r="CC145" i="10"/>
  <c r="CC153" i="10"/>
  <c r="CC157" i="10"/>
  <c r="CZ153" i="10"/>
  <c r="CS9" i="10"/>
  <c r="CS25" i="10"/>
  <c r="CS97" i="10"/>
  <c r="CS141" i="10"/>
  <c r="CS145" i="10"/>
  <c r="CS153" i="10"/>
  <c r="CS157" i="10"/>
  <c r="CT9" i="10"/>
  <c r="CT25" i="10"/>
  <c r="CT97" i="10"/>
  <c r="CT141" i="10"/>
  <c r="CT145" i="10"/>
  <c r="CT153" i="10"/>
  <c r="CT157" i="10"/>
  <c r="CU9" i="10"/>
  <c r="CU25" i="10"/>
  <c r="CU97" i="10"/>
  <c r="CU141" i="10"/>
  <c r="CU145" i="10"/>
  <c r="CU153" i="10"/>
  <c r="CU157" i="10"/>
  <c r="CV9" i="10"/>
  <c r="CV25" i="10"/>
  <c r="CV97" i="10"/>
  <c r="CV141" i="10"/>
  <c r="CV145" i="10"/>
  <c r="CV153" i="10"/>
  <c r="CV157" i="10"/>
  <c r="C157" i="10"/>
  <c r="C153" i="10"/>
  <c r="C145" i="10"/>
  <c r="C141" i="10"/>
  <c r="C97" i="10"/>
  <c r="C25" i="10"/>
  <c r="C9" i="10"/>
  <c r="I157" i="10"/>
  <c r="H157" i="10"/>
  <c r="I153" i="10"/>
  <c r="H153" i="10"/>
  <c r="I145" i="10"/>
  <c r="H145" i="10"/>
  <c r="I141" i="10"/>
  <c r="H141" i="10"/>
  <c r="I97" i="10"/>
  <c r="H97" i="10"/>
  <c r="I25" i="10"/>
  <c r="H25" i="10"/>
  <c r="I9" i="10"/>
  <c r="H9" i="10"/>
  <c r="Q157" i="10"/>
  <c r="P157" i="10"/>
  <c r="O157" i="10"/>
  <c r="Q153" i="10"/>
  <c r="P153" i="10"/>
  <c r="O153" i="10"/>
  <c r="Q145" i="10"/>
  <c r="P145" i="10"/>
  <c r="O145" i="10"/>
  <c r="Q141" i="10"/>
  <c r="P141" i="10"/>
  <c r="O141" i="10"/>
  <c r="Q97" i="10"/>
  <c r="P97" i="10"/>
  <c r="O97" i="10"/>
  <c r="Q25" i="10"/>
  <c r="P25" i="10"/>
  <c r="O25" i="10"/>
  <c r="Q9" i="10"/>
  <c r="P9" i="10"/>
  <c r="O9" i="10"/>
  <c r="G157" i="10"/>
  <c r="G153" i="10"/>
  <c r="G145" i="10"/>
  <c r="G141" i="10"/>
  <c r="G97" i="10"/>
  <c r="G25" i="10"/>
  <c r="G9" i="10"/>
  <c r="J9" i="10"/>
  <c r="J25" i="10"/>
  <c r="J97" i="10"/>
  <c r="J141" i="10"/>
  <c r="J145" i="10"/>
  <c r="J153" i="10"/>
  <c r="J157" i="10"/>
  <c r="DX157" i="10"/>
  <c r="DX153" i="10"/>
  <c r="DX145" i="10"/>
  <c r="DX141" i="10"/>
  <c r="DX97" i="10"/>
  <c r="DX25" i="10"/>
  <c r="DX9" i="10"/>
  <c r="DI157" i="10"/>
  <c r="DI153" i="10"/>
  <c r="DI145" i="10"/>
  <c r="DI141" i="10"/>
  <c r="DI97" i="10"/>
  <c r="DI25" i="10"/>
  <c r="DI9" i="10"/>
  <c r="BE157" i="10"/>
  <c r="BD157" i="10"/>
  <c r="BC157" i="10"/>
  <c r="BE153" i="10"/>
  <c r="BD153" i="10"/>
  <c r="BC153" i="10"/>
  <c r="BE145" i="10"/>
  <c r="BD145" i="10"/>
  <c r="BC145" i="10"/>
  <c r="BE141" i="10"/>
  <c r="BD141" i="10"/>
  <c r="BC141" i="10"/>
  <c r="BE97" i="10"/>
  <c r="BD97" i="10"/>
  <c r="BC97" i="10"/>
  <c r="BE25" i="10"/>
  <c r="BD25" i="10"/>
  <c r="BC25" i="10"/>
  <c r="BE9" i="10"/>
  <c r="BD9" i="10"/>
  <c r="BC9" i="10"/>
  <c r="AJ157" i="10"/>
  <c r="AI157" i="10"/>
  <c r="AH157" i="10"/>
  <c r="AJ153" i="10"/>
  <c r="AI153" i="10"/>
  <c r="AH153" i="10"/>
  <c r="AJ145" i="10"/>
  <c r="AI145" i="10"/>
  <c r="AH145" i="10"/>
  <c r="AJ141" i="10"/>
  <c r="AI141" i="10"/>
  <c r="AH141" i="10"/>
  <c r="AJ97" i="10"/>
  <c r="AI97" i="10"/>
  <c r="AH97" i="10"/>
  <c r="AJ25" i="10"/>
  <c r="AI25" i="10"/>
  <c r="AH25" i="10"/>
  <c r="AJ9" i="10"/>
  <c r="AI9" i="10"/>
  <c r="AH9" i="10"/>
  <c r="DQ9" i="10"/>
  <c r="DQ25" i="10"/>
  <c r="DQ97" i="10"/>
  <c r="DQ141" i="10"/>
  <c r="DQ145" i="10"/>
  <c r="DQ153" i="10"/>
  <c r="DQ157" i="10"/>
  <c r="B157" i="10"/>
  <c r="B153" i="10"/>
  <c r="B145" i="10"/>
  <c r="B141" i="10"/>
  <c r="B97" i="10"/>
  <c r="B25" i="10"/>
  <c r="B9" i="10"/>
  <c r="BZ157" i="10"/>
  <c r="BZ153" i="10"/>
  <c r="BZ145" i="10"/>
  <c r="BZ141" i="10"/>
  <c r="BZ97" i="10"/>
  <c r="BZ25" i="10"/>
  <c r="BZ9" i="10"/>
  <c r="DS157" i="10"/>
  <c r="DS153" i="10"/>
  <c r="DS145" i="10"/>
  <c r="DS141" i="10"/>
  <c r="DS97" i="10"/>
  <c r="DS25" i="10"/>
  <c r="DS9" i="10"/>
  <c r="Z153" i="10"/>
  <c r="Z145" i="10"/>
  <c r="Z141" i="10"/>
  <c r="Z97" i="10"/>
  <c r="Z25" i="10"/>
  <c r="Z9" i="10"/>
  <c r="AW157" i="10"/>
  <c r="AV157" i="10"/>
  <c r="AW153" i="10"/>
  <c r="AV153" i="10"/>
  <c r="AW145" i="10"/>
  <c r="AV145" i="10"/>
  <c r="AW141" i="10"/>
  <c r="AV141" i="10"/>
  <c r="AW97" i="10"/>
  <c r="AV97" i="10"/>
  <c r="AW25" i="10"/>
  <c r="AV25" i="10"/>
  <c r="AW9" i="10"/>
  <c r="AV9" i="10"/>
  <c r="BJ157" i="10"/>
  <c r="BJ153" i="10"/>
  <c r="BJ145" i="10"/>
  <c r="BJ141" i="10"/>
  <c r="BJ97" i="10"/>
  <c r="BJ25" i="10"/>
  <c r="BJ9" i="10"/>
  <c r="AD157" i="10"/>
  <c r="AC157" i="10"/>
  <c r="AB157" i="10"/>
  <c r="AD153" i="10"/>
  <c r="AC153" i="10"/>
  <c r="AB153" i="10"/>
  <c r="AD145" i="10"/>
  <c r="AC145" i="10"/>
  <c r="AB145" i="10"/>
  <c r="AD141" i="10"/>
  <c r="AC141" i="10"/>
  <c r="AB141" i="10"/>
  <c r="AD97" i="10"/>
  <c r="AC97" i="10"/>
  <c r="AB97" i="10"/>
  <c r="AD25" i="10"/>
  <c r="AC25" i="10"/>
  <c r="AB25" i="10"/>
  <c r="AD9" i="10"/>
  <c r="AC9" i="10"/>
  <c r="AB9" i="10"/>
  <c r="Y157" i="10"/>
  <c r="Y153" i="10"/>
  <c r="Y145" i="10"/>
  <c r="Y141" i="10"/>
  <c r="Y97" i="10"/>
  <c r="Y25" i="10"/>
  <c r="Y9" i="10"/>
  <c r="AA9" i="10"/>
  <c r="AA25" i="10"/>
  <c r="AA97" i="10"/>
  <c r="AA141" i="10"/>
  <c r="AA145" i="10"/>
  <c r="AA153" i="10"/>
  <c r="AA157" i="10"/>
  <c r="DA9" i="10"/>
  <c r="DA25" i="10"/>
  <c r="DA97" i="10"/>
  <c r="DA141" i="10"/>
  <c r="DA145" i="10"/>
  <c r="DA153" i="10"/>
  <c r="DA157" i="10"/>
  <c r="BW9" i="10"/>
  <c r="BX9" i="10"/>
  <c r="BW25" i="10"/>
  <c r="BX25" i="10"/>
  <c r="BW97" i="10"/>
  <c r="BX97" i="10"/>
  <c r="BW141" i="10"/>
  <c r="BX141" i="10"/>
  <c r="BW145" i="10"/>
  <c r="BX145" i="10"/>
  <c r="BW153" i="10"/>
  <c r="BX153" i="10"/>
  <c r="BW157" i="10"/>
  <c r="BX157" i="10"/>
  <c r="X49" i="3"/>
  <c r="X149" i="3" s="1"/>
  <c r="X19" i="3"/>
  <c r="BI157" i="10"/>
  <c r="BI153" i="10"/>
  <c r="BI145" i="10"/>
  <c r="BI141" i="10"/>
  <c r="BI97" i="10"/>
  <c r="BI25" i="10"/>
  <c r="BI9" i="10"/>
  <c r="CD9" i="10"/>
  <c r="CD25" i="10"/>
  <c r="CD97" i="10"/>
  <c r="CD141" i="10"/>
  <c r="CD145" i="10"/>
  <c r="CD153" i="10"/>
  <c r="CD157" i="10"/>
  <c r="BY9" i="10"/>
  <c r="BY25" i="10"/>
  <c r="BY97" i="10"/>
  <c r="BY141" i="10"/>
  <c r="BY145" i="10"/>
  <c r="BY153" i="10"/>
  <c r="BY157" i="10"/>
  <c r="W9" i="10"/>
  <c r="W25" i="10"/>
  <c r="W97" i="10"/>
  <c r="W141" i="10"/>
  <c r="W145" i="10"/>
  <c r="W153" i="10"/>
  <c r="W157" i="10"/>
  <c r="K9" i="10"/>
  <c r="K25" i="10"/>
  <c r="K97" i="10"/>
  <c r="K141" i="10"/>
  <c r="K145" i="10"/>
  <c r="K153" i="10"/>
  <c r="K157" i="10"/>
  <c r="F157" i="10"/>
  <c r="F153" i="10"/>
  <c r="F145" i="10"/>
  <c r="F141" i="10"/>
  <c r="F97" i="10"/>
  <c r="F25" i="10"/>
  <c r="F9" i="10"/>
  <c r="DV157" i="10"/>
  <c r="DV153" i="10"/>
  <c r="DV145" i="10"/>
  <c r="DV141" i="10"/>
  <c r="DV97" i="10"/>
  <c r="DV25" i="10"/>
  <c r="DV9" i="10"/>
  <c r="DR157" i="10"/>
  <c r="DR153" i="10"/>
  <c r="DR145" i="10"/>
  <c r="DR141" i="10"/>
  <c r="DR97" i="10"/>
  <c r="DR25" i="10"/>
  <c r="DR9" i="10"/>
  <c r="N157" i="10"/>
  <c r="N153" i="10"/>
  <c r="N145" i="10"/>
  <c r="N141" i="10"/>
  <c r="N97" i="10"/>
  <c r="N25" i="10"/>
  <c r="N9" i="10"/>
  <c r="V157" i="10"/>
  <c r="V153" i="10"/>
  <c r="V145" i="10"/>
  <c r="V141" i="10"/>
  <c r="V97" i="10"/>
  <c r="V25" i="10"/>
  <c r="V9" i="10"/>
  <c r="BF157" i="10"/>
  <c r="BG157" i="10"/>
  <c r="BF153" i="10"/>
  <c r="BG153" i="10"/>
  <c r="BF145" i="10"/>
  <c r="BG145" i="10"/>
  <c r="BF141" i="10"/>
  <c r="BG141" i="10"/>
  <c r="BF97" i="10"/>
  <c r="BG97" i="10"/>
  <c r="BF25" i="10"/>
  <c r="BG25" i="10"/>
  <c r="BF9" i="10"/>
  <c r="BG9" i="10"/>
  <c r="DH157" i="10"/>
  <c r="DH153" i="10"/>
  <c r="DH145" i="10"/>
  <c r="DH141" i="10"/>
  <c r="DH97" i="10"/>
  <c r="DH25" i="10"/>
  <c r="DH9" i="10"/>
  <c r="CO157" i="10"/>
  <c r="CO153" i="10"/>
  <c r="CO145" i="10"/>
  <c r="CO141" i="10"/>
  <c r="CO97" i="10"/>
  <c r="CO25" i="10"/>
  <c r="CO9" i="10"/>
  <c r="CZ157" i="10"/>
  <c r="CY157" i="10"/>
  <c r="CY153" i="10"/>
  <c r="CZ145" i="10"/>
  <c r="CY145" i="10"/>
  <c r="CZ141" i="10"/>
  <c r="CY141" i="10"/>
  <c r="CZ97" i="10"/>
  <c r="CY97" i="10"/>
  <c r="CZ25" i="10"/>
  <c r="CY25" i="10"/>
  <c r="CZ9" i="10"/>
  <c r="CY9" i="10"/>
  <c r="X175" i="3"/>
  <c r="X223" i="3"/>
  <c r="X231" i="3"/>
  <c r="X241" i="3"/>
  <c r="X245" i="3"/>
  <c r="DW9" i="10"/>
  <c r="DW25" i="10"/>
  <c r="DW97" i="10"/>
  <c r="DW141" i="10"/>
  <c r="DW145" i="10"/>
  <c r="DW153" i="10"/>
  <c r="DW157" i="10"/>
  <c r="BO157" i="10"/>
  <c r="BN157" i="10"/>
  <c r="BM157" i="10"/>
  <c r="BO153" i="10"/>
  <c r="BN153" i="10"/>
  <c r="BM153" i="10"/>
  <c r="BO145" i="10"/>
  <c r="BN145" i="10"/>
  <c r="BM145" i="10"/>
  <c r="BO141" i="10"/>
  <c r="BN141" i="10"/>
  <c r="BM141" i="10"/>
  <c r="BO97" i="10"/>
  <c r="BN97" i="10"/>
  <c r="BM97" i="10"/>
  <c r="BO25" i="10"/>
  <c r="BN25" i="10"/>
  <c r="BM25" i="10"/>
  <c r="BO9" i="10"/>
  <c r="BN9" i="10"/>
  <c r="BM9" i="10"/>
  <c r="AU157" i="10"/>
  <c r="AU153" i="10"/>
  <c r="AU145" i="10"/>
  <c r="AU141" i="10"/>
  <c r="AU97" i="10"/>
  <c r="AU25" i="10"/>
  <c r="AU9" i="10"/>
  <c r="BV157" i="10"/>
  <c r="BU157" i="10"/>
  <c r="BV153" i="10"/>
  <c r="BU153" i="10"/>
  <c r="BV145" i="10"/>
  <c r="BU145" i="10"/>
  <c r="BV141" i="10"/>
  <c r="BU141" i="10"/>
  <c r="BV97" i="10"/>
  <c r="BU97" i="10"/>
  <c r="BV25" i="10"/>
  <c r="BU25" i="10"/>
  <c r="BV9" i="10"/>
  <c r="BU9" i="10"/>
  <c r="CW9" i="10"/>
  <c r="BH9" i="10"/>
  <c r="CW25" i="10"/>
  <c r="BH25" i="10"/>
  <c r="CW97" i="10"/>
  <c r="BH97" i="10"/>
  <c r="CW141" i="10"/>
  <c r="BH141" i="10"/>
  <c r="CW145" i="10"/>
  <c r="BH145" i="10"/>
  <c r="CW153" i="10"/>
  <c r="BH153" i="10"/>
  <c r="CW157" i="10"/>
  <c r="BH157" i="10"/>
  <c r="DM9" i="10"/>
  <c r="DN9" i="10"/>
  <c r="DM25" i="10"/>
  <c r="DN25" i="10"/>
  <c r="DM141" i="10"/>
  <c r="DN141" i="10"/>
  <c r="DF157" i="10"/>
  <c r="DE157" i="10"/>
  <c r="DF153" i="10"/>
  <c r="DE153" i="10"/>
  <c r="DF145" i="10"/>
  <c r="DE145" i="10"/>
  <c r="DF141" i="10"/>
  <c r="DE141" i="10"/>
  <c r="DF97" i="10"/>
  <c r="DE97" i="10"/>
  <c r="DF25" i="10"/>
  <c r="DE25" i="10"/>
  <c r="DF9" i="10"/>
  <c r="DE9" i="10"/>
  <c r="DN157" i="10"/>
  <c r="DM157" i="10"/>
  <c r="DN153" i="10"/>
  <c r="DM153" i="10"/>
  <c r="DN145" i="10"/>
  <c r="DM145" i="10"/>
  <c r="DN97" i="10"/>
  <c r="DM97" i="10"/>
  <c r="C15" i="8" l="1"/>
  <c r="C10" i="8"/>
  <c r="C12" i="8"/>
  <c r="C14" i="8"/>
  <c r="C13" i="8"/>
  <c r="C9" i="8"/>
  <c r="B14" i="8"/>
  <c r="B9" i="8"/>
  <c r="B13" i="8"/>
  <c r="B15" i="8"/>
  <c r="B11" i="8"/>
  <c r="B12" i="8"/>
  <c r="B10" i="8"/>
  <c r="C4" i="8"/>
  <c r="C128" i="8" s="1"/>
  <c r="B4" i="8"/>
  <c r="B128" i="8" s="1"/>
  <c r="B8" i="8"/>
  <c r="C8" i="8"/>
  <c r="C87" i="8" l="1"/>
  <c r="C109" i="8"/>
  <c r="B87" i="8"/>
  <c r="B109" i="8"/>
  <c r="B26" i="8"/>
  <c r="B78" i="8"/>
  <c r="C26" i="8"/>
  <c r="C78" i="8"/>
  <c r="C39" i="8"/>
  <c r="C52" i="8"/>
  <c r="C156" i="8"/>
  <c r="C153" i="8"/>
  <c r="C147" i="8"/>
  <c r="C142" i="8"/>
  <c r="C99" i="8"/>
  <c r="C115" i="8"/>
  <c r="C95" i="8"/>
  <c r="C7" i="8"/>
  <c r="C17" i="8"/>
  <c r="C66" i="8" s="1"/>
  <c r="B17" i="8"/>
  <c r="B66" i="8" s="1"/>
  <c r="B39" i="8"/>
  <c r="B52" i="8"/>
  <c r="B156" i="8"/>
  <c r="B153" i="8"/>
  <c r="B147" i="8"/>
  <c r="B142" i="8"/>
  <c r="B99" i="8"/>
  <c r="B115" i="8"/>
  <c r="B95" i="8"/>
  <c r="B7" i="8"/>
  <c r="D12" i="8"/>
  <c r="D13" i="8"/>
  <c r="D9" i="8"/>
  <c r="D10" i="8"/>
  <c r="D14" i="8"/>
  <c r="D15" i="8"/>
  <c r="D8" i="8"/>
  <c r="D4" i="8"/>
  <c r="D128" i="8" s="1"/>
  <c r="D87" i="8" l="1"/>
  <c r="D109" i="8"/>
  <c r="D26" i="8"/>
  <c r="D78" i="8"/>
  <c r="D52" i="8"/>
  <c r="D156" i="8"/>
  <c r="D153" i="8"/>
  <c r="D147" i="8"/>
  <c r="D142" i="8"/>
  <c r="D99" i="8"/>
  <c r="D115" i="8"/>
  <c r="D95" i="8"/>
  <c r="D7" i="8"/>
  <c r="D17" i="8"/>
  <c r="D66" i="8" s="1"/>
  <c r="D39" i="8"/>
</calcChain>
</file>

<file path=xl/sharedStrings.xml><?xml version="1.0" encoding="utf-8"?>
<sst xmlns="http://schemas.openxmlformats.org/spreadsheetml/2006/main" count="29085" uniqueCount="5098">
  <si>
    <t>bis 5.000 €</t>
  </si>
  <si>
    <t>bis 2.500 €</t>
  </si>
  <si>
    <t>AXA</t>
  </si>
  <si>
    <t>-</t>
  </si>
  <si>
    <t>Versicherte Sachen</t>
  </si>
  <si>
    <t>Höchstentschädigung in Höhe der VS</t>
  </si>
  <si>
    <t>Verpuffung</t>
  </si>
  <si>
    <t>Überspannung</t>
  </si>
  <si>
    <t>Implosion</t>
  </si>
  <si>
    <t>Aquarien und Wasserbetten</t>
  </si>
  <si>
    <t>Sonstiges Zubehör</t>
  </si>
  <si>
    <t>Außenverkleidung</t>
  </si>
  <si>
    <t>bis 10.000 €</t>
  </si>
  <si>
    <t>Fußbodenheizung</t>
  </si>
  <si>
    <t>bis 1.000 €</t>
  </si>
  <si>
    <t>bis 50.000 €</t>
  </si>
  <si>
    <t>bis 500 €</t>
  </si>
  <si>
    <t>18 Monate</t>
  </si>
  <si>
    <t>Vandalismusschäden am eingefriedeten Gebäude</t>
  </si>
  <si>
    <t>Gebäudeglas-Versicherung (Außenverglasung)</t>
  </si>
  <si>
    <t>Erneuerug von Gartenbepflanzung</t>
  </si>
  <si>
    <t>bis 12 Monate</t>
  </si>
  <si>
    <t xml:space="preserve">Klima-, Wärmepumpen- und Solarheizungsanlagen </t>
  </si>
  <si>
    <t>bis 25.000 €</t>
  </si>
  <si>
    <t>Bruchschäden außerhalb des Versicherungsgrundstückes an:</t>
  </si>
  <si>
    <t>Bruchschäden außerhalb des Gebäudes auf dem Versicherungsgrundstück an:</t>
  </si>
  <si>
    <t>Gasleitungen</t>
  </si>
  <si>
    <t>Versicherte Kosten</t>
  </si>
  <si>
    <t>Garagen/Carports auf dem Versicherungsgrundstück</t>
  </si>
  <si>
    <t>privat genutztes Ein- oder Zweifamilienhaus</t>
  </si>
  <si>
    <t xml:space="preserve">Schwimmbecken </t>
  </si>
  <si>
    <t>Zu- und Ableitungsrohren der Wasserversorgung, Heizungsanlagen und deren Rohre, Sprinkler- und Berieselungsanlagen</t>
  </si>
  <si>
    <t>Mehrkosten aufgrund behördlicher Auflagen für Restwerte</t>
  </si>
  <si>
    <t>Beseitigung von Verstopfungen in Ableitungsrohren</t>
  </si>
  <si>
    <t>Überschallknall</t>
  </si>
  <si>
    <t>Innere Unruhen, Streik oder Aussperrung</t>
  </si>
  <si>
    <t>Wiederaufforstung von Bäumen</t>
  </si>
  <si>
    <t>Graffitientfernung</t>
  </si>
  <si>
    <t>an Zweifamilienhäusern</t>
  </si>
  <si>
    <t>Sanitäreinrichtungen (nicht Verschleiß)</t>
  </si>
  <si>
    <t>Schläuche (nicht Verschleiß)</t>
  </si>
  <si>
    <t>Heizkessel, Heizkörper (nicht Verschleiß)</t>
  </si>
  <si>
    <t>Feuerrohbau</t>
  </si>
  <si>
    <t>bis 24 Monate</t>
  </si>
  <si>
    <t>24 Monate
auch gewerbl. Räume</t>
  </si>
  <si>
    <t>Versicherte Gefahren und Schäden</t>
  </si>
  <si>
    <t>Obliegenheiten</t>
  </si>
  <si>
    <t>150 € SB</t>
  </si>
  <si>
    <t>bis 250 €</t>
  </si>
  <si>
    <t>Datenrettungskosten</t>
  </si>
  <si>
    <t>Erstattung persönlicher Auslagen</t>
  </si>
  <si>
    <t>bis 5.000 €
bei Schäden &gt; 5.000 €</t>
  </si>
  <si>
    <t>Rückstau</t>
  </si>
  <si>
    <t>bis 5.000 €
bei Schäden &gt; 25.000 €</t>
  </si>
  <si>
    <t>bis 18 Monate</t>
  </si>
  <si>
    <t>Die Grunddeckung beeinhaltet Brand, Blitzschlag, Explosion, Leitungswasser, Sturm/Hagel</t>
  </si>
  <si>
    <t>Photovoltaikanlagen</t>
  </si>
  <si>
    <t>Nebengebäude (u. a. Gartenhäuser und Geräteschuppen)</t>
  </si>
  <si>
    <t>Sachverständigenverfahren</t>
  </si>
  <si>
    <t>bei Schäden &gt; 25.000 €</t>
  </si>
  <si>
    <t>bis 10.000 €
bei Schäden &gt; 100.000 €</t>
  </si>
  <si>
    <t>Preissteigerungen</t>
  </si>
  <si>
    <t>bis 10.000 €
500 € SB</t>
  </si>
  <si>
    <t>bis 10qm</t>
  </si>
  <si>
    <t>bis 3.000 €
bei Schäden &gt; 10.000 €</t>
  </si>
  <si>
    <t>Gebäudebeschädigungen aufgrund eines Einbruchs</t>
  </si>
  <si>
    <t>Mietausfall</t>
  </si>
  <si>
    <t>Hotelkosten</t>
  </si>
  <si>
    <t>Reiserückholkosten</t>
  </si>
  <si>
    <t>Gasverlust bzw. Mehrverbrauch aufgrund eines versicherten Schadens</t>
  </si>
  <si>
    <t>Wasserverlust bzw. Mehrverbrauch aufgrund eines versicherten Schadens</t>
  </si>
  <si>
    <t>Entfernung durch Sturm umgestürzter Bäume vom Versicherungsgrundstück</t>
  </si>
  <si>
    <t>Mehrkosten aufgrund behördlicher Auflagen</t>
  </si>
  <si>
    <t>Honorare an Architekten und beratende Ingenieure</t>
  </si>
  <si>
    <t>Dekontaminationskosten</t>
  </si>
  <si>
    <t>Aufräumungs-, Abbruch-, Bewegungs- und Schutzkosten</t>
  </si>
  <si>
    <t>Innenliegende Regenfallrohre</t>
  </si>
  <si>
    <t>Armaturen (nicht Verschleiß)</t>
  </si>
  <si>
    <t>Innenliegenden Regenfallrohren</t>
  </si>
  <si>
    <t>Nutzwärmeschäden</t>
  </si>
  <si>
    <t>Vorsorge bei An- und Umbauten</t>
  </si>
  <si>
    <t>an Ein- und Zweifamilienhäuser</t>
  </si>
  <si>
    <t>Rauch, Ruß, Seng- und Schmorschäden</t>
  </si>
  <si>
    <t>nicht versichert</t>
  </si>
  <si>
    <t>Sturmflut, Grundwasser</t>
  </si>
  <si>
    <t>versichert</t>
  </si>
  <si>
    <t>optionaler Baustein Elementarrisiko</t>
  </si>
  <si>
    <t>Überschwemmung, Rückstau, Erdbeben, Erdsenkung, Erdrutsch, Schneedruck, Lawinen, Vulkanausbruch</t>
  </si>
  <si>
    <t>(Überschwemmung, Rückstau, Erdbeben), Erdsenkung, Erdrutsch, Schneedruck, Lawinen, Vulkanausbruch</t>
  </si>
  <si>
    <t>Sturmflut, Grundwasser, Überschwemmung aufgrund Ausuferung stehender oder fließender Gewässer</t>
  </si>
  <si>
    <t>Keine</t>
  </si>
  <si>
    <t>Auswahl 1</t>
  </si>
  <si>
    <t>Auswahl 2</t>
  </si>
  <si>
    <t>Auswahl 3</t>
  </si>
  <si>
    <t>zusätzlich versicherbar</t>
  </si>
  <si>
    <t>ja</t>
  </si>
  <si>
    <t>bis zur Höchstentschädigung</t>
  </si>
  <si>
    <t>600.000 €</t>
  </si>
  <si>
    <t>sofern im Vers.-Schein genannt</t>
  </si>
  <si>
    <t>3% der VS</t>
  </si>
  <si>
    <t>Sengschäden</t>
  </si>
  <si>
    <t>12 Monate
gewerbl. Räume auf Vereinb.</t>
  </si>
  <si>
    <t>Überschwemmung, Rückstau, Erdbeben, Erdfall, Erdrutsch, Schneedruck</t>
  </si>
  <si>
    <t>ja, für Gebäude bis 
10 Jahre ohne Zuschlag</t>
  </si>
  <si>
    <t>bis 7,5% der VS</t>
  </si>
  <si>
    <t>bis 10% der VS</t>
  </si>
  <si>
    <t>innere Unruhen</t>
  </si>
  <si>
    <t>ja
bei Schäden &gt; 10.000 €</t>
  </si>
  <si>
    <t>ja, wenn Folge eines am Gebäude eingetr. Schadens</t>
  </si>
  <si>
    <t>nur innerhalb versicherter Gebäude</t>
  </si>
  <si>
    <t>bis 2% der VS
(max 10.000 €)</t>
  </si>
  <si>
    <t>max 1.250 € pro Scheibe und 5.000 € je Schadenfall</t>
  </si>
  <si>
    <t>bis 2% der VS,
(max 10.000 €)</t>
  </si>
  <si>
    <t>bis 100 Tage
(max 100 € pro Tag)</t>
  </si>
  <si>
    <t>bis 100 Tage 
(max 100 € pro Tag)</t>
  </si>
  <si>
    <t>bis 10.000 €
(500 € SB)</t>
  </si>
  <si>
    <t>bis 1% der VS
(150 € SB)</t>
  </si>
  <si>
    <t>bis 1.000 €
(150 € SB)</t>
  </si>
  <si>
    <t>bis 1.000 €
(150€ SB)</t>
  </si>
  <si>
    <t>bis 5.000 €
(250 € SB)</t>
  </si>
  <si>
    <t>Bedingungswerk</t>
  </si>
  <si>
    <t>VGB 2008
Stand 01-2009</t>
  </si>
  <si>
    <t>VGB 2002
Stand 01-2008</t>
  </si>
  <si>
    <t>VGB Protect 2008
Stand 01-2008</t>
  </si>
  <si>
    <t>VGB 2008
Stand 09-2008</t>
  </si>
  <si>
    <t>bis 5% der VS</t>
  </si>
  <si>
    <t>24 Monate</t>
  </si>
  <si>
    <t>bis 2% der VS</t>
  </si>
  <si>
    <t>bei Schäden &gt; 50.000 €</t>
  </si>
  <si>
    <t>bis 1% der VS</t>
  </si>
  <si>
    <t>bis 1% der VS
bei Schäden &gt; 5.000 €</t>
  </si>
  <si>
    <t>bis 300 €</t>
  </si>
  <si>
    <t>12 Monate</t>
  </si>
  <si>
    <t>ja
(laufende Vers.-Periode)</t>
  </si>
  <si>
    <t>auch nicht der Versorgung 
dienende Leit. bis 1% der VS</t>
  </si>
  <si>
    <t>Überschwemmung, Rückstau, Erdbeben,  Erdrutsch, Schneedruck</t>
  </si>
  <si>
    <t>Erdsenkung, Lawinen, Vulkanausbruch, Sturmflut, Deichbruch, Grundwasser, Ausuferung von Nord-, Ostsee oder Elbe</t>
  </si>
  <si>
    <t>1.000.000 €</t>
  </si>
  <si>
    <t>VGB Existenz 2010
Stand 01-2010</t>
  </si>
  <si>
    <t>ja, (auf dem Grundstück 
bis 20.000 €)</t>
  </si>
  <si>
    <t>ja
(auch Mehrfamilienhäuser)</t>
  </si>
  <si>
    <t>bis 2.000 €</t>
  </si>
  <si>
    <t>Wasseraustritt aus (Nässeschäden):</t>
  </si>
  <si>
    <t>Plansch- und Reinigungswasser</t>
  </si>
  <si>
    <t>Bruchschäden innerhalb des Gebäudes an:</t>
  </si>
  <si>
    <t>bei Schäden &gt; 10.000 €</t>
  </si>
  <si>
    <t>ja
bei Schäden &gt; 5.000 €</t>
  </si>
  <si>
    <t>bis 200 Tage</t>
  </si>
  <si>
    <t>Lawinen, Vulkanausbruch, Sturmflut, Deichbruch, Grundwasser</t>
  </si>
  <si>
    <t>Kunde:</t>
  </si>
  <si>
    <t>Datum:</t>
  </si>
  <si>
    <t>VGB Protect 2000
Stand 10-2001</t>
  </si>
  <si>
    <t>unbedeutende
Nebengebäude</t>
  </si>
  <si>
    <t>ja, wenn angezeigt</t>
  </si>
  <si>
    <t>bis 10% der VS
(max 50.000 €)</t>
  </si>
  <si>
    <t>bis 2.500 €
(250 € SB)</t>
  </si>
  <si>
    <t>innere Unruhen
(bis 2.500 €, 250 € SB)</t>
  </si>
  <si>
    <t>max. 50.000 €</t>
  </si>
  <si>
    <t xml:space="preserve">bis 2% der VS bei aktueller Dichtigkeitsprüfung, sonst max.2.500 € (keine gewerblichen Zwecken dienende Rohre) </t>
  </si>
  <si>
    <t>Erdsenkung, Erdrutsch, Schneedruck, Erdbeben und Überschwemmung, Rückstau</t>
  </si>
  <si>
    <t>Lawinen, Vulkanausbruch, Schwamm, Sturmflut, Deichbruch, Grundwasser</t>
  </si>
  <si>
    <t>ITL afm Eurosecure 2009</t>
  </si>
  <si>
    <t>ITL Eurosecure 2010</t>
  </si>
  <si>
    <t>ITL Existenz 2010</t>
  </si>
  <si>
    <t>ITL afm Protect 2000</t>
  </si>
  <si>
    <t>AXA BOXplus Extra</t>
  </si>
  <si>
    <t>AXA BOXplus Standard</t>
  </si>
  <si>
    <t>keine Versicherungssumme
unbegrenzte Haftung</t>
  </si>
  <si>
    <t>ja, bis zur nächsten Hauptfälligkeit</t>
  </si>
  <si>
    <t>bis 75.000 €</t>
  </si>
  <si>
    <t>Überschwemmung, Rückstau, Erdbeben, Vulkanausbruch</t>
  </si>
  <si>
    <t>VGB 2008
Stand 05-2009</t>
  </si>
  <si>
    <t>Schneedruck, Lawinen, Erdfall, Erdrutsch versichert ohne Elementardeckung</t>
  </si>
  <si>
    <t>bis 100.000 €</t>
  </si>
  <si>
    <t>bis 20.000 €</t>
  </si>
  <si>
    <t>VGB Eurosecure 2008
Stand 07-2010</t>
  </si>
  <si>
    <t>Beiträge:</t>
  </si>
  <si>
    <t>Besonderheiten</t>
  </si>
  <si>
    <t>Domcura Komfort</t>
  </si>
  <si>
    <t>Domcura Top</t>
  </si>
  <si>
    <t xml:space="preserve"> nur Carports</t>
  </si>
  <si>
    <t>nur Carports</t>
  </si>
  <si>
    <t xml:space="preserve"> nur frostbedingte 
Bruchschäden</t>
  </si>
  <si>
    <t>bis 1 Mio. €</t>
  </si>
  <si>
    <t>bis 6.000 €</t>
  </si>
  <si>
    <t>bis 100 Tage
(max. 100 € pro Tag)</t>
  </si>
  <si>
    <t>bis 3.000 €</t>
  </si>
  <si>
    <t>Überschwemmung, Rückstau,
Erdbeben, Erdsenkung, Erdrutsch,
Schneedruck, Lawinen,
Vulkanausbruch</t>
  </si>
  <si>
    <t>VGB 2008
Stand 10-2009</t>
  </si>
  <si>
    <t>Generali Basis (qm)</t>
  </si>
  <si>
    <t>Generali KomfortPlus (qm)</t>
  </si>
  <si>
    <t>unbegrenzt</t>
  </si>
  <si>
    <t>bis 2.000 € x GNF</t>
  </si>
  <si>
    <t xml:space="preserve"> bis 2.000 € x GNF</t>
  </si>
  <si>
    <t>nur Wasserbetten</t>
  </si>
  <si>
    <t>bei Schäden &gt; 25.000 €
bis 50.000 € (20% SB)</t>
  </si>
  <si>
    <t>bis 1.500 €</t>
  </si>
  <si>
    <t>Feuerrohbau nur bei
3 Jähriger Laufzeit und
Gebäude nur versicherbar
bis 3 Stockwerke</t>
  </si>
  <si>
    <t>ERGO</t>
  </si>
  <si>
    <t>VGB 2008 
Stand 01-2010</t>
  </si>
  <si>
    <t>(optional Abwählbar)
Überschwemmung, Rückstau,
Erdbeben, Erdsenkung, Erdrutsch,
Schneedruck, Lawinen,
Vulkanausbruch</t>
  </si>
  <si>
    <t>zusätzlich versicherbar
bis 24 Monate</t>
  </si>
  <si>
    <t>Carports, sofern in Holz-, 
o. Leichtbauweise</t>
  </si>
  <si>
    <t>ja, soweit infolge eines
Rohrbruch- o. Frostschadens</t>
  </si>
  <si>
    <t>bei Schäden &gt; 5.000 €</t>
  </si>
  <si>
    <t>(inklusive in Allianz Optimal)
Überschwemmung, Rückstau,
Erdbeben, Erdfall, Erdrutsch,
Schneedruck, Lawinen,
Vulkanausbruch</t>
  </si>
  <si>
    <t>Elementarschäden inklusive</t>
  </si>
  <si>
    <t>VGB 2010
Stand 03-2010</t>
  </si>
  <si>
    <t>nur frostbedingte
Bruchschäden</t>
  </si>
  <si>
    <t>ja
max. 15 € je qm 
x Neuwertfaktor</t>
  </si>
  <si>
    <t>HUK Classic</t>
  </si>
  <si>
    <t>HUK Plus</t>
  </si>
  <si>
    <t>VGB 2009
Stand 03-2010</t>
  </si>
  <si>
    <t>bis 1 Jahr</t>
  </si>
  <si>
    <t>bis 3.000 €
(300 € SB)</t>
  </si>
  <si>
    <t>bis 10.000 €
(300 € SB)</t>
  </si>
  <si>
    <t>bis 300.000 €
(300 € SB)</t>
  </si>
  <si>
    <t>bis 10 kWp,
soweit vereinbart</t>
  </si>
  <si>
    <t>ja, wenn nicht d. Versorgung vers. Gebäude dienend</t>
  </si>
  <si>
    <t>ja, wenn d. Versorgung vers. Gebäude dienend</t>
  </si>
  <si>
    <t>Überschwemmung, Rückstau, Erdbeben, Erdsenkung, Erdrutsch, Schneedruck, Lawinen, Vulkanausbruch
14 Tage Wartezeit,1.000 € SB</t>
  </si>
  <si>
    <t>nur über Haus-/ Wohnungs-schutzbrief bis 500 €</t>
  </si>
  <si>
    <t>nur über Haus-/ Wohnungs-schutzbrief in einigen Fällen</t>
  </si>
  <si>
    <t xml:space="preserve">Haus-/ Wohnungsschutzbrief
versicherbar (Kostenübernahme für bestimmte Hilfeleistungen) </t>
  </si>
  <si>
    <t>soweit vereinbart</t>
  </si>
  <si>
    <t>&lt; 15 qm,
(&gt; 15 qm gegen Mehrbeitrag)</t>
  </si>
  <si>
    <t>Rauch / Ruß
infolge Brand</t>
  </si>
  <si>
    <t>ja
(nur frostbedingt)</t>
  </si>
  <si>
    <t>bis 24 Monate sind Sturm-/ Hagelschäden während der Bauzeit mitversichert</t>
  </si>
  <si>
    <t>Sengschäden bis 500 €</t>
  </si>
  <si>
    <t>max. 24 Monate</t>
  </si>
  <si>
    <t>max. 1.000 €</t>
  </si>
  <si>
    <t>max. 300 €</t>
  </si>
  <si>
    <t>max. 2.500 €</t>
  </si>
  <si>
    <t>max. 1% der VS</t>
  </si>
  <si>
    <t>Witterungsniederschläge, Überschwemmung, Rückstau,
Erdbeben, Erdsenkung, Erdrutsch,
Schneedruck, Lawinen,
Vulkanausbruch</t>
  </si>
  <si>
    <t>VGB 2008, Stand 01-2008</t>
  </si>
  <si>
    <t>zusätzlich versicherbar 
über Elementarversicherung</t>
  </si>
  <si>
    <t>nur frostbedingt</t>
  </si>
  <si>
    <t>bis 1% der VS,
soweit der Entsorgung häuslicher
Abwässer dienend</t>
  </si>
  <si>
    <t>max. 10.000 € (20% SB)
bei Schäden &gt; 25.000 €</t>
  </si>
  <si>
    <t>bis 750 €
(inkl. Austauschkosten)</t>
  </si>
  <si>
    <t>bis 15.000 €</t>
  </si>
  <si>
    <t>bis 10% der VS,
20% SB</t>
  </si>
  <si>
    <t>bis 25% der VS</t>
  </si>
  <si>
    <t>Hotline zur Wohngebäude-Versicherung (Handwerker/
Dienstleistungs-Service)</t>
  </si>
  <si>
    <t>VGB 2008
Stand 01-2008</t>
  </si>
  <si>
    <t>bis 3‰ der VS</t>
  </si>
  <si>
    <t>bis 15% der VS</t>
  </si>
  <si>
    <t>Schäden durch Regenwasser an Fußbodenbelegen, Tapeten und Farbinnenanstrichen bis 8.000 € versichert</t>
  </si>
  <si>
    <t>Whg: bis 3% der VS, max. 62 € je Tag
EH: bis 5% der VS, max. 62 € je Tag</t>
  </si>
  <si>
    <t>10% der VS</t>
  </si>
  <si>
    <t>bis 1% der VS,
max. 5.000 € (150 € SB)</t>
  </si>
  <si>
    <t>bis 8.000 €</t>
  </si>
  <si>
    <t>bis 5% der VS, sofern der Versorgung vers. Gebäude dienend</t>
  </si>
  <si>
    <t>bis 5% der VS,
soweit der Entsorgung häuslicher
Abwässer dienend
Ableitungsohre älter als 10 Jahre:
bis 3% der VS, max. 10.000 €</t>
  </si>
  <si>
    <t>max. 520 €</t>
  </si>
  <si>
    <t>max. 260 €</t>
  </si>
  <si>
    <t>max. 2.600 €</t>
  </si>
  <si>
    <t>Rauch / Ruß, 
max. 2 Tage Einwirkungszeitraum</t>
  </si>
  <si>
    <t>nur fest mit dem Gebäude verbundene Sachen</t>
  </si>
  <si>
    <t>zusätzlich versicherbar
bis 1.500 €</t>
  </si>
  <si>
    <t>bis 10 kWp</t>
  </si>
  <si>
    <t>nur fest mit dem Gebäude verbundene Sachen bis 5.000 €</t>
  </si>
  <si>
    <t>max. 500 €</t>
  </si>
  <si>
    <t>Laden-/ Schaufensterscheiben 
bis 1.000 €</t>
  </si>
  <si>
    <t>max. 5.000 € Neuwert, bis 5.000 € (Gewächshäuser bis 1.000 €)</t>
  </si>
  <si>
    <t>bis 5.000 €, sofern der Versorgung vers. Gebäude dienend</t>
  </si>
  <si>
    <t>max. 21 Tage, 200 € je Tag</t>
  </si>
  <si>
    <t>Überschwemmung, Rückstau, Erdbeben, Erdfall, Erdrutsch, Schneedruck, Lawinen, Vulkanausbruch</t>
  </si>
  <si>
    <t>bis 5% der VS (auch nicht der Versorgung vers. Gebäude dienend)</t>
  </si>
  <si>
    <t>bis 5.000 € (auch nicht der Versorgung vers. Gebäude dienend)</t>
  </si>
  <si>
    <t>ja
(innerhalb von Gebäuden)</t>
  </si>
  <si>
    <t>Kfz bis 500 €, auch unbemannte Flugkörper (bis zur VS)</t>
  </si>
  <si>
    <t>bei Schäden &gt; 5.000 €,
bis 5.000 €</t>
  </si>
  <si>
    <t>Nur Schäden aufgrund ED, bzw. dem Versuch von ED bis 500 €</t>
  </si>
  <si>
    <t>Regiekosten bis 500 €
ab Schäden &gt; 5.000 €</t>
  </si>
  <si>
    <t>max. 24 Monate (auch gewerbl. Nutzung bis 5.000 €)</t>
  </si>
  <si>
    <t>ja, Rauch und Ruß auch ohne versicherten Brandherd</t>
  </si>
  <si>
    <t>ja, auch durch Stromschwankungen oder Kurzschluss</t>
  </si>
  <si>
    <t>ja
(auch Tierbiss)</t>
  </si>
  <si>
    <t>ja, bei Schäden &gt; 5.000 € (keine Mindest-/Höchstdauer d. Reise)</t>
  </si>
  <si>
    <t>VGB 2010
Stand 04-2011</t>
  </si>
  <si>
    <t>ja
(max. 1.500.000 €)</t>
  </si>
  <si>
    <t>Luft-, Straßen- und 
Schienenfahrzeuge</t>
  </si>
  <si>
    <t>ja
(500 € SB bei Sengschäden)</t>
  </si>
  <si>
    <t xml:space="preserve">bis 3.000 € Mitversicherung von Marderbissen an elektr. Anlagen innerhalb Gebäuden </t>
  </si>
  <si>
    <t>bis 2.500 €,
der Versorgung dienend</t>
  </si>
  <si>
    <t>bis 2.000 € - der Entsorgung dienende
bis 10.000 €, wenn Nachweis vorliegt, dass in den letzten 10 Jahren eine Dichtigkeits-prüfung durchgeführt wurde</t>
  </si>
  <si>
    <t>ja (15% SB)
bei Schäden &gt; 20.000 €</t>
  </si>
  <si>
    <t>bis 10.000 €
bei Schäden &gt; 5.000 €</t>
  </si>
  <si>
    <t>bis 5.000 €,
200 € SB</t>
  </si>
  <si>
    <t>zusätzlich versicherbar
bis 5.000 €, 500 € SB</t>
  </si>
  <si>
    <t>nur Luftfahrzeuge</t>
  </si>
  <si>
    <t>ja, auch Zimmerbrunnen, Wassersäulen und Terrarien</t>
  </si>
  <si>
    <t>ja, auch Terrarien</t>
  </si>
  <si>
    <t>max. 1 Jahr nach 
Baubeginn</t>
  </si>
  <si>
    <t>bis 1 Jahr
(max. 100 € pro Tag)</t>
  </si>
  <si>
    <t>bis 150 Tage
(max. 100 € pro Tag)</t>
  </si>
  <si>
    <t xml:space="preserve">bis 5.000 €,
200 € SB </t>
  </si>
  <si>
    <t>bis 2.500 €, auch
nicht der Versorgung dienend</t>
  </si>
  <si>
    <t>ja, der Versorgung dienende Zuleitungsrohre</t>
  </si>
  <si>
    <t>auch Überdachungen, Pavill-ons auf Fundament, Grillhütten</t>
  </si>
  <si>
    <t>ja,
max. 15 kWp</t>
  </si>
  <si>
    <t>SB-Regelung Elementarversicherung</t>
  </si>
  <si>
    <t>zusätzlich versicherbar
über Elementarversicherung</t>
  </si>
  <si>
    <t>Erdbeben: mind. 1.000 €, max. 2.500 €;
Rückstau/Überschwemmung: mind. 500 €, max. 5.000 €; restliche: 500 €</t>
  </si>
  <si>
    <t>10%,
mind. 500, max. 5.000 €</t>
  </si>
  <si>
    <t>Erdbeben/Überschwemmung/ Rückstau: 1.000 €;
weitere Elementargefahren: 250 €</t>
  </si>
  <si>
    <t>10% der VS,
mind. 500 €, max. 5.000 €</t>
  </si>
  <si>
    <t>1.000 €</t>
  </si>
  <si>
    <t>ZÜRS 1: 10%, mind. 500€, max. 5.000 €
ZÜRS 2: 20%, mind. 1.000 €
ZÜRS 3: 20%, mind. 5.000 €</t>
  </si>
  <si>
    <t>2.000 DM</t>
  </si>
  <si>
    <t>ZÜRS 1: 10%, mind. 500€, max. 5.000 €
ZÜRS 2: 20%, mind. 1.000 €</t>
  </si>
  <si>
    <t>10%, 
mind. 500 €, max. 5.000 €</t>
  </si>
  <si>
    <t>10% der VS,
mind. 500 €</t>
  </si>
  <si>
    <t>10% der VS,
mind. 250 €, max. 5.000 €</t>
  </si>
  <si>
    <t>Elementarzone I: 500 €
Elementarzone II: 1.000 €</t>
  </si>
  <si>
    <t>bis 2.500 €
(500 € SB)</t>
  </si>
  <si>
    <t>bis 1.000 €, darüber hinaus 50% d.
Schadens, max. 50.000 €</t>
  </si>
  <si>
    <t>bis 50.000 €
(2.500 € SB)</t>
  </si>
  <si>
    <t>Rauch und Ruß</t>
  </si>
  <si>
    <t>max. 5.000 €
bei Schäden &gt; 25.000 €</t>
  </si>
  <si>
    <t>ja (Gartenhäuser/ Gewächshäuser bis 10 qm, max. 1.500 €)</t>
  </si>
  <si>
    <t>Wasseraustritt aus
Fußbodenheizung</t>
  </si>
  <si>
    <t>24 Monate,
auch gewerbl. Räume</t>
  </si>
  <si>
    <t>mutwillige Beschädigung bis 
50.000 € (2.500 € SB)</t>
  </si>
  <si>
    <t>max. 1 Mio. €
bei Schäden &gt; 25.000 €</t>
  </si>
  <si>
    <t>Garten- und Gewächshäuser</t>
  </si>
  <si>
    <t>Überdachungen</t>
  </si>
  <si>
    <t>Sengschäden (Rauch-/Ruß
zusätzlich versicherbar)</t>
  </si>
  <si>
    <t>Wasserverlust</t>
  </si>
  <si>
    <t>bis 200 Tage
(max. 100 € pro Tag)</t>
  </si>
  <si>
    <t>ja
bei Schäden &gt; 50.000 €</t>
  </si>
  <si>
    <t>ja
inkl. Öl-/ Gastanks</t>
  </si>
  <si>
    <t>bis 500 € (+500 € für Verpflegung von Hilfeleistenden)</t>
  </si>
  <si>
    <r>
      <t xml:space="preserve">bis 5.000 € bei Gebäudealter bis 26 J. (zw. 11-26 J. mit 20% SB), danach </t>
    </r>
    <r>
      <rPr>
        <u/>
        <sz val="7"/>
        <rFont val="Arial"/>
        <family val="2"/>
      </rPr>
      <t>optional</t>
    </r>
    <r>
      <rPr>
        <sz val="7"/>
        <rFont val="Arial"/>
        <family val="2"/>
      </rPr>
      <t xml:space="preserve"> über Zusatzbaustein; </t>
    </r>
    <r>
      <rPr>
        <b/>
        <u/>
        <sz val="7"/>
        <rFont val="Arial"/>
        <family val="2"/>
      </rPr>
      <t>oder</t>
    </r>
    <r>
      <rPr>
        <sz val="7"/>
        <rFont val="Arial"/>
        <family val="2"/>
      </rPr>
      <t xml:space="preserve"> uneingeschränkt nach Dichtigkeitsprüfung</t>
    </r>
  </si>
  <si>
    <t>Rhion Plus
(Stand 04-2011)</t>
  </si>
  <si>
    <t>Rhion Standard
(Stand 04-2011)</t>
  </si>
  <si>
    <t>VHV Exklusiv
(Stand 09-2008)</t>
  </si>
  <si>
    <t>VHV Klassik
(Stand 09-2008)</t>
  </si>
  <si>
    <t>Neuendorfer
(Stand 01-2008)</t>
  </si>
  <si>
    <t>ja, innerhalb Kllimakasko 
(abwählbar)</t>
  </si>
  <si>
    <t>ja,
mit Jungpflanzen</t>
  </si>
  <si>
    <t>an Zwei- und
Mehrfamilienhäusern</t>
  </si>
  <si>
    <t>bis 30.000 €</t>
  </si>
  <si>
    <t>max. 3 Stück (auch in der Nähe des Grundstücks)</t>
  </si>
  <si>
    <t>36 Monate; auch gewerbl. Räume (12 Monate, max. 12.000 €)</t>
  </si>
  <si>
    <t>18 Monate; für gewerbl. Räume
zusätzl. bis 12 Monate versicherbar</t>
  </si>
  <si>
    <t>-Ersatz von Darlehenszinsen 
bis 10.000 €, max. 18 Monate</t>
  </si>
  <si>
    <t>max. 25.000 €
bei Schäden &gt; 25.000 €</t>
  </si>
  <si>
    <t>bis 150 €</t>
  </si>
  <si>
    <t>Ertragsausfall 
zusätzlich versicherbar</t>
  </si>
  <si>
    <t>200 € SB,
3.000 € SB bei Erdbeben</t>
  </si>
  <si>
    <t>ja
(Flüssigkeitsaustritt)</t>
  </si>
  <si>
    <t>bis 20 €/qm
(erhöhbar auf 40 €/qm)</t>
  </si>
  <si>
    <t>Panzerschläuche</t>
  </si>
  <si>
    <t>entstandene Fahrtmehrkosten
bei Schäden &gt; 5.000 €</t>
  </si>
  <si>
    <t>Neubauwert
(ohne Begrenzung durch VS)</t>
  </si>
  <si>
    <t>HUK Classic
(Stand 03-2010)</t>
  </si>
  <si>
    <t>HUK Plus
(Stand 03-2010)</t>
  </si>
  <si>
    <t>Überschwemmung, Rückstau, Erdsenkung, Erdrutsch, Schneedruck, Lawinen, Vulkanausbruch,
Erdbeben einzelnd versicherbar</t>
  </si>
  <si>
    <t>&lt; 20 qm</t>
  </si>
  <si>
    <t>&lt; 15 qm
(größer, sofern vereinbart)</t>
  </si>
  <si>
    <t>nur Bestandteile, die mit dem
Gebäude fest verbunden sind</t>
  </si>
  <si>
    <t>ja, bis zum Ende des Versicherungsjahrs des Umbaus</t>
  </si>
  <si>
    <t>bis 10 kWp (auch Marderbiss)
sofern vereinbart</t>
  </si>
  <si>
    <t>anstatt Mietwert möglich bis 1 Jahr
(max. 100 € pro Tag)</t>
  </si>
  <si>
    <t>ja
(300 € SB)</t>
  </si>
  <si>
    <t>(300 € SB)</t>
  </si>
  <si>
    <t>nur über Haus-/ Wohnungs-schutzbrief in einigen Fällen bis 500 €</t>
  </si>
  <si>
    <t>Fahrtmehrkosten
bei Schäden &gt; 5.000 €</t>
  </si>
  <si>
    <t>bis 15 Monate</t>
  </si>
  <si>
    <t>Rauch / Ruß infolge Brand
und Sengschäden</t>
  </si>
  <si>
    <t>mit Zu-/ Ableitungssystem
verbundene Schläuche</t>
  </si>
  <si>
    <t>ja, soweit Versorgung versicherter Gebäude dienend</t>
  </si>
  <si>
    <t>zusätzlich versicherbar
bis 5.000 €</t>
  </si>
  <si>
    <t>Über Paket Ableitungsrohre
(100 € je qm Wohnfläche * geltender Anpassungsfaktor)</t>
  </si>
  <si>
    <t>500 €</t>
  </si>
  <si>
    <t>über Paket Grundstück &amp; Garten
bis 10.000 €</t>
  </si>
  <si>
    <t>bis 25.000 € (über Paket 
Risiko Plus max. 50.000 €)</t>
  </si>
  <si>
    <t>über Paket Risiko Plus
bis 10.000 €</t>
  </si>
  <si>
    <t>über Paket Risiko Plus
1.000 € je qm * Anpassungsfaktor</t>
  </si>
  <si>
    <t>über Baustein Risiko Plus
Schäden &gt; 5.000 €, max. 10.000 €</t>
  </si>
  <si>
    <t>über Paket Risiko Plus
bis 24 Monate</t>
  </si>
  <si>
    <t>Rauch / Ruß (über Paket Risiko Plus auch Sengschäden)</t>
  </si>
  <si>
    <t>max. 5.000 € (über Paket Risiko Plus
ohne Begrenzung)</t>
  </si>
  <si>
    <t>über Paket Risiko Plus</t>
  </si>
  <si>
    <t>bis 200 € (über Paket Risiko Plus
bis 500 €)</t>
  </si>
  <si>
    <t>über Paket Risiko Plus
bis 1.000 €</t>
  </si>
  <si>
    <t xml:space="preserve">über Paket Risiko Plus - Handwerkerservice (bis 300 €) </t>
  </si>
  <si>
    <t>Telefonkosten im Zusammenhang mit Versicherungsfall bis 100 €</t>
  </si>
  <si>
    <t>VGB 2011
Stand 01-2011</t>
  </si>
  <si>
    <t>-über Paket Rundum Sorglos Versicherung unbenannter Gefahren möglich/ bis 12 Monate Beitrags-befreiung bei Arbeitslosigkeit
-Handwerkerservice versicherbar</t>
  </si>
  <si>
    <t>20 € je qm * Anpassungsfaktor (über Grundst.&amp;Garten 200 € je qm * AF)</t>
  </si>
  <si>
    <t>100 € je qm* Anpassungsfaktor (über  
Risiko Plus auch ohne Begrenzung)</t>
  </si>
  <si>
    <t>12 Monate (über Paket Risiko Plus bis 24 Monate, gewerbl. 6 Monate)</t>
  </si>
  <si>
    <t>ja (wenn nicht Versorgung versicher-ter Gebäude dienend 20 € je qm * An-passungsfaktor, über Grundst.&amp;Garten 200 € je qm * AF))</t>
  </si>
  <si>
    <t>bis zum Schluss der laufenden 
Versicherungsperiode</t>
  </si>
  <si>
    <t>bis 100 € je qm * Anpassungsfaktor  (über Risiko Plus 500 € je qm * AF)</t>
  </si>
  <si>
    <t>über Paket Rundum Sorglos Ertragsausfall ab dem 3. Tag 
2,50 € je kWp / Tag (max. 6 Monate, max. 10 kWp)</t>
  </si>
  <si>
    <t>Verzicht auf Einrede der groben Fahrlässigkeit</t>
  </si>
  <si>
    <t>Quelle:</t>
  </si>
  <si>
    <t>Leistungsübersicht</t>
  </si>
  <si>
    <t xml:space="preserve">zusätzlich versicherbar (bis 10 kWp)
- Nutzungsausfallversicherung oder
Allgefahren-/Ertragsausfalldeckung möglich - </t>
  </si>
  <si>
    <t>Rechner</t>
  </si>
  <si>
    <t>bis 5.000 € (fest verankerte Kinder- spielgeräte / Grillkamin bis 1.000 €)</t>
  </si>
  <si>
    <t>bis 10.000 € (fest verankerte Kinder-spielgeräte / Grillkamin bis 2.500 €)</t>
  </si>
  <si>
    <t>ja
(max. 1 Jahr)</t>
  </si>
  <si>
    <t>18 Monate
auch gewerbliche Räume</t>
  </si>
  <si>
    <t>24 Monate
auch gewerbliche Räume</t>
  </si>
  <si>
    <t>Preisinformation</t>
  </si>
  <si>
    <t>VGB §4, Ziff. 1 b)</t>
  </si>
  <si>
    <t>Sturmflut, Grundwasser, durch Austrocknung verursachter Erdfall</t>
  </si>
  <si>
    <t>VGB §4, Ziff. 4</t>
  </si>
  <si>
    <t>Leistungsübersicht + Klauselbogen</t>
  </si>
  <si>
    <t>Klauselbogen</t>
  </si>
  <si>
    <t>Rechner + Klauselbogen</t>
  </si>
  <si>
    <t>Klauselbogen + Leistungsübersicht</t>
  </si>
  <si>
    <t>bis 2.500 €
(auch Sträucher)</t>
  </si>
  <si>
    <t>bis 2.000 € je Schadenfall,
max. 6.000 € pro Jahr</t>
  </si>
  <si>
    <t>bis 2.500 €
bei Schäden &gt; 5.000 €</t>
  </si>
  <si>
    <t>VGB 2011
Stand 11-2010</t>
  </si>
  <si>
    <t>VGB § 8, Ziff. 4</t>
  </si>
  <si>
    <t>VGB § 3, Ziff. 1. a) bb)</t>
  </si>
  <si>
    <t>VGB § 3, Ziff. 1. a) dd)</t>
  </si>
  <si>
    <t>VGB § 3, Ziff. 1 a) aa)</t>
  </si>
  <si>
    <t>nur frostbedingte Bruchschäden</t>
  </si>
  <si>
    <t>VGB § 3, Ziff. 1 b) bb)</t>
  </si>
  <si>
    <t>VGB § 3, Ziff. 1 b) aa)</t>
  </si>
  <si>
    <t>VGB § 3, Ziff. 3.</t>
  </si>
  <si>
    <t>VGB § 3, Ziff. 4 a) bb)</t>
  </si>
  <si>
    <t>Diebstahl von Photovoltaikanlage ist versicherbar</t>
  </si>
  <si>
    <t>BPV § 4, Ziff. 1</t>
  </si>
  <si>
    <t>VGB § 2, Ziff. 6</t>
  </si>
  <si>
    <t>VGB § 2, Ziff. 5</t>
  </si>
  <si>
    <t>VGB § 2, Ziff. 7</t>
  </si>
  <si>
    <t>VGB § 1, Ziff. 2</t>
  </si>
  <si>
    <t>VGB § 5, Ziff. 2 c)</t>
  </si>
  <si>
    <t>Preisübersicht + Klauselbogen</t>
  </si>
  <si>
    <t>Preisinformation + Klauselbogen</t>
  </si>
  <si>
    <t>Klauselbogen + Preisinformation</t>
  </si>
  <si>
    <t>ja
(auch Geruchsverschlüsse)</t>
  </si>
  <si>
    <t>bis 500 € (Verlust von wärme-tragenden Flüssigkeiten bis 5.000 €)</t>
  </si>
  <si>
    <t>VGB §9 / Preisinformation</t>
  </si>
  <si>
    <t>-Reparaturkosten für provisorische 
Maßnahmen bis 250 €
-Schadenermittlungskosten 
bis 250 €
-Transport-/Lagerkosten bis 6 Mon.
-Bewachungskosten bis 48 h
-Unbewohntsein bis 90 Tage</t>
  </si>
  <si>
    <t>VGB §9 + Preisinformation</t>
  </si>
  <si>
    <t>bis 2.500 €
bei Schäden &gt; 25.000 €</t>
  </si>
  <si>
    <t>-Reparaturkosten für provisorische 
Maßnahmen bis 500 €
-Schadenermittlungskosten 
bis 500 €
-Transport-/Lagerkosten 12 Mon.
-Bewachungskosten bis 48 h
-Unbewohntsein bis 90 Tage
-Kosten für Verkehrssicherungs-maßnahmen bis 5.000 €
-Mehrkosten für altersgerechte 
Umgestaltung bei Schäden &gt; 10.000 € bis 5.000 € versicherbar (VN &gt; 50 Jahre)
-Mehrkosten für energetische Modernisierung bei Schäden &gt; 10.000 € versicherbar</t>
  </si>
  <si>
    <t>500 €
(Erdbeben: 1% der VS, max. 5.000 €)</t>
  </si>
  <si>
    <t>zusätzlich versicherbar
innerhalb "Domizil"
bis 1% der VS</t>
  </si>
  <si>
    <t>Generali KomfortPlus (qm)
(Stand 01-2010)</t>
  </si>
  <si>
    <t>HFK Hausverwalter
(Stand 01-2009)</t>
  </si>
  <si>
    <t>HFK mit Zusatzdeckung
(Stand 01-2009)</t>
  </si>
  <si>
    <t>HFK ohne Zusatzdeckung
(Stand 01-2009)</t>
  </si>
  <si>
    <t>B2 zu § 1.1</t>
  </si>
  <si>
    <t>B2 zu § 3</t>
  </si>
  <si>
    <t>B2 zu § 9, 2.</t>
  </si>
  <si>
    <t>B2 zu § 9, 3.</t>
  </si>
  <si>
    <t>B2 zu § 9, 4.</t>
  </si>
  <si>
    <t>B2 zu § 9, 5.</t>
  </si>
  <si>
    <t>B2 zu § 9, 6.</t>
  </si>
  <si>
    <t>B2 zu § 9, 7.</t>
  </si>
  <si>
    <t>-Verkehrssicherungsmaßnahmen bis 5.000 €</t>
  </si>
  <si>
    <t>B2 zu § 9, 8.</t>
  </si>
  <si>
    <t>ja (bei Obliegenheitsverletzungen 
bis 10.000 €)</t>
  </si>
  <si>
    <t>B2 zu § 20 / § 16.3</t>
  </si>
  <si>
    <t>B3; § 2</t>
  </si>
  <si>
    <t>B3; § 10</t>
  </si>
  <si>
    <t>B3; § 12</t>
  </si>
  <si>
    <t>B4</t>
  </si>
  <si>
    <t>bis 250 € (Austausch nach 
einem Rohrbruch bis 500 €)</t>
  </si>
  <si>
    <t>B2 zu § 3 / B2 zur § 9</t>
  </si>
  <si>
    <t>VGB; B1; § 2, Ziff. 5</t>
  </si>
  <si>
    <t>VGB; B1; § 2, Ziff. 4</t>
  </si>
  <si>
    <t>VGB; B1; § 2, Ziff. 3</t>
  </si>
  <si>
    <t>VGB; B1; § 2, Ziff. 2</t>
  </si>
  <si>
    <t>Sengschäden
(gemäß Leistungsübersicht)</t>
  </si>
  <si>
    <t>Rauchschäden (gemäß Leistungs-
übersicht auch Sengschäden)</t>
  </si>
  <si>
    <t>B2 zu § 1.1 / VGB; B1; § 2, Ziff. 2 / Leistungsübersicht</t>
  </si>
  <si>
    <t>VGB; B1; § 2, Ziff. 2 / Leistungsübersicht</t>
  </si>
  <si>
    <t>VGB; B1; § 6, Ziff. 1</t>
  </si>
  <si>
    <t>VGB; B1; § 6, Ziff. 2</t>
  </si>
  <si>
    <t>VGB; B1; § 3, Ziff. 3</t>
  </si>
  <si>
    <t>VGB; B1; § 3, Ziff. 4 a) aa)</t>
  </si>
  <si>
    <t>VGB; B1; § 3, Ziff. 4 a) bb)</t>
  </si>
  <si>
    <t>VGB; B1; § 3, Ziff. 1 a) bb)</t>
  </si>
  <si>
    <t>VGB; B1; § 3, Ziff. 1 a) dd)</t>
  </si>
  <si>
    <t>VGB; B1; § 3, Ziff. 1 b) aa)</t>
  </si>
  <si>
    <t>VGB; B1; § 3, Ziff. 1 b) bb)</t>
  </si>
  <si>
    <t>VGB; B1; § 3, Ziff. 1 a) aa)</t>
  </si>
  <si>
    <t>ja (gemäß Leistungsübersicht 
bis 250 €)</t>
  </si>
  <si>
    <t>VGB; B1; § 5</t>
  </si>
  <si>
    <t>B3</t>
  </si>
  <si>
    <t>VGB; B1; § 7.1</t>
  </si>
  <si>
    <t>VGB; B1; § 7.2 d) cc)</t>
  </si>
  <si>
    <t>VGB; B1; § 7.2 b) hh)</t>
  </si>
  <si>
    <t>VGB; B1; § 7.2 d) ff)</t>
  </si>
  <si>
    <t>VGB; B1; § 7.3 a)</t>
  </si>
  <si>
    <t>VGB; B1; § 7.2 c)</t>
  </si>
  <si>
    <t>VGB; B1; § 9, Ziff. 1 b) / Ziff. 3</t>
  </si>
  <si>
    <t>VGB; B1; § 9, Ziff. 1 b) / Ziff. 5</t>
  </si>
  <si>
    <t>VGB; B1; § 9, Ziff. 6</t>
  </si>
  <si>
    <t>VGB; B1; § 9, Ziff. 9</t>
  </si>
  <si>
    <t>VGB; B1; § 9, Ziff. 8</t>
  </si>
  <si>
    <t>VGB; B1; § 9, Ziff. 10 d)</t>
  </si>
  <si>
    <t>VGB; B1; § 10, Ziff. 1 e) / Ziff. 5</t>
  </si>
  <si>
    <t>VGB; B1; § 10, Ziff. 1 a) / Ziff. 5 / § 13, Ziff. 1 d)</t>
  </si>
  <si>
    <t>VGB; B1; § 10, Ziff. 1 a) / Ziff. 5</t>
  </si>
  <si>
    <t>VGB; B1; § 11, Ziff. 2 a)</t>
  </si>
  <si>
    <t>bis 12 Monate
(gemäß Leistungsübersicht)</t>
  </si>
  <si>
    <t>VGB; B1; § 13, Ziff. 1 a)</t>
  </si>
  <si>
    <t>VGB; B1; § 20, Ziff. 1</t>
  </si>
  <si>
    <t>VGB; B1; § 3, Ziff. 2</t>
  </si>
  <si>
    <t>WG 0101 / Leistungsübersicht</t>
  </si>
  <si>
    <t>WG 0102 / Leistungsübersicht</t>
  </si>
  <si>
    <t>WG 0104 / Leistungsübersicht</t>
  </si>
  <si>
    <t>VGB; Ziff. 4.2.1</t>
  </si>
  <si>
    <t>WG 0105 / Leistungsübersicht</t>
  </si>
  <si>
    <t>WG 0106 / Leistungsübersicht</t>
  </si>
  <si>
    <t>WG 0107</t>
  </si>
  <si>
    <t>WG 0108</t>
  </si>
  <si>
    <t>WG 0110 / Leistungsübersicht</t>
  </si>
  <si>
    <t>WG 0110 / WG 0111 / Leistungsübersicht</t>
  </si>
  <si>
    <t>bis 5 € je qm Wohnfläche
x GNF</t>
  </si>
  <si>
    <t>WG 0112 / Leistungsübersicht</t>
  </si>
  <si>
    <t>WG 0114 / Leistungsübersicht</t>
  </si>
  <si>
    <t>WG 0117 / Leistungsübersicht</t>
  </si>
  <si>
    <t>WG 0118 / Leistungsübersicht</t>
  </si>
  <si>
    <t>WG 0120 / Leistungsübersicht</t>
  </si>
  <si>
    <t>WG 0121 / Leistungsübersicht</t>
  </si>
  <si>
    <t>WG 0167 / Leistungsübersicht</t>
  </si>
  <si>
    <t>WG 0122 / Leistungsübersicht</t>
  </si>
  <si>
    <t>WG 0123 / Leistungsübersicht</t>
  </si>
  <si>
    <t>WG 0124 / Leistungsübersicht</t>
  </si>
  <si>
    <t>WG 0138 / Leistungsübersicht</t>
  </si>
  <si>
    <t>WG 0143 / Leistungsübersicht</t>
  </si>
  <si>
    <t>WG 0144 / Leistungsübersicht</t>
  </si>
  <si>
    <t>WG 0145 / Leistungsübersicht</t>
  </si>
  <si>
    <t>WG 0146 / Leistungsübersicht</t>
  </si>
  <si>
    <t>WG 0151 / Leistungsübersicht</t>
  </si>
  <si>
    <t>WG 0153 / Leistungsübersicht</t>
  </si>
  <si>
    <t>WG 0157</t>
  </si>
  <si>
    <t>Überschwemmung, Rückstau,
Erdbeben, Erdfall, Erdrutsch,
Schneedruck, Lawinen,
Vulkanausbruch</t>
  </si>
  <si>
    <t>WG 0141 / WG 0165 / Leistungsübersicht</t>
  </si>
  <si>
    <t>16 € je qm x GNF</t>
  </si>
  <si>
    <t>10 € je qm x GNF</t>
  </si>
  <si>
    <t>VGB; Ziff. 2.1.1 / Ziff. 2.1.2 / Leistungsübersicht</t>
  </si>
  <si>
    <t>VGB; Ziff. 15.5</t>
  </si>
  <si>
    <t>VGB; Ziff. 12.1.3 / Leistungsübersicht</t>
  </si>
  <si>
    <t>VGB; Ziff. 12.1.2</t>
  </si>
  <si>
    <t>Antrag / Leistungsübersicht</t>
  </si>
  <si>
    <t>Antrag</t>
  </si>
  <si>
    <t>VGB; Ziff. 1.1</t>
  </si>
  <si>
    <t>VGB; Ziff. 1.2</t>
  </si>
  <si>
    <t>VGB; Ziff. 6.3.3</t>
  </si>
  <si>
    <t>VGB; Ziff. 6.1</t>
  </si>
  <si>
    <t>VGB; Ziff. 7.1.4</t>
  </si>
  <si>
    <t>VGB; Ziff. 7.4.1</t>
  </si>
  <si>
    <t>VGB; Ziff. 7.3</t>
  </si>
  <si>
    <t>VGB; Ziff. 7.4.2</t>
  </si>
  <si>
    <t>Tarif; Ziff. 6.2.5</t>
  </si>
  <si>
    <t>VGB; Ziff. 3.3 / Leistungsübersicht</t>
  </si>
  <si>
    <t>VGB; Ziff. 5.4</t>
  </si>
  <si>
    <t>VGB; Ziff. 5.5</t>
  </si>
  <si>
    <t>VGB; Ziff. 5.6.1</t>
  </si>
  <si>
    <t>VGB; Ziff. 4.4.1</t>
  </si>
  <si>
    <t>VGB; Ziff. 5.1</t>
  </si>
  <si>
    <t>WG 0157 / Antrag</t>
  </si>
  <si>
    <t>bis 12 Monate (beitragsfrei bei 3-jähriger Vertragslaufzeit)</t>
  </si>
  <si>
    <t>bis 24 Monate (beitragsfrei bei 3-jähriger Vertragslaufzeit)</t>
  </si>
  <si>
    <t>Antrag / Leistungsübersicht / Tarif</t>
  </si>
  <si>
    <t>VGB; Ziff. 12.1.1</t>
  </si>
  <si>
    <t>WG 0125 / WG 0126 / WG 0127 / WG 0166</t>
  </si>
  <si>
    <t>A 2</t>
  </si>
  <si>
    <t>A 3</t>
  </si>
  <si>
    <t>A 4</t>
  </si>
  <si>
    <t>A 6</t>
  </si>
  <si>
    <t>bis 1% der VS, max. 5.000 €
(150 € SB)</t>
  </si>
  <si>
    <t>A 7</t>
  </si>
  <si>
    <t>nur Sachen, die mit dem
Gebäude fest verbunden sind</t>
  </si>
  <si>
    <t>A 9.3</t>
  </si>
  <si>
    <t>ja 
(Jungpflanzen)</t>
  </si>
  <si>
    <t>A 13</t>
  </si>
  <si>
    <t>A 15</t>
  </si>
  <si>
    <t>A 16</t>
  </si>
  <si>
    <t>A 17</t>
  </si>
  <si>
    <t>ja (auch Mehrkosten 
aufgrund Technologiefortschritt)</t>
  </si>
  <si>
    <t>VHB; § 25; Ziff. 3</t>
  </si>
  <si>
    <t>-SB für Leitungswasser-/ Sturmschäden: 
10%, mind. 50 €, max. 2.500 €
Hagelschäden:
5%, mind. 25 €, max. 1.250 €</t>
  </si>
  <si>
    <t>VHB; § 25; Ziff. 5 a)</t>
  </si>
  <si>
    <t>VHB; § 2; Ziff. 2 a)</t>
  </si>
  <si>
    <t>VHB; § 25; Ziff. 4 a) / b)</t>
  </si>
  <si>
    <t>-Aufbruchschäden aufgrund 
Fehlalarm eines Feuermelders 
bis 1.000 €
-Gebäudeschäden durch Regen, Hagel oder Schnee bis 1.500 €
-Verkehrssicherungskosten sind versichert</t>
  </si>
  <si>
    <t>ja,
bei Schäden &gt; 25.000 €</t>
  </si>
  <si>
    <t>ja
(auch nicht der Versorgung 
versicherter Gebäude oder Anlagen 
dienende Rohre)</t>
  </si>
  <si>
    <t>B 4</t>
  </si>
  <si>
    <t>B 5.2</t>
  </si>
  <si>
    <t>B 5.1</t>
  </si>
  <si>
    <t>B 6</t>
  </si>
  <si>
    <t>B 7.3</t>
  </si>
  <si>
    <t>B 8</t>
  </si>
  <si>
    <t>B 9</t>
  </si>
  <si>
    <t>B 10</t>
  </si>
  <si>
    <t>B 11</t>
  </si>
  <si>
    <t>B 12</t>
  </si>
  <si>
    <t>ja 
(innerhalb versicherter Gebäude)</t>
  </si>
  <si>
    <t>A 10 / B 14</t>
  </si>
  <si>
    <t>A 11.2 / B 15</t>
  </si>
  <si>
    <t>VHB; § 25; Ziff. 3 / A 19 / B 17</t>
  </si>
  <si>
    <t>A 20 / B 18</t>
  </si>
  <si>
    <t>A 21 / B 19</t>
  </si>
  <si>
    <t>A 22.7 / B 20</t>
  </si>
  <si>
    <t>A 5 / A 18 (B 16) / A 23 (B 21)</t>
  </si>
  <si>
    <t>A 24 / A 25 (B 22 / B 23)</t>
  </si>
  <si>
    <t>A 26.3 / B 24</t>
  </si>
  <si>
    <t>A 27.2 / B 25</t>
  </si>
  <si>
    <t>A 28 / B 26</t>
  </si>
  <si>
    <t>ja,
bei Schäden &gt; 50.000 €</t>
  </si>
  <si>
    <t>VHB; § 31; Ziff. 6</t>
  </si>
  <si>
    <t>VHB; § 21</t>
  </si>
  <si>
    <t>12 Monate
(gewerbl. Räume auf Vereinbarung)</t>
  </si>
  <si>
    <t>VHB; § 3, Ziff. 2 / Ziff. 3</t>
  </si>
  <si>
    <t>VHB; § 6; Ziff. 1</t>
  </si>
  <si>
    <t>VHB; § 6; Ziff. 1 e)</t>
  </si>
  <si>
    <t>VHB; § 6; Ziff. 1 c)</t>
  </si>
  <si>
    <t>VHB; § 6; Ziff. 3 a)</t>
  </si>
  <si>
    <t>VHB; § 7; Ziff. 1 b)</t>
  </si>
  <si>
    <t>VHB; § 7; Ziff. 2 a)</t>
  </si>
  <si>
    <t>VHB; § 7; Ziff. 3 / B 3</t>
  </si>
  <si>
    <t xml:space="preserve">VHB; § 7; Ziff. 3 </t>
  </si>
  <si>
    <t>Antrag / ELW; § 4, Ziff. 2 a)</t>
  </si>
  <si>
    <t xml:space="preserve"> ELW; § 4, Ziff. 2</t>
  </si>
  <si>
    <t>Überschwemmung, Rückstau, Erdbeben, Erdsenkung, Erdrutsch, Schneedruck</t>
  </si>
  <si>
    <t xml:space="preserve"> ELW; § 10, Ziff. 4</t>
  </si>
  <si>
    <t xml:space="preserve"> ELW; § 28, Ziff. 4</t>
  </si>
  <si>
    <t>Seite 16, Ziff. 2</t>
  </si>
  <si>
    <t>Seite 16, Ziff. 3</t>
  </si>
  <si>
    <t>VHB; § 5; Ziff. 5</t>
  </si>
  <si>
    <t>VHB; § 5; Ziff. 2</t>
  </si>
  <si>
    <t xml:space="preserve"> ja</t>
  </si>
  <si>
    <t>VHB; § 5; Ziff. 6</t>
  </si>
  <si>
    <t>VHB; § 5; Ziff. 6 / A 12</t>
  </si>
  <si>
    <t>Sengschäden,
Rauch und Ruß</t>
  </si>
  <si>
    <t>VHB; § 4; Ziff. 5</t>
  </si>
  <si>
    <t>VHB; § 4; Ziff. 1 a)</t>
  </si>
  <si>
    <t>VHB; § 1; Ziff. 2</t>
  </si>
  <si>
    <t>Carports
(sofern vereinbart auch Garagen)</t>
  </si>
  <si>
    <t>VHB; § 25; Ziff. 1 a)</t>
  </si>
  <si>
    <t>VHB; § 1; Ziff. 1</t>
  </si>
  <si>
    <t>Antrag / VHB; § 1; Ziff. 3</t>
  </si>
  <si>
    <t>sofern vereinbart</t>
  </si>
  <si>
    <t>Württembergische KompaktSchutz (11-2010)</t>
  </si>
  <si>
    <t>Debeka Basis</t>
  </si>
  <si>
    <t>Debeka Standard</t>
  </si>
  <si>
    <t>Debeka Top</t>
  </si>
  <si>
    <t>-Bedingungsgemäße SB 
i.H.v. 400 €</t>
  </si>
  <si>
    <t>VGB 2008
Stand 04-2012</t>
  </si>
  <si>
    <t>Klausel 2802</t>
  </si>
  <si>
    <t>Klausel 2805</t>
  </si>
  <si>
    <t>Klausel 2805; Ziff. 2</t>
  </si>
  <si>
    <t>Klausel 2808</t>
  </si>
  <si>
    <t>Klausel 2811</t>
  </si>
  <si>
    <t>Klausel 2811; Ziff. 2</t>
  </si>
  <si>
    <t>bis 100 Tage
(max. 50 € pro Tag)</t>
  </si>
  <si>
    <t>Klausel 2812</t>
  </si>
  <si>
    <t>Klausel 2812; Ziff. 3</t>
  </si>
  <si>
    <t>bis 7% der VS</t>
  </si>
  <si>
    <t>VGB; A; § 8, Ziff. 1 / Ziff. 5</t>
  </si>
  <si>
    <t>Klausel 2813</t>
  </si>
  <si>
    <t>Klausel 2813; Ziff. 2</t>
  </si>
  <si>
    <t>Klausel 2815</t>
  </si>
  <si>
    <t>Klausel 2815; Ziff. 6</t>
  </si>
  <si>
    <t>Klausel 2818</t>
  </si>
  <si>
    <t>Klausel 2818; Ziff. 2 / Ziff. 5</t>
  </si>
  <si>
    <t>Klausel 2819</t>
  </si>
  <si>
    <t>Klausel 2819; Ziff. 3</t>
  </si>
  <si>
    <t>Klausel 2810; Ziff. 1</t>
  </si>
  <si>
    <t>Klausel 2820</t>
  </si>
  <si>
    <t>ja (auch Zuleitungsrohre nicht versicherter Gebäude/ Anlagen bis 1% der VS)</t>
  </si>
  <si>
    <t>VGB; A; § 3, Ziff. 2</t>
  </si>
  <si>
    <t>VGB; A; § 3, Ziff. 2 / Klausel 2830</t>
  </si>
  <si>
    <t>Klausel 2831</t>
  </si>
  <si>
    <t>Klausel 2831; Ziff. 2</t>
  </si>
  <si>
    <t>zusätzlich versicherbar
bis 1% der VS</t>
  </si>
  <si>
    <t>Klausel 2832</t>
  </si>
  <si>
    <t>Klausel 2833; Ziff. 2</t>
  </si>
  <si>
    <t>Klausel 2833</t>
  </si>
  <si>
    <t>Zuleitungsrohren</t>
  </si>
  <si>
    <t>Ableitungsrohren</t>
  </si>
  <si>
    <t>Klausel 2834</t>
  </si>
  <si>
    <t>Klausel 2834; Ziff. 1</t>
  </si>
  <si>
    <t>Klausel 2834; Ziff. 2</t>
  </si>
  <si>
    <t>Klausel 2835</t>
  </si>
  <si>
    <t>Klausel 2837</t>
  </si>
  <si>
    <t>Klausel 2837; Ziff. 2</t>
  </si>
  <si>
    <t>bis 1‰ der VS</t>
  </si>
  <si>
    <t>Klausel 2816 / 3836 / 2838 / 2839</t>
  </si>
  <si>
    <t>-Ertragsausfall für Photovoltaik-
anlagen versicherbar 
(2 € je Tag pro kWp, max. 90 Tage)
-zusätzlich versicherbar sind Bruchschäden an Rohren von Wärmepumpenanlagen bis 1% der VS
-Nässe-/ Bruchschäden durch/ an Regenwassernutzungsanlagen</t>
  </si>
  <si>
    <t>Klausel 2840</t>
  </si>
  <si>
    <t>Klausel 2840; Ziff. 2</t>
  </si>
  <si>
    <t>VGB; A; § 2, Ziff. 4 b)</t>
  </si>
  <si>
    <t>VGB; A; § 2, Ziff. 4 a)</t>
  </si>
  <si>
    <t>VGB; A; § 2, Ziff. 6 b)</t>
  </si>
  <si>
    <t>VGB; A; § 2, Ziff. 5</t>
  </si>
  <si>
    <t>ja (gemäß Leistungsübersicht)</t>
  </si>
  <si>
    <t>VGB; A; § 1, Ziff. 2</t>
  </si>
  <si>
    <t>VGB; A; § 3, Ziff. 3</t>
  </si>
  <si>
    <t>VGB; A; § 3, Ziff. 4.1 b)</t>
  </si>
  <si>
    <t>VGB; A; § 3, Ziff. 1.1 b)</t>
  </si>
  <si>
    <t>VGB; A; § 3, Ziff. 1.2 a)</t>
  </si>
  <si>
    <t>VGB; A; § 3, Ziff. 1.1 a)</t>
  </si>
  <si>
    <t>VGB; A; § 3, Ziff. 1.2 b)</t>
  </si>
  <si>
    <t>VGB; A; § 7, Ziff. 1 / Ziff. 2</t>
  </si>
  <si>
    <t>bis 20% der VS</t>
  </si>
  <si>
    <t>VGB; A; § 8, Ziff. 4 / Ziff. 5</t>
  </si>
  <si>
    <t>VGB; A; § 9, Ziff. 2</t>
  </si>
  <si>
    <t>15 Monate</t>
  </si>
  <si>
    <t>BWE; § 2</t>
  </si>
  <si>
    <t>BWE; § 10</t>
  </si>
  <si>
    <t>BWE; § 12 / Leistungsübersicht</t>
  </si>
  <si>
    <t>10%,
mind. 500 €, max. 5.000 €</t>
  </si>
  <si>
    <t>1.000 €
Für Erdbeben:
10%, mind. 500 €, max. 5.000 €</t>
  </si>
  <si>
    <t>10%,
mind. 500 €</t>
  </si>
  <si>
    <t>10%,
mind. 250 €, max. 5.000 €</t>
  </si>
  <si>
    <t>500 €
(Erdbeben: 1%, max. 5.000 €)</t>
  </si>
  <si>
    <t>500 € (bei Überschwemmung, Rückstau und Erdbeben 1%, max. 2.500 €)</t>
  </si>
  <si>
    <t>Klausel 2801 / Leistungsübersicht</t>
  </si>
  <si>
    <t>-Bedingungsgemäße SB 
i.H.v. 200 € (abwählbar)</t>
  </si>
  <si>
    <t>BWE / Leistungsübersicht</t>
  </si>
  <si>
    <t>VGB; A; § 15, Ziff. 6</t>
  </si>
  <si>
    <t>VGB; A; § 5, Ziff. 1</t>
  </si>
  <si>
    <t>VGB; A; § 5, Ziff. 2 b)</t>
  </si>
  <si>
    <t>VGB; A; § 5, Ziff. 4 a)</t>
  </si>
  <si>
    <t>zusätzlich versicherbar
(auch Ertragsausfall - siehe 
Besonderheiten)</t>
  </si>
  <si>
    <t>AGIB</t>
  </si>
  <si>
    <t>VGB; A; § 10, Ziff. 2 b)</t>
  </si>
  <si>
    <t>VGB; A; § 13, Ziff. 1 a)</t>
  </si>
  <si>
    <t>Itzehoer Basis</t>
  </si>
  <si>
    <t>Itzehoer Plus</t>
  </si>
  <si>
    <t>Klausel 7161</t>
  </si>
  <si>
    <t>Klausel 7160; Ziff. 2</t>
  </si>
  <si>
    <t>Klausel 7005</t>
  </si>
  <si>
    <t>VGB; B; § 9, Ziff. 2 a)</t>
  </si>
  <si>
    <t>erweiterter Fahrzeuganprall</t>
  </si>
  <si>
    <t>Klausel 7165</t>
  </si>
  <si>
    <t>VGB; B; § 1, Ziff. 1 a) aa)</t>
  </si>
  <si>
    <t>Klausel 7261; Ziff. 3</t>
  </si>
  <si>
    <t>Klausel 7265; Ziff. 3</t>
  </si>
  <si>
    <t>Klausel 7360</t>
  </si>
  <si>
    <t>sofern beantragt</t>
  </si>
  <si>
    <t>Klausel 7361; Ziff. 2 / Homepage</t>
  </si>
  <si>
    <t>bis 2.000 €
(erhöhbar)</t>
  </si>
  <si>
    <t>Klausel 7362; Ziff. 6 / Homepage</t>
  </si>
  <si>
    <t>Klausel 7363.1 / 7363.2; Ziff. 2</t>
  </si>
  <si>
    <t>Klausel 7363.1 / 7363.2</t>
  </si>
  <si>
    <t>Klausel 7364</t>
  </si>
  <si>
    <t>Klausel 7365</t>
  </si>
  <si>
    <t>bis 2% der Schadensumme
bei Schäden &gt; 50.000 €</t>
  </si>
  <si>
    <t>Klausel 7366; Ziff. 2</t>
  </si>
  <si>
    <t>Feuerschäden bis 2.000 € 
(auch Sträucher)</t>
  </si>
  <si>
    <t>Klausel 7367; Ziff. 2</t>
  </si>
  <si>
    <t>Klausel 7368</t>
  </si>
  <si>
    <t>bis 2.000 €
bei Schäden &gt; 5.000 €</t>
  </si>
  <si>
    <t>VGB; B; § 2, Ziff. 4.2</t>
  </si>
  <si>
    <t>VGB; B; § 2</t>
  </si>
  <si>
    <t>VGB; B; § 2, Ziff. 5</t>
  </si>
  <si>
    <t>VGB; B; § 1, Ziff. 2</t>
  </si>
  <si>
    <t>BEW</t>
  </si>
  <si>
    <t>VGB; B; § 3, Ziff. 3</t>
  </si>
  <si>
    <t>VGB; B; § 3, Ziff. 4 a) aa)</t>
  </si>
  <si>
    <t>VGB; B; § 3, Ziff. 4 a) bb)</t>
  </si>
  <si>
    <t>VGB; B; § 3, Ziff. 1 a) bb)</t>
  </si>
  <si>
    <t>VGB; B; § 3, Ziff. 1 b) aa)</t>
  </si>
  <si>
    <t>VGB; B; § 3, Ziff. 1 b) bb)</t>
  </si>
  <si>
    <t>VGB; B; § 3, Ziff. 2</t>
  </si>
  <si>
    <t>VGB; B; § 3, Ziff. 2 / Klausel 7260; Ziff. 3</t>
  </si>
  <si>
    <t>VGB; B; § 7 a) / b) / Homepage</t>
  </si>
  <si>
    <t>Klausel 7362; Ziff. 6</t>
  </si>
  <si>
    <t>VGB; B; § 15, Ziff. 6</t>
  </si>
  <si>
    <t>VGB; B; § 8, Ziff. 1</t>
  </si>
  <si>
    <t>VGB; B; § 8, Ziff. 4</t>
  </si>
  <si>
    <t>VGB; B; § 5, Ziff. 3 b)</t>
  </si>
  <si>
    <t>BWE; § 10 b)</t>
  </si>
  <si>
    <t>VGB; B; § 13, Ziff. 1</t>
  </si>
  <si>
    <t>VGB; B; § 10, Ziff. 2</t>
  </si>
  <si>
    <t>VGB; B; § 5, Ziff. 1</t>
  </si>
  <si>
    <t>bei Zwei-/ Mehrfamilienhäusern
bis 3% der VS (erhöhbar)</t>
  </si>
  <si>
    <t>bis 25% der Wohnfläche</t>
  </si>
  <si>
    <t>interne Leistungsübersicht</t>
  </si>
  <si>
    <t>10%,
mind. 250 €, max. 2.500 €</t>
  </si>
  <si>
    <t>BWE; § 12 / interne Leistungsübersicht</t>
  </si>
  <si>
    <t>sofern vereinbart
(gegen Mehrbeitrag)</t>
  </si>
  <si>
    <t>zusätzlich versicherbar
über Klausel 0966</t>
  </si>
  <si>
    <t>Innere Unruhen zusätzlich
versicherbar über Klausel 0966</t>
  </si>
  <si>
    <t>bis 12 Monate
(auf 18 Monate erweiterbar)</t>
  </si>
  <si>
    <t>bis 200 €</t>
  </si>
  <si>
    <t>bis 20.000 €
(1.000 € SB)</t>
  </si>
  <si>
    <t>bis 200.000 €</t>
  </si>
  <si>
    <t>bis 2.500 €
bei Schäden &gt; 15.000 €</t>
  </si>
  <si>
    <t>bis 100 Tage
(max. 70 € pro Tag)</t>
  </si>
  <si>
    <t>18 Monate (gewerbliche 
Räume auf Vereinbarung)</t>
  </si>
  <si>
    <t>bis 2.500 €
(20% SB)</t>
  </si>
  <si>
    <t>Sturmflut, Grundwasser, Tsunami</t>
  </si>
  <si>
    <t>- Schäden durch unbenannte Gefahren zusätzlich versicherbar
(Klausel 0966)</t>
  </si>
  <si>
    <t>Klausel 0966</t>
  </si>
  <si>
    <t>VGB 2000 - Fassung 2008
Stand 01-2012</t>
  </si>
  <si>
    <t>generelle SB
nach Vereinbarung</t>
  </si>
  <si>
    <t>im Umkreis von einem Meter 
um die Außenmauern</t>
  </si>
  <si>
    <t>VHB; § 7; Ziff. 1 a)</t>
  </si>
  <si>
    <t>ja,
100% über VS hinaus</t>
  </si>
  <si>
    <t>ja
(auch ohne Versicherungsfall)</t>
  </si>
  <si>
    <t>bis 1% der VS,
max. 15.000 €</t>
  </si>
  <si>
    <t>bis 1 Jahr
(ja, max. 100% über VS hinaus)</t>
  </si>
  <si>
    <t>12 Monate (1%, max. 15.000 € für vermietete Gebäude)</t>
  </si>
  <si>
    <t>Lawinen, Vulkanausbruch, Grundwasser</t>
  </si>
  <si>
    <t>Stand 06-2011</t>
  </si>
  <si>
    <t>Hiscox Haus &amp; Kunst</t>
  </si>
  <si>
    <t>generelle SB gemäß Vereinbarung,
mind. 1.000 €</t>
  </si>
  <si>
    <t>ja, in voller Höhe zusätzlich zur VS</t>
  </si>
  <si>
    <t>ja,
sofern in VS berücksichtigt</t>
  </si>
  <si>
    <t>ja, in voller Höhe zusätzlich zur VS;
Schutzkosten:1% d. VS, max. 15.000 €</t>
  </si>
  <si>
    <t>Überschwemmung, Schneedruck, Rückstau</t>
  </si>
  <si>
    <t>- Die versicherten Sachen, sofern genannt, sind gegen Zerstörung, Beschädigung und Abhandenkommen durch Ursachen aller Art versichert (Allgefahren-Versicherung). 
-Das Bedingungswerk enthält lediglich 9 abschließend aufgezählte Ausschlüsse. 
-Es gilt genereller Unterversicherungsverzicht
-generelle SB gemäß Vereinbarung, mind. 1.000 €</t>
  </si>
  <si>
    <t>generelle SB gemäß Vereinbarung,
mind. 250 €</t>
  </si>
  <si>
    <t>Individuell</t>
  </si>
  <si>
    <t>Archiv</t>
  </si>
  <si>
    <t>nat. suisse Ideal-Schutz
(Stand 01-2008)</t>
  </si>
  <si>
    <t>nat. suisse Komfort</t>
  </si>
  <si>
    <t>nat. suisse Premium</t>
  </si>
  <si>
    <t>12 Monate
auch gewerbl. Räume</t>
  </si>
  <si>
    <t>bis 100 Tage
(max. 75 € pro Tag)</t>
  </si>
  <si>
    <t>bis 5.000 €
bei Schäden &gt; 10.000 €</t>
  </si>
  <si>
    <t>bis 1.000 €
bei Schäden &gt; 10.000 €</t>
  </si>
  <si>
    <t>VGB 2012 / BB Premium 2012
Stand 01-2012</t>
  </si>
  <si>
    <t>VGB 2012 / BB Komfort 2012
Stand 01-2012</t>
  </si>
  <si>
    <t>BB Premium 2012</t>
  </si>
  <si>
    <t>ja
(keine ausschließliche gewerbliche Nutzung)</t>
  </si>
  <si>
    <t>ja (keine ausschließliche 
gewerbliche Nutzung)</t>
  </si>
  <si>
    <t>ja (auch der Austausch der Armatur nach einem Versicherungsfall)</t>
  </si>
  <si>
    <t>ja (bei Zwei- oder Mehrfamilienhäusern)</t>
  </si>
  <si>
    <t>ja
bei Schäden &gt; 15.000 €</t>
  </si>
  <si>
    <t>bis 1.000 €
(250 € SB)</t>
  </si>
  <si>
    <t>-Kosten für Verkehrssicherungsmaßnahmen
-Kosten für provisorische Maßnahmen
-Regiekosten bis 5% des Schadens, max. 1.000 € bei Schäden &gt; 10.000 €
-Hotline zur Wohngebäude-Versicherung (Handwerker-/ Dienstleistungsservice)</t>
  </si>
  <si>
    <t>zusätzlich versicherbar
(bis 2.500 € für Rohre &gt; 10 Jahre
bis 10.000 € für Rohre &lt; 10 Jahre)</t>
  </si>
  <si>
    <t>BB Komfort 2012</t>
  </si>
  <si>
    <t>bis 500 € (auch der Austausch der Armatur nach Versicherungsfall)</t>
  </si>
  <si>
    <t>bis 25% der VS
bei Schäden &gt; 15.000 €</t>
  </si>
  <si>
    <t>bis 25% der VS (bei Zwei- oder Mehrfamilienhäusern)</t>
  </si>
  <si>
    <t>-Kosten für Verkehrssicherungsmaßnahmen bis 25% der VS
-Kosten für provisorische Maßnahmen bis 25% der VS
-Hotline zur Wohngebäude-Versicherung (Handwerker-/
Dienstleistungsservice)</t>
  </si>
  <si>
    <t>Sturmflut, Grundwasser, Trockenheit/ Austrocknung</t>
  </si>
  <si>
    <t>Tarif</t>
  </si>
  <si>
    <t>VGB; A; Ziff. 4.3</t>
  </si>
  <si>
    <t>VGB; A; Ziff. 4.4 a)</t>
  </si>
  <si>
    <t>VGB; A; Ziff. 9.2 a) / BB Komfort 2012</t>
  </si>
  <si>
    <t>VGB; A; Ziff. 1.2</t>
  </si>
  <si>
    <t>VGB; A; Ziff. 2.1 d)</t>
  </si>
  <si>
    <t>VGB; A; Ziff. 2.1 c)</t>
  </si>
  <si>
    <t>VGB; A; Ziff. 5.3 a)</t>
  </si>
  <si>
    <t>VGB; A; Ziff. 3.1 a) aa)</t>
  </si>
  <si>
    <t>VGB; A; Ziff. 3.1 a) bb)</t>
  </si>
  <si>
    <t>VGB; A; Ziff. 3.3</t>
  </si>
  <si>
    <t>VGB; A; Ziff. 3.4 a) bb)</t>
  </si>
  <si>
    <t>VGB; A; Ziff. 3.1 b) aa)</t>
  </si>
  <si>
    <t>VGB; A; Ziff. 3.1 b) bb)</t>
  </si>
  <si>
    <t>VGB; A; Ziff. 5.3 c)</t>
  </si>
  <si>
    <t>VGB; A; Ziff. 13.1 a)</t>
  </si>
  <si>
    <t>VGB; A; Ziff. 10.2 b)</t>
  </si>
  <si>
    <t>VGB; A; Ziff. 5.1</t>
  </si>
  <si>
    <t>VGB; A; Ziff. 5.2 b)</t>
  </si>
  <si>
    <t>Provinzial Basis
(Stand 01-2009)</t>
  </si>
  <si>
    <t>Provinzial Top
(Stand 01-2009)</t>
  </si>
  <si>
    <t>Provinzial Kompaktschutz</t>
  </si>
  <si>
    <t>Provinzial Rundumschutz</t>
  </si>
  <si>
    <t>Provinzial Rundum inkl. Plus</t>
  </si>
  <si>
    <t>bis 9.000 €</t>
  </si>
  <si>
    <t>Sengschäden an Fußbodenbelägen
bis 600 €</t>
  </si>
  <si>
    <t>nach einem Einbruch
bis 3.000 €</t>
  </si>
  <si>
    <t>VGB Rundum; Ziff. 1 / Ziff. 2</t>
  </si>
  <si>
    <t>VGB Rundum; Ziff. 3</t>
  </si>
  <si>
    <t>VGB Rundum; Ziff. 7</t>
  </si>
  <si>
    <t>VGB Rundum; Ziff. 8</t>
  </si>
  <si>
    <t>Ertragsausfall: 
1,50 € je kWp, max. 100 Tage</t>
  </si>
  <si>
    <t>VGB Rundum; Ziff. 9</t>
  </si>
  <si>
    <t>bis 3.000 €
bei Schäden &gt;5.000 €</t>
  </si>
  <si>
    <t>VGB Rundum; Ziff. 10</t>
  </si>
  <si>
    <t>VGB Rundum; Ziff. 12</t>
  </si>
  <si>
    <t>VGB Rundum; Ziff. 13</t>
  </si>
  <si>
    <t>VGB Rundum; Ziff. 15</t>
  </si>
  <si>
    <t>VGB Rundum; Ziff. 16</t>
  </si>
  <si>
    <t>VGB Rundum; Ziff. 17</t>
  </si>
  <si>
    <t>VGB Rundum; Ziff. 20</t>
  </si>
  <si>
    <t>VGB Rundum; Ziff. 21</t>
  </si>
  <si>
    <t>VGB Rundum; Ziff. 22</t>
  </si>
  <si>
    <t>VGB Rundum; Ziff. 23</t>
  </si>
  <si>
    <t>VGB Rundum; Ziff. 25</t>
  </si>
  <si>
    <t>VGB Plus; Ziff. 1</t>
  </si>
  <si>
    <t>VGB; Ziff. 1.3.3</t>
  </si>
  <si>
    <t>VGB Plus; Ziff. 2</t>
  </si>
  <si>
    <t>VGB; Ziff. 28.1</t>
  </si>
  <si>
    <t>VGB Plus; Ziff. 3</t>
  </si>
  <si>
    <t>VGB Plus; Ziff. 4.1</t>
  </si>
  <si>
    <t>VGB Plus; Ziff. 4.2</t>
  </si>
  <si>
    <t>VGB Plus; Ziff. 5</t>
  </si>
  <si>
    <t>VGB Plus; Ziff. 7</t>
  </si>
  <si>
    <t>VGB Plus; Ziff. 8</t>
  </si>
  <si>
    <t>VGB Rundum; Ziff. 6 / WG004</t>
  </si>
  <si>
    <t>WG007</t>
  </si>
  <si>
    <t>VGB Rundum; Ziff. 5 / Ziff. 11 / Ziff. 18 / Ziff. 19 / Ziff. 24 / Ziff. 26 / WG009</t>
  </si>
  <si>
    <t>VGB Rundum; Ziff. 5 / Ziff. 11 / Ziff. 26 / 
VGB Plus; Ziff. 6 / WG009</t>
  </si>
  <si>
    <t>WG009</t>
  </si>
  <si>
    <t>nicht versicherbar</t>
  </si>
  <si>
    <t>AGIB 2012</t>
  </si>
  <si>
    <t>BEH; Ziff. 6.1</t>
  </si>
  <si>
    <t>Sturmflut, Grundwasser, 
Ausuferung von Nord-, Ostsee oder Elbe</t>
  </si>
  <si>
    <t>BEH; Ziff. 14</t>
  </si>
  <si>
    <t>BEH; Ziff. 4 / Präsentation</t>
  </si>
  <si>
    <t>VGB; Ziff. 1.3.2</t>
  </si>
  <si>
    <t>VGB; Ziff. 2.1.1 / 2.1.2 / 2.2</t>
  </si>
  <si>
    <t>VGB; Ziff. 2.1.3</t>
  </si>
  <si>
    <t>VGB; Ziff. 3.2 / Ziff. 3.4 / WG004</t>
  </si>
  <si>
    <t>12 Monate (gewerblicher Miet-ausfall zusätzlich versicherbar)</t>
  </si>
  <si>
    <t>24 Monate (gewerblicher Miet-
ausfall zusätzlich versicherbar)</t>
  </si>
  <si>
    <t>VGB; Ziff. 4.1.1</t>
  </si>
  <si>
    <t>VGB; Ziff. 4.4</t>
  </si>
  <si>
    <t>ja
(gemäß Leistungsübersicht)</t>
  </si>
  <si>
    <t>VGB; Ziff. 6.1.2</t>
  </si>
  <si>
    <t>Datenerfassungsbogen</t>
  </si>
  <si>
    <t>VGB; Ziff. 6.4</t>
  </si>
  <si>
    <t>VGB; Ziff. 6.2</t>
  </si>
  <si>
    <t>VGB; Ziff. 6.2.1</t>
  </si>
  <si>
    <t>VGB; Ziff. 6.2.2</t>
  </si>
  <si>
    <t>-Terrorismusschäden zusätzlich versicherbar</t>
  </si>
  <si>
    <t>VGB; Ziff. 6.3</t>
  </si>
  <si>
    <t>VGB; Ziff. 6.3 / 
VGB Rundum; Ziff. 22</t>
  </si>
  <si>
    <t>ja
(nicht der Versorgung versicherter Gebäude dienende Zuleitungsrohre bis 3.000 €)</t>
  </si>
  <si>
    <t>VGB; Ziff. 31.6</t>
  </si>
  <si>
    <t>VGB; Ziff. 8.1 / Ziff. 9.1</t>
  </si>
  <si>
    <t>-Sturm-/ Hagelschäden an Schaufensterscheiben
-Hypothekenzinsen ab 101. Tag, max. 24 Monate ab Versicherungsfall
-Rohrbruchfolgeschäden bis 300 €
-Verkehrssicherungsmaßnahmen im Schadenfall
-Wohnungsaufbruch durch Polizei/ Feuerwehr aufgrund Fehlalarm eines Rauchmelders o. zur Rettung von Menschenleben bis 3.000 €
-Terrorismusschäden zusätzlich versicherbar</t>
  </si>
  <si>
    <t>-Sturm-/ Hagelschäden an Schaufensterscheiben
-Hypothekenzinsen ab 101. Tag, max. 24 Monate ab Versicherungsfall
-Rohrbruchfolgeschäden bis 3.000 €
-Verkehrssicherungsmaßnahmen im Schadenfall
-Wohnungsaufbruch durch Polizei/ Feuerwehr aufgrund Fehlalarm eines Rauchmelders o. zur Rettung von Menschenleben bis 3.000 €
-Terrorismusschäden zusätzlich versicherbar</t>
  </si>
  <si>
    <t>MWV 2011
Stand 01-2011</t>
  </si>
  <si>
    <t>ja, unabhängig von Elementarversicherung</t>
  </si>
  <si>
    <t>Überschwemmung, Erdbeben, Erdsenkung, Erdrutsch, Schneedruck, Lawinen, Vulkanausbruch</t>
  </si>
  <si>
    <t>bis 20 qm</t>
  </si>
  <si>
    <t>-Kosten für provisorische Maßnahmen bis 1% der VS</t>
  </si>
  <si>
    <t>bis 5% der VS,
mind. 20.000 €</t>
  </si>
  <si>
    <t>MWV; E; § 2, Ziff. 1 j)</t>
  </si>
  <si>
    <t>MWV; E; § 2, Ziff. 1 b) / c)</t>
  </si>
  <si>
    <t>MWV; E; § 2, Ziff. 1 l)</t>
  </si>
  <si>
    <t>MWV; E; § 2, Ziff. 1 m)</t>
  </si>
  <si>
    <t>MWV; E; § 2, Ziff. 1 f)</t>
  </si>
  <si>
    <t>MWV; E; § 2, Ziff. 1 k)</t>
  </si>
  <si>
    <t>MWV; E; § 2, Ziff. 1 h)</t>
  </si>
  <si>
    <t>MWV; E; § 2, Ziff. 1 d)</t>
  </si>
  <si>
    <t>MWV; E; § 1, Ziff. 1 c)</t>
  </si>
  <si>
    <t>MWV; E; § 3, Ziff. 4</t>
  </si>
  <si>
    <t>MWV; E; § 3, Ziff. 1 a) bb)</t>
  </si>
  <si>
    <t>MWV; E; § 3, Ziff. 1 a) dd)</t>
  </si>
  <si>
    <t>MWV; E; § 3, Ziff. 1 a) ee)</t>
  </si>
  <si>
    <t>MWV; E; § 3, Ziff. 1 b) bb)</t>
  </si>
  <si>
    <t>MWV; E; § 3, Ziff. 1 b) aa)</t>
  </si>
  <si>
    <t>MWV; E; § 3, Ziff. 1</t>
  </si>
  <si>
    <t>MWV; E; § 3, Ziff. 2</t>
  </si>
  <si>
    <t>MWV; E; § 3, Ziff. 3</t>
  </si>
  <si>
    <t>MWV; E; § 3, Ziff. 5 a) aa)</t>
  </si>
  <si>
    <t>MWV; E; § 3, Ziff. 1 a) aa)</t>
  </si>
  <si>
    <t>MWV; E; § 5, Ziff. 1</t>
  </si>
  <si>
    <t>MWV; E; § 5, Ziff. 10</t>
  </si>
  <si>
    <t>Sturmflut</t>
  </si>
  <si>
    <t>MWV; E; § 5, Ziff. 9 a)</t>
  </si>
  <si>
    <t>MWV; E; § 6, Ziff. 1</t>
  </si>
  <si>
    <t>MWV; E; § 6, Ziff. 2 b)</t>
  </si>
  <si>
    <t>MWV; E; § 6, Ziff. 2 c) / h)</t>
  </si>
  <si>
    <t>MWV; E; § 6, Ziff. 2 f)</t>
  </si>
  <si>
    <t>MWV; E; § 6, Ziff. 2 g) / h)</t>
  </si>
  <si>
    <t>MWV; E; § 8, Ziff. 1 / Ziff. 2</t>
  </si>
  <si>
    <t>MWV; E; § 8, Ziff. 4</t>
  </si>
  <si>
    <t>MWV; E; § 8, Ziff. 8</t>
  </si>
  <si>
    <t>MWV; E; § 8, Ziff. 10</t>
  </si>
  <si>
    <t>MWV; E; § 8, Ziff. 11</t>
  </si>
  <si>
    <t>MWV; E; § 8, Ziff. 12 a)</t>
  </si>
  <si>
    <t>MWV; E; § 8, Ziff. 12 b)</t>
  </si>
  <si>
    <t>MWV; E; § 8, Ziff. 13</t>
  </si>
  <si>
    <t>MWV; E; § 8, Ziff. 14</t>
  </si>
  <si>
    <t>MWV; E; § 8, Ziff. 17</t>
  </si>
  <si>
    <t>MWV; E; § 8, Ziff. 15</t>
  </si>
  <si>
    <t>MWV; E; § 8, Ziff. 18</t>
  </si>
  <si>
    <t>MWV; E; § 8, Ziff. 19 / Ziff. 20</t>
  </si>
  <si>
    <t>MWV; E; § 8, Ziff. 21</t>
  </si>
  <si>
    <t>MWV; E; § 9, Ziff. 1</t>
  </si>
  <si>
    <t>MWV; E; § 9, Ziff. 1 e)</t>
  </si>
  <si>
    <t>MWV; E; § 10, Ziff. 2 / Ziff. 3</t>
  </si>
  <si>
    <t>MWV; IX; Ziff. 5 c) dd)</t>
  </si>
  <si>
    <t>bis zum Schluss der laufenden Versicherungsperiode</t>
  </si>
  <si>
    <t>MWV; E; § 11, Ziff. 1 a)</t>
  </si>
  <si>
    <t>MWV; E; § 11, Ziff. 1</t>
  </si>
  <si>
    <t>Marsh Wohngebäude 2011
(Stand 01-2011)</t>
  </si>
  <si>
    <t xml:space="preserve"> </t>
  </si>
  <si>
    <t>R+V PrivatPolice (Fläche)
(Stand 01-2011)</t>
  </si>
  <si>
    <t>WGB F (01/11) 
Stand 01-2011</t>
  </si>
  <si>
    <t>R+V PrivatPolice (Fläche)</t>
  </si>
  <si>
    <t>WGB F (07/12)
Stand 07-2012</t>
  </si>
  <si>
    <t>max. 3 Stück 
(auch in der Nähe des Grundstücks)</t>
  </si>
  <si>
    <t>ja 
(Seng-/ Schmorschäden bis 500 €)</t>
  </si>
  <si>
    <t>ja (nicht der Versorgung versicherter Gebäude dienende Rohre sind versicherbar)</t>
  </si>
  <si>
    <t>bis 150 Tage
(max. 150 € pro Tag)</t>
  </si>
  <si>
    <t>24 Monate (für gewerbl. Räume
zusätzl. versicherbar bis 24 Monate)</t>
  </si>
  <si>
    <t>-Mehrkosten für verbesserte Energieeffizienz bis 10.000 €
-Ersatz von Darlehenszinsen 
bis 10.000 €, max. 18 Monate</t>
  </si>
  <si>
    <t>max. 25.000 € (20% SB)
bei Schäden &gt; 25.000 €</t>
  </si>
  <si>
    <t>WGB F; Ziff. 2.1.3</t>
  </si>
  <si>
    <t>WGB F; Ziff. 2.1.7</t>
  </si>
  <si>
    <t>WGB F; Ziff. 2.1.7 / Ziff. 2.1.8</t>
  </si>
  <si>
    <t>WGB F; Ziff. 2.1.9</t>
  </si>
  <si>
    <t>WGB F; Ziff. 2.1.4 / Ziff. 2.1.5</t>
  </si>
  <si>
    <t>WGB F; Ziff. 2.1.6</t>
  </si>
  <si>
    <t>WGB F; Ziff. 3.1.1.2</t>
  </si>
  <si>
    <t>WGB F; Ziff. 3.1.1.4</t>
  </si>
  <si>
    <t>WGB F; Ziff. 3.1.1.6</t>
  </si>
  <si>
    <t>WGB F; Ziff. 3.1.2.2</t>
  </si>
  <si>
    <t>WGB F; Ziff. 3.1.2.1</t>
  </si>
  <si>
    <t>WGB F; Ziff. 3.3.1</t>
  </si>
  <si>
    <t>WGB F; Ziff. 3.3.1.5</t>
  </si>
  <si>
    <t>WGB F; Ziff. 3.3.2</t>
  </si>
  <si>
    <t>WGB F; Ziff. 3.3.1.2</t>
  </si>
  <si>
    <t>WGB F; Ziff. 3.3.1.4</t>
  </si>
  <si>
    <t>WGB F; Ziff. 3.4.1.1</t>
  </si>
  <si>
    <t>WGB F; Ziff. 3.2 / Ziff. 3.5.1.1</t>
  </si>
  <si>
    <t>WGB F; Ziff. Ziff. 3.6.3 / Leistungsübersicht</t>
  </si>
  <si>
    <t>WGB F; Ziff. 3.1.1.1</t>
  </si>
  <si>
    <t>WGB F; Ziff. 3.5.1.2</t>
  </si>
  <si>
    <t>WGB F; Ziff. 3.5.1.3</t>
  </si>
  <si>
    <t>WGB F; Ziff. 4.1.2</t>
  </si>
  <si>
    <t>WGB F; Ziff. 4.4.1</t>
  </si>
  <si>
    <t>Sturmflut, Grundwasser, Trocken-heit, Eindringen von Regen/ Hagel/ Schnee/ Schmutz durch nicht ordnungsgemäß verschlossene Fenster, Türen o. andere Öffnungen</t>
  </si>
  <si>
    <t>WGB F; Ziff. 5</t>
  </si>
  <si>
    <t>WGB F; Ziff. 6.1.1</t>
  </si>
  <si>
    <t>WGB F; Ziff. 6.1.3 / Leistungsübersicht</t>
  </si>
  <si>
    <t>WGB F; Ziff. 6.2 / Leistungsübersicht</t>
  </si>
  <si>
    <t>WGB F; Ziff. 6.3.3</t>
  </si>
  <si>
    <t>WGB F; Ziff. 8.1.1 / Ziff. 8.1.2</t>
  </si>
  <si>
    <t>WGB F; Ziff. 8.1.3</t>
  </si>
  <si>
    <t>WGB F; Ziff. 8.1.4</t>
  </si>
  <si>
    <t>WGB F; Ziff. 8.1.6.6 / Leistungsübersicht</t>
  </si>
  <si>
    <t>WGB F; Ziff. 8.1.7 / Leistungsübersicht</t>
  </si>
  <si>
    <t>WGB F; Ziff. 8.1.8 / Leistungsübersicht</t>
  </si>
  <si>
    <t>WGB F; Ziff. 8.1.5 / Ziff. 8.1.9 / Leistungsübersicht</t>
  </si>
  <si>
    <t>WGB F; Ziff. 8.1.10 / Leistungsübersicht</t>
  </si>
  <si>
    <t>WGB F; Ziff. 8.1.11.1 / Leistungsübersicht</t>
  </si>
  <si>
    <t>WGB F; Ziff. 8.1.11.2 / Leistungsübersicht</t>
  </si>
  <si>
    <t>WGB F; Ziff. 8.1.12 / Leistungsübersicht</t>
  </si>
  <si>
    <t>WGB F; Ziff. 8.1.13</t>
  </si>
  <si>
    <t>WGB F; Ziff. 8.1.13.2 / Leistungsübersicht</t>
  </si>
  <si>
    <t>WGB F; Ziff. 8.1.14 / Leistungsübersicht</t>
  </si>
  <si>
    <t>bis 10 kWp
(Ertragsausfall zusätzlich versicherbar bis 25 € pro Tag, max. 6 Monate)</t>
  </si>
  <si>
    <t>WGB F; Ziff. 9.2.4</t>
  </si>
  <si>
    <t>WGB F; Ziff. 9.2</t>
  </si>
  <si>
    <t>WGB F; Ziff. 9.3</t>
  </si>
  <si>
    <t>WGB F; Ziff. 10.2 / Ziff. 10.3</t>
  </si>
  <si>
    <t>WGB F; Ziff. 11.1.1</t>
  </si>
  <si>
    <t>WGB F; Ziff. 11.1.2</t>
  </si>
  <si>
    <t>bis zum Schluss des laufenden
Versicherungsjahres</t>
  </si>
  <si>
    <t>WGB F; Ziff. 1.2</t>
  </si>
  <si>
    <t>WGB F; Ziff. 2.2.2</t>
  </si>
  <si>
    <t>WGB F; Ziff. 6.4</t>
  </si>
  <si>
    <t>WGB F; Ziff. 24.1.2 / Leistungsübersicht</t>
  </si>
  <si>
    <t>Rohrpaket
bis 20 €/qm (erhöhbar auf 40 €/qm)</t>
  </si>
  <si>
    <t>bis 30.000 €
(erhöhbar bis 100.000 €)</t>
  </si>
  <si>
    <t>zusätzlich versicherbar
(bis 16 € je qm Wohnfläche x GNF)
-Ertragsausfall bis 3 Monate, max. 5.000 € (mind. 3 Tage) versicherbar-</t>
  </si>
  <si>
    <t>-Regiekosten ab einer Schadenhöhe &gt; 5.000 €
-Verkehrssicherungsmaßnahmen
-provisorische Maßnahmen
-Haustechnische Gebäudebestandteile bis 5.000 € versicherbar</t>
  </si>
  <si>
    <t>-Keine Kündigungsfrist
-Verzicht auf klassische Branddefinition
-Regiekosten ab einer Schadenhöhe &gt; 5.000 €
-Psychologische Betreuung nach einem Schadenfall bis 1.000 €</t>
  </si>
  <si>
    <t>max 1.250 € pro Scheibe und 
5.000 € je Schadenfall</t>
  </si>
  <si>
    <t>ja
(Ertragsausfall mit erweitertem Allgefahrenschutz für PVA zusätzlich versicherbar)</t>
  </si>
  <si>
    <t>-Entfernung von Bienen-, Hornissen- und Wespennestern
-Alters- und behindertengerechter Wiederaufbau bis 10.000 €
-Bissschäden durch wild lebende Tiere aller Art an elektrischen Anlagen und Leitungen, Dämmungen und Unterspannbahnen bis 5.000 €</t>
  </si>
  <si>
    <t>36 Monate (auch gewerbl. Räume, sofern &gt; 50% d. Gebäudes</t>
  </si>
  <si>
    <t>Grundeigentümer Schutz 60 Plus (Stand 10-2010)</t>
  </si>
  <si>
    <t>Grundeigentümer Schutz 60 Plus (Stand 04-2011)</t>
  </si>
  <si>
    <t>Grundeigentümer Schutz 60
(Stand 04-2011)</t>
  </si>
  <si>
    <t>VGB 2008
Stand 10-2010</t>
  </si>
  <si>
    <t>BB 2010 Schutz 60 
Stand 04-2011</t>
  </si>
  <si>
    <t>BB 2010 Schutz 60 PLUS
Stand 04-2011</t>
  </si>
  <si>
    <t>-Schäden im Gebäude durch Regen/ Schmelzwasser bis 8.000 €</t>
  </si>
  <si>
    <t>bis 2.600 €</t>
  </si>
  <si>
    <t>BB; A.; I.; Ziff. 1</t>
  </si>
  <si>
    <t>BB; A.; I.; Ziff. 2</t>
  </si>
  <si>
    <t>BB; A.; I.; Ziff. 3</t>
  </si>
  <si>
    <t>Whg: bis 3% der VS (max. 62 €) je Tag
EH: bis 5% der VS (max. 62 €) je Tag</t>
  </si>
  <si>
    <t>BB; A.; I.; Ziff. 5</t>
  </si>
  <si>
    <t>BB; A.; I.; Ziff. 6</t>
  </si>
  <si>
    <t>BB; A.; I.; Ziff. 7</t>
  </si>
  <si>
    <t>BB; A.; I.; Ziff. 8</t>
  </si>
  <si>
    <t>BB; A.; I.; Ziff. 9</t>
  </si>
  <si>
    <t>BB; A.; I.; Ziff. 10</t>
  </si>
  <si>
    <t>bis 8.000 €
(max. 25 qm Grundfläche)</t>
  </si>
  <si>
    <t>Garagen bei Angabe; Carports bis 8.000 € (max. 30 qm Grundfläche)</t>
  </si>
  <si>
    <t>BB; A.; I.; Ziff. 11</t>
  </si>
  <si>
    <t>BB; A.; I.; Ziff. 12</t>
  </si>
  <si>
    <t>BB; A.; I.; Ziff. 16</t>
  </si>
  <si>
    <t>bei Schäden &gt; 10.000 €,
max. in Höhe der Hinreisekosten</t>
  </si>
  <si>
    <t>BB; A.; I.; Ziff. 17</t>
  </si>
  <si>
    <t>VGB; A.; §3; Ziff. 2 / BB; A.; II.; Ziff. 1</t>
  </si>
  <si>
    <t>ja (bis 5% der VS wenn nicht der Versorgung vers. Gebäude dienend)</t>
  </si>
  <si>
    <t>BB; A.; II.; Ziff. 2</t>
  </si>
  <si>
    <t>bis 5% der VS, sofern d. Versorgung versicherter Gebäude dienend</t>
  </si>
  <si>
    <t>BB; A.; II.; Ziff. 3</t>
  </si>
  <si>
    <t>bis 5% der VS
(nur privat genutzte)
Ableitungsohre &gt; 10 Jahre:
bis 3% der VS, max. 10.000 €</t>
  </si>
  <si>
    <t>BB; A.; II.; Ziff. 4</t>
  </si>
  <si>
    <t>BB; A.; II.; Ziff. 5</t>
  </si>
  <si>
    <t>BB; A.; II.; Ziff. 6</t>
  </si>
  <si>
    <t>BB; A.; II.; Ziff. 7 b)</t>
  </si>
  <si>
    <t>BB; A.; II.; Ziff. 7 a)</t>
  </si>
  <si>
    <t>BB; A.; II.; Ziff. 9</t>
  </si>
  <si>
    <t>BB; A.; III.; Ziff. 1</t>
  </si>
  <si>
    <t>BB; A.; IV.; Ziff. 1</t>
  </si>
  <si>
    <t>ja, 
begrenzt auf vereinbarten Betrag</t>
  </si>
  <si>
    <t>BB; A.; IV.; Ziff. 2</t>
  </si>
  <si>
    <t>BB; A.; IV.; Ziff. 4 f)</t>
  </si>
  <si>
    <t>BB; A.; IV.; Ziff. 5</t>
  </si>
  <si>
    <t>BB; A.; IV.; Ziff. 6</t>
  </si>
  <si>
    <t>max. 24 Monate (fortlaufende Miet-nebenkosten sind versicherbar)</t>
  </si>
  <si>
    <t>BB; A.; I.; Ziff. 15 / BB; B.; Ziff. 1</t>
  </si>
  <si>
    <t>BB; C.</t>
  </si>
  <si>
    <t>versicherbar - 10 kWp, max. 30.000 € (auch 6 Monate Ertragsausfall)</t>
  </si>
  <si>
    <t>bis 2.600 €
(max. 15 qm Grundfläche)</t>
  </si>
  <si>
    <t>Garagen bei Angabe; Carports bis 2.600 € (max. 20 qm Grundfläche)</t>
  </si>
  <si>
    <t>BB; A.; I.; Ziff. 4</t>
  </si>
  <si>
    <t>ja (bis 3% der VS wenn nicht der Versorgung vers. Gebäude dienend)</t>
  </si>
  <si>
    <t>bis 3% der VS, sofern d. Versorgung versicherter Gebäude dienend</t>
  </si>
  <si>
    <t>1% der VS, max. 5.000 €
(nur privat genutzte)
Ableitungsrohre &gt; 10 Jahre:
500 € SB</t>
  </si>
  <si>
    <t>BB; A.; III.; Ziff. 2</t>
  </si>
  <si>
    <t>BB; A.; III.; Ziff. 4 f)</t>
  </si>
  <si>
    <t>BB; B.; Ziff. 1</t>
  </si>
  <si>
    <t>zusätzlich versicherbar
bis 3‰ der VS</t>
  </si>
  <si>
    <t>VGB; A.; §9; Ziff. 2 / BB; B.; Ziff. 2</t>
  </si>
  <si>
    <t>max. 12 Monate (fortlaufende Miet-nebenkosten sind versicherbar)</t>
  </si>
  <si>
    <t>BB; B.; Ziff. 6</t>
  </si>
  <si>
    <t>BB; B.; Ziff. 7</t>
  </si>
  <si>
    <t>-zusätzlich versicherbar sind Schäden im Gebäude durch Regen/ Schmelzwasser bis 8.000 €</t>
  </si>
  <si>
    <t>VGB; A.; §8; Ziff. 4</t>
  </si>
  <si>
    <t>VGB; A.; §15; Ziff. 6</t>
  </si>
  <si>
    <t>VGB; A.; §3; Ziff. 4 a) aa)</t>
  </si>
  <si>
    <t>VGB; A.; §2; Ziff. 5 b)</t>
  </si>
  <si>
    <t>VGB; A.; §2; Ziff. 1 d)</t>
  </si>
  <si>
    <t>nur Luftfahrzeuge, deren Teile oder deren Ladung</t>
  </si>
  <si>
    <t>VGB; A.; §1; Ziff. 2</t>
  </si>
  <si>
    <t>VGB; A.; §2; Ziff. 4</t>
  </si>
  <si>
    <t>PIB</t>
  </si>
  <si>
    <t>VGB; A.; §3; Ziff. 3</t>
  </si>
  <si>
    <t>VGB; A.; §3; Ziff. 4 a) bb)</t>
  </si>
  <si>
    <t>VGB; A.; §3; Ziff. 1 a) bb)</t>
  </si>
  <si>
    <t>VGB; A.; §3; Ziff. 1 b) aa)</t>
  </si>
  <si>
    <t>BWE 2008; § 2 a)</t>
  </si>
  <si>
    <t>BWE 2008; § 2</t>
  </si>
  <si>
    <t>BWE 2008; § 10 c)</t>
  </si>
  <si>
    <t>BWE 2008; § 12 c)</t>
  </si>
  <si>
    <t>BB; A.; II.; Ziff. 8</t>
  </si>
  <si>
    <t>VGB; A.; §3; Ziff. 1 b) bb)</t>
  </si>
  <si>
    <t>VGB; A.; §5; Ziff. 2 b)</t>
  </si>
  <si>
    <t>VGB; A.; §5; Ziff. 1</t>
  </si>
  <si>
    <t>VGB; A.; §10; Ziff. 1</t>
  </si>
  <si>
    <t>Servicecenter</t>
  </si>
  <si>
    <t>max. 100 Tage, 
100 € je Tag</t>
  </si>
  <si>
    <t>-versicherbar sind Trocknungskosten nach Starkregen bis 1.200 €</t>
  </si>
  <si>
    <t>Klausel 0026</t>
  </si>
  <si>
    <t>Klausel 0029</t>
  </si>
  <si>
    <t>Klausel 0031</t>
  </si>
  <si>
    <t>Klausel 0034</t>
  </si>
  <si>
    <t>Klausel 7168, Ziff. 3 / Leistungsübersicht</t>
  </si>
  <si>
    <t>Klausel 0001</t>
  </si>
  <si>
    <t>-Elementargefahren sind standardmäßig versichert (abwählbar);
-Trocknungskosten nach Starkregen bis 1.200 €;
-Regiekosten bis 500 € 
bei Schäden &gt; 5.000 €</t>
  </si>
  <si>
    <t>Klausel 0006, Ziff. 2</t>
  </si>
  <si>
    <t>Klausel 0007, Ziff. 3 / Leistungsübersicht</t>
  </si>
  <si>
    <t>Klausel 0004, Ziff. 2 / Leistungsübersicht</t>
  </si>
  <si>
    <t>Klausel 0005, Ziff. 2 / Leistungsübersicht</t>
  </si>
  <si>
    <t>Klausel 0003 / Leistungsübersicht</t>
  </si>
  <si>
    <t>Klausel 0008, Ziff. 2 / Leistungsübersicht</t>
  </si>
  <si>
    <t>Klausel 0009, Ziff. 2 / / Klausel 7162 / Leistungsübersicht</t>
  </si>
  <si>
    <t>Klausel 0010, Ziff. 5 / Leistungsübersicht</t>
  </si>
  <si>
    <t>Klausel 0011 / Leistungsübersicht</t>
  </si>
  <si>
    <t>Klausel 0011 / Klausel 0012 / Leistungsübersicht</t>
  </si>
  <si>
    <t>Klausel 0013 / Leistungsübersicht</t>
  </si>
  <si>
    <t>Klausel 0014 / Leistungsübersicht</t>
  </si>
  <si>
    <t>Klausel 0016 / Leistungsübersicht</t>
  </si>
  <si>
    <t>Klausel 0017 / Leistungsübersicht</t>
  </si>
  <si>
    <t>Klausel 0018 / Leistungsübersicht</t>
  </si>
  <si>
    <t>Klausel 0019 / Leistungsübersicht</t>
  </si>
  <si>
    <t>Klausel 0021 / Leistungsübersicht</t>
  </si>
  <si>
    <t>Klausel 0020 / Klausel 0025 / Leistungsübersicht</t>
  </si>
  <si>
    <t>bis 10 kWp (auch auf dem Versicherungsgrundstück)</t>
  </si>
  <si>
    <t>Klausel 0031 / Klausel 0027</t>
  </si>
  <si>
    <t>Klausel 0028</t>
  </si>
  <si>
    <t>Klausel 0001 / 0028</t>
  </si>
  <si>
    <t>Klausel 0030</t>
  </si>
  <si>
    <t>Klausel 7166; Ziff. 1 / Leistungsübersicht</t>
  </si>
  <si>
    <t>Klausel 7166; Ziff. 2 / Leistungsübersicht</t>
  </si>
  <si>
    <t>Klausel 7264 / Leistungsübersicht</t>
  </si>
  <si>
    <t>Klausel 7361 / Leistungsübersicht</t>
  </si>
  <si>
    <t>Klausel 7366 / Leistungsübersicht</t>
  </si>
  <si>
    <t>Klausel 0033</t>
  </si>
  <si>
    <t>Klausel 0035</t>
  </si>
  <si>
    <t>-
(auch unbemannte Flugkörper)</t>
  </si>
  <si>
    <t>Garagen zusätzlich versicherbar
Carports bis 10.000 €</t>
  </si>
  <si>
    <t>Klausel 0002 / Leistungsübersicht</t>
  </si>
  <si>
    <t>VGB § 2, Ziff. 1 d) / Klausel 7162</t>
  </si>
  <si>
    <t>Feuerrohbauversicherung / Leistungsübersicht</t>
  </si>
  <si>
    <t>VGB § 3, Ziff. 3</t>
  </si>
  <si>
    <t>VGB § 3, Ziff. 1 a) bb)</t>
  </si>
  <si>
    <t>VGB § 5, Ziff. 1 / Ziff. 2</t>
  </si>
  <si>
    <t>Überschwemmung, Erdbeben, Erdfall, Erdrutsch, Schneedruck, Lawinen, Vulkanausbruch;
Rückstau sofern vereinbart</t>
  </si>
  <si>
    <t>VGB § 5, Ziff. 10</t>
  </si>
  <si>
    <t>Rückstau: 500 €</t>
  </si>
  <si>
    <t>Vorschlag</t>
  </si>
  <si>
    <t>max. 12 Monate (gewerbl. Nutzung versicherbar)</t>
  </si>
  <si>
    <t>VGB § 10, Ziff. 2 a) / Ziff. 3</t>
  </si>
  <si>
    <t>VGB § 9, Ziff. 4 / Ziff. 6</t>
  </si>
  <si>
    <t>VGB § 9, Ziff. 1 / Ziff. 6</t>
  </si>
  <si>
    <t>VGB § 16, Ziff. 6</t>
  </si>
  <si>
    <t>bis 15% der VS x Anpassungsfaktor</t>
  </si>
  <si>
    <t>VGB § 8, Ziff. 1 / Ziff. 2</t>
  </si>
  <si>
    <t>Unterversicherungsverzicht bis zum Ende der laufenden Vers.-periode</t>
  </si>
  <si>
    <t>Aktualität der Bedingungswerke</t>
  </si>
  <si>
    <t>VGB 2008
Stand 07-2011</t>
  </si>
  <si>
    <t>VGB 2008 
Stand 10-2012</t>
  </si>
  <si>
    <t>Versicherungsschein</t>
  </si>
  <si>
    <t>VGB; § 7 a) / b) / Versicherungsschein</t>
  </si>
  <si>
    <t>Klausel 1201/003/0 / Versicherungsschein</t>
  </si>
  <si>
    <t>Klausel 1201/007/0 / Versicherungsschein</t>
  </si>
  <si>
    <t>Klausel 1201/008/0 / Versicherungsschein</t>
  </si>
  <si>
    <t>Klausel 1201/009/0 / Versicherungsschein</t>
  </si>
  <si>
    <t>ja
(max. 250.000 €)</t>
  </si>
  <si>
    <t>Klausel 1201/010/0 / Versicherungsschein</t>
  </si>
  <si>
    <t>Klausel 1201/012/0 / Versicherungsschein</t>
  </si>
  <si>
    <t>Klausel 1201/013/0 / Versicherungsschein</t>
  </si>
  <si>
    <t>-Mehrkosten für medizinisch notwendige Umbaumaßnahmen nach einem Versicherungsfall bis 10.000 €
-Mehrkosten für Gebäude-Wiederherstellung mit ökologischen Baustoffen bis 10.000 €
-Mehrkosten für Maßnahmen bis 10.000 € , um nach einem Sturm-/ Hagel-/ Überschwemmungs- schaden weitere solcher Schäden zu vermeiden
-Verkehrssicherungsmaßnahmen nach einem Schaden
-Bruchschäden an Zisternen bis 5.000 €</t>
  </si>
  <si>
    <t>Klausel 1201/004/0 / Klausel 1201/005/0 / Klausel 1201/006/0 / Klausel 1201/011/0 / Klausel 1201/014/0</t>
  </si>
  <si>
    <t>Klausel 1201/015/0, Ziff. 1 / Versicherungsschein</t>
  </si>
  <si>
    <t>Klausel 1201/015/0, Ziff. 2 / Versicherungsschein</t>
  </si>
  <si>
    <t>Klausel 1201/016/0 / Versicherungsschein</t>
  </si>
  <si>
    <t>Klausel 1201/017/0 / Versicherungsschein</t>
  </si>
  <si>
    <t>Klausel 1201/018/0 / Versicherungsschein</t>
  </si>
  <si>
    <t>Klausel 1201/019/0 / Versicherungsschein</t>
  </si>
  <si>
    <t>Klausel 1201/020/0 / Versicherungsschein</t>
  </si>
  <si>
    <t>Klausel 1201/021/0 / Versicherungsschein</t>
  </si>
  <si>
    <t>Klausel 1201/036/0 / Versicherungsschein</t>
  </si>
  <si>
    <t>sofern diese bei der Ermittlung der VS berücksichtigt wurde</t>
  </si>
  <si>
    <t>Nürnberger KomplettSchutz (Wert 1914)</t>
  </si>
  <si>
    <t>VGB; A; § 5, Ziff. 1 / Rechner</t>
  </si>
  <si>
    <t>sofern diese im Wert 1914 berücksichtigt wurden</t>
  </si>
  <si>
    <t>bis 5.000 € (150 € SB; sofern höhere SB vereinbart wurde auch höher)</t>
  </si>
  <si>
    <t>VGB; A; § 2, Ziff. 4.2</t>
  </si>
  <si>
    <t>VGB; A; § 2, Ziff. 5 b)</t>
  </si>
  <si>
    <t>Klausel 1201/025/0</t>
  </si>
  <si>
    <t>BWE; §2 a)</t>
  </si>
  <si>
    <t>BWE; §2</t>
  </si>
  <si>
    <t>BWE; §11 c)</t>
  </si>
  <si>
    <t>BWE; §13 / Versicherungsschein</t>
  </si>
  <si>
    <t>Klausel 999/120/0</t>
  </si>
  <si>
    <t>VGB; A; § 5, Ziff. 3 c)</t>
  </si>
  <si>
    <t>VGB; A; § 9, Ziff. 2 a)</t>
  </si>
  <si>
    <t>versicherbar über
Klausel 1201/031/0</t>
  </si>
  <si>
    <t>Klausel 1201/031/0</t>
  </si>
  <si>
    <t>VGB; A.; § 8, Ziff. 4</t>
  </si>
  <si>
    <t>VGB; A.; § 8, Ziff. 1 a) / Klausel 1201/001/0 / Versicherungsschein</t>
  </si>
  <si>
    <t>VGB; A.; § 8, Ziff. 1 a) / Versicherungsschein</t>
  </si>
  <si>
    <t>VGB; A; § 3, Ziff. 1 a) bb)</t>
  </si>
  <si>
    <t>VGB; A; § 3, Ziff. 1 b) aa)</t>
  </si>
  <si>
    <t>VGB; A; § 3, Ziff. 1 b) bb)</t>
  </si>
  <si>
    <t>VGB; A; § 3, Ziff. 4 a) bb)</t>
  </si>
  <si>
    <t>VGB; A; § 3, Ziff. 2 / Klausel 1201/002/0 / Versicherungsschein</t>
  </si>
  <si>
    <t>bis 5.000 € (der Versorgung 
versicherter Gebäude dienend)</t>
  </si>
  <si>
    <t>ja
(nicht der Versorgung versicherter Gebäude dienende Zuleitungsrohre bis 5.000 €)</t>
  </si>
  <si>
    <t>versicherbar über
Klausel 1201/030/0</t>
  </si>
  <si>
    <t>Klausel 1201/030/0</t>
  </si>
  <si>
    <t>VGB; A; § 13, Ziff. 1</t>
  </si>
  <si>
    <t>VGB; A; § 10, Ziff. 2 b) / d)</t>
  </si>
  <si>
    <t>VGB Eurosecure 2010
Stand 06-2010</t>
  </si>
  <si>
    <t>ja (der Versorgung versicherter 
Gebäude dienend)</t>
  </si>
  <si>
    <t>Basler Top
(Stand 01-2012)</t>
  </si>
  <si>
    <t>VGB 2000 - Fassung 2012
Stand 07-2012</t>
  </si>
  <si>
    <t>Basler Ambiente Top</t>
  </si>
  <si>
    <t>ja 
(auch unbemannte Flugkörper)</t>
  </si>
  <si>
    <t>bis 2.000 €
(auch abgeknickte Bäume)</t>
  </si>
  <si>
    <t>ja (auch unterirdische Regenabflussrohre)</t>
  </si>
  <si>
    <t>Klausel 0950 / Tarif; III.; Ziff. 4</t>
  </si>
  <si>
    <t>Klausel 0952 / Tarif; III.; Ziff. 4</t>
  </si>
  <si>
    <t>Klausel 0953 / Tarif; III.; Ziff. 4</t>
  </si>
  <si>
    <t>Klausel 0961 / Tarif; III.; Ziff. 4</t>
  </si>
  <si>
    <t>Klausel 7361 / Tarif; III.; Ziff. 4</t>
  </si>
  <si>
    <t xml:space="preserve">bis 5.000 € (Sonstige bauliche Grund-stücksbestandteile bis 3.000 €) </t>
  </si>
  <si>
    <t>Klausel 7264 / Tarif; III.; Ziff. 4</t>
  </si>
  <si>
    <t>Klausel 0967 / Tarif; III.; Ziff. 4</t>
  </si>
  <si>
    <t>Klausel 0973 / Tarif; III.; Ziff. 4</t>
  </si>
  <si>
    <t>Klausel 7268 / Tarif; III.; Ziff. 4</t>
  </si>
  <si>
    <t>Klausel 7368 / Tarif; III.; Ziff. 4</t>
  </si>
  <si>
    <t>Wiederherstellung von Außenanlagen bis 2.000 €</t>
  </si>
  <si>
    <t>Klausel 7160 / Tarif; III.; Ziff. 4</t>
  </si>
  <si>
    <t>Klausel 7161 / Tarif; III.; Ziff. 4</t>
  </si>
  <si>
    <t>Klausel 0970 / Tarif; III.; Ziff. 4</t>
  </si>
  <si>
    <t>Klausel 7166 / Klausel 0960 / Tarif; III.; Ziff. 4</t>
  </si>
  <si>
    <t>Klausel 7166 / Tarif; III.; Ziff. 4</t>
  </si>
  <si>
    <t>Klausel 0963 / Tarif; III.; Ziff. 4</t>
  </si>
  <si>
    <t>Klausel 0965 / Tarif; III.; Ziff. 4</t>
  </si>
  <si>
    <t>ja
(nicht der Versorgung versicherter Gebäude dienende Zuleitungsrohre bis 20.000 €)</t>
  </si>
  <si>
    <t>VGB; §7, Ziff. 3 / Klausel 7260 / Tarif; III.; Ziff. 4</t>
  </si>
  <si>
    <t>Klausel 7261 / Tarif; III.; Ziff. 4</t>
  </si>
  <si>
    <t>bis 20.000 €, sofern der Versorgung versicherter Gebäude dienend)</t>
  </si>
  <si>
    <t>Klausel 7266 / Tarif; III.; Ziff. 4</t>
  </si>
  <si>
    <t>Klausel 7267 / Tarif; III.; Ziff. 4</t>
  </si>
  <si>
    <t>bis 20.000 €, sofern der Entsorgung versicherter Gebäude dienend
(1.000 € SB)
1 Jahr Wartezeit, sofern keine gleichartige Vorversicherung bestand</t>
  </si>
  <si>
    <t>Klausel 7265 / Tarif; III.; Ziff. 4</t>
  </si>
  <si>
    <t>Klausel 0956 / Tarif; III.; Ziff. 4</t>
  </si>
  <si>
    <t>BPW / Tarif; III.; Ziff. 5.2</t>
  </si>
  <si>
    <t>zusätzlich versicherbar
bis 10 kWp, max. 50.000 € Gesamt-wert (auch Ertragsausfall - siehe Besonderheiten)</t>
  </si>
  <si>
    <t>- Schäden durch unbenannte Gefahren zusätzlich versicherbar (10% SB, mind. 500 €) (Klausel 0966)
-Kosten bei Fehlalarm eines Rauchmelders bis 10.000 €
-Kosten für Verkehrssicherungsmaßnahmen
-Ertragsausfall für Photovoltaikanlagen versicherbar (April - September: 2 € je Tag pro kWp; Oktober - März: 1 € je Tag pro kWp)</t>
  </si>
  <si>
    <t>Klausel 0966 / Klausel 0981 / Klausel 7367 / Tarif; III.; Ziff. 4 / Ziff. 5.1 / Ziff. 5.2</t>
  </si>
  <si>
    <t>Tarif; III.; Ziff. 6</t>
  </si>
  <si>
    <t>1.500 €</t>
  </si>
  <si>
    <t>Überschwemmung, Rückstau, Erdbeben, Erdsenkung, Erdrutsch, Schneedruck, Dachlawinen, Lawinen, Vulkanausbruch</t>
  </si>
  <si>
    <t>BEW; §2 / Tarif; III.; Ziff. 6</t>
  </si>
  <si>
    <t>BEW; §3, Ziff. 2</t>
  </si>
  <si>
    <t>VGB; §1; Ziff. 3 b)</t>
  </si>
  <si>
    <t>Klausel 7366, Ziff. 1 a) / Tarif; III.; Ziff. 4</t>
  </si>
  <si>
    <t>Klausel 7366, Ziff. 1 b) / Tarif; III.; Ziff. 4</t>
  </si>
  <si>
    <t>VGB; §2, Ziff. 1 / Tarif; III.; Ziff. 4</t>
  </si>
  <si>
    <t>Klausel 7362 / Leistungsübersicht</t>
  </si>
  <si>
    <t>VGB; §26, Ziff. 5 / Tarif; III.; Ziff. 4</t>
  </si>
  <si>
    <t>VGB; §26, Ziff. 4</t>
  </si>
  <si>
    <t>VGB; §26, Ziff. 1 c)</t>
  </si>
  <si>
    <t>VGB; §6, Ziff. 1</t>
  </si>
  <si>
    <t>VGB; §6, Ziff. 1 c)</t>
  </si>
  <si>
    <t>VGB; §6, Ziff. 1 e)</t>
  </si>
  <si>
    <t>VGB; §6, Ziff. 3 a)</t>
  </si>
  <si>
    <t>VGB; §7, Ziff. 1 d)</t>
  </si>
  <si>
    <t>VGB; §7, Ziff. 2 a)</t>
  </si>
  <si>
    <t>VGB; §7, Ziff. 2 b)</t>
  </si>
  <si>
    <t>Tarif; IV..; Ziff. 7.4</t>
  </si>
  <si>
    <t>Klausel 0966 / Tarif; III.; Ziff. 4</t>
  </si>
  <si>
    <t>versicherbar über Klausel 0966
(10% SB, mind. 500 €)</t>
  </si>
  <si>
    <t>Innere Unruhen versicherbar über Klausel 0966 (10% SB, mind. 500 €)</t>
  </si>
  <si>
    <t>VGB; §4, Ziff. 1 a)</t>
  </si>
  <si>
    <t>VGB; §4, Ziff. 1 a) / Klausel 7162 / Klausel 7165 / Tarif; III.; Ziff. 4</t>
  </si>
  <si>
    <t>VGB; §1, Ziff. 2 b)</t>
  </si>
  <si>
    <t>Garagen: zusätzlich versicherbar
Carports: bis 5.000 €</t>
  </si>
  <si>
    <t>Klausel 7264 / Tarif; III.; Ziff. 3 / Ziff. 4</t>
  </si>
  <si>
    <t>VGB; §1, Ziff. 1 / Tarif; III.; Ziff. 1</t>
  </si>
  <si>
    <t>VGB; §23, Ziff. 2 c)</t>
  </si>
  <si>
    <t>VGB; §26, Ziff. 1 a)</t>
  </si>
  <si>
    <t>VGB; §2</t>
  </si>
  <si>
    <t>Garage ist gem. Vers.-Schein
Vertragsbestandteil</t>
  </si>
  <si>
    <t>VGB; §2 / Versicherungsschein</t>
  </si>
  <si>
    <t>sofern im Versicherungsschein
aufgeführt</t>
  </si>
  <si>
    <t>keine Feuerdeckung</t>
  </si>
  <si>
    <t>VGB; §1, Ziff. 4</t>
  </si>
  <si>
    <t>nein# (ggf. zusätzlich versicherbar
über Elementarversicherung)</t>
  </si>
  <si>
    <t>VGB; §4, Ziff. 3 d)</t>
  </si>
  <si>
    <t>VGB; §4</t>
  </si>
  <si>
    <t>sonstige Einrichtungen 
der Wasserversorgung</t>
  </si>
  <si>
    <t>VGB; §4, Ziff. 3 e)</t>
  </si>
  <si>
    <t>nur Zu-/ Ableitungsrohre 
der Wasserversorgung</t>
  </si>
  <si>
    <t>VGB; §4, Ziff. 1</t>
  </si>
  <si>
    <t>VGB; §4, Ziff. 2</t>
  </si>
  <si>
    <t>ja 
(soweit der Versorgung 
versicherter Gebäude dienend)</t>
  </si>
  <si>
    <t>VGB; §4, Ziff. 2 b)</t>
  </si>
  <si>
    <t>Aufräumungs- und Abbruchkosten
bis 1% der VS</t>
  </si>
  <si>
    <t>VGB; §1, Ziff. 2 c)</t>
  </si>
  <si>
    <t>VGB; §17, Ziff. 5</t>
  </si>
  <si>
    <t>VGB; §7, Ziff. 1 a)</t>
  </si>
  <si>
    <t>VGB; §7, Ziff. 1 b)</t>
  </si>
  <si>
    <t>6 Monate</t>
  </si>
  <si>
    <t>VGB; §1, Ziff. 3</t>
  </si>
  <si>
    <t>Elementardeckung ist nicht
Vertragsbestandteil
(ggf. Überschwemmung, Rückstau, Erdbeben, Erdsenkung, Erdrutsch, Schneedruck, Lawinen, Vulkanausbruch)</t>
  </si>
  <si>
    <t>(ggf.
Sturmflut, Grundwasser)</t>
  </si>
  <si>
    <t>vereinbarte SB
(Elementardeckung ist nicht Vertragsbestandteil)</t>
  </si>
  <si>
    <t>das Feuerrisiko ist nicht versichert</t>
  </si>
  <si>
    <t>VGB
Stand 12-1986</t>
  </si>
  <si>
    <t>ABB; VI.; §38 (2)</t>
  </si>
  <si>
    <t>30% der VS</t>
  </si>
  <si>
    <t>ABB; IV.; §19 (3) / Versicherungsschien</t>
  </si>
  <si>
    <t>ABB; I.; §1 (3)</t>
  </si>
  <si>
    <t>ABB; I.; §3 / Versicherungsschein</t>
  </si>
  <si>
    <t>ABB; I.; §3</t>
  </si>
  <si>
    <t>ABB; I.; §1 (1)</t>
  </si>
  <si>
    <t>nur Brand, Blitzschlag, Explosion
(keine Implosion)</t>
  </si>
  <si>
    <t>ABB; VI.; §38 (1) / §39 (4) d)</t>
  </si>
  <si>
    <t>Versicherungsschein (Plus-Paket)</t>
  </si>
  <si>
    <t>nur durch Brand 
entstandene Sengschäden</t>
  </si>
  <si>
    <t>ABB; VI.; §39 (4) b)</t>
  </si>
  <si>
    <t>sofern eine Aufruhrversicherung gem. § 25 abgeschlossen wurde</t>
  </si>
  <si>
    <t>ABB; VI.; §40 (1)</t>
  </si>
  <si>
    <t>nur lenkbare Flugkörper/ deren Teile und Ladung (+unbemannte Flugk.)</t>
  </si>
  <si>
    <t>ABB; VI.; §38 (1) / Versicherungsschein (Plus-Paket)</t>
  </si>
  <si>
    <t>bis 6 Monate (wenn mind. 5 Jahre Vertragslaufzeit vereinbart wurde)</t>
  </si>
  <si>
    <t>ABB; V.; §28 (4)</t>
  </si>
  <si>
    <t>nur Feuer-Deckung</t>
  </si>
  <si>
    <t>ja,
Aufräumungs- und Abbruchkosten</t>
  </si>
  <si>
    <t>ABB; VI.; §42 (2) b)</t>
  </si>
  <si>
    <t>ABB; VI.; §38 (3) b)</t>
  </si>
  <si>
    <t>ABB; VI.; §51 (4)</t>
  </si>
  <si>
    <t>bis 100 Tage,
max. 100 € pro Tag</t>
  </si>
  <si>
    <t>12 Monate
(auf 24 Monate erweiterbar)</t>
  </si>
  <si>
    <t>Elementardeckung ist nicht
Vertragsbestandteil
Überschwemmung, Erdbeben, Erdsenkung, Erdrutsch, Schneedruck, Lawinen, Vulkanausbruch</t>
  </si>
  <si>
    <t>ZB; §2</t>
  </si>
  <si>
    <t>ZB; §11</t>
  </si>
  <si>
    <t>ZB; §14</t>
  </si>
  <si>
    <t>nur das Feuerrisiko ist versichert</t>
  </si>
  <si>
    <t>ABB</t>
  </si>
  <si>
    <t>ABB
Stand unbekannt</t>
  </si>
  <si>
    <t>VKB (Für Fr. La Tona) (Feuerdeckung inkl. Plus-Paket)</t>
  </si>
  <si>
    <t>ARAG Basis (Wohnfläche)</t>
  </si>
  <si>
    <t>ARAG Comfort (Wohnfläche)</t>
  </si>
  <si>
    <t>bis 750 €</t>
  </si>
  <si>
    <t>ja
(max. 500.000 €)</t>
  </si>
  <si>
    <t>bis 30 Tage
(max 100 € pro Tag)</t>
  </si>
  <si>
    <t>bis 3.000 €
bei Schäden &gt; 5.000 €</t>
  </si>
  <si>
    <t>bis 5.000 € (20% SB)
bei Schäden &gt; 25.000 €</t>
  </si>
  <si>
    <t>ja
bei Schäden &gt; 25.000 €</t>
  </si>
  <si>
    <t>2.500 €</t>
  </si>
  <si>
    <t>BBVG Basis 2008
Stand 07-2010</t>
  </si>
  <si>
    <t>BBVG Comfort 2008
Stand 07-2010</t>
  </si>
  <si>
    <t>BBVG; Ziff. 1 / Leistungsübersicht</t>
  </si>
  <si>
    <t>BBVG; Ziff. 2</t>
  </si>
  <si>
    <t>BBVG; Ziff. 4</t>
  </si>
  <si>
    <t>BBVG; Ziff. 5 / Leistungsübersicht</t>
  </si>
  <si>
    <t>BBVG; Ziff. 6 / Leistungsübersicht</t>
  </si>
  <si>
    <t>BBVG; Ziff. 7</t>
  </si>
  <si>
    <t>BBVG; Ziff. 8</t>
  </si>
  <si>
    <t>BBVG; Ziff. 9 / Ziff. 10</t>
  </si>
  <si>
    <t>BBVG; Ziff. 12.2</t>
  </si>
  <si>
    <t>BBVG; Ziff. 13</t>
  </si>
  <si>
    <t>BBVG; Ziff. 14 / Leistungsübersicht</t>
  </si>
  <si>
    <t>BBVG; Ziff. 16.2</t>
  </si>
  <si>
    <t>BBVG; Ziff. 16.1</t>
  </si>
  <si>
    <t>BBVG; Ziff. 17 / Leistungsübersicht</t>
  </si>
  <si>
    <t>BBVG; Ziff. 18</t>
  </si>
  <si>
    <t>BBVG; Ziff. 20</t>
  </si>
  <si>
    <t>BBVG; Ziff. 20 / Leistungsübersicht</t>
  </si>
  <si>
    <t>BBVG; Ziff. 21 / Leistungsübersicht</t>
  </si>
  <si>
    <t>BBVG; Ziff. 22 / Leistungsübersicht</t>
  </si>
  <si>
    <t>BBVG; Ziff. 23 / Leistungsübersicht</t>
  </si>
  <si>
    <t>BBVG; Ziff. 25 / Leistungsübersicht</t>
  </si>
  <si>
    <t>BBVG; Ziff. 26 / Leistungsübersicht</t>
  </si>
  <si>
    <t>BBVG; Ziff. 27 / Leistungsübersicht</t>
  </si>
  <si>
    <t>BBVG; Ziff. 28 / Leistungsübersicht</t>
  </si>
  <si>
    <t>BBVG; Ziff. 29 / Leistungsübersicht</t>
  </si>
  <si>
    <t>BBVG; Ziff. 30 / Leistungsübersicht</t>
  </si>
  <si>
    <t>BBVG; Ziff. 32</t>
  </si>
  <si>
    <t>BBVG; Ziff. 33</t>
  </si>
  <si>
    <t>BBVG; Ziff. 35 / Ziff. 36 / Ziff. 37 / Ziff. 38 / Leistungsübersicht</t>
  </si>
  <si>
    <t>BBVG; Ziff. 39 / Leistungsübersicht</t>
  </si>
  <si>
    <t>BBVG; Ziff. 40 / Leistungsübersicht</t>
  </si>
  <si>
    <t>BBVG; Ziff. 41 / Leistungsübersicht</t>
  </si>
  <si>
    <t>BBVG; Ziff. 42 / Leistungsübersicht</t>
  </si>
  <si>
    <t>BBVG; Ziff. 3</t>
  </si>
  <si>
    <t>BBVG; Ziff. 4 / Leistungsübersicht</t>
  </si>
  <si>
    <t>BBVG; Ziff. 6</t>
  </si>
  <si>
    <t>BBVG; Ziff. 9.1</t>
  </si>
  <si>
    <t>BBVG; Ziff. 9.2</t>
  </si>
  <si>
    <t>BBVG; Ziff. 10 / Leistungsübersicht</t>
  </si>
  <si>
    <t>BBVG; Ziff. 11 /
Leistungsübersicht</t>
  </si>
  <si>
    <t>BBVG; Ziff. 12 / Leistungsübersicht</t>
  </si>
  <si>
    <t>BBVG; Ziff. 13 / Leistungsübersicht</t>
  </si>
  <si>
    <t>BBVG; Ziff. 14</t>
  </si>
  <si>
    <t>BBVG; Ziff. 15 / Ziff.16 / Ziff. 17 / Ziff. 18 / Leistungsübersicht</t>
  </si>
  <si>
    <t>BBVG; Ziff. 19 / Leistungsübersicht</t>
  </si>
  <si>
    <t>Tarif / Leistungsübersicht</t>
  </si>
  <si>
    <t>siehe "Nebengebäude"</t>
  </si>
  <si>
    <t>VGB; B.; Ziff. 5.2.6 / Leistungsübersicht</t>
  </si>
  <si>
    <t>bis 10.000 € (erhöhbar) (10% SB)
(Gewächshäuser bis 500 €)</t>
  </si>
  <si>
    <t>bis 25.000 € (erhöhbar) (10% SB)
(Gewächshäuser bis 1.000 €)</t>
  </si>
  <si>
    <t>VGB; B.; Ziff. 1.1.1</t>
  </si>
  <si>
    <t>BBVG Rohbau; Ziff. 5 / Leistungsübersicht</t>
  </si>
  <si>
    <t>BBEW; Ziff. 2</t>
  </si>
  <si>
    <t>VGB; B.; Ziff. 3.3</t>
  </si>
  <si>
    <t>VGB; B.; Ziff. 3.4.1</t>
  </si>
  <si>
    <t>VGB; B.; Ziff. 3.1.1</t>
  </si>
  <si>
    <t>VGB; B.; Ziff. 3.1.2</t>
  </si>
  <si>
    <t>VGB; B.; Ziff. 3.2 / 
BBVG; Ziff. 8</t>
  </si>
  <si>
    <t>VGB; B.; Ziff. 3.2 / 
BBVG; Ziff. 12.1</t>
  </si>
  <si>
    <t>BBGIW</t>
  </si>
  <si>
    <t>BBEW; Ziff. 10</t>
  </si>
  <si>
    <t>BBEW; Ziff. 12 / Leistungsübersicht</t>
  </si>
  <si>
    <t>VGB; B.; Ziff. 8.1</t>
  </si>
  <si>
    <t>VGB; B.; Ziff. 7.1 / Ziff. 7.2 /
Leistungsübersicht</t>
  </si>
  <si>
    <t>-Telefonsiche Erstberatung bei Rechtsangelegenheiten rund um das Wohngebäude im Schadenfall und Online-Rechts-Service
-Feuerlöschkosten, die der VN zur Brandbekämpfung für geboten halten durfte</t>
  </si>
  <si>
    <t>VGB; B.; Ziff. 5.2.2</t>
  </si>
  <si>
    <t>VGB; B.; Ziff. 5.1 / Tarif</t>
  </si>
  <si>
    <t>WÜBA Plus</t>
  </si>
  <si>
    <t>Klausel 7160</t>
  </si>
  <si>
    <t>ja (erweiterter Fahrzeuganprall 
bis 2.500 €)</t>
  </si>
  <si>
    <t>bis 3% der VS</t>
  </si>
  <si>
    <t>Klausel 7261</t>
  </si>
  <si>
    <t>Klausel 7264</t>
  </si>
  <si>
    <t>Klausel 7362</t>
  </si>
  <si>
    <t>Klausel 7361</t>
  </si>
  <si>
    <t>Klausel 7363</t>
  </si>
  <si>
    <t>bis 100 Tage
(max. 60 € pro Tag)</t>
  </si>
  <si>
    <t>-Unterversicherungsverzicht 
bei Schäden bis 5.000 €</t>
  </si>
  <si>
    <t>BB; Ziff. 1</t>
  </si>
  <si>
    <t>Klausel 7166; Ziff. 2</t>
  </si>
  <si>
    <t>Klausel 7166; Ziff. 1</t>
  </si>
  <si>
    <t>VGB; A.; §2 (1) d) /  Klausel 7165</t>
  </si>
  <si>
    <t>ja
(nicht der Versorgung versicherter Gebäude dienende Zuleitungsrohre bis 3% der VS)</t>
  </si>
  <si>
    <t>Carports im Rahmen d.  "sonstigen 
Zubehörs" / Garagen versicherbar</t>
  </si>
  <si>
    <t>BB; Ziff. 3</t>
  </si>
  <si>
    <t>max. 2.500 € (20% SB)
bei Schäden &gt; 10.000 €</t>
  </si>
  <si>
    <t>bis 1% der VS
(max. 100.000 € pro Jahr)</t>
  </si>
  <si>
    <t>BB; Ziff. 4</t>
  </si>
  <si>
    <t>BB; Ziff. 5</t>
  </si>
  <si>
    <t>BB; Ziff. 7</t>
  </si>
  <si>
    <t>VGB; A.; §5 (3) a)</t>
  </si>
  <si>
    <t>VGB; A.; §5 (3) c)</t>
  </si>
  <si>
    <t>BWE; §10</t>
  </si>
  <si>
    <t>VGB; A.; §8 (4)</t>
  </si>
  <si>
    <t>VGB; A.; §3 (3)</t>
  </si>
  <si>
    <t>VGB; A.; §3 (4) a) bb)</t>
  </si>
  <si>
    <t>VGB; A.; §3 (1) a) bb)</t>
  </si>
  <si>
    <t>VGB; A.; §3 (1) b) aa)</t>
  </si>
  <si>
    <t>VGB; A.; §3 (1) b) bb)</t>
  </si>
  <si>
    <t>VGB; A.; §3 (2) / Klausel 7260</t>
  </si>
  <si>
    <t>BWE</t>
  </si>
  <si>
    <t>VGB; A.; §2 (5) b)</t>
  </si>
  <si>
    <t>VGB; A.; §2 (1) c)</t>
  </si>
  <si>
    <t>VGB; A.; §5 (1)</t>
  </si>
  <si>
    <t>VGB; A.; §5 (2) b)</t>
  </si>
  <si>
    <t>Klausel 7264 / VGB; A.; §5 (1)</t>
  </si>
  <si>
    <t>A.; §1 (1) a)</t>
  </si>
  <si>
    <t>VGB; A.; §10</t>
  </si>
  <si>
    <t>VGB; A.; §10 (2) b)</t>
  </si>
  <si>
    <t>BWE; §12 / Rechner</t>
  </si>
  <si>
    <t>wahlweise keine SB (Erdbeben: 5%)
oder 1% der VS (Erdbeben: 5%)</t>
  </si>
  <si>
    <t>ja (auch Zuleitungsrohre nicht versicherter Gebäude/ Anlagen bis 2.500 €)</t>
  </si>
  <si>
    <t>bis 2.500 € (der Versorgung versicherter Gebäude dienend)</t>
  </si>
  <si>
    <t>WG 0058</t>
  </si>
  <si>
    <t>vereinbarte VS für
Sengschäden</t>
  </si>
  <si>
    <t>vereinbarte VS für
Überspannungsschäden</t>
  </si>
  <si>
    <t>WG 0057</t>
  </si>
  <si>
    <t>WG 0060</t>
  </si>
  <si>
    <t>ja (auch Zuleitungsrohre nicht versicherter Gebäude/ Anlagen bis zur vereinbarten Entschädigung)</t>
  </si>
  <si>
    <t>WG 0065</t>
  </si>
  <si>
    <t>bis zur hierfür vereinbarten Entschädigungsgrenze</t>
  </si>
  <si>
    <t>WG 0066 / WG 0067</t>
  </si>
  <si>
    <t>WG 0068</t>
  </si>
  <si>
    <t>bis zur hierfür vereinbarten
Entschädigungsgrenze</t>
  </si>
  <si>
    <t>WG 0070; Ziff. 2</t>
  </si>
  <si>
    <t>WG 0070; Ziff. 1</t>
  </si>
  <si>
    <t>WG 0071</t>
  </si>
  <si>
    <t>WG 0072</t>
  </si>
  <si>
    <t>Sturmflut, erdgebundenes Wasser</t>
  </si>
  <si>
    <t>WG 0072; Ziff. 3</t>
  </si>
  <si>
    <t>WG 0072; Ziff. 2</t>
  </si>
  <si>
    <t>WG 0072; Ziff. 13</t>
  </si>
  <si>
    <t>vereinbarter Selbstbehalt</t>
  </si>
  <si>
    <t>WG 0073</t>
  </si>
  <si>
    <t>WG 0074</t>
  </si>
  <si>
    <t>bis zur hierfür vereinbarten 
Entschädigungsgrenze / Zeitpunkt</t>
  </si>
  <si>
    <t>WG 0076; Ziff. 8</t>
  </si>
  <si>
    <t>WG 0077; Ziff. 4</t>
  </si>
  <si>
    <t>WG 0078</t>
  </si>
  <si>
    <t>WG 0079</t>
  </si>
  <si>
    <t>-Regiekosten ab einer Schadenhöhe &gt; 5.000 €
-Verkehrssicherungsmaßnahmen
-provisorische Maßnahmen</t>
  </si>
  <si>
    <t>WG 0081 / WG 0082 / WG 0083</t>
  </si>
  <si>
    <t>WG 0085</t>
  </si>
  <si>
    <t>WG 0093</t>
  </si>
  <si>
    <t>WG 0094</t>
  </si>
  <si>
    <t>WG 0085 / WG 0097</t>
  </si>
  <si>
    <t>Windenergieanlagen / Sonnenenergieanlagen
bis zur hierfür vereinbarten Entschädigungsgrenze</t>
  </si>
  <si>
    <t>VGB 2007
Stand 01-2007</t>
  </si>
  <si>
    <t>VGB; Ziff. 1.3</t>
  </si>
  <si>
    <t>VGB; Ziff. 2.1 a) / b) / Ziff. 3</t>
  </si>
  <si>
    <t>VGB; Ziff. 3.3</t>
  </si>
  <si>
    <t>VGB; Ziff. 4.1 a)</t>
  </si>
  <si>
    <t>VGB; Ziff. 6.3 c)</t>
  </si>
  <si>
    <t>VGB; Ziff. 7.1</t>
  </si>
  <si>
    <t>VGB; Ziff. 7.2</t>
  </si>
  <si>
    <t>VGB; Ziff. 7.4 / WG 0061</t>
  </si>
  <si>
    <t>VGB; Ziff. 7.4 / WG 0062</t>
  </si>
  <si>
    <t>der Versorgung dienende Rohre bis zur vereinbarten Entschädigung)</t>
  </si>
  <si>
    <t>WG 0080</t>
  </si>
  <si>
    <t>Mehraufwand bis zur vereinbarten Höhe bei Schäden &gt; 5.000 €</t>
  </si>
  <si>
    <t>VGB; Ziff. 22.2</t>
  </si>
  <si>
    <t>VGB; Ziff. 22.3</t>
  </si>
  <si>
    <t>VGB; Ziff. 9.1 a)</t>
  </si>
  <si>
    <t>Neubauwert</t>
  </si>
  <si>
    <t>Herr Reimers</t>
  </si>
  <si>
    <t>Volksfürsorge Komfort (qm)
Stand (01-2007)</t>
  </si>
  <si>
    <t>Alte Leipziger XXL
(Stand 07-2011)</t>
  </si>
  <si>
    <t>VGB 2008
Stand 01-2013</t>
  </si>
  <si>
    <t>VGB; IV.; Klauseln; Ziff. 1 / Ziff. 3</t>
  </si>
  <si>
    <t>VGB; IV.; Klauseln; Ziff. 3</t>
  </si>
  <si>
    <t>VGB; IV.; Klauseln; Ziff. 3 / Leistungsübersicht</t>
  </si>
  <si>
    <t>VGB; I.; Ziff. 2 / 
IV.; Klauseln; Ziff. 3 / Leistungsübersicht</t>
  </si>
  <si>
    <t>VGB; IV.; Klauseln; Ziff. 4</t>
  </si>
  <si>
    <t>VGB; IV.; Klauseln; Ziff. 1</t>
  </si>
  <si>
    <t>VGB; IV.; Klauseln; Ziff. 1 / Leistungsübersicht</t>
  </si>
  <si>
    <t>im Rahmen der Entschädigung für umgestürzte Bäume</t>
  </si>
  <si>
    <t>VGB; I.; Ziff. 2 / IV.; Klauseln; Ziff. 1</t>
  </si>
  <si>
    <t xml:space="preserve">VGB; II.; A.; Ziff. 5.1 </t>
  </si>
  <si>
    <t>VGB; II.; A.; Ziff. 3.2</t>
  </si>
  <si>
    <t>VGB; II.; A.; Ziff. 8.4</t>
  </si>
  <si>
    <t>VGB; II.; A.; Ziff. 8.1</t>
  </si>
  <si>
    <t>VGB; II.; A.; Ziff. 7.1</t>
  </si>
  <si>
    <t>VGB; II.; A.; Ziff. 3.3</t>
  </si>
  <si>
    <t>VGB; II.; A.; Ziff. 3.4 a) bb)</t>
  </si>
  <si>
    <t>VGB; II.; A.; Ziff. 3.1 a) bb)</t>
  </si>
  <si>
    <t>VGB; II.; A.; Ziff. 3.1 b) aa)</t>
  </si>
  <si>
    <t>VGB; II.; A.; Ziff. 3.1 b) bb)</t>
  </si>
  <si>
    <t xml:space="preserve">VGB; IV.; Klauseln; Ziff. 3 / Leistungsübersicht
</t>
  </si>
  <si>
    <t>VGB; II.; A.; Ziff. 2.1 c)</t>
  </si>
  <si>
    <t>VGB; II.; A.; Ziff. 5.2 b)</t>
  </si>
  <si>
    <t>VGB; II.; A.; Ziff. 14.1 a)</t>
  </si>
  <si>
    <t>BBVG; Ziff. 20.2 / Leistungsübersicht</t>
  </si>
  <si>
    <t>BBVG; Ziff. 39.2 / Leistungsübersicht</t>
  </si>
  <si>
    <t>BBVG; Ziff. 1.2 / Leistungsübersicht</t>
  </si>
  <si>
    <t>BBVG; Ziff. 4.4 / Leistungsübersicht</t>
  </si>
  <si>
    <t>BBVG; Ziff. 5.4 / Leistungsübersicht</t>
  </si>
  <si>
    <t>BBVG; Ziff. 5.2 / Leistungsübersicht</t>
  </si>
  <si>
    <t>BBVG; Ziff. 6.2 / Leistungsübersicht</t>
  </si>
  <si>
    <t>BBVG; Ziff. 14.3 / Leistungsübersicht</t>
  </si>
  <si>
    <t>VGB; II.; A.; Ziff. 3.1 a) aa)</t>
  </si>
  <si>
    <t>zusätzlich versicherbar bis 3.000 €
(sofern der Entsorgung versicherter Gebäude dienend)</t>
  </si>
  <si>
    <t>zusätzlich versicherbar bis 10.000 €
(sofern der Entsorgung versicherter Gebäude dienend)</t>
  </si>
  <si>
    <t>zusätzlich versicherbar 
je nach Wahl bis 1.500 oder 3.000 €
(sofern der Entsorgung versicherter Gebäude dienend)</t>
  </si>
  <si>
    <t>zusätzlich versicherbar
je nach Wahl bis 1.500 oder 3.000 € 
(sofern der Entsorgung versicherter Gebäude dienend)</t>
  </si>
  <si>
    <t>BBVG; Ziff. 11 / Leistungsübersicht</t>
  </si>
  <si>
    <t>BBVG; Ziff. 10</t>
  </si>
  <si>
    <t xml:space="preserve">ARAG Comfort (Wohnfl.) (Stand 07-2010) </t>
  </si>
  <si>
    <t>ARAG Basis (Wohnfläche)
(Stand 07-2010)</t>
  </si>
  <si>
    <t>BBVG; Ziff. 14.2 / Leistungsübersicht</t>
  </si>
  <si>
    <t>BBVG; Ziff. 30.2 / Leistungsübersicht</t>
  </si>
  <si>
    <t>BBVG; Ziff. 15</t>
  </si>
  <si>
    <t>BBVG; Ziff. 13.2 / Leistungsübersicht</t>
  </si>
  <si>
    <t>BBVG; Ziff. 27.2 / Leistungsübersicht</t>
  </si>
  <si>
    <t>im Rahmen der Entschädigung für die Wiederaufforstung von Bäumen</t>
  </si>
  <si>
    <t>BBVG; Ziff. 29.4 / Leistungsübersicht</t>
  </si>
  <si>
    <t>BBVG; Ziff. 23.2 / Leistungsübersicht</t>
  </si>
  <si>
    <t>BBVG; Ziff. 16 / Ziff.17 / Ziff. 18 / Ziff. 19 / Leistungsübersicht</t>
  </si>
  <si>
    <t>BBVG; Ziff. 17.5 / Leistungsübersicht</t>
  </si>
  <si>
    <t>BBVG; Ziff. 22.3 / Leistungsübersicht</t>
  </si>
  <si>
    <t>BBVG; Ziff. 12 /
Leistungsübersicht</t>
  </si>
  <si>
    <t>-Telefonsiche Erstberatung bei Rechtsangelegenheiten rund um das Wohngebäude im Schadenfall und Online-Rechts-Service
-Schäden durch radioaktive Isotope
-Bissschäden durch Tiere an elektrischen Leitungen
-Feuerlöschkosten, die der VN zur Brandbekämpfung für geboten halten durfte
-Regiekosten bei 
Schäden &gt; 25.000 €
-Behinderungsbedingte Mehraufwendungen bis 25.000 € (bei Schäden &gt; 25.000 €)</t>
  </si>
  <si>
    <t>BBVG; Ziff. 11 / Ziff. 19 / Ziff. 24 / 
Ziff. 31 / Ziff. 34 /
Leistungsübersicht</t>
  </si>
  <si>
    <t>BBVG; Ziff. 11 / Ziff.l 19 / Ziff. 24 / 
Ziff. 31 / Ziff. 34 /
Leistungsübersicht</t>
  </si>
  <si>
    <t>-Telefonsiche Erstberatung bei Rechtsangelegenheiten rund um das Wohngebäude im Schadenfall und Online-Rechts-Service
-Schäden durch radioaktive Isotope
-Bissschäden durch Tiere an elektrischen Leitungen
-Feuerlöschkosten, die der VN zur Brandbekämpfung für geboten halten durfte
-Regiekosten bei 
Schäden &gt; 25.000 €
-Behinderungsbedingte Mehraufwendungen bis 25.000 € 
(bei Schäden &gt; 25.000 €)</t>
  </si>
  <si>
    <t>Klausel 0966, Ziff. 2 v)</t>
  </si>
  <si>
    <t>Klausel 7369</t>
  </si>
  <si>
    <t>ja (20% SB)
bei Schäden &gt; 25.000 €</t>
  </si>
  <si>
    <t>ja (bei einigen Obliegenheits-verletzungen bis 2.500 €)</t>
  </si>
  <si>
    <t>Basler Ambiente Top
(Stand 07-2012)</t>
  </si>
  <si>
    <t>B38 XXL
Stand 03-2011</t>
  </si>
  <si>
    <t>Interrisk XXL
(Stand 03-2011)</t>
  </si>
  <si>
    <t>B38 XXL
Stand 10-2012</t>
  </si>
  <si>
    <t>B38; §2, Ziff. 2 a) / Verbindliche Erläuterungen zu §2, Ziff. 2 a)</t>
  </si>
  <si>
    <t>B38; §2, Ziff. 3 b) / Verbindliche Erläuterungen zu §2, Ziff. 3 b)</t>
  </si>
  <si>
    <t>B38; §2, Ziff. 4 a) / Verbindliche Erläuterungen zu §2, Ziff. 4 a)</t>
  </si>
  <si>
    <t>B38; §2, Ziff. 4 b) / Verbindliche Erläuterungen zu §2, Ziff. 4 b)</t>
  </si>
  <si>
    <t>B38; §2, Ziff. 4 c) / Verbindliche Erläuterungen zu §2, Ziff. 4 c)</t>
  </si>
  <si>
    <t>B38; §2, Ziff. 5 / Verbindliche Erläuterungen zu §2, Ziff. 5 a) / b)</t>
  </si>
  <si>
    <t>B38; §2, Ziff. 9.1 / Verbindliche Erläuterungen zu §2, Ziff. 9.1 a) / b)</t>
  </si>
  <si>
    <t>B38; §3, Ziff. 1.1 c) / Verbindliche Erläuterungen zu §3, Ziff. 1 / Ziff. 2</t>
  </si>
  <si>
    <t>B38; §3, Ziff. 1.1 g) / Verbindliche Erläuterungen zu §3, Ziff. 1 / Ziff. 2 / Ziff. 3</t>
  </si>
  <si>
    <t>B38; §3, Ziff. 5 / Verbindliche Erläuterungen zu §3, Ziff. 5</t>
  </si>
  <si>
    <t>B38; §2; Ziff. 6 a) / §5 / Verbindliche Erläuterungen zu §5, Ziff. 2 / Ziff. 3 / Ziff. 4</t>
  </si>
  <si>
    <t>ja
(auch Tierbiss durch Marder und wildlebende Nagetiere)</t>
  </si>
  <si>
    <t>B38; §5, Ziff. 4 / Verbindliche Erläuterungen zu §5, Ziff. 4</t>
  </si>
  <si>
    <t>B38; §5, Ziff. 3 / Ziff. 4 / Verbindliche Erläuterungen zu §5, Ziff. 4</t>
  </si>
  <si>
    <t>B38; §5, Ziff. 2.1</t>
  </si>
  <si>
    <t>B38; §6, Ziff. 2 a) / c) / Verbindliche Erläuterungen zu §6, Ziff. 2 c)</t>
  </si>
  <si>
    <t>Klausel 7279; Ziff. 1</t>
  </si>
  <si>
    <t>Klausel 7279; Ziff. 10.1</t>
  </si>
  <si>
    <t>Sturmflut, Grundwasser,
Trockenheit/ Austrocknung</t>
  </si>
  <si>
    <t>B38; §2, Ziff. 2 b) / c)</t>
  </si>
  <si>
    <t>Klausel 7101 / B61</t>
  </si>
  <si>
    <t>B38; §2, Ziff. 8.2</t>
  </si>
  <si>
    <t>bis 1.000 € (sofern mit dem Gebäude verbunden)</t>
  </si>
  <si>
    <t>B38; §2, Ziff. 7.1</t>
  </si>
  <si>
    <t>B38; §3, Ziff. 1.1 f) / Verbindliche Erläuterungen zu §3, Ziff. 1 / Ziff. 2</t>
  </si>
  <si>
    <t>B38; §3, Ziff. 1.1 a) / Verbindliche Erläuterungen zu §3, Ziff. 1 / Ziff. 2</t>
  </si>
  <si>
    <t>B38; §3, Ziff. 1.1 b) / Verbindliche Erläuterungen zu §3, Ziff. 1 / Ziff. 2</t>
  </si>
  <si>
    <t>B38; §3, Ziff. 1.2 a) / Verbindliche Erläuterungen zu §3, Ziff. 1 / Ziff. 2</t>
  </si>
  <si>
    <t>B38; §3, Ziff. 2.1 / Verbindliche Erläuterungen zu §3, Ziff. 1 / Ziff. 2</t>
  </si>
  <si>
    <t>B38; §3, Ziff. 2.2 / Verbindliche Erläuterungen zu §3, Ziff. 1 / Ziff. 2</t>
  </si>
  <si>
    <t>ja (sofern der Entsorgung versicherter Gebäude dienend)</t>
  </si>
  <si>
    <t>B38; §3, Ziff. 2.3 / Verbindliche Erläuterungen zu §3, Ziff. 1 / Ziff. 2</t>
  </si>
  <si>
    <t>bis 2.500 € (der Entsorgung versicherter Gebäude dienend)</t>
  </si>
  <si>
    <t xml:space="preserve">B38; §3, Ziff. 3 </t>
  </si>
  <si>
    <t>B38; §3, Ziff. 3 g)</t>
  </si>
  <si>
    <t>B38; §3, Ziff. 3 d)</t>
  </si>
  <si>
    <t>B38; §3, Ziff. 3 h)</t>
  </si>
  <si>
    <t>B38; §3, Ziff. 6.1 b)</t>
  </si>
  <si>
    <t>B38; §3, Ziff. 4</t>
  </si>
  <si>
    <t>ja 
(auch Regenfallrohre)</t>
  </si>
  <si>
    <t>B38; §6, Ziff. 4</t>
  </si>
  <si>
    <t>B38; §6, Ziff. 3</t>
  </si>
  <si>
    <t>B38; §6, Ziff. 1.4</t>
  </si>
  <si>
    <t>B38; §6, Ziff. 2 b)</t>
  </si>
  <si>
    <t>B38; §2, Ziff. 2 g)</t>
  </si>
  <si>
    <t>B38; §2, Ziff. 2 h)</t>
  </si>
  <si>
    <t>Wiederbepflanzungskosten
bis 10.000 €</t>
  </si>
  <si>
    <t>B38; §7, Ziff. 2</t>
  </si>
  <si>
    <t>B38; §7, Ziff. 2.6</t>
  </si>
  <si>
    <t>ja
(auch Technologiefortschritt)</t>
  </si>
  <si>
    <t>B38; §7, Ziff. 3 / Ziff 4</t>
  </si>
  <si>
    <t>B38; §8, Ziff. 1 / Ziff. 2.1</t>
  </si>
  <si>
    <t>36 Monate (auch gewerbl. Räume, sofern &gt; 50% d. Gebäudes)</t>
  </si>
  <si>
    <t>B38; §9, Ziff. 1.1</t>
  </si>
  <si>
    <t>B38; §9, Ziff. 1.1 / §18, Ziff. 1 a)</t>
  </si>
  <si>
    <t>ja  (auch Leistung bei unbewusster
Obliegenheitsverletzung)</t>
  </si>
  <si>
    <t>B38; §15, Ziff. 1.3 / §16</t>
  </si>
  <si>
    <t>max. 1 Jahr</t>
  </si>
  <si>
    <t>WT2011; Ziff. 2.1</t>
  </si>
  <si>
    <t>infolge eines ED / ED-Versuchs (keine Schaufensterverglasung)</t>
  </si>
  <si>
    <t>B01; §16</t>
  </si>
  <si>
    <t>B38; §21, Ziff. 5.2</t>
  </si>
  <si>
    <t>-Keine Kündigungsfrist
-unbenannte Gefahren versicherbar
-Verzicht auf klassische Branddefinition
-Tierbiss (Marder/wildlebende Nagetiere) an Dämmungen/ Unterspannbahnen von Dächern und Außenwänden sowie an elektrischen Anlagen und Leitungen
-Radioaktive Isotope (nicht von Kernreaktoren)
-keine Mindestwindstärke bei Sturm
-Gebäudebeschädigungen aufgrund Eindringen von Niederschlägen durch sonstige Gebäudeöffnungen (z. B. nicht ordnungsgemäß geschlossene Fenster, Türen) 
bis 3.000 €
-Schadenermittlungskosten
-Regiekosten bei Schäden &gt; 5.000 €
-Verkehrssicherungsmaßnahmen
-Kosten für provisorische Maßnahmen
-Transport- und Lagerkosten bis 12 Monate
-Telefonische Serviceleistungen
-Psychologische Betreuung nach einem Schadenfall bis 1.000 €</t>
  </si>
  <si>
    <t>B01; §6, Ziff. 1.2 / Klausel 7281 /
B38; §2, Ziff. 2 / Ziff. 6 / §4, Ziff. 1 / Ziff. 2.2 / §6, Ziff. 1.2 / Ziff. 1.3 / Ziff. 2 d) / Ziff. 2 f) / Ziff. 5.6 /
Verbindliche Erläuterungen</t>
  </si>
  <si>
    <t>ITL afm Protect 2009
(Stand 01-2008)</t>
  </si>
  <si>
    <t>BWE; C.; §2</t>
  </si>
  <si>
    <t>BWE; C.; §10 c)</t>
  </si>
  <si>
    <t>BWE; C.; §12 c) / Handbuch</t>
  </si>
  <si>
    <t>-Haus- und Wohnungs-Schutzbrief ist versicherbar (diverse Dienstleistungen bis 500 €)</t>
  </si>
  <si>
    <t>VGB Protect 2010
Stand 06-2010</t>
  </si>
  <si>
    <t>VGB; A; §2, Ziff. 10 c)</t>
  </si>
  <si>
    <t>VGB; A; §2, Ziff. 9 e)</t>
  </si>
  <si>
    <t>VGB; A; §2, Ziff. 8</t>
  </si>
  <si>
    <t>VGB; A; §2, Ziff. 4</t>
  </si>
  <si>
    <t>VGB; A; §2, Ziff. 5 b)</t>
  </si>
  <si>
    <t>VGB; A; §2, Ziff. 5 c)</t>
  </si>
  <si>
    <t>VGB; A; §2, Ziff. 5 d)</t>
  </si>
  <si>
    <t>VGB; A; §2, Ziff. 6 / Ziff. 7</t>
  </si>
  <si>
    <t>VGB; A.; §2, Ziff. 2 / Handbuch/ Leistungsübersicht</t>
  </si>
  <si>
    <t>VGB; A; §3, Ziff. 1 a) bb)</t>
  </si>
  <si>
    <t>VGB; A; §3, Ziff. 1 a) ff)</t>
  </si>
  <si>
    <t>VGB; A; §3, Ziff. 1 a) ee)</t>
  </si>
  <si>
    <t>VGB; A; §3, Ziff. 1 a) gg)</t>
  </si>
  <si>
    <t>VGB; A; §3, Ziff. 1 a) cc)</t>
  </si>
  <si>
    <t>VGB; A; §3, Ziff. 2 a)</t>
  </si>
  <si>
    <t>VGB; A; §3, Ziff. 2 b) / afm Sonderbedingungen</t>
  </si>
  <si>
    <r>
      <t xml:space="preserve">bis 5.000 € bei Gebäudealter bis 26 J. (zw. 11-26 J. mit 20% SB), danach </t>
    </r>
    <r>
      <rPr>
        <u/>
        <sz val="7"/>
        <rFont val="Arial"/>
        <family val="2"/>
      </rPr>
      <t>optional</t>
    </r>
    <r>
      <rPr>
        <sz val="7"/>
        <rFont val="Arial"/>
        <family val="2"/>
      </rPr>
      <t xml:space="preserve"> über Zusatzbaustein; 
</t>
    </r>
    <r>
      <rPr>
        <b/>
        <u/>
        <sz val="7"/>
        <rFont val="Arial"/>
        <family val="2"/>
      </rPr>
      <t>oder</t>
    </r>
    <r>
      <rPr>
        <sz val="7"/>
        <rFont val="Arial"/>
        <family val="2"/>
      </rPr>
      <t xml:space="preserve"> uneingeschränkt nach Dichtigkeitsprüfung</t>
    </r>
  </si>
  <si>
    <t>VGB; A; §3, Ziff. 3</t>
  </si>
  <si>
    <t>VGB; A; §3, Ziff. 5 a) bb)</t>
  </si>
  <si>
    <t>VGB; A; §3, Ziff. 4</t>
  </si>
  <si>
    <t>VGB; A; §5, Ziff. 1</t>
  </si>
  <si>
    <t>VGB; A; §5, Ziff. 2 d) aa)</t>
  </si>
  <si>
    <t>VGB; A; §5, Ziff. 2 c)</t>
  </si>
  <si>
    <t>VGB; A; §5, Ziff. 2 b)</t>
  </si>
  <si>
    <t>Handbuch</t>
  </si>
  <si>
    <t>VGB; A; §7, Ziff. 1 a) / b)</t>
  </si>
  <si>
    <t>VGB; A; §7, Ziff. 1 c)</t>
  </si>
  <si>
    <t>VGB; A; §7, Ziff. 1 d)</t>
  </si>
  <si>
    <t>VGB; A; §7, Ziff. 1 e)</t>
  </si>
  <si>
    <t>VGB; A; §7, Ziff. 1 f)</t>
  </si>
  <si>
    <t>VGB; A; §7, Ziff. 1 g) cc)</t>
  </si>
  <si>
    <t>im Rahmen der Vandalismusschäden</t>
  </si>
  <si>
    <t>VGB; A; §7, Ziff. 1 h) bb)</t>
  </si>
  <si>
    <t>VGB; A; §7, Ziff. 1 i)</t>
  </si>
  <si>
    <t>im Rahmen der Entschädigung für die Entfernung umgestürzter Bäume</t>
  </si>
  <si>
    <t>VGB; A; §7, Ziff. 1 j)</t>
  </si>
  <si>
    <t>VGB; A; §8, Ziff. 1 a)</t>
  </si>
  <si>
    <t>VGB; A; §8, Ziff. 4</t>
  </si>
  <si>
    <t>VGB; A; §9, Ziff. 2 a) / Ziff. 3</t>
  </si>
  <si>
    <t>24 Monate
(auch gewerbl. Räume)</t>
  </si>
  <si>
    <t>36 Monate
(auch gewerbl. Räume)</t>
  </si>
  <si>
    <t>37 Monate
(auch gewerbl. Räume)</t>
  </si>
  <si>
    <t>VGB; A; §5, Ziff. 3 b)</t>
  </si>
  <si>
    <t>VGB; A; §13, Ziff. 1</t>
  </si>
  <si>
    <t>VGB; E; §23</t>
  </si>
  <si>
    <t>VGB; A; §11, Ziff. 3 c)</t>
  </si>
  <si>
    <t>Unterversicherungsverzicht bis zum Ende des laufenden Vers.-jahres</t>
  </si>
  <si>
    <t>VGB; A; §15, Ziff. 6</t>
  </si>
  <si>
    <t>VGB; Teil F</t>
  </si>
  <si>
    <t>VGB; E; §16, Ziff. 3</t>
  </si>
  <si>
    <t>VGB; E; §15, Ziff. 3</t>
  </si>
  <si>
    <t>VGB; E; §22</t>
  </si>
  <si>
    <t>VGB; A; §6, Ziff. 1</t>
  </si>
  <si>
    <t>VGB; A; §6, Ziff. 2 d)</t>
  </si>
  <si>
    <t>VGB; A; §6, Ziff. 2 c)</t>
  </si>
  <si>
    <t>VGB; A; §6, Ziff. 2 b)</t>
  </si>
  <si>
    <t>VGB; A; §5, Ziff. 5</t>
  </si>
  <si>
    <t>VGB; A; §2, Ziff. 4 b)</t>
  </si>
  <si>
    <t>VGB; A; §2, Ziff. 4 c)</t>
  </si>
  <si>
    <t>VGB; A; §2, Ziff. 4 d)</t>
  </si>
  <si>
    <t>VGB; A; §2, Ziff. 2 b) / Ziff. 3 b) cc)</t>
  </si>
  <si>
    <t>VGB; A; §2, Ziff. 3 b) aa)</t>
  </si>
  <si>
    <t>VGB; A; §2, Ziff. 7</t>
  </si>
  <si>
    <t>VGB; A; §2, Ziff. 5</t>
  </si>
  <si>
    <t>VGB; A; §2, Ziff. 2 a)</t>
  </si>
  <si>
    <t>ja (auch aus 
Regenwassernutzungsanlagen)</t>
  </si>
  <si>
    <t>VGB; A; §3, Ziff. 1 a) dd)</t>
  </si>
  <si>
    <t>VGB; A; §3, Ziff. 1 b)</t>
  </si>
  <si>
    <t>VGB; A; §3, Ziff. 1 a) aa)</t>
  </si>
  <si>
    <t>VGB; A; §3, Ziff. 2 a) bb)</t>
  </si>
  <si>
    <t>VGB; A; §3, Ziff. 2 a) aa)</t>
  </si>
  <si>
    <t>VGB; A; §3, Ziff. 2 b)</t>
  </si>
  <si>
    <t>ja, sofern der Entsorgung versicherter Gebäude dienend
(bis Gebäudealter 30 Jahre, danach mit Dichtheitsprüfung)</t>
  </si>
  <si>
    <t>VGB; A; §8, Ziff. 1 b) / c)</t>
  </si>
  <si>
    <t>VGB; A; §8, Ziff. 1 f)</t>
  </si>
  <si>
    <t>VGB; A; §8, Ziff. 1 g)</t>
  </si>
  <si>
    <t>VGB; A; §8, Ziff. 1 h)</t>
  </si>
  <si>
    <t>VGB; A; §8, Ziff. 1 i) bb)</t>
  </si>
  <si>
    <t>VGB; A; §8, Ziff. 1 j)</t>
  </si>
  <si>
    <t>VGB; A; §8, Ziff. 1 n)</t>
  </si>
  <si>
    <t>VGB; A; §8, Ziff. 1 o)</t>
  </si>
  <si>
    <t>ja
(auch Regenfallrohre)</t>
  </si>
  <si>
    <t>VGB; A; §10, Ziff. 1 e) / Ziff. 2 a)</t>
  </si>
  <si>
    <t>VGB; A; §9, Ziff. 1 a)</t>
  </si>
  <si>
    <t>VGB; A; §9, Ziff. 1 d)</t>
  </si>
  <si>
    <t>VGB; A; §9, Ziff. 4</t>
  </si>
  <si>
    <t>ja (auch Mehrkosten durch Technologiefortschritt)</t>
  </si>
  <si>
    <t>VGB; A; §9, Ziff. 4 / Ziff. 5</t>
  </si>
  <si>
    <t>-Haus- und Wohnungs-Schutzbrief ist versicherbar (diverse Dienstleistungen bis 500 €)
-Bissschäden durch wildlebende Kleinnager/ Mader an elektrischen Anlagen/ Leitungen und Dämmungen/ Unterspannbahnen von Dächern und Außenfassaden
-keine Mindestwindstärke in der Sturmdeckung
-Eindringen von Niederschlägen durch Gebäudeöffnungen bis 2.500 €
-Regiekosten bis 5.000 €
-Verkehrssicherungsmaßnahmen nach einem Schaden
-Kosten für provisorische Maßnahmen
-Transport-/Lagerkosten bis 12 Monate
-Beitragsfreistellung bei Arbeitslosigkeit bis 24 Monate bei gleichzeitigem Bestehen einer ITL Premium-Unfallversicherung</t>
  </si>
  <si>
    <t>VGB; C; §22</t>
  </si>
  <si>
    <t>VGB; A; §5, Ziff. 1 / Handbuch</t>
  </si>
  <si>
    <t>VGB; A; §6, Ziff. 1 / Handbuch</t>
  </si>
  <si>
    <t>VGB; A; §2, Ziff. 4.2</t>
  </si>
  <si>
    <t>VGB; A; §2, Ziff. 4.3</t>
  </si>
  <si>
    <t>VGB; A; §2, Ziff. 3.2</t>
  </si>
  <si>
    <t>VGB; A; §2, Ziff. 2.2 / Ziff. 2.3</t>
  </si>
  <si>
    <t>VGB; A; §2, Ziff. 4.4</t>
  </si>
  <si>
    <t>VGB; A; §2, Ziff. 6 e)</t>
  </si>
  <si>
    <t>VGB; A; §2, Ziff. 2.1</t>
  </si>
  <si>
    <t>VGB; A; §3, Ziff. 2 b) / c)</t>
  </si>
  <si>
    <t>VGB; A; §8, Ziff. 1 a) / b)</t>
  </si>
  <si>
    <t>VGB; A; §8, Ziff. 1 c)</t>
  </si>
  <si>
    <t>VGB; A; §8, Ziff. 1 d)</t>
  </si>
  <si>
    <t>VGB; A; §8, Ziff. 1 e)</t>
  </si>
  <si>
    <t>VGB; A; §8, Ziff. 1 g) cc)</t>
  </si>
  <si>
    <t>VGB; A; §8, Ziff. 1 h) bb)</t>
  </si>
  <si>
    <t>VGB; A; §6, Ziff. 3 b)</t>
  </si>
  <si>
    <t>VGB; A; §8, Ziff. 1 i)</t>
  </si>
  <si>
    <t>VGB; A; §14, Ziff. 6</t>
  </si>
  <si>
    <t>VGB; A; §10, Ziff. 2 a) / Ziff. 3</t>
  </si>
  <si>
    <t>bis 2.000 € (sofern mit dem Gebäude verbunden)</t>
  </si>
  <si>
    <t>VGB; A; §5</t>
  </si>
  <si>
    <t>Gebäudeverglasung inklusive</t>
  </si>
  <si>
    <t>VGB; A; §7, Ziff. 2 / Handbuch</t>
  </si>
  <si>
    <t>über Elementarversicherung
(sofern ZÜRS Gk 1)</t>
  </si>
  <si>
    <t>inklusive sind: Erdbeben, Erd-senkung, Erdrutsch, Schneedruck, Lawinen und Vulkanausbruch
(Überschwemmung, Rückstau sofern ZÜRS Gk 1)</t>
  </si>
  <si>
    <t>VGB; A; § 6 / §7, Ziff. 2 / Handbuch</t>
  </si>
  <si>
    <t>VGB; A; §7, Ziff. 3 c)</t>
  </si>
  <si>
    <t>VGB; A; §11, Ziff. 1 p)</t>
  </si>
  <si>
    <t>VGB; A; §11, Ziff. 1 o)</t>
  </si>
  <si>
    <t>VGB; A; §11, Ziff. 1 i) bb)</t>
  </si>
  <si>
    <t>VGB; A; §11, Ziff. 1 b) / c)</t>
  </si>
  <si>
    <t>VGB; A; §11, Ziff. 1 f)</t>
  </si>
  <si>
    <t>VGB; A; §11, Ziff. 1 j)</t>
  </si>
  <si>
    <t>VGB; A; §11, Ziff. 1 g)</t>
  </si>
  <si>
    <t>VGB; A; §11, Ziff. 1 h)</t>
  </si>
  <si>
    <t>VGB; A; §12, Ziff. 4 / Ziff. 5</t>
  </si>
  <si>
    <t>VGB; A; §12, Ziff. 1 d)</t>
  </si>
  <si>
    <t>VGB; A; §12, Ziff. 1 a)</t>
  </si>
  <si>
    <t>VGB; A; §17, Ziff. 6</t>
  </si>
  <si>
    <t>VGB; A; §13, Ziff. 1 e) / Ziff. 2 a)</t>
  </si>
  <si>
    <t>-Bissschäden durch wildlebende Kleinnager/ Mader an elektrischen Anlagen/ Leitungen und Dämmungen/ Unterspannbahnen von Dächern und Außenfassaden
-keine Mindestwindstärke in der Sturmdeckung
-Eindringen von Niederschlägen durch Gebäudeöffnungen bis 2.500 €
-Regiekosten bis 5.000 €
-Verkehrssicherungsmaßnahmen nach einem Schaden
-Kosten für provisorische Maßnahmen
-Transport-/Lagerkosten bis 12 Monate
-Beitragsfreistellung bei Arbeitslosigkeit bis 24 Monate bei gleichzeitigem Bestehen einer ITL Premium-Unfallversicherung</t>
  </si>
  <si>
    <t>VGB; A; §2, Ziff. 6 /  §4, Ziff. 2 / 
Ziff. 4 / §11, Ziff. 1 e) / k) / l) / n) / §23</t>
  </si>
  <si>
    <t>VGB; Teil F /
VGB; A; §2, Ziff. 6 / §4, Ziff. 2 / 
Ziff. 4 / §8, Ziff. 1 e) / k) / l) / m) / §18</t>
  </si>
  <si>
    <t>VGB; C; §15, Ziff. 3</t>
  </si>
  <si>
    <t>VGB; A; §9, Ziff. 1 / Handbuch</t>
  </si>
  <si>
    <t>VGB; A; §9, Ziff. 2 d)</t>
  </si>
  <si>
    <t>VGB; A; §9, Ziff. 2 c)</t>
  </si>
  <si>
    <t>VGB; A; §9, Ziff. 2 b)</t>
  </si>
  <si>
    <t>HDI Privatschutz
(Stand 01-2011)</t>
  </si>
  <si>
    <t>GB 3503:01; Ziff. 2.3</t>
  </si>
  <si>
    <t>GB 3503:01; Ziff. 3.4</t>
  </si>
  <si>
    <t>GB 3503:01; Ziff. 6.6</t>
  </si>
  <si>
    <t>über Paket Risiko Plus (bis 50% des Werts 1914 * Anpassungsfaktor)</t>
  </si>
  <si>
    <t>GB 3503:01; Ziff. 10</t>
  </si>
  <si>
    <t>über Baustein Risiko Plus
max. 10.000 € bei Schäden &gt; 5.000 €</t>
  </si>
  <si>
    <t>GB 3503:01; Ziff. 11</t>
  </si>
  <si>
    <t>GB 3503:01; Ziff. 14.1</t>
  </si>
  <si>
    <t>GB 3503:01; Ziff. 14.2</t>
  </si>
  <si>
    <t>GB 3503:01; Ziff. 16.1 a) / Ziff. 16.3</t>
  </si>
  <si>
    <t>GB 3503:01; Ziff. 16.1 b) / Ziff. 16.2 / Ziff. 16.3</t>
  </si>
  <si>
    <t>über Paket Risiko Plus
bis 1.000 € (auch Heizölverlust)</t>
  </si>
  <si>
    <t>GB 8780:50</t>
  </si>
  <si>
    <t>über Paket Ableitungsrohre
sofern der Entsorgung versicherter Gebäude dienend
(1% des Werts 1914 * geltender Anpassungsfaktor)</t>
  </si>
  <si>
    <t>zusätzlich versicherbar
über Paket Elementar</t>
  </si>
  <si>
    <t>GB 8798:50; Ziff. 1 a)</t>
  </si>
  <si>
    <t>Überschwemmung, Rückstau, Erdbeben, Erdsenkung, Erdrutsch, Schneedruck, Lawinen, Vulkanausbruch (auch ohne Überschwemmung versicherbar)</t>
  </si>
  <si>
    <t>GB 8798:50; Ziff. 9 b) / GB 8788:50; Ziff. 10 b)</t>
  </si>
  <si>
    <t>GB 8798:50; Ziff. 11 /  GB 8788:50; Ziff. 12</t>
  </si>
  <si>
    <t>GB 8798:50; Ziff. 1 / GB 8788:50; Ziff. 1</t>
  </si>
  <si>
    <t>GB 3502:01; Ziff. 4.3</t>
  </si>
  <si>
    <t>GB 3502:01; Ziff. 5.2</t>
  </si>
  <si>
    <t>Paket Grundstück &amp; Garten: im Rah-men der Wiederaufforstungskosten</t>
  </si>
  <si>
    <t>GB 3500:01; Ziff. 2</t>
  </si>
  <si>
    <t>GB 3500:01; Ziff. 3</t>
  </si>
  <si>
    <t>GB 3500:01; Ziff. 4.2 / GB 3503:01; Ziff. 13</t>
  </si>
  <si>
    <t>GB 3500:01; Ziff. 5 / GB 3503:01; Ziff. 12</t>
  </si>
  <si>
    <t>GB 3500:01; Ziff. 6</t>
  </si>
  <si>
    <t>GB 3500:01; Ziff. 7.3 / GB 3503:01; Ziff. 15.3</t>
  </si>
  <si>
    <t>GB 3500:01; Ziff. 8</t>
  </si>
  <si>
    <t>bis 100 Tage (max. 5% des 
Werts 1914 * Anpassungsfaktor)</t>
  </si>
  <si>
    <t>VGB 2011 (GB 2011:50)
Stand 07-2011</t>
  </si>
  <si>
    <t>VGB; §1, Ziff. 2 c) / GB 3502:01; Ziff. 1</t>
  </si>
  <si>
    <t>1% des Werts 1914 * AF (über Grundst.&amp;Garten: 10% Wert 1914*AF)</t>
  </si>
  <si>
    <t>bis 24 Monate (auch für die Risiken Sturm und Hagel)</t>
  </si>
  <si>
    <t>VGB; §1, Ziff. 2 a) / Ziff. 3</t>
  </si>
  <si>
    <t>VGB; §2, Ziff. 1) / Ziff. 3 a) / GB 3503:01; Ziff. 5</t>
  </si>
  <si>
    <t>5% d. Werts 1914*Anpassungsfaktor (Risiko Plus: ohne Begrenzung)</t>
  </si>
  <si>
    <t>VGB; §3, Ziff. 2 / GB 3503:01; Ziff. 8 / Ziff. 9</t>
  </si>
  <si>
    <t>VGB; §4, Ziff. 4 a)</t>
  </si>
  <si>
    <t>VGB; §5, Ziff. 5</t>
  </si>
  <si>
    <t>VGB; §5, Ziff. 4</t>
  </si>
  <si>
    <t>VGB; §5, Ziff. 1</t>
  </si>
  <si>
    <t>VGB; §6, Ziff. 1 b)</t>
  </si>
  <si>
    <t>mit Zu-/Ableitungssystem verbunde-ne Schläuche (Wobau-Konzept: ja)</t>
  </si>
  <si>
    <t>VGB; §7, Ziff. 1 a) / GB 3506:01; Ziff. 17</t>
  </si>
  <si>
    <t>VGB; §7, Ziff. 3 a) / b) / c) ca) / GB 3502:01; Ziff. 2</t>
  </si>
  <si>
    <t>ja (nicht Versorgung vers. Gebäude dienend: 1% Wert 1914 * Anpassungs-faktor (über Grundst.&amp;Garten: 10% des Werts 1914 * AF))</t>
  </si>
  <si>
    <t>1% Wert 1914*AF (G&amp;G: 10%*AF (Ver-sorgung vers. Gebäude dienend))</t>
  </si>
  <si>
    <t>VGB; §7, Ziff. 3 a) / b) / c) ca) /  GB 3502:01; Ziff. 2</t>
  </si>
  <si>
    <t>VGB; §1, Ziff. 1</t>
  </si>
  <si>
    <t>VGB; §9, Ziff. 1</t>
  </si>
  <si>
    <t>VGB; §9, Ziff. 2</t>
  </si>
  <si>
    <t>bis zum Ende der laufenden 
Versicherungsperiode</t>
  </si>
  <si>
    <t>ja (im Wobau-Konzept auch Mehr-
kosten d. Technologiefortschritt)</t>
  </si>
  <si>
    <t>VGB; §27, Ziff. 3 / GB 3506:01; Ziff. 9</t>
  </si>
  <si>
    <t>VGB; §27, Ziff. 4 a) / h) ha) / GB 3503:01; Ziff. 7</t>
  </si>
  <si>
    <t>5% d. Werts 1914*Anpassungsfaktor  (Risiko Plus: 25% d. Wert 1914 * AF)</t>
  </si>
  <si>
    <t>VGB; §27, Ziff. 4 g) / h) ha) / GB 3503:01; Ziff. 7</t>
  </si>
  <si>
    <t>VGB; §32; Ziff. 6 / GB 3506:01; Ziff. 12</t>
  </si>
  <si>
    <t>im Wobau-Konzept bis 25.000 €
bei Schäden &gt; 50.000 €</t>
  </si>
  <si>
    <t>GB 3506:01; Ziff. 18</t>
  </si>
  <si>
    <t>im Wobau-Konzept 
bis 500 €</t>
  </si>
  <si>
    <t>VGB; §2, Ziff. 4 /
GB 3500:01; Ziff. 9.3 / Ziff. 10 /
GB 3502:01; Ziff. 3 / 
GB 3503:01; Ziff. 4.3 /
GB 3309 (Rundum Sorglos) /
Handwerkerservice</t>
  </si>
  <si>
    <t>bis 25.000 € (Paket  Risiko Plus max. 50.000 €; Rundum Sorglos: ja)</t>
  </si>
  <si>
    <t>GB 3500:01; Ziff. 1.2 / GB 3503:01; Ziff. 1.2 / GB 3309</t>
  </si>
  <si>
    <t>GB 3309</t>
  </si>
  <si>
    <t>über Paket "Rundum Sorglos"
bis 3.000 €</t>
  </si>
  <si>
    <t>über Paket "Rundum Sorglos" Ertragsausfall ab dem 3. Tag 
2,50 € je kWp / Tag (max. 6 Monate, max. 10 kWp)</t>
  </si>
  <si>
    <t>-Schadenermittlungskosten bis 3.000 €
-Telefonkosten im Versicherungsfall, sofern Wohnung unbewohnbar ist, bis 100 € (max. 3 Monate)
-Kosten für Verkehrssicherungs-maßnahmen
über Paket "Grundstück &amp; Garten:
-Wasseraustritt aus / Bruch von Regenwassernutzungsanlagen
über Paket "Risiko Plus":
-Bisschäden an elektrischen Anlagen und Dämmungen durch Marder oder wild lebene Kleinnager bis 5.000 €
über Paket "Rundum Sorglos":
-unbenannte Gefahren
-Beitragsfreistellung bei Arbeitslosigkeit für 12 Monate
über Paket "Handwerkerservice"
-diverse Dienstleistungen bis 300 €</t>
  </si>
  <si>
    <t>VHV Klassik Garant Exklusiv</t>
  </si>
  <si>
    <t>VHV Klassik Garant</t>
  </si>
  <si>
    <t>VdVA</t>
  </si>
  <si>
    <t>bis 1% der VS, max. 1.000 €
bei Schäden &gt; 5.000 €</t>
  </si>
  <si>
    <t>bis 12 Monate
(max 75 € pro Tag)</t>
  </si>
  <si>
    <t>bis 3.000 €
(20% SB)</t>
  </si>
  <si>
    <t>(20 % SB)
bei Schäden &gt; 10.000 €</t>
  </si>
  <si>
    <t>20% der VS bis zur nächsten Hauptfälligkeit</t>
  </si>
  <si>
    <t>Carports im Rahmen d.  "Neben-gebäude" / Garagen versicherbar</t>
  </si>
  <si>
    <t>WGVB; §1, Ziff. 1 / Antrag</t>
  </si>
  <si>
    <t>BB Elementar; §9 / WGVB; §6, Ziff. 4 b)</t>
  </si>
  <si>
    <t>Sturmflut, Grundwasser, Rückstau
(Rückstau ist in der regulären Wohngebäudeversicherung enthalten)</t>
  </si>
  <si>
    <t>(Rückstau in Wohngebäude-versicherung inklusive)
Überschwemmung, Erdbeben, Erdsenkung, Erdrutsch, Schneedruck, Lawinen</t>
  </si>
  <si>
    <t>BB Elementar; §2 / WGVB; §6, Ziff. 4 b)</t>
  </si>
  <si>
    <t>BB Elementar; §11, Ziff. 2</t>
  </si>
  <si>
    <t>WGVB; §6, Ziff. 4 b)</t>
  </si>
  <si>
    <t>ja (sofern funktionsfähiges Rückstauventil besteht)</t>
  </si>
  <si>
    <t>WGVB; §6, Ziff. 1 h) / msc</t>
  </si>
  <si>
    <t>WGVB; §2, Ziff. 1 a) / b)</t>
  </si>
  <si>
    <t>WGVB; §2, Ziff. 1 e) / §27; II.; Ziff. 3</t>
  </si>
  <si>
    <t>WGVB; §1, Ziff. 3 a) / §27; II.; Ziff. 1</t>
  </si>
  <si>
    <t>WGVB; §1, Ziff. 1 / Ziff. 3 a) / §27; II.; Ziff. 1</t>
  </si>
  <si>
    <t>WGVB; §2, Ziff. 1 h) / §27; II.; Ziff. 4</t>
  </si>
  <si>
    <t>WGVB; §7, Ziff. 4/ §27; II.; Ziff. 5</t>
  </si>
  <si>
    <t>bis 10.000 € 
(der Versorgung versicherter 
Gebäude dienend)</t>
  </si>
  <si>
    <t>bis 10.000 € (der Versorgung versicherter Gebäude dienend)</t>
  </si>
  <si>
    <t>WGVB; §7, Ziff. 5 / §27; II.; Ziff. 6</t>
  </si>
  <si>
    <t>WGVB; §4 a, Ziff. 1 a) / §27; II.; Ziff. 7</t>
  </si>
  <si>
    <t>WGVB; §2, Ziff. 1 f) / §27; II.; Ziff. 8</t>
  </si>
  <si>
    <t>WGVB; §2, Ziff. 1 k) / §27; II.; Ziff. 9</t>
  </si>
  <si>
    <t>WGVB; §2, Ziff. 1 l) / §27; II.; Ziff. 10</t>
  </si>
  <si>
    <t>WGVB; §4 a) , Ziff. 4 c) / §27; II.; Ziff. 11</t>
  </si>
  <si>
    <t>WGVB; §2, Ziff. 1 i)</t>
  </si>
  <si>
    <t>WGVB; §2, Ziff. 1 j)</t>
  </si>
  <si>
    <t>WGVB; §3</t>
  </si>
  <si>
    <t>WGVB; §4 a), Ziff. 3</t>
  </si>
  <si>
    <t>WGVB; §4 b)</t>
  </si>
  <si>
    <t>bis 12 Monate (auf Antrag erweiterbar um weitere 12 Monate)</t>
  </si>
  <si>
    <t>WGVB; §5, Ziff. 4</t>
  </si>
  <si>
    <t>WGVB; §5, Ziff. 3</t>
  </si>
  <si>
    <t>Rauch / Ruß zusätzlich versicherbar über Baustein unbenannte Gefahren</t>
  </si>
  <si>
    <t>BB unbenannte Gefahren; Ziff. 1</t>
  </si>
  <si>
    <t>WGVB; §5, Ziff. 5 c)</t>
  </si>
  <si>
    <t>WGVB; §5, Ziff. 5 a) / b)</t>
  </si>
  <si>
    <t>WGVB; §5, Ziff. 1 b)</t>
  </si>
  <si>
    <t>WGVB; §6, Ziff. 1</t>
  </si>
  <si>
    <t>WGVB; §6, Ziff. 1 e)</t>
  </si>
  <si>
    <t>WGVB; §6, Ziff. 1 f)</t>
  </si>
  <si>
    <t>WGVB; §6, Ziff. 1 g)</t>
  </si>
  <si>
    <t>WGVB; §6, Ziff. 1 h)</t>
  </si>
  <si>
    <t>WGVB; §6, Ziff. 4 a)</t>
  </si>
  <si>
    <t>WGVB; §7 (nicht genannt) / msc</t>
  </si>
  <si>
    <t>WGVB; §7, Ziff. 1 d)</t>
  </si>
  <si>
    <t>WGVB; §7, Ziff. 3</t>
  </si>
  <si>
    <t>WGVB; §7, Ziff. 2 a)</t>
  </si>
  <si>
    <t>WGVB; §7, Ziff. 1 a)</t>
  </si>
  <si>
    <t>WGVB; §7, Ziff. 2 b)</t>
  </si>
  <si>
    <t>WGVB; §9, Ziff. 2</t>
  </si>
  <si>
    <t>BB unbeannte Gefahren /
WGVB; §2, Ziff. 1 c) / d)</t>
  </si>
  <si>
    <t>WGVB; §10, Ziff. 1</t>
  </si>
  <si>
    <t>WGVB; §27, Ziff. 4</t>
  </si>
  <si>
    <t>WGVB; §32, Ziff. 5</t>
  </si>
  <si>
    <t>WGVB; §27, Ziff. 3</t>
  </si>
  <si>
    <t>WGVB; §27, Ziff. 2</t>
  </si>
  <si>
    <t>WGVB; §1, Ziff. 2</t>
  </si>
  <si>
    <t>WGVB; §1, Ziff. 3 d) / §27; II.; Ziff. 1</t>
  </si>
  <si>
    <t>WGVB; §44</t>
  </si>
  <si>
    <t>-unbenannte Gefahren versicherbar
(10% SB, mind. 500 €)
-Kosten für provisorische Maßnahmen
-Transport-/Lagerkosten bis 12 Monate</t>
  </si>
  <si>
    <t>versicherbar über Baustein "unbenannte Gefahren"</t>
  </si>
  <si>
    <t>BB unbenannte Gefahren</t>
  </si>
  <si>
    <t>bis 10.000 € 
(der Entsorgung  versicherter 
Gebäude dienend)</t>
  </si>
  <si>
    <t>ITL afm Protect 2010</t>
  </si>
  <si>
    <t>VHB; § 7; Ziff. 1 a) / afm Rahmenvereinbarung</t>
  </si>
  <si>
    <t>afm Rahmenvereinbarung</t>
  </si>
  <si>
    <t>bis 2.500 €;
sofern aktueller Nachweis einer Dichtheitsprüfung vorliegt bis 2% der VS
(sofern der Entsorgung versicherter Gebäude dienend)</t>
  </si>
  <si>
    <t>ja
(auch unbemannte Flugkörper)</t>
  </si>
  <si>
    <t>bis 12 Monate 
(um 6 Monate erweiterbar)</t>
  </si>
  <si>
    <t>bis 500 €
(250 € SB)</t>
  </si>
  <si>
    <t>bis 24 Monate
(gewerbl. Räume bis 12 Monate)</t>
  </si>
  <si>
    <t>bis 24 Monate
(gewerbl. Räume bis 18 Monate)</t>
  </si>
  <si>
    <t>ja,
max. 150.000 €</t>
  </si>
  <si>
    <t>VGB 2008 (Stand 01-2008)
Klausel Exklusiv (Stand 10-2010)</t>
  </si>
  <si>
    <t>VGB 2008 (Stand 01-2008)
Klausel Premium (Stand 10-2010)</t>
  </si>
  <si>
    <t>Klausel 5020; §1</t>
  </si>
  <si>
    <t>Klausel 5020; §3</t>
  </si>
  <si>
    <t>Klausel 5020; §2 / § 4, Ziff. 2 / Ziff. 6</t>
  </si>
  <si>
    <t>Rauch</t>
  </si>
  <si>
    <t>Klausel 5020; §4, Ziff. 4 / Ziff. 6</t>
  </si>
  <si>
    <t>Klausel 5020; §5, Ziff. 6 / Ziff. 7</t>
  </si>
  <si>
    <t>bis 50% der VS * GLNWF
(25% SB)</t>
  </si>
  <si>
    <t>Klausel 5020; §6, Ziff. 1 / Leistungsübersicht</t>
  </si>
  <si>
    <t>Klausel 5020; §7, Ziff. 3</t>
  </si>
  <si>
    <t>Klausel 5020; §8, Ziff. 1 / Ziff. 4</t>
  </si>
  <si>
    <t>Klausel 5020; §8, Ziff. 2 / Ziff. 4</t>
  </si>
  <si>
    <t>bis 5% der VS * GLNWF</t>
  </si>
  <si>
    <t>Klausel 5020; §9, Ziff. 1 b) / Ziff. 3</t>
  </si>
  <si>
    <t>Klausel 5020; §10, Ziff. 1  / Ziff. 5 / Ziff. 6</t>
  </si>
  <si>
    <t>bis 1% der VS * GLNWF, max. 5.000 €
(10% SB, mind. 500 €),
sofern der Entsorgung versicherter Gebäude dienend</t>
  </si>
  <si>
    <t>Klausel 5020; §11, Ziff. 2</t>
  </si>
  <si>
    <t>bis 1% der VS * GLNWF, 
max. 2.500 €</t>
  </si>
  <si>
    <t>Klausel 5020; §12, Ziff. 2</t>
  </si>
  <si>
    <t>bis 2% der VS * GLNWF,
max. 5.000 €</t>
  </si>
  <si>
    <t>Klausel 5020; §13, Ziff. 3</t>
  </si>
  <si>
    <t>Klausel 5020; §14</t>
  </si>
  <si>
    <t>Klausel 5020; §15, Ziff. 2 / Ziff. 3</t>
  </si>
  <si>
    <t>bis 5.000 €
(sofern mind. Windstärke 8 vorlag)</t>
  </si>
  <si>
    <t>Klausel 5020; §16, Ziff. 3</t>
  </si>
  <si>
    <t>Leichtbau (max. 20 qm): bis 10.000 € / massiv (max. 80 qm): bis 60.000 €</t>
  </si>
  <si>
    <t>Klausel 5020; §18, Ziff. 4 / §19, Ziff. 2 / §20</t>
  </si>
  <si>
    <t>Klausel 5020; §21, Ziff. 2</t>
  </si>
  <si>
    <t>Klausel 5020; §22, Ziff. 2</t>
  </si>
  <si>
    <t>Klausel 5020; §23, Ziff. 4</t>
  </si>
  <si>
    <t>bis 1% der VS * GLNWF</t>
  </si>
  <si>
    <t>Klausel 5020; §24/ §25, Ziff. 2</t>
  </si>
  <si>
    <t>Klausel 5020; §26</t>
  </si>
  <si>
    <t>Klausel 5020; §27</t>
  </si>
  <si>
    <t>Klausel 5020; §28, Ziff. 2 / Ziff. 6</t>
  </si>
  <si>
    <t>bis 2% der VS * GLNWF, max. 5.000 €
bei Schäden &gt; 7.500 €</t>
  </si>
  <si>
    <t>Klausel 5020; §29</t>
  </si>
  <si>
    <t>Klausel 5020; §30, Ziff. 3</t>
  </si>
  <si>
    <t>Klausel 5020; §31, Ziff. 1</t>
  </si>
  <si>
    <t>-Handwerker-Notfall-Service</t>
  </si>
  <si>
    <t>Klausel 5020; §33</t>
  </si>
  <si>
    <t>Klausel 5020; §34</t>
  </si>
  <si>
    <t>Klausel 5010; §1</t>
  </si>
  <si>
    <t>Klausel 5010; §2 / §4, Ziff. 4 / Ziff. 5 / Ziff. 6</t>
  </si>
  <si>
    <t>bis 2% der VS * GLNWF, max. 5.000 € (250 €SB)(+unbemannte Flugkörper)</t>
  </si>
  <si>
    <t>Klausel 5010; §5, Ziff. 6 / Ziff. 7</t>
  </si>
  <si>
    <t>bis 5% der VS * GLNWF
(25% SB)</t>
  </si>
  <si>
    <t>Klausel 5010; §6, Ziff. 1</t>
  </si>
  <si>
    <t>Klausel 5010; §7, Ziff. 3</t>
  </si>
  <si>
    <t>Klausel 5010; §8, Ziff. 1 / Ziff. 4</t>
  </si>
  <si>
    <t>Klausel 5010; §8, Ziff. 2 / Ziff. 4</t>
  </si>
  <si>
    <t>Klausel 5010; §9, Ziff. 1 b) / Ziff. 3</t>
  </si>
  <si>
    <t>Klausel 5010; §10, Ziff. 1  / Ziff. 5 / Ziff. 6</t>
  </si>
  <si>
    <t>bis 1% der VS * GLNWF, max. 2.500 €
(10% SB, mind. 500 €),
sofern der Entsorgung versicherter Gebäude dienend</t>
  </si>
  <si>
    <t>Klausel 5010; §11, Ziff. 2</t>
  </si>
  <si>
    <t>Klausel 5010; §12, Ziff. 2</t>
  </si>
  <si>
    <t>Klausel 5010; §13, Ziff. 3</t>
  </si>
  <si>
    <t>Klausel 5010; §14</t>
  </si>
  <si>
    <t>Klausel 5010; §15, Ziff. 2 / Ziff. 3</t>
  </si>
  <si>
    <t>bis 2.500 €
(sofern mind. Windstärke 8 vorlag)</t>
  </si>
  <si>
    <t>Klausel 5010; §16, Ziff. 3</t>
  </si>
  <si>
    <t>bis 3% der VS * GLNWF,
max. 7.500 €</t>
  </si>
  <si>
    <t>Klausel 5010; §18, Ziff. 4 / §19, Ziff. 2 / §20</t>
  </si>
  <si>
    <t>Leichtbau (max. 20 qm): bis 5.000 € / massiv (max. 80 qm): bis 30.000 €</t>
  </si>
  <si>
    <t>Klausel 5010; §21, Ziff. 2</t>
  </si>
  <si>
    <t>Klausel 5010; §22, Ziff. 2 / Ziff. 4</t>
  </si>
  <si>
    <t>Klausel 5010; §23 / §24 Ziff. 2</t>
  </si>
  <si>
    <t>Klausel 5010; §25</t>
  </si>
  <si>
    <t>Klausel 5010; §26</t>
  </si>
  <si>
    <t>bis 15% der VS * GLNWF</t>
  </si>
  <si>
    <t>Klausel 5010; §27, Ziff. 2 / Ziff. 6</t>
  </si>
  <si>
    <t>Klausel 5010; §28</t>
  </si>
  <si>
    <t>bis 10% der VS * GLNWF (20% SB)
bei Schäden &gt; 75.000 €</t>
  </si>
  <si>
    <t>Klausel 5010; §29, Ziff. 3</t>
  </si>
  <si>
    <t>Klausel 5010; §30, Ziff. 1</t>
  </si>
  <si>
    <t>Klausel 5010; §33</t>
  </si>
  <si>
    <t>Klausel 5010; §32</t>
  </si>
  <si>
    <t>Klausel 5010; §3</t>
  </si>
  <si>
    <t>10% der VS, 
mind. 350 €, max. 4.500 €</t>
  </si>
  <si>
    <t>bis 4% der VS * GLNWF,
max. 15.000 €
(Ertragsausfall versicherbar)</t>
  </si>
  <si>
    <t>bis 10% der VS * GLNWF,
max. 25.000 €
(Ertragsausfall versicherbar)</t>
  </si>
  <si>
    <t>Klausel 5010; §17, Ziff. 5 / Tarif</t>
  </si>
  <si>
    <t>Klausel 5020; §17, Ziff. 5 / Tarif</t>
  </si>
  <si>
    <t>BEW; §2</t>
  </si>
  <si>
    <t>BEW; §10 c)</t>
  </si>
  <si>
    <t>BEW; §12 b) /Tarif</t>
  </si>
  <si>
    <t>ja (auch Wohngebäude mit 
bis zu 4 Wohneinheiten)</t>
  </si>
  <si>
    <t>Klausel 7167</t>
  </si>
  <si>
    <t>über Klausel 7360</t>
  </si>
  <si>
    <t>über Klausel 7167</t>
  </si>
  <si>
    <t>VGB; A.; §2; Ziff. 4-2</t>
  </si>
  <si>
    <t>VGB; A.; §2; Ziff. 5</t>
  </si>
  <si>
    <t>VGB; A.; §2; Ziff. 5 / Klausel 5020; §4, Ziff. 3 / Ziff. 6</t>
  </si>
  <si>
    <t>VGB; A.; §3; Ziff. 1 a) aa)</t>
  </si>
  <si>
    <t>VGB; A.; §3; Ziff. 2 / Klausel 5010; §9, Ziff. 1 a) / Ziff. 3</t>
  </si>
  <si>
    <t>VGB; A.; §3; Ziff. 2 / Klausel 5020; §9, Ziff. 1 a) / Ziff. 3</t>
  </si>
  <si>
    <t>ja (sofern nicht der Versorgung versicherter Gebäude dienend 
bis 5% der VS * GLNWF)</t>
  </si>
  <si>
    <t>Garagen zusätzlich versicherbar/ 
Carports bis 10.000 €</t>
  </si>
  <si>
    <t>Klausel 5010; §19 / Antrag</t>
  </si>
  <si>
    <t>Klausel 5020; §19 / Antrag</t>
  </si>
  <si>
    <t>VGB; A.; §13; Ziff. 1</t>
  </si>
  <si>
    <t>VGB; A.; §5; Ziff. 1 / Tarif</t>
  </si>
  <si>
    <t>VGB; A.; §10; Ziff. 2 b)</t>
  </si>
  <si>
    <t>Inter Exklusiv
(Stand 10-2010)</t>
  </si>
  <si>
    <t>Inter Premium
(Stand 10-2010)</t>
  </si>
  <si>
    <t>Provinzial Rheinland
V.I.P.-Intelligent</t>
  </si>
  <si>
    <t>Rauch, Ruß</t>
  </si>
  <si>
    <t>zusätzlich versicherbar
(WertPlus)</t>
  </si>
  <si>
    <t>zusätzlich versicherbar
(GartenPlus)</t>
  </si>
  <si>
    <t>bis 5.000 €
bei Schäden &gt; 100.000 €</t>
  </si>
  <si>
    <t>bei Zwei-/ Mehrfamilienhäusern
bis 5.000 €</t>
  </si>
  <si>
    <t>bis 1.500 €
(500 € SB)</t>
  </si>
  <si>
    <t>Wasch- und Spülmaschinenschläuche</t>
  </si>
  <si>
    <t>unbekannt</t>
  </si>
  <si>
    <t>Überschwemmung, Rückstau, Erdbeben, Erdsenkung, Erdrutsch, Schneedruck, Lawinen, Vulkanausbruch, Meteoriten</t>
  </si>
  <si>
    <t>VGB 10/PR 04.2010 Vers. I.
Stand 04-2010</t>
  </si>
  <si>
    <t>VGB; §2, Ziff. 3</t>
  </si>
  <si>
    <t>VGB; §2, Ziff. 2</t>
  </si>
  <si>
    <t>VGB; §2, Ziff. 4</t>
  </si>
  <si>
    <t>VGB; §2, Ziff. 5</t>
  </si>
  <si>
    <t>VGB; §2, Ziff. 5 / Ziff. 8 a)</t>
  </si>
  <si>
    <t>VGB; §2, Ziff. 7</t>
  </si>
  <si>
    <t>VGB; §5, Ziff. 2</t>
  </si>
  <si>
    <t>VGB; §1, Ziff. 2</t>
  </si>
  <si>
    <t>VGB; §6, Ziff. 2 d) (1)</t>
  </si>
  <si>
    <t>VGB; §6, Ziff. 3</t>
  </si>
  <si>
    <t>bis 12 Monate (bei mind. 3 Jahren Vertragslaufzeit)</t>
  </si>
  <si>
    <t>VGB; §36, Ziff. 1 c)</t>
  </si>
  <si>
    <t>VGB; §6, Ziff. 4 c)</t>
  </si>
  <si>
    <t>VGB; §3, Ziff. 3 c)</t>
  </si>
  <si>
    <t>VGB; §3, Ziff. 3</t>
  </si>
  <si>
    <t>VGB; §3, Ziff. 3 h)</t>
  </si>
  <si>
    <t>VGB; §3, Ziff. 3 e)</t>
  </si>
  <si>
    <t>VGB; §3, Ziff. 3 b)</t>
  </si>
  <si>
    <t>VGB; §3, Ziff. 4 a) (2)</t>
  </si>
  <si>
    <t>VGB; §3, Ziff. 1 a) (2)</t>
  </si>
  <si>
    <t>VGB; §3, Ziff. 1 a) (8)</t>
  </si>
  <si>
    <t>VGB; §3, Ziff. 1 a) (7)</t>
  </si>
  <si>
    <t>VGB; §3, Ziff. 1 a) (6)</t>
  </si>
  <si>
    <t>VGB; §3, Ziff. 1 a) (5)</t>
  </si>
  <si>
    <t>VGB; §3, Ziff. 1 a) (9) / b) (2)</t>
  </si>
  <si>
    <t>Heizkörper
(Heizkessel nur frostbedingt)</t>
  </si>
  <si>
    <t>VGB; §3, Ziff. 1 b) (1)</t>
  </si>
  <si>
    <t>VGB; §3, Ziff. 2 a) / c)</t>
  </si>
  <si>
    <t>VGB; §3, Ziff. 2 b)</t>
  </si>
  <si>
    <t>bis 5.000 € (der Versorgung versicherter Gebäude dienend)</t>
  </si>
  <si>
    <t>Carports im Rahmen der Neben-gebäude (Garagen versicherbar)</t>
  </si>
  <si>
    <t>VGB; §6, Ziff. 2 d)</t>
  </si>
  <si>
    <t>VGB; §6, Ziff. 2 c)</t>
  </si>
  <si>
    <t>ja, Sturmschäden
(Ertragsausfall zusätzlich versicherbar über KlimaschutzPlus)</t>
  </si>
  <si>
    <t>VGB; §6, Ziff. 2 e)</t>
  </si>
  <si>
    <t>VGB; §8, Ziff. 1 a) / b)</t>
  </si>
  <si>
    <t>bis 25% der VS 1914 * AF,
mind. 50.000 €</t>
  </si>
  <si>
    <t>VGB; §8, Ziff. 1 i) (3)</t>
  </si>
  <si>
    <t>VGB; §8, Ziff. 1 l)</t>
  </si>
  <si>
    <t>VGB; §8, Ziff. 1 m)</t>
  </si>
  <si>
    <t>VGB; §8, Ziff. 1 e)</t>
  </si>
  <si>
    <t>VGB; §8, Ziff. 1 f)</t>
  </si>
  <si>
    <t>VGB; §5, Ziff. 1 /
§8, Ziff. 1 g) / h) / k) / Ziff. 3 a)</t>
  </si>
  <si>
    <t>VGB; §8, Ziff. 3 b)</t>
  </si>
  <si>
    <t>VGB; §8, Ziff. 3 d)</t>
  </si>
  <si>
    <t>VGB; §8, Ziff. 2 a)</t>
  </si>
  <si>
    <t>VGB; §8, Ziff. 2 b)</t>
  </si>
  <si>
    <t>VGB; §8, Ziff. 2 c)</t>
  </si>
  <si>
    <t>VGB; §8, Ziff. 2 d)</t>
  </si>
  <si>
    <t>VGB; §9, Ziff. 2 a) / Ziff. 3</t>
  </si>
  <si>
    <t>VGB; §16, Ziff. 6</t>
  </si>
  <si>
    <t>-Schäden an elektrischen Anlagen durch Tierbiss bis 10% der VS (Neuwert) oder 3% der VS 1914*AF, mind. 10.000 €
-Verkehrssicherungskosten bis 5.000 €
-Reparaturkosten für provisorische Maßnahmen bis 5.000 €
-Regiekosten bis 1.500  bei Schäden &gt; 100.000 €
-Mehrkosten durch Technologiefortschritt bis 5.000 €</t>
  </si>
  <si>
    <t>VGB; §10, Ziff. 2</t>
  </si>
  <si>
    <t>Klausel 850 / Klausel 851</t>
  </si>
  <si>
    <t>Wärmepumpen-/ 
Solarheizungsanlagen</t>
  </si>
  <si>
    <t>Sturmschäden bis 1.000 DM</t>
  </si>
  <si>
    <t>Klausel 854</t>
  </si>
  <si>
    <t>Feuer-Rohbauversicherung</t>
  </si>
  <si>
    <t>bis 6 Monate</t>
  </si>
  <si>
    <t>VGB; §1 (2) c) / Klausel 842</t>
  </si>
  <si>
    <t>VGB; §1 (3) / Klausel 845</t>
  </si>
  <si>
    <t>VGB; §1 (4)</t>
  </si>
  <si>
    <t>VGB; §3 (2)</t>
  </si>
  <si>
    <t>VGB; §4 (1)</t>
  </si>
  <si>
    <t>an wasserführenden Wärmepumpen-
sowie Solarheizungsanlagen</t>
  </si>
  <si>
    <t>VGB; §4 (2) a) 2.</t>
  </si>
  <si>
    <t>VGB; §4 (2) b)</t>
  </si>
  <si>
    <t>ja (der Versorgung 
versicherter Gebäude dienend)</t>
  </si>
  <si>
    <t>VGB; §4 (3) e)</t>
  </si>
  <si>
    <t>VGB; §6 (1) / §7</t>
  </si>
  <si>
    <t>VGB; §7 (1)</t>
  </si>
  <si>
    <t>VGB; §7 (2) c)</t>
  </si>
  <si>
    <t>Berücksichtigung Unterversicher-ung nur, wenn sie &gt; 3% der VS ist</t>
  </si>
  <si>
    <t>VGB; §7 (3) a)</t>
  </si>
  <si>
    <t>ggf. sofern Haus an anderer Stelle wieder aufgebaut werden muss</t>
  </si>
  <si>
    <t>VGB; §17 (2) e)</t>
  </si>
  <si>
    <t>VGB; §18 (1)</t>
  </si>
  <si>
    <t>nur bemannte Flugkörper</t>
  </si>
  <si>
    <t>VGB
Stand 02-1977</t>
  </si>
  <si>
    <t>DBV+Partner
(Stand 02-1977)</t>
  </si>
  <si>
    <t>Gothaer Top (qm)</t>
  </si>
  <si>
    <t>bis 500.000 €</t>
  </si>
  <si>
    <t>bis 150 Tage
(max. 200 € pro Tag)</t>
  </si>
  <si>
    <t>bis 150.000 €</t>
  </si>
  <si>
    <t>bei Schäden &gt; 25.000 €
bis 500.000 €</t>
  </si>
  <si>
    <t>bei ZFH bis 500.000 €
(auch vermietete EFH)</t>
  </si>
  <si>
    <t>bis 5.000 €
(10% SB)</t>
  </si>
  <si>
    <t>Klausel 7066; Ziff. 7</t>
  </si>
  <si>
    <t>Gothaer Top Plus (qm)</t>
  </si>
  <si>
    <t>Klausel 7070; A.; Ziff. 1</t>
  </si>
  <si>
    <t>Klausel 7070; A.; Ziff. 4 b) / c)</t>
  </si>
  <si>
    <t>-Verkehrssicherungsmaßnahmen nach einem Schaden bis 500.000 €
-Marderbissschäden an elektrischen Anlagen und elektrischen Leitungen bis 500.000 €</t>
  </si>
  <si>
    <t>Klausel 7070; A.; Ziff. 3 /
Klausel 7070; B.; Ziff. 1</t>
  </si>
  <si>
    <t>Klausel 7070; B.; Ziff. 2</t>
  </si>
  <si>
    <t>Klausel 7070; B.; Ziff. 4</t>
  </si>
  <si>
    <t>Klausel 7070; B.; Ziff. 5</t>
  </si>
  <si>
    <t>WEZ 2008 
Stand 01-2009</t>
  </si>
  <si>
    <t>WEZ; C.; E.; Ziff. 3</t>
  </si>
  <si>
    <t>WEZ; C.; C.; Ziff. 5 c)</t>
  </si>
  <si>
    <t>WEZ; C.; E.; Ziff. 2 / Klausel 7070; B.; Ziff. 3</t>
  </si>
  <si>
    <t>WEZ; C.; E.; Ziff. 2</t>
  </si>
  <si>
    <t>WEZ; C.; E.; Ziff. 1</t>
  </si>
  <si>
    <t>WEZ; C.; D.; Ziff. 4</t>
  </si>
  <si>
    <t>WEZ; C.; D.; Ziff. 2</t>
  </si>
  <si>
    <t>WEZ; C.; D.; Ziff. 3</t>
  </si>
  <si>
    <t>WEZ; C.; C.; Ziff. 3 b)</t>
  </si>
  <si>
    <t>WEZ; C.; A.; Ziff. 5 c)</t>
  </si>
  <si>
    <t>WEZ; C.; B.; Ziff. 1 c)</t>
  </si>
  <si>
    <t>WEZ; C.; D.; Ziff. 5</t>
  </si>
  <si>
    <t>WEZ; C.; D.; Ziff. 1</t>
  </si>
  <si>
    <t>WEZ; C.; C.; Ziff. 4 d)</t>
  </si>
  <si>
    <t>WEZ; C.; C.; Ziff. 2 b) / c)</t>
  </si>
  <si>
    <t>WEZ; C.; C.; Ziff. 1 b)</t>
  </si>
  <si>
    <t>WEZ; C.; C.; Ziff. 2 a) / c)</t>
  </si>
  <si>
    <t>WEZ; C.; A.; Ziff. 2 c)</t>
  </si>
  <si>
    <t>WEZ; C.; A.; Ziff. 4 c)</t>
  </si>
  <si>
    <t>WEZ; C.; A.; Ziff. 3 b) / Ziff. 4 c)</t>
  </si>
  <si>
    <t>WEZ; C.; A.; Ziff. 1</t>
  </si>
  <si>
    <t>WEZ; A.; §7; Ziff. 1 d) / PIB</t>
  </si>
  <si>
    <t>Gothaer (qm)</t>
  </si>
  <si>
    <t>ja
(Garagen sofern im Antrag genannt)</t>
  </si>
  <si>
    <t>bis 25 qm
(sofern im Antrag genannt)</t>
  </si>
  <si>
    <t>PIB / Leistungsübersicht</t>
  </si>
  <si>
    <t>WEZ; A.; §7; Ziff. 1 c) / d)</t>
  </si>
  <si>
    <t>WEZ; A.; §7; Ziff. 1 c)</t>
  </si>
  <si>
    <t>WEZ; A.; §5 / Tarif</t>
  </si>
  <si>
    <t>WEZ; A.; §6 / Tarif</t>
  </si>
  <si>
    <t>WEZ; A.; §5, Ziff. 9 / Tarif</t>
  </si>
  <si>
    <t>WEZ; A.; §10; Ziff. 4</t>
  </si>
  <si>
    <t>WEZ; A.; §10; Ziff. 1</t>
  </si>
  <si>
    <t>WEZ; A.; §2; Ziff. 4</t>
  </si>
  <si>
    <t>WEZ; C.; A.; Ziff. 1 b)</t>
  </si>
  <si>
    <t>Tarif / Klausel 7073</t>
  </si>
  <si>
    <t>bis 12 Monate
(erweiterbar)</t>
  </si>
  <si>
    <t>WEZ; A.; §3; Ziff. 3</t>
  </si>
  <si>
    <t>WEZ; A.; §3; Ziff. 3 d)</t>
  </si>
  <si>
    <t>WEZ; A.; §3; Ziff. 3 f)</t>
  </si>
  <si>
    <t>WEZ; A.; §3; Ziff. 4 a) bb)</t>
  </si>
  <si>
    <t>WEZ; A.; §3; Ziff. 1 a) bb)</t>
  </si>
  <si>
    <t>WEZ; A.; §3; Ziff. 1 b) aa)</t>
  </si>
  <si>
    <t>WEZ; A.; §3; Ziff. 1 a) aa)</t>
  </si>
  <si>
    <t>WEZ; A.; §3; Ziff. 1 b) bb)</t>
  </si>
  <si>
    <t>WEZ; A.; §3; Ziff. 2 a) / b)</t>
  </si>
  <si>
    <t>WEZ; A.; §3; Ziff. 2 a)</t>
  </si>
  <si>
    <t>Klausel 7051 / Klausel 7071 / Klausel 7072</t>
  </si>
  <si>
    <t>WEZ; A.; §12; Ziff. 1 a)</t>
  </si>
  <si>
    <t>WEZ; A.; §2; Ziff. 2 b)</t>
  </si>
  <si>
    <t>WEZ; A.; §9; Ziff. 1 b) / c)</t>
  </si>
  <si>
    <t>WEZ; A.; §9; Ziff. 1 d)</t>
  </si>
  <si>
    <t>WEZ; A.; §9; Ziff. 1 g)</t>
  </si>
  <si>
    <t>WEZ; A.; §11; Ziff. 2 a)</t>
  </si>
  <si>
    <t>VGB 2002
Stand 09-2006</t>
  </si>
  <si>
    <t>Klausel 7162 (02)</t>
  </si>
  <si>
    <t>VGB; § 27; Ziff. 3</t>
  </si>
  <si>
    <t>VGB; § 9; Ziff. 2</t>
  </si>
  <si>
    <t>Basis: bis 2.000 €
Basis-Plus: bis 5.000 €</t>
  </si>
  <si>
    <t>Klausel 7863 (07) / Leistungsübersicht</t>
  </si>
  <si>
    <t>Basis: nein
Basis-Plus: ja</t>
  </si>
  <si>
    <t>Basis: nein
Basis-Plus: Rauch</t>
  </si>
  <si>
    <t>Klausel 7164 (02) / Leistungsübersicht</t>
  </si>
  <si>
    <t>Klausel 7162 (02) / Leistungsübersicht</t>
  </si>
  <si>
    <t>Klausel 7163 (02) / Leistungsübersicht</t>
  </si>
  <si>
    <t>-provisorische Maßnahmen
zusätzlich im Basis-Plus:
-Aufräumungs-, Abbruch- und Isolierungskosten für radioaktiv verseuchte Sachen</t>
  </si>
  <si>
    <t>Klausel 7371 (2) / Klausel 7377 (02) /
Leistungsübersicht</t>
  </si>
  <si>
    <t>Klausel 7365 (05) / Leistungsübersicht</t>
  </si>
  <si>
    <t>Basis: nein
Basis-Plus: ja (25% SB)</t>
  </si>
  <si>
    <t>Klausel 7374 (02) / Leistungsübersicht</t>
  </si>
  <si>
    <t>Klausel 7372 / Leistungsübersicht</t>
  </si>
  <si>
    <t>Basis: nein
Basis-Plus: ja, bei Schäden &gt; 5.000 €</t>
  </si>
  <si>
    <t>Klausel 7270 (05) / Klausel 7276 (02) / Leistungsübersicht</t>
  </si>
  <si>
    <t>Klausel 7160 (02) / Leistungsübersicht</t>
  </si>
  <si>
    <t>Klausel 7271 (02) / Leistungsübersicht</t>
  </si>
  <si>
    <t>Klausel 7363 (02) / Leistungsübersicht</t>
  </si>
  <si>
    <t>VGB; § 1; Ziff. 3</t>
  </si>
  <si>
    <t>VGB; § 1; Ziff. 1</t>
  </si>
  <si>
    <t>VGB; § 12</t>
  </si>
  <si>
    <t>VGB; § 5; Ziff. 4</t>
  </si>
  <si>
    <t>VGB; § 4; Ziff. 4</t>
  </si>
  <si>
    <t>VGB; § 6 / § 7 / Leistungsübersicht</t>
  </si>
  <si>
    <t>VGB; § 6; Ziff. 1</t>
  </si>
  <si>
    <t>VGB; § 6; Ziff. 1 c)</t>
  </si>
  <si>
    <t>VGB; § 6; Ziff. 1 e)</t>
  </si>
  <si>
    <t>VGB; § 6; Ziff. 3 a)</t>
  </si>
  <si>
    <t>Klausel 7166 (02); Ziff. 1</t>
  </si>
  <si>
    <t>VGB; § 7; Ziff. 1 d)</t>
  </si>
  <si>
    <t>VGB; § 7; Ziff. 2 a)</t>
  </si>
  <si>
    <t>VGB; § 7; Ziff. 2 b)</t>
  </si>
  <si>
    <t>Basis: bis 12 Monate
Basis-Plus: bis 24 Monate</t>
  </si>
  <si>
    <t>Basis: nein / Basis-Plus: bis 150 Tage (max. 100 € pro Tag)</t>
  </si>
  <si>
    <t>Klausel 7261 (02) / Leistungsübersicht</t>
  </si>
  <si>
    <t>VGB; § 7; Ziff. 3 / Klausel 7260 (02) / Leistungsübersicht</t>
  </si>
  <si>
    <t>Basis: nein
Basis-Plus: bis 2% der VS*AF</t>
  </si>
  <si>
    <t>ja (der Versorgung versicherter Gebäude dienend) (innerhalb Basis-Plus auch nicht der Versorgung dienende bis 2% der VS*AF)</t>
  </si>
  <si>
    <t>nur Basis-Plus: bis 2% der VS*AF, sofern der Versorgung dienend</t>
  </si>
  <si>
    <t>Basis: bis 5% der VS*AF
Basis-Plus: ja</t>
  </si>
  <si>
    <t>Basis: bis 1% der VS*AF / 
Basis-Plus: ja (20% SB) Bei F-Schäden &gt; 25.000 € und LW-/St.-Schäden &gt; 10.000 €</t>
  </si>
  <si>
    <t>Basis: bis 1% der VS*AF
Basis-Plus: ja</t>
  </si>
  <si>
    <t>Klausel 7364 (02)</t>
  </si>
  <si>
    <t>VGB; § 7; Ziff. 2 a) / Klausel 7265 (05) / Leistungsübersicht</t>
  </si>
  <si>
    <t>Klausel 7166 (02); Ziff. 2 / Leistungsübersicht</t>
  </si>
  <si>
    <t>Basis: nur frostbedingt
Basis-Plus: bis 500 €</t>
  </si>
  <si>
    <t>Basis: nein / Basis-Plus: bis 2% der VS*AF (nur für ZFH/MFH)</t>
  </si>
  <si>
    <t>Basis: nein / Basis-Plus: infolge Einbruch bis 2% der VS*AF</t>
  </si>
  <si>
    <t>Klausel 7373 (02) / Leistungsübersicht</t>
  </si>
  <si>
    <t>VGB; §3; Ziff. 2</t>
  </si>
  <si>
    <t>VGB; § 2; Ziff. 3 / Leistungsübersicht</t>
  </si>
  <si>
    <t>VGB; § 27; Ziff. 4 / Leistungsübersicht</t>
  </si>
  <si>
    <t>Concordia Basis
(Stand 09-2006)</t>
  </si>
  <si>
    <t>Helvetia Komfort</t>
  </si>
  <si>
    <t>BB Komfortschutz</t>
  </si>
  <si>
    <t>BB Komfortschutz / 
Klausel 7169</t>
  </si>
  <si>
    <t>ja (Seng- und Schmorschäden bis 10.000 €)</t>
  </si>
  <si>
    <t>ja, auch unbemannte Flugkörper 
(Schäden an Zäunen bis 500 €)</t>
  </si>
  <si>
    <t>BB Komfortschutz / Leistungsübersicht</t>
  </si>
  <si>
    <t>Klausel 7265</t>
  </si>
  <si>
    <t>VGB; §3; Ziff. 2 / Klausel 7260</t>
  </si>
  <si>
    <t>ja
(nicht der Versorgung versicherter Gebäude dienende Zuleitungsrohre bis 5% der VS*AF)</t>
  </si>
  <si>
    <t>bis 5% der VS*AF (der Versorgung versicherter Gebäude dienend)</t>
  </si>
  <si>
    <t>Klausel 7262</t>
  </si>
  <si>
    <t>bis 2.500 € bei Gebäuden bis 5 Jahre;
ältere Gebäude bis 1.000 € 
(sofern der Entsorgung versicherter Gebäude dienend)</t>
  </si>
  <si>
    <t>Klausel 7263</t>
  </si>
  <si>
    <t>bis 2.500 € bei Gebäuden bis 5 Jahre; kein Schutz für ältere Gebäude
(sofern der Entsorgung versicherter Gebäude dienend)</t>
  </si>
  <si>
    <t>Waschmaschinen- und
Spülmaschinenschläuche</t>
  </si>
  <si>
    <t>ja,
bei Zwei- oder Mehrfamilienhäusern</t>
  </si>
  <si>
    <t>ja (20% SB)
bei Schäden &gt; 20.000 €</t>
  </si>
  <si>
    <t>Klausel 7366</t>
  </si>
  <si>
    <t>bis 2.500 €
(300 € SB)</t>
  </si>
  <si>
    <t>bis 200 Tage
(mind. 25 €, max. 100 € pro Tag)</t>
  </si>
  <si>
    <t>VGB; §8; Ziff. 2 / BB Komfortschutz</t>
  </si>
  <si>
    <t>24 Monate (auch gewerbl. Räume)
auch max. 6 Monate bei Leerstand</t>
  </si>
  <si>
    <t>-Tierbiss an elektrischen Anlagen, Dämmungen und Unterspannbahnen bis 10.000 €
-Gebäudeschäden durch Aufbruch bei Fehlalarm von Rauch-/ Gasmeldern bis 10.000 €
-Feuerlöschkosten bis 5.000 €
-provisorische Maßnahmen
-Transport-/Lagerkosten bis 12 Monate, max. 10.000 €
-Beitragsfreistellung bei Arbeitslosigkeit bis 12 Monate
-Schäden durch radioaktive Isotope bis 50.000 €</t>
  </si>
  <si>
    <t>VGB 2012
Stand 07-2012</t>
  </si>
  <si>
    <t>VGB; §4, Ziff. 4</t>
  </si>
  <si>
    <t>nur über Baustein "Haus + Wohnen"
bis 500 €</t>
  </si>
  <si>
    <t>BHSB 2012; §21</t>
  </si>
  <si>
    <t>VGB; §8; Ziff. 3 / BB Komfortschutz</t>
  </si>
  <si>
    <t>VGB; §3, Ziff. 4 a) bb)</t>
  </si>
  <si>
    <t>Allgemeine Bestimmungen</t>
  </si>
  <si>
    <t>VGB; §3, Ziff. 1 a) bb)</t>
  </si>
  <si>
    <t>VGB; §3, Ziff. 1 b) aa) / BHSB 2012; §9</t>
  </si>
  <si>
    <t>nur frostbedingt (über Baustein "Haus + Wohnen" bis 300 €)</t>
  </si>
  <si>
    <t>VGB; §5, Ziff. 1 / Tarif</t>
  </si>
  <si>
    <t>VGB; §5, Ziff. 1 / Tarif / Leistungsübersicht</t>
  </si>
  <si>
    <t>sofern vereinbart
(max. 75 qm Fläche / nur fachmännische Installation)</t>
  </si>
  <si>
    <t>VGB; §5, Ziff. 2 b)</t>
  </si>
  <si>
    <t>VGB; §10, Ziff. 1 a) dd)</t>
  </si>
  <si>
    <t>wie 10-2011 / wie 03-2012</t>
  </si>
  <si>
    <t>VKB Kompakt</t>
  </si>
  <si>
    <t>VKB Optimal</t>
  </si>
  <si>
    <t>wie 01-2012</t>
  </si>
  <si>
    <t>BBVG Basis 2008
Stand 03-2013</t>
  </si>
  <si>
    <t>BBVG Comfort 2008
Stand 03-2013</t>
  </si>
  <si>
    <t>Klausel 2850 (13)</t>
  </si>
  <si>
    <t>18 Monate (für gewerblich genutzte Räume bis 12 Monate)</t>
  </si>
  <si>
    <t>VGB; A; § 9, Ziff. 2 / Klausel 2851 (13)</t>
  </si>
  <si>
    <t>Klausel 2852 (13)</t>
  </si>
  <si>
    <t>Klausel 2853 (13)</t>
  </si>
  <si>
    <t>15 Monate (gewerbliche Räume versicherbar bis 12 Monate)</t>
  </si>
  <si>
    <t>VGB; A; § 9, Ziff. 2 / Leistungsübersicht</t>
  </si>
  <si>
    <t>Debeka Basis
(Stand 04-2012)</t>
  </si>
  <si>
    <t>Debeka Standard
(Stand 04-2012)</t>
  </si>
  <si>
    <t>Debeka Top
(Stand 04-2012)</t>
  </si>
  <si>
    <t>Klausel 2801 / Klausel 2817 / Leistungsübersicht</t>
  </si>
  <si>
    <t>-Bedingungsgemäße SB 
i.H.v. 200 € (abwählbar)
-Transport-/Lagerkosten bis 150 Tage</t>
  </si>
  <si>
    <t>Klausel 2805; Ziff. 2 a)</t>
  </si>
  <si>
    <t>Klausel 2812; Ziff. 3 a)</t>
  </si>
  <si>
    <t>bis 5% der VS * Anpassungsfaktor</t>
  </si>
  <si>
    <t>bis 7% der VS * Anpassungsfaktor</t>
  </si>
  <si>
    <t>bis 1% der VS * Anpassungsfaktor</t>
  </si>
  <si>
    <t>Klausel 2813; Ziff. 2 a)</t>
  </si>
  <si>
    <t>bis 3‰ der VS * Anpassungsfaktor</t>
  </si>
  <si>
    <t>Klausel 2815; Ziff. 6 a)</t>
  </si>
  <si>
    <t>Regiekosten bis 3% der VS * AF
bei Schäden &gt; 25.000 €</t>
  </si>
  <si>
    <t>bis 3‰ der VS * Anpassungsfaktor
(300 € SB)</t>
  </si>
  <si>
    <t>Klausel 2814 (13); Ziff. 2 a) / Ziff. 3</t>
  </si>
  <si>
    <t>Klausel 2860 (13); Ziff. 3 a)</t>
  </si>
  <si>
    <t>bis 1‰ der VS * Anpassungsfaktor</t>
  </si>
  <si>
    <t>ja (auch Zuleitungsrohre nicht versicherter Gebäude/ Anlagen bis 1% der VS * Anpassungsfaktor)</t>
  </si>
  <si>
    <t>VGB; A; § 3, Ziff. 2 / Klausel 2830; Ziff. 2 a)</t>
  </si>
  <si>
    <t>Klausel 2831; Ziff. 2 a)</t>
  </si>
  <si>
    <t>zusätzlich versicherbar
bis 1% der VS * Anpassungsfaktor</t>
  </si>
  <si>
    <t>Klausel 2832; Ziff. 2 a)</t>
  </si>
  <si>
    <t>Klausel 2833; Ziff. 2 a)</t>
  </si>
  <si>
    <t>ja (in Bedingungen genannte Armaturen)</t>
  </si>
  <si>
    <t>Klausel 2817 / 2816 / 2854 / 2825 / 2861 / 2836 / 2838 / 2839</t>
  </si>
  <si>
    <t>Klausel 2837; Ziff. 2 a)</t>
  </si>
  <si>
    <t>Klausel 2870 (13); Ziff. 2 a)</t>
  </si>
  <si>
    <t>bis 5‰ der VS * Anpassungsfaktor</t>
  </si>
  <si>
    <t>Klausel 2840; Ziff. 2 a)</t>
  </si>
  <si>
    <t>ja 
(gemäß Leistungsübersicht)</t>
  </si>
  <si>
    <t>VGB; A; § 7, Ziff. 1 / Ziff. 2 a)</t>
  </si>
  <si>
    <t>bis 10% der VS * Anpassungsfaktor</t>
  </si>
  <si>
    <t>bis 60% der VS * Anpassungsfaktor</t>
  </si>
  <si>
    <t>VGB; A; § 8, Ziff. 1 / Ziff. 5 a)</t>
  </si>
  <si>
    <t>im Rahmen der Entschädigung für die Entfernung von Bäumen</t>
  </si>
  <si>
    <t>HDI Privatschutz (Wohnfläche)</t>
  </si>
  <si>
    <t>bis 20 € je qm * Anpassungsfaktor</t>
  </si>
  <si>
    <t>ja (nicht Versorgung vers. Gebäude dienend: 20 € je qm * Anpassungs-faktor (über Grundst.&amp;Garten: 200 € je qm * Anpassungsfaktor))</t>
  </si>
  <si>
    <t>20 € je qm * Anpassungsfaktor (über Grundst.&amp;Garten: 200 € je qm * AF)</t>
  </si>
  <si>
    <t>bis 300 € je qm*AF (Risiko Plus:600 € je qm * AF ; Rundum Sorglos: ja)</t>
  </si>
  <si>
    <t>Rauch / Ruß  (über Paket Risiko Plus auch Sengschäden)</t>
  </si>
  <si>
    <t>bis 200 € je qm * Anpassungsfaktor
(Risiko Plus: ja)</t>
  </si>
  <si>
    <t>GB 3301</t>
  </si>
  <si>
    <t>GB 3303</t>
  </si>
  <si>
    <t>GB 3304</t>
  </si>
  <si>
    <t>über Paket Risiko Plus bis 10.000 €</t>
  </si>
  <si>
    <t>über Paket Risiko Plus
im Rahmen d. Vandalismusschäden</t>
  </si>
  <si>
    <t>über Paket Risiko Plus: bis 1.000 € je qm * Anpassungsfaktor</t>
  </si>
  <si>
    <t>GB 3301 / GB 3304</t>
  </si>
  <si>
    <t>max. 5.000 € 
(über Paket Risiko Plus: ja)</t>
  </si>
  <si>
    <t>GB 3306</t>
  </si>
  <si>
    <t>über Paket Ableitungsrohre
sofern der Entsorgung versicherter Gebäude dienend
(bis 100 € je qm * Anpassungsfaktor)</t>
  </si>
  <si>
    <t>GB 3307; Ziff. 1 a)</t>
  </si>
  <si>
    <t>GB 3307; Ziff. 1 / GB 3308; Ziff. 1</t>
  </si>
  <si>
    <t>GB 3307; Ziff. 9 b) / GB 3308; Ziff. 10 b)</t>
  </si>
  <si>
    <t>GB 3307; Ziff. 11 / GB 3308; Ziff. 12</t>
  </si>
  <si>
    <t>GB 3309; Ziff. 2</t>
  </si>
  <si>
    <t>GB 3309; Ziff. 3</t>
  </si>
  <si>
    <t>GB 3301 / GB 3304 / Leistungsübersicht</t>
  </si>
  <si>
    <t>GB 3300; §9, Ziff. 1</t>
  </si>
  <si>
    <t>GB 3300; §9, Ziff. 2</t>
  </si>
  <si>
    <t>GB 3300; §1, Ziff. 1</t>
  </si>
  <si>
    <t>GB 3300; §1, Ziff. 2 d)</t>
  </si>
  <si>
    <t>GB 3300; §1; Ziff. 2 c) / GB 3303</t>
  </si>
  <si>
    <t>GB 3300; §1, Ziff. 2 a) / Ziff. 3</t>
  </si>
  <si>
    <t>GB 3300; §5, Ziff. 5</t>
  </si>
  <si>
    <t>GB 3300; §5, Ziff. 4</t>
  </si>
  <si>
    <t>gemäß Leistungsübersicht</t>
  </si>
  <si>
    <t>GB 3300; §4, Ziff. 4 a) / Leistungsübersicht</t>
  </si>
  <si>
    <t>GB 3300; §5, Ziff. 1</t>
  </si>
  <si>
    <t>Leistungsübersicht / GB 3304</t>
  </si>
  <si>
    <t>bis 12 Monate (über Paket Risiko Plus bis 24 Monate + F/LW/St./H)</t>
  </si>
  <si>
    <t>GB 3300; §7, Ziff. 1</t>
  </si>
  <si>
    <t>GB 3300; §6, Ziff. 1</t>
  </si>
  <si>
    <t>GB 3300; §6, Ziff. 1 c)</t>
  </si>
  <si>
    <t>GB 3300; §6, Ziff. 1 e)</t>
  </si>
  <si>
    <t>GB 3300; §6, Ziff. 1 b)</t>
  </si>
  <si>
    <t>GB 3300; §6, Ziff. 3 a)</t>
  </si>
  <si>
    <t>GB 3300; §7, Ziff. 1 d)</t>
  </si>
  <si>
    <t>GB 3300; §7, Ziff. 2 a)</t>
  </si>
  <si>
    <t>GB 3300; §7, Ziff. 2 b)</t>
  </si>
  <si>
    <t>GB 3300; §7, Ziff. 1 a)</t>
  </si>
  <si>
    <t>mit Zu-/Ableitungssystem 
verbundene Schläuche</t>
  </si>
  <si>
    <t>GB 3300; §7, Ziff. 3 a) / b) / c) / GB 3303</t>
  </si>
  <si>
    <t>GB 3300; §7, Ziff. 3 b) / c) /  GB 3502:01; Ziff. 2</t>
  </si>
  <si>
    <t>bis 20 € je qm * AF (G&amp;G: 200 € je qm* AF) nur Versorgung vers. Gebäude</t>
  </si>
  <si>
    <t>GB 3300; §2, Ziff. 1 / Ziff 3 / 
GB 3304</t>
  </si>
  <si>
    <t>-Schadenermittlungskosten bis 3.000 €
-Telefonkosten im Versicherungsfall, sofern Wohnung unbewohnbar ist, bis 100 € (max. 3 Monate)
-Kosten für Verkehrssicherungs-maßnahmen
über Paket "Grundstück &amp; Garten:
-Wasseraustritt aus / Bruch von Regenwassernutzungsanlagen
über Paket "Risiko Plus":
-Bisschäden an elektrischen Anlagen und Dämmungen durch Marder oder wild lebene Kleinnager bis 5.000 €
-Mehrkosten für alters-/ behindertengerechten Wiederaufbau nach einem Schaden bis 200 € je qm * Anpassungsfaktor
über Paket "Rundum Sorglos":
-unbenannte Gefahren
-Beitragsfreistellung bei Arbeitslosigkeit für 12 Monate
über Paket "Handwerkerservice"
-diverse Dienstleistungen bis 300 €, max. 2.100 € pro Jahr</t>
  </si>
  <si>
    <t>GB 3301; §2, Ziff. 4 /
GB 3301 / 
GB 3303 / 
GB 3304 /
GB 3309 /
PS 9300:11 / 
GB 3305 /</t>
  </si>
  <si>
    <t>GB 3300; §3, Ziff. 2 / GB 3304</t>
  </si>
  <si>
    <t>GB 3305</t>
  </si>
  <si>
    <t>über Paket Handwerkerservice
bis 300 €</t>
  </si>
  <si>
    <t>GB 3300; §25, Ziff. 5 / GB 3304</t>
  </si>
  <si>
    <t>GB 3300; §25, Ziff. 6 / GB 3304</t>
  </si>
  <si>
    <t>bis 200 € je qm *Anpassungsfaktor  (Risiko Plus: ja)</t>
  </si>
  <si>
    <t>GB 3300; §25, Ziff. 6 g) / h) / GB 3304</t>
  </si>
  <si>
    <t>ja (Risiko Plus: + Mehrkosten durch Technologiefortschr. 200 € /qm *AF)</t>
  </si>
  <si>
    <t>GB 3300; §30; Ziff. 6</t>
  </si>
  <si>
    <t>HDI Privatschutz (Wert 1914)
(Stand 07-2011)</t>
  </si>
  <si>
    <t>VGB; A; §11, Ziff. 2</t>
  </si>
  <si>
    <t>VGB; A; § 12, Ziff. 2 c)</t>
  </si>
  <si>
    <t>VGB; A; §2, Ziff. 6 b)</t>
  </si>
  <si>
    <t>wie 12-2010</t>
  </si>
  <si>
    <t>VGB 2008
Stand 07-2012</t>
  </si>
  <si>
    <t>Stand 01-2009</t>
  </si>
  <si>
    <t>AVB; Ziff. 1.1</t>
  </si>
  <si>
    <t>AVB; Ziff. 1.2</t>
  </si>
  <si>
    <t>AVB; Ziff. 3.1</t>
  </si>
  <si>
    <t>Brand/Explosion: ja
andere Schäden: bis 15.000 €</t>
  </si>
  <si>
    <t>AVB; Ziff. 3.2</t>
  </si>
  <si>
    <t>AVB; Ziff. 3.3</t>
  </si>
  <si>
    <t>AVB; Ziff. 3.8</t>
  </si>
  <si>
    <t>AVB; Ziff. 3.10</t>
  </si>
  <si>
    <t>AVB; Ziff. 2 / Ziff. 3.4</t>
  </si>
  <si>
    <t>AVB; Ziff. 2</t>
  </si>
  <si>
    <t>AVB; Ziff. 5.1 / Ziff. 9.1</t>
  </si>
  <si>
    <t>AVB; Ziff. 5.4.2</t>
  </si>
  <si>
    <t>10% der VS(wenn Arbeiten 3 Monate nach Baubeginn angezeigt werden)</t>
  </si>
  <si>
    <t>AVB; Ziff. 6</t>
  </si>
  <si>
    <t>AVB; Ziff. 5.3.6 / Ziff. 5.4.3</t>
  </si>
  <si>
    <t>AVB; Ziff. 5.3.7 / Ziff. 5.4.3</t>
  </si>
  <si>
    <t>ja, in voller Höhe zusätzlich zur VS
(max. 1 Jahr)</t>
  </si>
  <si>
    <t>AVB; Ziff. 5.3.8 / Ziff. 5.4.3</t>
  </si>
  <si>
    <t>AVB; Ziff. 5.3.10 / Ziff. 5.4.3</t>
  </si>
  <si>
    <t>AVB; Ziff. 5.3.11 / Ziff. 5.4.3</t>
  </si>
  <si>
    <t>ja, sofern in VS berücksichtigt (Tore &amp; Zäune bis 1% der VS, max. 15.000 €)</t>
  </si>
  <si>
    <t>AVB; Ziff. 1.2 / Ziff. 5.3.12 / Ziff. 5.4.3</t>
  </si>
  <si>
    <t>AVB; Ziff. 5.3.13 / Ziff. 5.4.3</t>
  </si>
  <si>
    <t>AVB; Ziff. 5.3.14 / Ziff. 5.4.3</t>
  </si>
  <si>
    <t>AVB; Ziff. 5.3.2 / Ziff. 5.3.3 / Ziff. 5.3.9 / Ziff. 5.4.3</t>
  </si>
  <si>
    <t>AVB; Ziff. 5.3.5 / Ziff. 5.4.3</t>
  </si>
  <si>
    <t>AVB; Ziff. 12.6</t>
  </si>
  <si>
    <t>nat. suisse AllRisk</t>
  </si>
  <si>
    <t>-Nur versicherbar bei gleichzeitigem Bestehen einer AllRisk-Hausratversicherung ("ARTAS") bei der nationalen suisse mit mind. 1 Mio. € VS
-Die versicherten Sachen, sofern genannt, sind gegen Zerstörung, Beschädigung und Abhandenkommen durch Ursachen aller Art versichert (Allgefahren-Versicherung)</t>
  </si>
  <si>
    <t>Baden Badener TOP (WF)</t>
  </si>
  <si>
    <t>ja
(nicht der Versorgung versicherter Gebäude dienende Zuleitungsrohre bis 30.000 €)</t>
  </si>
  <si>
    <t>bis 1.000 € (sofern der Entsorgung versicherter Gebäude dienend)</t>
  </si>
  <si>
    <t>bis 30.000 €, sofern der Versorgung versicherter Gebäude dienend)</t>
  </si>
  <si>
    <t>3.500 €
(reduzierbar auf 1.500 € oder 750 €)</t>
  </si>
  <si>
    <t>zusätzlich versicherbar
(150 € SB)</t>
  </si>
  <si>
    <t>Aufräumung/Abbruch:bis 1.000.000 €
Bewegung/Schutz: bis 250.000 €</t>
  </si>
  <si>
    <t>bis 50.000 € (20% SB)
bei Schäden &gt; 25.000 €</t>
  </si>
  <si>
    <t>bis 250.000 €</t>
  </si>
  <si>
    <t>24 Monate (auch für Büro- und Praxisräume im Gebäude)</t>
  </si>
  <si>
    <t>BBW001</t>
  </si>
  <si>
    <t>BBW005</t>
  </si>
  <si>
    <t>VGB; A; §2, Ziff. 2</t>
  </si>
  <si>
    <t>Seng- und Schmorschäden
(500 € SB)</t>
  </si>
  <si>
    <t>VGB; A; §2, Ziff. 3</t>
  </si>
  <si>
    <t>VGB; A; §1, Ziff. 2 b)</t>
  </si>
  <si>
    <t>VGB; A; §1, Ziff. 1 a) aa) / §2, Ziff. 5</t>
  </si>
  <si>
    <t>VGB; A; §2, Ziff. 6</t>
  </si>
  <si>
    <t>BBE 2011</t>
  </si>
  <si>
    <t>BBE; Ziff. 2</t>
  </si>
  <si>
    <t>BBE; Ziff. 10 d)</t>
  </si>
  <si>
    <t>BBE; Ziff. 12 / Leistungsübersicht</t>
  </si>
  <si>
    <t>VGB; A; §3, Ziff. 1</t>
  </si>
  <si>
    <t>VGB; A; §3, Ziff. 1 b) bb)</t>
  </si>
  <si>
    <t>VGB; A; §3, Ziff. 1 b) aa)</t>
  </si>
  <si>
    <t>VGB; A; §3, Ziff. 2 / Leistungsübersicht</t>
  </si>
  <si>
    <t>VGB; A; §3, Ziff. 3 a) / b) / c)</t>
  </si>
  <si>
    <t>VGB; A; §3, Ziff. 3 d)</t>
  </si>
  <si>
    <t>VGB; A; §3, Ziff. 3 b)</t>
  </si>
  <si>
    <t>VGB; A; §3, Ziff. 4 a) bb)</t>
  </si>
  <si>
    <t>VGB; A; §5, Ziff. 2 d)</t>
  </si>
  <si>
    <t>zusätzlich versicherbar
bis 15.000 €</t>
  </si>
  <si>
    <t>VGB; A; §5, Ziff. 1 / Leistungsübersicht</t>
  </si>
  <si>
    <t>VGB; A; §5, Ziff. 1 / Leistungsübersicht /
BBW002</t>
  </si>
  <si>
    <t>VGB; A; §10, Ziff. 1 a)</t>
  </si>
  <si>
    <t>VGB; A; §7, Ziff. 1</t>
  </si>
  <si>
    <t>VGB; A; §3, Ziff. 1 / Ziff. 3 / 
§7, Ziff. 1 / §11, Ziff. 4 c) /
B.; §23, Ziff.  /
BBW003 /
BBW004 /
Leistungsübersicht</t>
  </si>
  <si>
    <t>-Nässe-/Bruchschäden durch/an Regenwassernutzungsanlagen
-Verkehrssicherungsmaßnahmen
-Lagerkosten bis 12 Monate
-Ersatz von Darlehenszinsen nach Unbewohnbarkeit des selbstgenutzten Ein-/ Zweifamilienhauses ab dem 101. Tag nach dem Schaden, bis 18 Monate
-Mehrkosten bei Denkmalschutz bis 20.000 €
-Beitragsbefreiung bei unverschuldeter Arbeitslosigkeit für 6 Monate (sofern Vertrag bereits 24 Monate besteht: 12 Monate)
zusätzlich versicherbar:
-Nachhaftungszeit bei marktbedingter Nichtvermietung 
-Mietausfall bei Mietbeginn nach Schadeneintritt
-Haus- und Wohnungsschutzbrief</t>
  </si>
  <si>
    <t>VGB; B.; §22</t>
  </si>
  <si>
    <t>zusätzlich versicherbar bis 500 € über Haus-/Wohnungsschutzbrief</t>
  </si>
  <si>
    <t>BB Haus- und Wohnungsschutzbrief</t>
  </si>
  <si>
    <t>VGB; A; §8, Ziff. 3</t>
  </si>
  <si>
    <t>VGB; A; §8, Ziff. 5</t>
  </si>
  <si>
    <t>VGB; B; §15, Ziff. 1</t>
  </si>
  <si>
    <t>Generali Basis (qm)
(Stand 10-2012)</t>
  </si>
  <si>
    <t>Generali KomfortPlus (qm)
(Stand 10-2012)</t>
  </si>
  <si>
    <t>Regiekosten
ab Schäden &gt; 5.000 €</t>
  </si>
  <si>
    <t>Ein-/Zweifamilienhäuser: ja
übrige: bis 5.000 €</t>
  </si>
  <si>
    <t>bis 50.000 €,
max. 12 Monate</t>
  </si>
  <si>
    <t>Rauch-/ Ruß-/ Sengschäden</t>
  </si>
  <si>
    <t>24 Monate (bei Versicherung nach Wert 1914 auch gewerbl. bis 12 Mon.)</t>
  </si>
  <si>
    <t>VGB; Ziff. 3.3 / WG 0119 / Leistungsübersicht</t>
  </si>
  <si>
    <t>WG 0102 / WG 0183 / Leistungsübersicht</t>
  </si>
  <si>
    <t>VGB; Ziff. 4.2.1 / WG 0104 / Leistungsübersicht</t>
  </si>
  <si>
    <t>ja (nicht der Versorgung versicherter Gebäude dienende Zuleitungsrohre bis 5.000 €)</t>
  </si>
  <si>
    <t>VGB; Ziff. 7.5 / WG 0105 / Leistungsübersicht</t>
  </si>
  <si>
    <t>WG 0114; Ziff. 2 / Leistungsübersicht</t>
  </si>
  <si>
    <t>WG 0114; Ziff. 1 / Leistungsübersicht</t>
  </si>
  <si>
    <t>bis 150 Tage</t>
  </si>
  <si>
    <t>bis 100 Tage</t>
  </si>
  <si>
    <t>WG 0125 / Leistungsübersicht</t>
  </si>
  <si>
    <t>WG 0184 / Antrag</t>
  </si>
  <si>
    <t>zusätzlich versicherbar
bis 5.000 € (sofern der Entsorgung versicherter Gebäude dienend)</t>
  </si>
  <si>
    <t>bis 35.000 €
(Ertragsausfall bis 3 Monate, 
max. 5.000 € (mind. 3 Tage))</t>
  </si>
  <si>
    <t>WG 0141 / WG 0165 / Leistungsübersicht / Antrag</t>
  </si>
  <si>
    <t>Leistungsübersicht / Antrag</t>
  </si>
  <si>
    <t>Erdbeben/Überschwemmung/ Rückstau: 1.000 €;
übrige Elementargefahren: 250 €</t>
  </si>
  <si>
    <t>Tarif / Antrag</t>
  </si>
  <si>
    <t>Bedingungs-Update-Garantie</t>
  </si>
  <si>
    <t>VGB; Ziff. 1.1 / Antrag</t>
  </si>
  <si>
    <t>bis 24 Monate (auch Sturm) 
(beitragsfrei bei 3-jähriger Laufzeit)</t>
  </si>
  <si>
    <t>WG 0138; Ziff. 2 / Leistungsübersicht</t>
  </si>
  <si>
    <t>WG 0138; Ziff. 1 / Leistungsübersicht</t>
  </si>
  <si>
    <t>WG 0113 / WG 0126 / WG 0127 /
VGB; Ziff. 2.1.3 / Ziff. 2.1.4 /
WG 0166 / Tarif /
Leistungsübersicht</t>
  </si>
  <si>
    <t>-Transport-/Lagerkosten bis 100 Tage
-Feuerlöschkosten</t>
  </si>
  <si>
    <t>VGB; Ziff. 2.1.3 / Ziff. 2.1.4</t>
  </si>
  <si>
    <t>-Wasseraustritt aus / Bruch von Regenwassernutzungsanlagen
-Verkehrssicherungsmaßnahmen
-provisorische Maßnahmen
-Transport-/Lagerkosten bis 100 Tage
-Feuerlöschkosten
zusätzlich versicherbar:
-haustechnische Gebäudebestandteile vor weiteren Gefahren bis 5.000 €</t>
  </si>
  <si>
    <t>Concordia Basis-Plus
(Stand 10-2008)</t>
  </si>
  <si>
    <t>VGB 2008
Stand 10-2008</t>
  </si>
  <si>
    <t>VGB; A 2.2</t>
  </si>
  <si>
    <t>VGB; A 3.3</t>
  </si>
  <si>
    <t>VGB; A 8.4</t>
  </si>
  <si>
    <t>VGB; A 5.1</t>
  </si>
  <si>
    <t>bis zur nächsten Hauptfälligkeit</t>
  </si>
  <si>
    <t>VGB; A 10.1 a)</t>
  </si>
  <si>
    <t>VGB; A 1.3 a) bb)</t>
  </si>
  <si>
    <t>VGB; A 7.2 a) / b)</t>
  </si>
  <si>
    <t>VGB; A 8</t>
  </si>
  <si>
    <t>ja (20% SB) bei Feuerschäden &gt; 25.000 € / LW-/St.-Schäden &gt; 10.000 €</t>
  </si>
  <si>
    <t>ja
(25% SB)</t>
  </si>
  <si>
    <t>VGB; A 7.3 b)</t>
  </si>
  <si>
    <t>VGB; A 7.3 c)</t>
  </si>
  <si>
    <t>VGB; A 2.3 b)</t>
  </si>
  <si>
    <t>VGB; A 7.2 f)</t>
  </si>
  <si>
    <t>VGB; A 7.2 e)</t>
  </si>
  <si>
    <t>bis 24 Monate
(mind. 3-jährige Vertragslaufzeit)</t>
  </si>
  <si>
    <t>bis 2% der VS*Anpassungsfaktor</t>
  </si>
  <si>
    <t>VGB; A 3.5 a) bb)</t>
  </si>
  <si>
    <t>bis 2% der VS*AF(der Versorgung versicherter Gebäude dienend)</t>
  </si>
  <si>
    <t>VGB; A 3.5 b)</t>
  </si>
  <si>
    <t>VGB; A 3.5 c)</t>
  </si>
  <si>
    <t>bis 2% der VS*Anpassungsfaktor
(bei Zwei-/ Mehrfamilienhäusern)</t>
  </si>
  <si>
    <t>VGB; A 1.4 a)</t>
  </si>
  <si>
    <t>VGB; A 1.4 c)</t>
  </si>
  <si>
    <t>VGB; A 2.4 c)</t>
  </si>
  <si>
    <t>VGB; A 1.1 a) aa) / Ziff. 2.4 b)</t>
  </si>
  <si>
    <t>VGB; A 1.2</t>
  </si>
  <si>
    <t>VGB; A 1.4 b) / A 2.5 b)</t>
  </si>
  <si>
    <t>VGB; A 3.1 a) bb)</t>
  </si>
  <si>
    <t>VGB; A 3.1 a) aa)</t>
  </si>
  <si>
    <t>VGB; A 3.1 b) bb)</t>
  </si>
  <si>
    <t>VGB; A 3.1 b) aa)</t>
  </si>
  <si>
    <t>ja (nicht der Versorgung versicherter Gebäude dienende Zuleitungsrohre bis 2% der VS*Anpassungsfaktor)</t>
  </si>
  <si>
    <t>VGB; A 3.2 / A 3.5 a) aa)</t>
  </si>
  <si>
    <t>VGB; A 3.4 a) bb) / jj)</t>
  </si>
  <si>
    <t>VGB; A 5.1 a)</t>
  </si>
  <si>
    <t>VGB; A 5.1 c) / Deklaration</t>
  </si>
  <si>
    <t>VGB; A 5.1 b)</t>
  </si>
  <si>
    <t>VGB; A 5.2 b)</t>
  </si>
  <si>
    <t>VGB; A 5.3 a)</t>
  </si>
  <si>
    <t>-Schadenermittlungskosten
-provisorische Maßnahmen
-Aufräumungs-, Abbruch-, Isolierungskosten für radioaktiv verseuchte Sachen</t>
  </si>
  <si>
    <t>VGB; A 7.1 b) / 7.2 c) / A 7.3 a)</t>
  </si>
  <si>
    <t>VGB; A 7.2 d) / Deklaration</t>
  </si>
  <si>
    <t>VGB; A 7.3 d) / Deklaration</t>
  </si>
  <si>
    <t>VGB; A 7.3 e) / Deklaration</t>
  </si>
  <si>
    <t>VGB; A 7.3 f) bb) / Deklaration</t>
  </si>
  <si>
    <t>VGB; A 7.3 f) aa) / Deklaration</t>
  </si>
  <si>
    <t>24 Monate
(gewerbl. Räume, sofern vereinbart)</t>
  </si>
  <si>
    <t xml:space="preserve">VGB; A 9.2 / A 9.3 / Deklaration </t>
  </si>
  <si>
    <t>Deklaration</t>
  </si>
  <si>
    <t>VGB; A 10.1 a) / A 14.1 a)</t>
  </si>
  <si>
    <t>Klausel 7167 (08)</t>
  </si>
  <si>
    <t>sofern im Versicherungsschein genannt bis zur vereinbarten Höhe</t>
  </si>
  <si>
    <t>sofern im Versicherungsschein genannt bis zur vereinbarten Höhe
(der Entsorgung versicherter Gebäude dienend)</t>
  </si>
  <si>
    <t>Klausel 7262 (08)</t>
  </si>
  <si>
    <t>Klausel 7360 (08)</t>
  </si>
  <si>
    <t>Klausel 7366 (08)</t>
  </si>
  <si>
    <t>unbekannt
(vermutlich Sturmflut und Grundwasser)</t>
  </si>
  <si>
    <t>unbekannt
(vermutlich Überschwemmung, Rückstau, Erdbeben, Erdsenkung, Erdrutsch, Schneedruck, Lawinen, Vulkanausbruch)</t>
  </si>
  <si>
    <t>unbekannt (sofern Elementar-schäden vereinbart wurden, wird SB im Versicherungsschein genannt)</t>
  </si>
  <si>
    <t>bis 2% der VS*Anpassungsfaktor
infolge Einbruch</t>
  </si>
  <si>
    <t xml:space="preserve">max. 5.000 € Neuwert
bis 5.000 € </t>
  </si>
  <si>
    <t>ja (weil im Versicherungsschein aufgeführt) 500 € SB</t>
  </si>
  <si>
    <t>VGB 2000 Anlage 369
Stand 01-2008</t>
  </si>
  <si>
    <t>Versicherungsschein / ZB Elementar; § 3 c)</t>
  </si>
  <si>
    <t>Überschwemmung, Erdbeben, Erdfall, Erdrutsch, Schneedruck, Lawinen, Vulkanausbruch;
Rückstau (weil im Versicherungsschein aufgeführt)</t>
  </si>
  <si>
    <t>Versicherungsschein / ZB Elementar; §2 / §3 c)</t>
  </si>
  <si>
    <t>Versicherungsschein ZB Elementar; §13</t>
  </si>
  <si>
    <t>Versicherungsschein ZB Elementar; §11</t>
  </si>
  <si>
    <t>Versicherungsschein / Klausel</t>
  </si>
  <si>
    <t>ja (weil im Vers-Schein genannt, ansonsten bis 1% der VS*AF)</t>
  </si>
  <si>
    <t>ja (sofern der Versorgung versicherter Gebäude dienend)</t>
  </si>
  <si>
    <t>Versicherungsschein / Klausel / Klausel 7162</t>
  </si>
  <si>
    <t>nein (weil nicht im Versicherungsschein aufgeführt)</t>
  </si>
  <si>
    <t>nein, weil nicht im Versicherungsschein aufgeführt</t>
  </si>
  <si>
    <t>Versicherungsschein / Klausel 7361</t>
  </si>
  <si>
    <t>Versicherungsschein / Klausel 7161</t>
  </si>
  <si>
    <t>Klausel</t>
  </si>
  <si>
    <t>vereinbarter Zeitraum</t>
  </si>
  <si>
    <t>nein 
(weil nicht im Versicherungsschein aufgeführt)</t>
  </si>
  <si>
    <t>VGB; A; §9, Ziff. 1</t>
  </si>
  <si>
    <t>VGB; A; §9, Ziff. 2</t>
  </si>
  <si>
    <t>VGB; A; §1, Ziff. 1</t>
  </si>
  <si>
    <t>Garage (weil im Versicherungsschein aufgeführt)</t>
  </si>
  <si>
    <t>VGB; A; §1, Ziff. 1 / Versicherungsschein</t>
  </si>
  <si>
    <t>Versicherungsschein / VGB; §2, Ziff. 1 a) / b) / Ziff. 2 a)</t>
  </si>
  <si>
    <t>max. 24 Monate  
(gewerbl. Nutzung versicherbar)</t>
  </si>
  <si>
    <t>Versicherungsschein / Klausel / VGB; §3, Ziff. 3</t>
  </si>
  <si>
    <t>VGB; §15, Ziff. 3</t>
  </si>
  <si>
    <t>VGB; §15, Ziff. 4 / Versicherungsschein</t>
  </si>
  <si>
    <t>VGB; §16, Ziff. 1 b)</t>
  </si>
  <si>
    <t>Sengschäden nur durch  Brand, Blitzschlag, Explosion, Implosion</t>
  </si>
  <si>
    <t>sofern vereinbart
(beitragsfrei)</t>
  </si>
  <si>
    <t>VGB; §7, Ziff. 3 / Versicherungsschein / Klausel</t>
  </si>
  <si>
    <t>VKB VGB 2000 Plus 2
(Stand 01-2008)</t>
  </si>
  <si>
    <t>Interrisk XXL
(Stand 10-2012)</t>
  </si>
  <si>
    <t>ja
(nicht der Versorgung versicherter Gebäude dienende Zuleitungsrohre bis 10.000 €)</t>
  </si>
  <si>
    <t>bis 10.000 € (der Versorgung 
versicherter Gebäude dienend)</t>
  </si>
  <si>
    <t>Wiederbepflanzungskosten
bis 3.000 €</t>
  </si>
  <si>
    <t>B01; §6, Ziff. 1.2 / Klausel 7281 /
B38; §2, Ziff. 2 / Ziff. 6 / 
§4, Ziff. 1 / Ziff. 2.2 / 
§6, Ziff. 1.2 / Ziff. 1.3 / Ziff. 2 d) /  Ziff. 2 e) / Ziff. 2 f) / Ziff. 5.1 / Ziff. 5.6 /
§8, Ziff. 1.1 / Ziff. 2.2 / 
§13, Ziff. 1.2 b) /
§22 / Verbindliche Erläuterungen</t>
  </si>
  <si>
    <t>-Keine Kündigungsfrist
-unbenannte Gefahren versicherbar
-Verzicht auf klassische Branddefinition
-Tierbiss (Marder/wildlebende Nagetiere) an Dämmungen/ Unterspannbahnen von Dächern und Außenwänden sowie an elektrischen Anlagen und Leitungen
-Radioaktive Isotope (nicht von Kernreaktoren)
-keine Mindestwindstärke bei Sturm
-Gebäudebeschädigungen aufgrund Eindringen von Niederschlägen durch sonstige Gebäudeöffnungen (z. B. nicht ordnungsgemäß geschlossene Fenster, Türen) 
bis 3.000 €
-Schadenermittlungskosten
-Regiekosten bei Schäden &gt; 5.000 €
-Verkehrssicherungsmaßnahmen
-Kosten für provisorische Maßnahmen
-Transport- und Lagerkosten bis 12 Monate
-Telefonische Serviceleistungen
-Psychologische Betreuung nach einem Schadenfall bis 1.000 €
-Mietausfall auch bei Mietbeginn nach Schadeneintritt
-Mietausfall bei marktbedingter Nichtvermietung nach Wiederherstellung bis 6 Monate
-Unbewohntsein bis 180 Tage
-Beitragsfreistellung bei Arbeitslosigkeit bis 3 Jahre bei gleichzeitigem Bestehen einer IR XXL-Unfallversicherung</t>
  </si>
  <si>
    <t>B37; §2, Ziff. 4 a) / Verbindliche Erläuterungen zu §2, Ziff. 4 a)</t>
  </si>
  <si>
    <t>B37; §2, Ziff. 4 b) / Verbindliche Erläuterungen zu §2, Ziff. 4 b)</t>
  </si>
  <si>
    <t>B37; §2, Ziff. 4 c) / Verbindliche Erläuterungen zu §2, Ziff. 4 c)</t>
  </si>
  <si>
    <t>B37; §2, Ziff. 5 / Verbindliche Erläuterungen zu §2, Ziff. 5 a) / b)</t>
  </si>
  <si>
    <t>B37; §3, Ziff. 1.1 c) / Verbindliche Erläuterungen zu §3, Ziff. 1 / Ziff. 2</t>
  </si>
  <si>
    <t>B37; §3, Ziff. 1.1 f) / Verbindliche Erläuterungen zu §3, Ziff. 1 / Ziff. 2</t>
  </si>
  <si>
    <t>B37; §3, Ziff. 1.1 g) / Verbindliche Erläuterungen zu §3, Ziff. 1 / Ziff. 2 / Ziff. 3</t>
  </si>
  <si>
    <t>B37; §3, Ziff. 1.2 a) / Verbindliche Erläuterungen zu §3, Ziff. 1 / Ziff. 2</t>
  </si>
  <si>
    <t>B37; §3, Ziff. 1.1 a) / Verbindliche Erläuterungen zu §3, Ziff. 1 / Ziff. 2</t>
  </si>
  <si>
    <t>B37; §3, Ziff. 1.2 b) / Verbindliche Erläuterungen zu §3, Ziff. 1 / Ziff. 2</t>
  </si>
  <si>
    <t>B37; §3, Ziff. 5 / Verbindliche Erläuterungen zu §3, Ziff. 5</t>
  </si>
  <si>
    <t>B37; §5 / Verbindliche Erläuterungen zu §5, Ziff. 2 / Ziff. 3 / Ziff. 4</t>
  </si>
  <si>
    <t>B37; §5, Ziff. 3 / Ziff. 4 / Verbindliche Erläuterungen zu §5, Ziff. 4</t>
  </si>
  <si>
    <t>B37; §5, Ziff. 4 / Verbindliche Erläuterungen zu §5, Ziff. 4</t>
  </si>
  <si>
    <t>B38; §6, Ziff. 2 a) / c) / Ziff. 2.2 / Verbindliche Erläuterungen zu §6, Ziff. 2.1 c)</t>
  </si>
  <si>
    <t>B37; §9, Ziff. 1.1 / §18, Ziff. 1 a)</t>
  </si>
  <si>
    <t>B37; §9, Ziff. 1.1</t>
  </si>
  <si>
    <t>-Keine Kündigungsfrist
-Verkehrssicherungsmaßnahmen</t>
  </si>
  <si>
    <t xml:space="preserve">B01; §6, Ziff. 1.2 /
B37; §6, Ziff. 2.1 d) </t>
  </si>
  <si>
    <t>B37; §16, Ziff. 2</t>
  </si>
  <si>
    <t>B37; §5, Ziff. 6.2</t>
  </si>
  <si>
    <t>B37; §3, Ziff. 4</t>
  </si>
  <si>
    <t>B37; §2, Ziff. 6</t>
  </si>
  <si>
    <t>B37; §8, Ziff. 1 / Ziff. 2.1</t>
  </si>
  <si>
    <t>B38; §6, Ziff. 2 g)</t>
  </si>
  <si>
    <t>B37; §6, Ziff. 2 e)</t>
  </si>
  <si>
    <t>B37; §6, Ziff. 1.3</t>
  </si>
  <si>
    <t>B37; §6, Ziff. 2.1 f)</t>
  </si>
  <si>
    <t>B38; §6, Ziff. 2 h)</t>
  </si>
  <si>
    <t>B37; §6, Ziff. 2 b)</t>
  </si>
  <si>
    <t>B37; §7, Ziff. 3</t>
  </si>
  <si>
    <t>B37; §7, Ziff. 2.6</t>
  </si>
  <si>
    <t>B37; §7, Ziff. 2</t>
  </si>
  <si>
    <t>B37; §21, Ziff. 5.2</t>
  </si>
  <si>
    <t>ja (20% SB)
bei Schäden &gt; 10.000 €</t>
  </si>
  <si>
    <t>B37; §6, Ziff. 3.5</t>
  </si>
  <si>
    <t>B37; §3, Ziff. 2.1 / Ziff. 2.2 / Verbindliche Erläuterungen zu §3, Ziff. 1 / Ziff. 2</t>
  </si>
  <si>
    <t>B37; §3, Ziff. 2.4 / Verbindliche Erläuterungen zu §3, Ziff. 1 / Ziff. 2</t>
  </si>
  <si>
    <t>B37; §5, Ziff. 2.1</t>
  </si>
  <si>
    <t>B37; §2, Ziff. 6.1</t>
  </si>
  <si>
    <t>B37; §2, Ziff. 3.2</t>
  </si>
  <si>
    <t>B37; §2, Ziff. 2.3 / Ziff. 2.4</t>
  </si>
  <si>
    <t>B37; §2, Ziff. 2.2</t>
  </si>
  <si>
    <t xml:space="preserve">B37; §3, Ziff. 3 </t>
  </si>
  <si>
    <t>B37; §3, Ziff. 3 d)</t>
  </si>
  <si>
    <t>B37; §3, Ziff. 3 f)</t>
  </si>
  <si>
    <t>B37; §3, Ziff. 6.1 b)</t>
  </si>
  <si>
    <t>B38; §3, Ziff. 3.3</t>
  </si>
  <si>
    <t>InterRisk XL</t>
  </si>
  <si>
    <t>InterRisk XXL</t>
  </si>
  <si>
    <t>Klausel 7101 / B61
(keine Unterscheidung in XL/XXL)</t>
  </si>
  <si>
    <t>Allianz Optimal
(Stand 03-2010)</t>
  </si>
  <si>
    <t>Allianz inkl. SicherheitPlus</t>
  </si>
  <si>
    <t>ja (10% SB)
bei Schäden &gt; 25.000 €</t>
  </si>
  <si>
    <t>bis 10 € je qm * AF</t>
  </si>
  <si>
    <t>bis 250 € je qm * AF</t>
  </si>
  <si>
    <t>versicherbar über "GebäudePlus"
bis 10.000 € * AF (150 € SB)</t>
  </si>
  <si>
    <t>BSV--2468Z0; Ziff. 1.1 (2) / Ziff. 1.4</t>
  </si>
  <si>
    <t>zusätzlich versicherbar
über "GebäudePlus"</t>
  </si>
  <si>
    <t>BSV--2468Z0; Ziff. 1.3 / Ziff. 1.4</t>
  </si>
  <si>
    <t>Sengschäden (Rauch/Ruß versicherbar über "GebäudePlus")</t>
  </si>
  <si>
    <t>A.; Ziff. 1.1.1 (1)</t>
  </si>
  <si>
    <t>A.; Ziff. 1.1.1 (2)</t>
  </si>
  <si>
    <t>Gartenhäuser/ Gewächshäuser 
bis 15 qm Nutzfläche</t>
  </si>
  <si>
    <t>A.; Ziff. 1.1.1 (3)</t>
  </si>
  <si>
    <t>A.; Ziff. 1.1.2 (1) / (2)</t>
  </si>
  <si>
    <t>A.; Ziff. 1.1.2 (5)</t>
  </si>
  <si>
    <t>A.; Ziff. 1.1.2 (6)</t>
  </si>
  <si>
    <t>A.; Ziff. 1.1.2 (7)</t>
  </si>
  <si>
    <t>A.; Ziff. 1.1.2 (8)</t>
  </si>
  <si>
    <t>A.; Ziff. 1.1.2 (9)</t>
  </si>
  <si>
    <t>A.; Ziff. 1.1.2 (10)</t>
  </si>
  <si>
    <t>A.; Ziff. 1.1.2 (11)</t>
  </si>
  <si>
    <t>A.; Ziff. 1.1.2 (12)</t>
  </si>
  <si>
    <t>-Schadenermittlungskosten
-Auftaukosten von versicherten Rohren/angeschlossenen Einrichtungen im Gebäude
-Schäden durch Wildtiere
zusätzlich versicherbar über "GebäudePlus":
-Marderbiss sowie Biss sonstiger wilder Tiere (nicht Mäuse/Ratten) an elektrischen Anlagen (150 € SB)</t>
  </si>
  <si>
    <t>A.; Ziff. 1.1.3 (4)</t>
  </si>
  <si>
    <t>A.; Ziff. 1.2.1 (1) a)</t>
  </si>
  <si>
    <t>A.; Ziff. 1.2.1 (1) a) / 
BSV--2468Z0; Ziff. 1.3 / Ziff. 1.4</t>
  </si>
  <si>
    <t>A.; Ziff. 1.2.1 (1) a) /
BSV--2468Z0; Ziff. 1.3 / Ziff. 1.4</t>
  </si>
  <si>
    <t>ja (Anprall durch Kfz zusätzlich versicherbar über "GebäudePlus")</t>
  </si>
  <si>
    <t>A.; Ziff. 1.2.2 (2)</t>
  </si>
  <si>
    <t>A.; Ziff. 2.1 (1) / 
BSV--2468Z0; Ziff. 1.3 / Ziff. 1.4</t>
  </si>
  <si>
    <t>A.; Ziff. 1.2.3 (1)</t>
  </si>
  <si>
    <t>A.; Ziff. 1.2.1 (4) a)</t>
  </si>
  <si>
    <t>A.; Ziff. 1.2.1 (4) b)</t>
  </si>
  <si>
    <t>PSV--2463Z0; A.; Ziff. 1.1.2 (3) / (14), Ziff. 1.2.1 (4) b)
PSV--2468Z0; Ziff. 1.2 / Ziff. 1.4</t>
  </si>
  <si>
    <t>A.; Ziff. 1.2.1  (5)</t>
  </si>
  <si>
    <t>A.; Ziff. 2.1 (3) a)</t>
  </si>
  <si>
    <t>Kosten für den Austausch
infolge eines Rohrbruchs</t>
  </si>
  <si>
    <t>A.; Ziff. 1.2.3 (2) a)</t>
  </si>
  <si>
    <t>A.; Ziff. 1.2.3 (2) b)</t>
  </si>
  <si>
    <t>A.; Ziff. 1.2.3 (2) c)</t>
  </si>
  <si>
    <t>Elementarzone 1: 500 € (bei Überschwemmung)
Elementarzone 2: 750 € (bei Überschwemmung)
Elementarzone 3: 2.000 € (bei Überschwemmung)
Elementarzone 4: 3.000 € (bei Überschwemmung)
Elementarzonen 5-8: wie 1-4 sowie zusätzlich 3.000 € bei Erdbeben</t>
  </si>
  <si>
    <t>ABC Wohngebäudeversicherung</t>
  </si>
  <si>
    <t>A.; Ziff. 2.1 (5)</t>
  </si>
  <si>
    <t>A.; Ziff. 1.2.5 (1) - (8)</t>
  </si>
  <si>
    <t>A.; Ziff. 1.2.5 (2)</t>
  </si>
  <si>
    <t>A.; Ziff. 1.3.1 (1) a) / (2) a)</t>
  </si>
  <si>
    <t>ABC Privatschutz</t>
  </si>
  <si>
    <t>bei Kombi-Policen mit 
mind. 3 Verträgen / 3 Jahren Laufzeit</t>
  </si>
  <si>
    <t>zusätzlich versicherbar
über "HaustechnikPlus"</t>
  </si>
  <si>
    <t>zusätzlich versicherbar
über "FensterPlus"</t>
  </si>
  <si>
    <t>A.; Ziff. 1.2.2 (1)</t>
  </si>
  <si>
    <t>Rechner / Leistungsübersicht</t>
  </si>
  <si>
    <t>A.; Ziff. 2.3 (2)</t>
  </si>
  <si>
    <t>bis 5.000 € * AF (sofern der Entsorgung versicherter Gebäude dienend)
(erhöhbar über RohrbruchPlus oder RohrbruchBest)</t>
  </si>
  <si>
    <t>zusätzlich versicherbar
über RohrbruchBest
bis 15.000 €</t>
  </si>
  <si>
    <t>A.; Ziff. 1.2.3 (2) d) /
PSV--2466Z0 / PSV--2467Z0</t>
  </si>
  <si>
    <t>PSV--2467Z0</t>
  </si>
  <si>
    <t>A.; Ziff. 1.3.1 (6)</t>
  </si>
  <si>
    <t>A.; Ziff. 1.3.1 (7)</t>
  </si>
  <si>
    <t>A.; Ziff. 1.3.3 (5)</t>
  </si>
  <si>
    <t>Einfacher Diebstahl von außen angebrachten Sachen (nicht direkt mit dem Gebäude verbunden (u.a. auch an Mauern/Zäunen angebracht))</t>
  </si>
  <si>
    <t>ja
bbv standard</t>
  </si>
  <si>
    <t>ja
bbv standard-plus+</t>
  </si>
  <si>
    <t>ja
bbv komfort</t>
  </si>
  <si>
    <t>VGB; A; §10, Ziff. 1</t>
  </si>
  <si>
    <t>Klausel 7007</t>
  </si>
  <si>
    <t>Klausel 7039</t>
  </si>
  <si>
    <t xml:space="preserve">VGB; §5, Ziff. 1 </t>
  </si>
  <si>
    <t>VGB; §5, Ziff. 4 c) aa) / Rechner</t>
  </si>
  <si>
    <t>VGB; §5, Ziff. 4 c) bb)</t>
  </si>
  <si>
    <t>VGB; §5, Ziff. 4 c) bb) / Klausel 7009</t>
  </si>
  <si>
    <t>VGB; §5, Ziff. 4 c)</t>
  </si>
  <si>
    <t>Klausel 7009 / Klausel 7190</t>
  </si>
  <si>
    <t>VGB; §5 Ziff. 2 b)</t>
  </si>
  <si>
    <t>ja
(sofern im Gebäudewert berücksichtigt)</t>
  </si>
  <si>
    <t>VGB; §5 Ziff. 4 a)</t>
  </si>
  <si>
    <t>VGB; §2 Ziff 4.2</t>
  </si>
  <si>
    <t>Klausel 7013 a)</t>
  </si>
  <si>
    <t>ja
(Wert 1914 * Neuwertfaktor)</t>
  </si>
  <si>
    <t>Klausel 7016</t>
  </si>
  <si>
    <t>ja, auch Sengschäden die nicht durch Brand entstanden</t>
  </si>
  <si>
    <t>VGB; §2 Ziff 5. b)</t>
  </si>
  <si>
    <t>Klausel 7035</t>
  </si>
  <si>
    <t>Klausel 7013 b)</t>
  </si>
  <si>
    <t>VGB; §1 Ziff. 2</t>
  </si>
  <si>
    <t>Klausel 7015</t>
  </si>
  <si>
    <t>Klausel 7014</t>
  </si>
  <si>
    <t>VGB; §2 Ziff 5 d) / Ziff. 1</t>
  </si>
  <si>
    <t>bis 24 Monate (auch bei Leitungswasser, Sturm/Hagel)</t>
  </si>
  <si>
    <t>Handbuch; Ziff. 4.9.6</t>
  </si>
  <si>
    <t>Klausel 7011 / Handbuch; Ziff. 4.9.6</t>
  </si>
  <si>
    <t>Elementar in Standard 
nicht versicherbar</t>
  </si>
  <si>
    <t>Rechner / Servicecenter</t>
  </si>
  <si>
    <t>Klausel 7022</t>
  </si>
  <si>
    <t>VGB; §3 Ziff. 3</t>
  </si>
  <si>
    <t>VGB; §3 Ziff. 4 a) aa)</t>
  </si>
  <si>
    <t>Klausel 7023</t>
  </si>
  <si>
    <t>ja 
(auch Saunabecken)</t>
  </si>
  <si>
    <t>VGB; §3 Ziff. 4 a) bb)</t>
  </si>
  <si>
    <t xml:space="preserve">VGB; §3 Ziff. 1 a) bb) </t>
  </si>
  <si>
    <t>3 % der VS * Neuwertfaktor</t>
  </si>
  <si>
    <t>Klausel 7024</t>
  </si>
  <si>
    <t xml:space="preserve">VGB; §3 Ziff. 1 b) aa) </t>
  </si>
  <si>
    <t>Klausel 7026</t>
  </si>
  <si>
    <t>Wasch-/Spülmaschinenschläuche</t>
  </si>
  <si>
    <t xml:space="preserve">VGB; §3 Ziff. 1 a) aa) </t>
  </si>
  <si>
    <t>Klausel 7025 / Klausel 7190</t>
  </si>
  <si>
    <t xml:space="preserve">VGB; §3 Ziff. 1 b) bb) </t>
  </si>
  <si>
    <t>ja (nicht der Versorgung dienende bis  5% der VS, max. 10.000 €, 300 € SB)</t>
  </si>
  <si>
    <t>VGB; §3 Ziff. 2</t>
  </si>
  <si>
    <t>VGB; §3 Ziff. 2 / Klausel 7260</t>
  </si>
  <si>
    <t>VGB; §3 Ziff. 2 / Klausel 7018</t>
  </si>
  <si>
    <t>max. 5.000 €, 500 € SB (sofern der Entsorgung versicherter Gebäude dienend und zum Schadenzeitpunkt max. 20 Jahre Alter; Rohre über 20 Jahre Alter, sofern Dichtigkeitsprüfung vorliegt)</t>
  </si>
  <si>
    <t>Klausel 7020</t>
  </si>
  <si>
    <t>zusätzlich versicherbar bis 1% der VS, sofern der Versorgung dienend)</t>
  </si>
  <si>
    <t>bis 5% der VS, max. 10.000 €, 300 € SB (sofern der Versorgung dienend)</t>
  </si>
  <si>
    <t>Klausel 7019</t>
  </si>
  <si>
    <t>max. 5.000 €, 500 € SB (sofern der Entsorgung dienend und zum Schadenzeitpunkt max. 20 Jahre Alter; Rohre über 20 Jahre Alter, sofern Dichtigkeitsprüfung vorliegt)</t>
  </si>
  <si>
    <t>Klausel 7021</t>
  </si>
  <si>
    <t>bis 5% der VS * Neuwertfaktor</t>
  </si>
  <si>
    <t>VGB; §7 Ziff. 1 a) / b)</t>
  </si>
  <si>
    <t>Klausel 7008</t>
  </si>
  <si>
    <t>bis 15% der VS
(SB: 25% des Schadens, max 10.000€)</t>
  </si>
  <si>
    <t>Klausel 7034</t>
  </si>
  <si>
    <t>bis 6.000 € 
bei Schäden &gt; 10.000 € (20% SB)</t>
  </si>
  <si>
    <t>VGB; §15; Ziff. 6</t>
  </si>
  <si>
    <t>Klausel 7032</t>
  </si>
  <si>
    <t>VGB; §8 Ziff. 1 a)</t>
  </si>
  <si>
    <t>VGB; §8 Ziff. 5</t>
  </si>
  <si>
    <t>VGB; §8 Ziff. 4</t>
  </si>
  <si>
    <t>bis 10.000 €
(auch bei Blitzschlag)</t>
  </si>
  <si>
    <t>Klausel 7001</t>
  </si>
  <si>
    <t>Klausel 7017</t>
  </si>
  <si>
    <t>Klausel 7027</t>
  </si>
  <si>
    <t>bis 1.500 €
bei Schäden &gt; 5.000 €</t>
  </si>
  <si>
    <t>Klausel 7031</t>
  </si>
  <si>
    <t>bis 200 Tage
(max. 80 € pro Tag)</t>
  </si>
  <si>
    <t>Klausel 7029</t>
  </si>
  <si>
    <t>24 Monate (auch gewerbl. Räume, max. 500 € pro Monat)</t>
  </si>
  <si>
    <t>VGB; §9 Ziff. 2 a)</t>
  </si>
  <si>
    <t>Klausel 7010</t>
  </si>
  <si>
    <t>Klausel 7028</t>
  </si>
  <si>
    <t>bis 5.000 € (ab Schadenhöhe &gt; 1.500 € polizeiliche Anzeigepflicht)</t>
  </si>
  <si>
    <t>Klausel 7012</t>
  </si>
  <si>
    <t>sonstige Vermögensschäden bis 10% der VS</t>
  </si>
  <si>
    <t>Klausel 7036</t>
  </si>
  <si>
    <t>max. 100.000 € (auch bei grob fahr-lässiger Obliegenheitsverletzung)</t>
  </si>
  <si>
    <t>VGB; §16 Ziff. 2</t>
  </si>
  <si>
    <t>Klausel 7037</t>
  </si>
  <si>
    <t>Elementar im Standard-Schutz 
nicht versicherbar</t>
  </si>
  <si>
    <t>Überschwemmung (abwählbar), Rückstau, Erdbeben, Erdrutsch, Erdfall, Schneedruck, Lawinen, Starkregen</t>
  </si>
  <si>
    <t>Servicecenter / Rechner</t>
  </si>
  <si>
    <t>5.000 € oder
10% SB (mind. 500 €, max. 5.000 €)</t>
  </si>
  <si>
    <t>Handbuch; Ziff. 4.3 / Rechner</t>
  </si>
  <si>
    <t>-Reparaturkosten für provisorische Maßnahmen bis 3.000 € /
-Radioaktive Isotope (nicht von Kernreaktoren)
zusätzlich versicherbar:
-Allgefahren-Versicherungsschutz im Rahmen der Elementardeckung (5.000 € SB (reduzierbar))</t>
  </si>
  <si>
    <t>Klausel 7030 /
Klausel 7033 /
Klausel 7006</t>
  </si>
  <si>
    <t>VGB 2008
(Stand 01-2008)</t>
  </si>
  <si>
    <t>Standard-Plus 2009
(Stand 06-2011)</t>
  </si>
  <si>
    <t>K09
(Stand 06-2011)</t>
  </si>
  <si>
    <t>bis 15 qm</t>
  </si>
  <si>
    <t>bei Feuer: bis 2.500 €
bei Schäden &gt; 5.000 €</t>
  </si>
  <si>
    <t>VGB 88 - Standard /
ABB</t>
  </si>
  <si>
    <t>frostbedingte Bruchschäden</t>
  </si>
  <si>
    <t>bis 5% der VS x Anpassungsfaktor</t>
  </si>
  <si>
    <t>VGB; I.; §15, Ziff. 1 a)</t>
  </si>
  <si>
    <t>VGB; I.; §16, Ziff. 6 a)</t>
  </si>
  <si>
    <t>VGB; I.; §6, Ziff. 1</t>
  </si>
  <si>
    <t>VGB; I.; §9, Ziff. 4 a)</t>
  </si>
  <si>
    <t>VGB; I.; §7, Ziff. 2 b)</t>
  </si>
  <si>
    <t>VGB; I.; §7, Ziff. 3</t>
  </si>
  <si>
    <t>VGB; I.;§15, Ziff. 2</t>
  </si>
  <si>
    <t>VGB; I.; §1, Ziff. 2</t>
  </si>
  <si>
    <t>LW: -
Feuer: versicherbar</t>
  </si>
  <si>
    <t>VGB; I.; §9, Ziff. 1 b) / ABB; §25</t>
  </si>
  <si>
    <t>VGB; I.; §15, Ziff. 3 / ABB; §38 (3) b)</t>
  </si>
  <si>
    <t>VGB; I.; §3, Ziff. 3 / ABB; §38 (4) / Versicherungsschein</t>
  </si>
  <si>
    <t>12 Monate;
bei Feuer: max. 24 Monate</t>
  </si>
  <si>
    <t>ABB; §38 (4) / Versicherungsschein</t>
  </si>
  <si>
    <t>VGB; I.; §22, Ziff. 5 / ABB; §50</t>
  </si>
  <si>
    <t>ABB; §38 (4) b) / Versicherungsschein</t>
  </si>
  <si>
    <t>bei Feuer: bis 100 Tage
(max. 100 € je Tag)</t>
  </si>
  <si>
    <t>ABB; II.; §2</t>
  </si>
  <si>
    <t>(nicht vereinbart)
Überschwemmung, Erdbeben, Erdsenkung, Erdrutsch, Schneedruck, Lawinen, Vulkanausbruch</t>
  </si>
  <si>
    <t>ABB; II.; §11</t>
  </si>
  <si>
    <t>ABB; II.; §14</t>
  </si>
  <si>
    <t>VGB; I.; §1, Ziff. 3 / III.</t>
  </si>
  <si>
    <t>bis 2.557 €</t>
  </si>
  <si>
    <t>zusätzlich versicherbar (Carports im Rahmen des sonstigen Zubehörs)</t>
  </si>
  <si>
    <t>VGB; I.; §2, Ziff. 2 / III. / ABB; §38 (3) a) / Versicherungsschein</t>
  </si>
  <si>
    <t>bis 10% der VS x Anpassungsfaktor
bei Feuer: bis 25% der VS</t>
  </si>
  <si>
    <t>VGB; III. / ABB; §38 (4) a) / Versicherungsschein</t>
  </si>
  <si>
    <t>VGB; III. / ABB; §38 (1) / Versicherungsschein</t>
  </si>
  <si>
    <t>versicherbar 
über Klausel 7360</t>
  </si>
  <si>
    <t>VGB; IV.</t>
  </si>
  <si>
    <t>ABB; §39 (4) d)</t>
  </si>
  <si>
    <t>VGB; §1, Ziff. 1 / ABB; §1</t>
  </si>
  <si>
    <t>VGB; I.; §7, Ziff. 2 a)</t>
  </si>
  <si>
    <t>VKB Standard (Für Fr. La Tona) (VGB 88)</t>
  </si>
  <si>
    <t>aktuell
(geprüft am 07.02.2014)</t>
  </si>
  <si>
    <t>PSV--2463Z0
Stand 10-2012</t>
  </si>
  <si>
    <t>die Bayerische
Standard-Schutz
(Stand 01-2008)</t>
  </si>
  <si>
    <t>die Bayerische
Standard-Plus
(Stand 06-2011)</t>
  </si>
  <si>
    <t>die Bayerische
Komfort-Schutz
(Stand 06-2011)</t>
  </si>
  <si>
    <t>wie 07-2013</t>
  </si>
  <si>
    <t>Gothaer (qm)
(Stand 01-2009)</t>
  </si>
  <si>
    <t>Gothaer Top (qm)
(Stand 01-2009)</t>
  </si>
  <si>
    <t>Gothaer Top Plus (qm)
(Stand 01-2009)</t>
  </si>
  <si>
    <t>wie 10-2011</t>
  </si>
  <si>
    <t>wie 04-2012</t>
  </si>
  <si>
    <t>R+V PrivatPolice (Fläche)
(Stand 07-2012)</t>
  </si>
  <si>
    <t>-Mehrkosten für verbesserte Energieeffizienz bis 10.000 €
-Ersatz von Darlehenszinsen 
bis 10.000 €, max. 18 Monate
-Genereller Unterversicherungsverzicht bei Schäden bis 1.000 €
-keine Deckungslücke bei Versichererwechsel</t>
  </si>
  <si>
    <t>Württembergische PremiumSchutz (11-2010)</t>
  </si>
  <si>
    <t>wie Stand 07-2011 / wie 10-2012</t>
  </si>
  <si>
    <t>die Bayerische Smart</t>
  </si>
  <si>
    <t>die Bayerische Komfort</t>
  </si>
  <si>
    <t>die Bayerische Prestige</t>
  </si>
  <si>
    <t>versicherbar über Baustein Grundstücksbestandteile bis 25 qm</t>
  </si>
  <si>
    <t>über Ökobaustein bis 20.000 €
(inkl. techn. Gefahren, Ertragsausfall bis 12 Monate sowie Minderertragsdeckung)</t>
  </si>
  <si>
    <t>bis 2.000 €
(150 € SB)</t>
  </si>
  <si>
    <t>ja (auch Stromschwankungen und Kurzschluss)</t>
  </si>
  <si>
    <t>bis 100 Tage
(max. 80 € pro Tag)</t>
  </si>
  <si>
    <t>12 Monate (auch gewerblich genutzte Räume)</t>
  </si>
  <si>
    <t>36 Monate (auch gewerblich genutzte Räume)</t>
  </si>
  <si>
    <t>bis 2.000 €
(polizeiliche Meldepflicht)</t>
  </si>
  <si>
    <t>ja
(polizeiliche Meldepflicht)</t>
  </si>
  <si>
    <t>versicherbar über Baustein Grundstücksbestandteile</t>
  </si>
  <si>
    <t>BB; Ziff. 2.1</t>
  </si>
  <si>
    <t>BB; Ziff. 2.2</t>
  </si>
  <si>
    <t>BB; Ziff. 2.3</t>
  </si>
  <si>
    <t>BB; Ziff. 2.4.1 a)</t>
  </si>
  <si>
    <t>BB; Ziff. 2.4.1 b)</t>
  </si>
  <si>
    <t>BB; Ziff. 3.1.1</t>
  </si>
  <si>
    <t>BB; Ziff. 3.3</t>
  </si>
  <si>
    <t>BB; Ziff. 3.4 / Leistungsübersicht</t>
  </si>
  <si>
    <t>ja (auch Wassersäulen und Zimmerbrunnen)</t>
  </si>
  <si>
    <t>BB; Ziff. 3.6.2</t>
  </si>
  <si>
    <t>BB; Ziff. 3.6.1</t>
  </si>
  <si>
    <t>BB; Ziff. 3.7</t>
  </si>
  <si>
    <t>BB; Ziff. 4.1</t>
  </si>
  <si>
    <t>BB; Ziff. 4.2</t>
  </si>
  <si>
    <t>bis 10.000 € (auch durch Blitzschlag umgestürzte Bäume)</t>
  </si>
  <si>
    <t>BB; Ziff. 5.1</t>
  </si>
  <si>
    <t>BB; Ziff. 5.1 / Ziff. 5.9</t>
  </si>
  <si>
    <t>bis 100.000 € (sofern aufgrund behördlicher Auflagen)</t>
  </si>
  <si>
    <t>BB; Ziff. 5.3 / Ziff. 5.9</t>
  </si>
  <si>
    <t>BB; Ziff. 5.4 / Ziff. 5.9</t>
  </si>
  <si>
    <t>BB; Ziff. 5.6</t>
  </si>
  <si>
    <t>bis 5.000 €
bei Schäden &gt; 1.500 €</t>
  </si>
  <si>
    <t>BB; Ziff. 5.7</t>
  </si>
  <si>
    <t>bis 10.000 € 
bei Schäden &gt; 10.000 € (20% SB)</t>
  </si>
  <si>
    <t>BB; Ziff. 6.1</t>
  </si>
  <si>
    <t>BB; Ziff. 6.2</t>
  </si>
  <si>
    <t>bis 10.000 € (+vorübergehende (max. 
4 Monate) Obliegenheitsverletz-ungen der Sicherheitsvorschriften)</t>
  </si>
  <si>
    <t>ja (+vorübergehende (max. 
4 Monate) Obliegenheitsverletz-ungen der Sicherheitsvorschriften)</t>
  </si>
  <si>
    <t>BB; Ziff. 6.3.1 - 6.3.6</t>
  </si>
  <si>
    <t>BB; Ziff. 6.5</t>
  </si>
  <si>
    <t>BB; Ziff. 6.6</t>
  </si>
  <si>
    <t>BB; Ziff. 6.7</t>
  </si>
  <si>
    <t>10% auf die Gesamtfläche bis zum Schluss des laufenden Vers.-jahres</t>
  </si>
  <si>
    <t>BB; Ziff. 6.9</t>
  </si>
  <si>
    <t>BB; Ziff. 8</t>
  </si>
  <si>
    <t>BB; Ziff. 1 / Ziff. 5.3 / Ziff. 5.8 / 
Ziff. 5.9 / Ziff. 6.4 / Ziff. 6.8 / Ziff. 11</t>
  </si>
  <si>
    <t>BB; Ziff. 1.1</t>
  </si>
  <si>
    <t>bis 36 Monate (teils auch bei Leitungswasser, Sturm/Hagel)</t>
  </si>
  <si>
    <t>bis 24 Monate (teils auch bei Leitungswasser, Sturm/Hagel)</t>
  </si>
  <si>
    <t>BB; Ziff. 1.2</t>
  </si>
  <si>
    <t>BB; Ziff. 1.3 a)</t>
  </si>
  <si>
    <t>BB; Ziff. 1.3 b)</t>
  </si>
  <si>
    <t>BB; Ziff. 2.1.2 / Ziff. 2.2</t>
  </si>
  <si>
    <t>BB; Ziff. 3.1.2 / Ziff. 3.2</t>
  </si>
  <si>
    <t>ja (+außerhalb liegende Regenwasseraufbereitungsanlagen)</t>
  </si>
  <si>
    <t>BB; Ziff. 2.1.1</t>
  </si>
  <si>
    <t>BB; Ziff. 2.5.1</t>
  </si>
  <si>
    <t>BB; Ziff. 2.5.2</t>
  </si>
  <si>
    <t>ja
(keine Abwassergebühren)</t>
  </si>
  <si>
    <t>bis 3.000 €
(auch Abwasser)</t>
  </si>
  <si>
    <t>BB; Ziff. 2.5</t>
  </si>
  <si>
    <t>bis 3.000 € (auch durch Blitzschlag umgestürzte Bäume)</t>
  </si>
  <si>
    <t>BB; Ziff. 4.1 / Ziff. 4.9</t>
  </si>
  <si>
    <t>BB; Ziff. 5.2</t>
  </si>
  <si>
    <t>BB; Ziff. 4.3 / Ziff. 4.9</t>
  </si>
  <si>
    <t>BB; Ziff. 4.4 / Ziff. 4.9</t>
  </si>
  <si>
    <t>BB; Ziff. 4.6</t>
  </si>
  <si>
    <t>bis 3.000 €
bei Schäden &gt; 1.500 €</t>
  </si>
  <si>
    <t>BB; Ziff. 4.7</t>
  </si>
  <si>
    <t>bis 5.000 € 
bei Schäden &gt; 10.000 € (20% SB)</t>
  </si>
  <si>
    <t>BB; Ziff. 5.3.1 - 5.3.6</t>
  </si>
  <si>
    <t>BB; Ziff. 5.5</t>
  </si>
  <si>
    <t>BB; Ziff. 5.9</t>
  </si>
  <si>
    <t>24 Monate (auch gewerblich genutzte Räume für 12 Monate)</t>
  </si>
  <si>
    <t>BB; Ziff. 4.5 / Ziff. 4.8 / Ziff. 4.9 / 
Ziff. 5.4 / Ziff. 5.8 / Ziff. 10</t>
  </si>
  <si>
    <t>VGB; B; §25</t>
  </si>
  <si>
    <t>VGB; A; §5, Ziff. 1 / Rechner</t>
  </si>
  <si>
    <t>VGB; A; §5, Ziff. 2 d) / Rechner</t>
  </si>
  <si>
    <t>BB; Ziff. 4 / Rechner</t>
  </si>
  <si>
    <t>BB; Ziff. 4.2 / Rechner</t>
  </si>
  <si>
    <t>Überschwemmung (auch Starkregen), Rückstau, Erdbeben, Erdsenkung, Erdrutsch, Schneedruck, Lawinen, Vulkanausbruch</t>
  </si>
  <si>
    <t>BB; Ziff. 4.10 / Rechner</t>
  </si>
  <si>
    <t>BB; Ziff. 4.11 / Rechner</t>
  </si>
  <si>
    <t>5.000 €
(auch andere SB-Modelle wählbar)</t>
  </si>
  <si>
    <t>10%, 
mind. 2.000 €, max. 5.000 €
(auch andere SB-Modelle wählbar)</t>
  </si>
  <si>
    <t>10%, 
mind. 500 €, max. 5.000 €
(auch andere SB-Modelle wählbar)</t>
  </si>
  <si>
    <t>BB; Ziff. 4.2 a) / Rechner</t>
  </si>
  <si>
    <t>zusätzlich versicherbar
über Baustein Elementar</t>
  </si>
  <si>
    <t>BB; Ziff. 1 / Rechner</t>
  </si>
  <si>
    <t>BB; Ziff. 3 / Rechner</t>
  </si>
  <si>
    <t>über Ökobaustein bis 50.000 €
(inkl. techn. Gefahren, Ertragsausfall bis 12 Monate sowie Minderertragsdeckung)</t>
  </si>
  <si>
    <t>BB; Ziff. 1 / Rechner / BPV</t>
  </si>
  <si>
    <t>über Baustein Rohrpaket (max. 1.500 €, 300 € SB sofern der Entsorgung versicherter Gebäude dienend und zum Schadenzeitpunkt max. 20 Jahre Alter; Rohre über 20 Jahre Alter, sofern Dichtigkeits-
prüfung vorliegt; Rohre über 20 Jahre ohne Prüfung nur bis 1.000 €)</t>
  </si>
  <si>
    <t>über Baustein Rohrpaket (max. 3.000 €, 300 € SB sofern der Entsorgung versicherter Gebäude dienend und zum Schadenzeitpunkt max. 20 Jahre Alter; Rohre über 20 Jahre Alter, sofern Dichtigkeits-
prüfung vorliegt; Rohre über 20 Jahre ohne Prüfung nur bis 1.500 €)</t>
  </si>
  <si>
    <t>über Baustein Rohrpaket (max. 5.000 €, 300 € SB sofern der Entsorgung versicherter Gebäude dienend und zum Schadenzeitpunkt max. 20 Jahre Alter; Rohre über 20 Jahre Alter, sofern Dichtigkeits-
prüfung vorliegt; Rohre über 20 Jahre ohne Prüfung nur bis 2.000 €)</t>
  </si>
  <si>
    <t>BB; Ziff. 2</t>
  </si>
  <si>
    <t>VGB; A; §5 Ziff. 2 b)</t>
  </si>
  <si>
    <t>VGB; A; §3 Ziff. 2.1 / Ziff. 2.2</t>
  </si>
  <si>
    <t>VGB; A; §3 Ziff. 2.3 / Ziff. 2.4</t>
  </si>
  <si>
    <t>VGB; A; §7 Ziff. 1 a) / b)</t>
  </si>
  <si>
    <t>VGB; A; §7 Ziff. 1 c) 5)</t>
  </si>
  <si>
    <t>VGB; A; §9 Ziff. 2 a) / Ziff. 3</t>
  </si>
  <si>
    <t>VGB; A; §9 Ziff. 3 / BB.; Ziff. 6</t>
  </si>
  <si>
    <t>VGB; A; §2; Ziff. 1 d)</t>
  </si>
  <si>
    <t>VGB; A; §2; Ziff. 4</t>
  </si>
  <si>
    <t>VGB; A; §2; Ziff. 4 / BB; Ziff. 2.3</t>
  </si>
  <si>
    <t>VGB; A; §2; Ziff. 8 b)</t>
  </si>
  <si>
    <t>VGB; A; §1; Ziff. 2</t>
  </si>
  <si>
    <t>VGB; A; §1; Ziff. 1 a)</t>
  </si>
  <si>
    <t>VGB; A; §2; Ziff. 1 f)</t>
  </si>
  <si>
    <t>VGB; A; §2; Ziff. 6</t>
  </si>
  <si>
    <t>VGB; A; §3; Ziff. 3</t>
  </si>
  <si>
    <t>VGB; A; §3; Ziff. 4 a) aa)</t>
  </si>
  <si>
    <t>VGB; A; §3; Ziff. 3 / BB; Ziff. 2.4</t>
  </si>
  <si>
    <t>VGB; A; §3; Ziff. 3 / BB; Ziff. 3.5</t>
  </si>
  <si>
    <t>VGB; A; §3; Ziff. 3 / BB; Ziff. 3 / Rechner</t>
  </si>
  <si>
    <t>VGB; A; §3; Ziff. 4 a) bb)</t>
  </si>
  <si>
    <t>VGB; A; §3; Ziff. 1 a) bb)</t>
  </si>
  <si>
    <t>VGB; A; §3; Ziff. 1 b) aa)</t>
  </si>
  <si>
    <t>VGB; A; §3; Ziff. 1 b) bb)</t>
  </si>
  <si>
    <t>VGB; A; §3; Ziff. 1 a) aa)</t>
  </si>
  <si>
    <t>VGB; A; §13; Ziff. 6</t>
  </si>
  <si>
    <t>VGB; A; §8; Ziff. 1 a)</t>
  </si>
  <si>
    <t>VGB; A; §8; Ziff. 2</t>
  </si>
  <si>
    <t>VGB; A; §8; Ziff. 3</t>
  </si>
  <si>
    <t>VGB; A; §7; Ziff. 1 d)</t>
  </si>
  <si>
    <t>VGB; A; §5 Ziff. 3 c)</t>
  </si>
  <si>
    <t>VGB; A; §16</t>
  </si>
  <si>
    <t>WEZ 2014 
Stand 02-2014</t>
  </si>
  <si>
    <t>ja (auch Zimmerbrunnen und Wassersäulen)</t>
  </si>
  <si>
    <t>bis 200 Tage
(max. 200 € pro Tag)</t>
  </si>
  <si>
    <t>12 Monate
(auch gewerbliche Räume)</t>
  </si>
  <si>
    <t>24 Monate
(auch gewerbliche Räume)</t>
  </si>
  <si>
    <t>36 Monate
(auch gewerbliche Räume)</t>
  </si>
  <si>
    <t>bis 500.000 € 
(auch bei Obliegenheitsverletzungen bis 5.000 €)</t>
  </si>
  <si>
    <t>bis 500.000 €
(keine Schmorschäden)</t>
  </si>
  <si>
    <t>bis 5.000 €
(infolge Brand)</t>
  </si>
  <si>
    <t>bis 5.000 €
(auch Abwasserkosten)</t>
  </si>
  <si>
    <t>WEZ; C.; C.; Ziff. 3 a) / c)</t>
  </si>
  <si>
    <t>WEZ; C.; C.; Ziff. 3 b) / c)</t>
  </si>
  <si>
    <t>WEZ; A.; §3; Ziff. 3 f) /  C.; C.; Ziff. 6</t>
  </si>
  <si>
    <t>WEZ; A.; §9; Ziff. 2 e)</t>
  </si>
  <si>
    <t>WEZ; A.; §10</t>
  </si>
  <si>
    <t>WEZ; A.; §10 / C.; D.; Ziff. 5</t>
  </si>
  <si>
    <t>WEZ; C.; D.; Ziff. 6</t>
  </si>
  <si>
    <t>Klausel 7070; A.; Ziff. 3</t>
  </si>
  <si>
    <t>WEZ; C.; D.; Ziff. 3 / Klausel 7070; A.; Ziff. 4</t>
  </si>
  <si>
    <t>WEZ; A.; §10 / Klausel 7070; A.; Ziff. 5</t>
  </si>
  <si>
    <t>Klausel 7070; A.; Ziff. 6 /
Klausel 7070; B.; Ziff. 1</t>
  </si>
  <si>
    <t>-Verkehrssicherungsmaßnahmen nach einem Schaden bis 500.000 €
-Tierbissschäden an elektrischen Anlagen und elektrischen Leitungen bis 500.000 €</t>
  </si>
  <si>
    <t>bis 500 € (sofern direkt mit dem Gebäude verbunden)</t>
  </si>
  <si>
    <t>WEZ; C.; E.; Ziff. 3 / Klausel 7070; B.; Ziff. 5</t>
  </si>
  <si>
    <t>Klausel 7049 / Klausel 7051 / Klausel 7071 / Klausel 7072</t>
  </si>
  <si>
    <t>zusätzlich versicherbar
(je nach Wahl bis 1.500 €, 5.000 € oder 10.000 € sowie bis 2.500 € mit 250 € SB)</t>
  </si>
  <si>
    <t>bis 36 Monate</t>
  </si>
  <si>
    <t>WEZ; A.; §6; Ziff. 1 c)</t>
  </si>
  <si>
    <t>WEZ; A.; §6; Ziff. 1 c) / d) / Klausel 7069</t>
  </si>
  <si>
    <t>bis 25 qm
(sofern vereinbart)</t>
  </si>
  <si>
    <t>WEZ; A.; §6; Ziff. 1 d) / Tarif</t>
  </si>
  <si>
    <t>ja
(Garagen sofern vereinbart)</t>
  </si>
  <si>
    <t>Tarif / Klausel 7043 / Klausel 7044 / Klausel 7045</t>
  </si>
  <si>
    <t>Gothaer Garantie-Paket</t>
  </si>
  <si>
    <t>zusätzlich versicherbar
(Grundgefahren oder All-Risk inkl. Ertragsausfall)</t>
  </si>
  <si>
    <t>WEZ; A.; §11; Ziff. 1 a)</t>
  </si>
  <si>
    <t>WEZ; A.; §1; Ziff. 1 a)</t>
  </si>
  <si>
    <t>WEZ; A.; §1; Ziff. 2</t>
  </si>
  <si>
    <t>WEZ; A.; §2; Ziff. 8 b)</t>
  </si>
  <si>
    <t>WEZ; A.; §2; Ziff. 1 b)</t>
  </si>
  <si>
    <t>WEZ; A.; §2; Ziff. 3</t>
  </si>
  <si>
    <t>WEZ; A.; §4 / Tarif</t>
  </si>
  <si>
    <t>WEZ; A.; §3; Ziff. 4 a) aa)</t>
  </si>
  <si>
    <t>WEZ; A.; §16; Ziff. 6</t>
  </si>
  <si>
    <t>WEZ; A.; §9; Ziff. 3</t>
  </si>
  <si>
    <t>WEZ; A.; §8 h)</t>
  </si>
  <si>
    <t>WEZ; A.; §4; Ziff. 1 b) / Tarif</t>
  </si>
  <si>
    <t>WEZ; A.; §4, Ziff. 4 a) / Tarif</t>
  </si>
  <si>
    <t>10%,
mind. 500 €, max. 5.000 €
(Erdbeben: 5.000 €)</t>
  </si>
  <si>
    <t>2.500.000 €</t>
  </si>
  <si>
    <t>bis 7.500 €</t>
  </si>
  <si>
    <t>Medien-Versicherung Klassik (qm)</t>
  </si>
  <si>
    <t>Medien-Versicherung Top (qm)</t>
  </si>
  <si>
    <t>Medien-Versicherung Premium (qm)</t>
  </si>
  <si>
    <t>B37 XL
Stand 12-2013</t>
  </si>
  <si>
    <t>B38 XXL
Stand 12-2013</t>
  </si>
  <si>
    <t>VGB 2008 / BB Klassik
Stand 09-2013</t>
  </si>
  <si>
    <t>VGB 2008 / BB Top
Stand 09-2013</t>
  </si>
  <si>
    <t>VGB 2008 / BB Premium
Stand 09-2013</t>
  </si>
  <si>
    <t>ja
(keine Schmorschäden)</t>
  </si>
  <si>
    <t>BB; Ziff. 2.4</t>
  </si>
  <si>
    <t>BB; Ziff. 2.7</t>
  </si>
  <si>
    <t>innere Unruhren</t>
  </si>
  <si>
    <t>BB; Ziff. 2.8</t>
  </si>
  <si>
    <t>BB; Ziff. 3.1</t>
  </si>
  <si>
    <t>zusätzlich versicherbar
bis 2.500 €</t>
  </si>
  <si>
    <t>VGB; §3; Ziff. 2 / BB; Ziff. 3.2</t>
  </si>
  <si>
    <t>ja
(der Versorgung versicherter 
Gebäude dienend)</t>
  </si>
  <si>
    <t>ja (nicht der Versorgung dienende Zuleitungsrohre bei
Gebäuden &lt; 10 Jahre = ja;
bei Gebäude &gt; 10 Jahre = 12.500 €)</t>
  </si>
  <si>
    <t>VGB; §3; Ziff. 2 / BB; Ziff. 3.3</t>
  </si>
  <si>
    <t>BB; Ziff. 3.4</t>
  </si>
  <si>
    <t>ohne Prüfbericht nur bei Gebäuden bis 40 Jahren:
Gebäude &lt; 10 Jahre = ja;
Gebäude &gt; 10 Jahre = 7.500 €
(sofern der Entsorgung versicherter Gebäude dienend) Auch Schäden durch Muffenversatz oder Wurzeleinwuchs</t>
  </si>
  <si>
    <t>BB; Ziff. 3.5</t>
  </si>
  <si>
    <t>bei Gebäuden&gt;40 Jahren bis 12.500 €
(der Versorgung vers. Geb. dienend)</t>
  </si>
  <si>
    <t>ohne Prüfbericht nur bei Gebäude 
&lt; 40 Jahren bis 7.500 €
(sofern der Entsorgung versicherter Gebäude dienend) Auch Schäden durch Muffenversatz oder Wurzeleinwuchs</t>
  </si>
  <si>
    <t>BB; Ziff. 3.6</t>
  </si>
  <si>
    <t>BB; Ziff. 3.7.1</t>
  </si>
  <si>
    <t>BB; Ziff. 3.7.2</t>
  </si>
  <si>
    <t>BB; Ziff. 3.8</t>
  </si>
  <si>
    <t>ja (auch Zimmerbrunnen/ Wassersäulen)</t>
  </si>
  <si>
    <t>VGB; §3; Ziff. 3 / BB; Ziff. 3.8</t>
  </si>
  <si>
    <t>VGB; §3; Ziff. 3</t>
  </si>
  <si>
    <t>BB; Ziff. 3.10</t>
  </si>
  <si>
    <t>BB; Ziff. 3.11</t>
  </si>
  <si>
    <t>BB; Ziff. 3.12</t>
  </si>
  <si>
    <t>bis 1.000 €
(auch Abwasser)</t>
  </si>
  <si>
    <t>BB; Ziff. 3.13</t>
  </si>
  <si>
    <t>sofern witterungsbedingt und ein Rückstauventil vorhanden ist</t>
  </si>
  <si>
    <t>bis 12 Monate (auch gewerbl. Räume bis 24 Monate)</t>
  </si>
  <si>
    <t>VGB; A.; §9, Ziff. 2 / BB; Ziff. 5.1</t>
  </si>
  <si>
    <t>BB; Ziff. 5.3</t>
  </si>
  <si>
    <t>BB; Ziff. 5.4</t>
  </si>
  <si>
    <t>BB; Ziff. 5.7.6</t>
  </si>
  <si>
    <t>BB; Ziff. 5.8</t>
  </si>
  <si>
    <t>bis 2.500 €
bei Schäden &gt; 50.000 €</t>
  </si>
  <si>
    <t>BB; Ziff. 6.4</t>
  </si>
  <si>
    <t>BB; Ziff. 6.4.1</t>
  </si>
  <si>
    <t>bis 1.000 € (fest mit dem Gebäude verbunden)</t>
  </si>
  <si>
    <t>ja
(250 € SB)</t>
  </si>
  <si>
    <t>BB; Ziff. 6.10</t>
  </si>
  <si>
    <t>ja (nicht der Versorgung dienende Zuleitungsrohre bei
Gebäuden &lt; 10 Jahre = 7.500 €;
bei Gebäude &gt; 10 Jahre = 3.000 €)</t>
  </si>
  <si>
    <t>bei Gebäuden&gt;40 Jahren bis 6.000 €
(der Versorgung vers. Geb. dienend)</t>
  </si>
  <si>
    <t>ohne Prüfbericht nur bei Gebäuden bis 40 Jahren:
Gebäude &lt; 10 Jahre = 7.500 €;
Gebäude &gt; 10 Jahre = 3.000 €
(sofern der Entsorgung versicherter Gebäude dienend) Auch Schäden durch Muffenversatz oder Wurzeleinwuchs</t>
  </si>
  <si>
    <t>ohne Prüfbericht nur bei Gebäude 
&lt; 40 Jahren bis 6.000 €
(sofern der Entsorgung versicherter Gebäude dienend) Auch Schäden durch Muffenversatz oder Wurzeleinwuchs</t>
  </si>
  <si>
    <t>ja (wenn Kunststoffrohre verlegt wur-den/einzelne Heizkreise je Zimmer)</t>
  </si>
  <si>
    <t>bis 300 €
(auch Abwasser)</t>
  </si>
  <si>
    <t>BB; Ziff. 6.8</t>
  </si>
  <si>
    <t>im Rahmen der Aufräumungs-, Ab-bruch-, Bewegungs-, Schutzkosten</t>
  </si>
  <si>
    <t>bis 5.000 €
(keine Schmorschäden)</t>
  </si>
  <si>
    <t>-Kosten für provisorische Maßnahmen</t>
  </si>
  <si>
    <t>BB; Ziff. 6 ZB1</t>
  </si>
  <si>
    <t>BB; Ziff. 6 ZB2</t>
  </si>
  <si>
    <t>zusätzlich versicherbar
(250 € SB)</t>
  </si>
  <si>
    <t>Sturmflut, Grundwasser, Überschwemmung aufgrund Ausuferung stehender oder fließender Gewässer (versicherbar)</t>
  </si>
  <si>
    <t>BWE; §12</t>
  </si>
  <si>
    <t>VGB; A.; §9, Ziff. 2</t>
  </si>
  <si>
    <t>VGB; A.; §8, Ziff. 4</t>
  </si>
  <si>
    <t>VGB; A.; §8, Ziff. 4 / BB; Ziff. 5.9</t>
  </si>
  <si>
    <t>VGB; A.; §8, Ziff. 4 / BB; Ziff. 5.10</t>
  </si>
  <si>
    <t>VGB; A.; §13, Ziff. 6</t>
  </si>
  <si>
    <t>VGB; A.; §8, Ziff. 1</t>
  </si>
  <si>
    <t>VGB; A.; §5, Ziff. 3 c)</t>
  </si>
  <si>
    <t>VGB; §5; Ziff. 1</t>
  </si>
  <si>
    <t>VGB; §5; Ziff. 2 c)</t>
  </si>
  <si>
    <t>VGB; §2; Ziff. 1 c)</t>
  </si>
  <si>
    <t>VGB; §1; Ziff. 2</t>
  </si>
  <si>
    <t>VGB; §2; Ziff. 1 d)</t>
  </si>
  <si>
    <t>VGB; §3; Ziff. 1 a)</t>
  </si>
  <si>
    <t>VGB; §3; Ziff. 1 a) aa)</t>
  </si>
  <si>
    <t>VGB; §3; Ziff. 4 a) bb)</t>
  </si>
  <si>
    <t>VGB; §3; Ziff. 4 a) aa)</t>
  </si>
  <si>
    <t>VGB; §3; Ziff. 1 a) bb)</t>
  </si>
  <si>
    <t>VGB; §3; Ziff. 1 b) aa)</t>
  </si>
  <si>
    <t>VGB; §3; Ziff. 1 b) bb)</t>
  </si>
  <si>
    <t>AXA
(ohne Feuerdeckung)</t>
  </si>
  <si>
    <t>AXA VGB 2002</t>
  </si>
  <si>
    <t xml:space="preserve">VGB;§ 26, Ziff. </t>
  </si>
  <si>
    <t>VGB; §1</t>
  </si>
  <si>
    <t>nicht eindeutig</t>
  </si>
  <si>
    <t>BBVG, Ziff 4</t>
  </si>
  <si>
    <t xml:space="preserve"> - </t>
  </si>
  <si>
    <t xml:space="preserve"> -
ggf. über zusätzliche Elementardeckung versicherbar</t>
  </si>
  <si>
    <t>BBVG, Ziff. 8</t>
  </si>
  <si>
    <t>BBVG, Ziff. 6</t>
  </si>
  <si>
    <t>VGB; §6</t>
  </si>
  <si>
    <t>§7; Ziff. 2</t>
  </si>
  <si>
    <t xml:space="preserve">  - </t>
  </si>
  <si>
    <t>VGB,; §7, Ziff 2 b)</t>
  </si>
  <si>
    <t>ja
(sofern der Versorgung 
versicherter Gebäude dienend)</t>
  </si>
  <si>
    <t>VGB; §7, Ziff. 3</t>
  </si>
  <si>
    <t>bis max. 25.000 €</t>
  </si>
  <si>
    <t>VGB; §30</t>
  </si>
  <si>
    <t>VGB; §26, Ziff. 6</t>
  </si>
  <si>
    <t>VGB, §26, Ziff. 4</t>
  </si>
  <si>
    <t>VGB; §26, Ziff. 5</t>
  </si>
  <si>
    <t>VGB; §3</t>
  </si>
  <si>
    <t>-Schäden durch unbemannte Flügkörper versichert
-Fußbodenheizungen sind versichert</t>
  </si>
  <si>
    <t>Alte Leipziger XXL
(Stand 01-2013)</t>
  </si>
  <si>
    <t>Alte Leipziger comfort</t>
  </si>
  <si>
    <t>VGB; IV.; Klauseln; Ziff. 5 / Leistungsübersicht</t>
  </si>
  <si>
    <t>bis 10.000 €
(max. das Doppelte pro Jahr)</t>
  </si>
  <si>
    <t>VGB; IV.; Klauseln; Ziff. 5</t>
  </si>
  <si>
    <t>bis 1.500 €
(sofern VN zur Unterhaltung verpflichtet ist)</t>
  </si>
  <si>
    <t>ja(Gartenhäuser max. 10.000 € /Gewächshäuser 10 qm, max. 500 €)</t>
  </si>
  <si>
    <t>VGB; I.; Ziff. 2 / 
IV.; Klauseln; Ziff. 5 / Leistungsübersicht</t>
  </si>
  <si>
    <t>VGB; II.; A.; Ziff. 7.1
VGB; IV.; Klauseln; Ziff. 5</t>
  </si>
  <si>
    <t>36 Monate,
auch gewerbl. Räume</t>
  </si>
  <si>
    <t>bei Schäden &gt; 25.000 €
80 %</t>
  </si>
  <si>
    <t>Rauch-, Ruß- und Sengschäden</t>
  </si>
  <si>
    <t>VGB; I.; Ziff. 5.1 / IV.; Klauseln; Ziff. 5</t>
  </si>
  <si>
    <t>ja, siehe "weitere Grundstückbestandteile"</t>
  </si>
  <si>
    <t>ja, auch Blindgänger</t>
  </si>
  <si>
    <t>bis 200 Tage
(max. 150 € pro Tag)</t>
  </si>
  <si>
    <t>ja (auch Regenwasseraufbereitungsanlagen)</t>
  </si>
  <si>
    <t>Zu-/Ableitungssystemschläuche+ Wasch-/Spühlmaschinenschläuche</t>
  </si>
  <si>
    <t>VGB; II.; A.; Ziff. 3.1 a) aa)
VGB; IV.; Klauseln; Ziff. 1</t>
  </si>
  <si>
    <t>VGB; IV.; Klauseln; Ziff. 2 / Ziff. 5</t>
  </si>
  <si>
    <t>VGB; IV.; Klauseln; Ziff. 2 / Leistungsübersicht</t>
  </si>
  <si>
    <t>bis 24 Monate
(auch LW und St/H)</t>
  </si>
  <si>
    <t>VGB; IV.; Klauseln; Ziff. 2</t>
  </si>
  <si>
    <t>VGB; IV.; Klauseln; Ziff. 1 / Ziff. 5 / Leistungsübersicht</t>
  </si>
  <si>
    <t>VGB; IV; Klauseln; Ziff. 1
VGB; IV; Klauseln; Ziff. 1
VGB; IV; Klauseln; Ziff. 2
VGB; IV.; Klauseln; Ziff. 5 / Leistungsübersicht
VGB; IV.; Klauseln; Ziff. 5 / Leistungsübersicht
VGB; IV.; Klauseln; Ziff. 5 / Leistungsübersicht
VGB; IV.; Klauseln; Ziff. 5</t>
  </si>
  <si>
    <t>auch bei Blitzschlag 
(bis 20.000 €)</t>
  </si>
  <si>
    <t>VGB; IV.; Klauseln; Ziff. 1 / Ziff. 5 /
Leistungsübersicht</t>
  </si>
  <si>
    <t>VGB; IV; Klauseln; Ziff. 2</t>
  </si>
  <si>
    <t>VGB; II.; A.; Ziff. 2.1 d)</t>
  </si>
  <si>
    <t>VGB; II.; A.; Ziff. 4.3</t>
  </si>
  <si>
    <t>VGB; IV.; Klauseln; Ziff. 3 /
Leistungsübersicht</t>
  </si>
  <si>
    <t>bis 10% der VS
(max. das Fünffache pro Jahr)</t>
  </si>
  <si>
    <t>bis 1000 €</t>
  </si>
  <si>
    <t>VGB; II.; A.; Ziff. 4.1. b)</t>
  </si>
  <si>
    <t>bis 10 qm Grundfläche</t>
  </si>
  <si>
    <t>ja; über Baustein Erneuerbare Energien erweiterbar (z.B. einfacher Diebstahl)</t>
  </si>
  <si>
    <t>über den Baustein Premium</t>
  </si>
  <si>
    <t>über Baustein Elementar</t>
  </si>
  <si>
    <t>bis 10.000 €; über Baustein Premium bis 20.000 €</t>
  </si>
  <si>
    <t>ab einer Schadenhöhe von 50.000 €</t>
  </si>
  <si>
    <t>über Baustein Premium bis 10.000 €</t>
  </si>
  <si>
    <t>bis 5.000 €; über Baustein Premium bis 10.000 €</t>
  </si>
  <si>
    <t>ja, über Baustein Premium</t>
  </si>
  <si>
    <t>ja, über Baustein Premium bis 1.000 €</t>
  </si>
  <si>
    <t>über Baustein Elementar:
Überschwemmung, Rückstau, Erdbeben, Vulkanausbruch</t>
  </si>
  <si>
    <t>Sturmflut, Grundwasser, soweit nicht an die Erdoberfläche gedrungen</t>
  </si>
  <si>
    <t>10% des Schadens; min. 500€; max. 5.000 €</t>
  </si>
  <si>
    <t>VGB 2014</t>
  </si>
  <si>
    <t>Mehrfamilienhäuser mit max. 50% gewerblichem Anteil</t>
  </si>
  <si>
    <t>ja, max. 10% der VS; über Baustein Premium bis 100% der VS</t>
  </si>
  <si>
    <t>ja, von Wasch- und Geschirrspülmaschinen</t>
  </si>
  <si>
    <t>ja, bis 50% der VS</t>
  </si>
  <si>
    <t>über Baustein Premium max. 100 Tage, max. 100 € / Tag</t>
  </si>
  <si>
    <t xml:space="preserve">
150 € / Tag, max. 150 Tage; über Baustein Premium
200 € / Tag, max. 200 Tage
</t>
  </si>
  <si>
    <t>AXA BOXflex
Einfamilienhaus</t>
  </si>
  <si>
    <t>AXA BOXflex
Mehrfamilienhaus</t>
  </si>
  <si>
    <t>Domcura Mehrfamilienhaus</t>
  </si>
  <si>
    <t>keine Versicherungssumme</t>
  </si>
  <si>
    <t xml:space="preserve"> ausschließlich Mehrfamilienhäuser</t>
  </si>
  <si>
    <t>max. 24 Monate beitragsfrei</t>
  </si>
  <si>
    <t>Domcura Mehrfamilienhaus
(Kosten bis 1.000.000 € )</t>
  </si>
  <si>
    <t>100 €/Tag; max. 100 Tage</t>
  </si>
  <si>
    <t>max. 30 Monate</t>
  </si>
  <si>
    <t>bis 500 €/Versicherungsfall; max. 
20.000 €/Versicherungsjahr</t>
  </si>
  <si>
    <t>Rückstau, (Überschwemmung, Erdbeben, Erdfall, Erdrutsch,
Schneedruck, Lawinen, Vulkanausbruch</t>
  </si>
  <si>
    <t>1.000 € je Schaden</t>
  </si>
  <si>
    <t>VHB; § 7; Ziff. 2 b)</t>
  </si>
  <si>
    <t>100 € / Tag je Doppelzimmer,
bis 2% der VS (max 10.000 €)</t>
  </si>
  <si>
    <t>VGB 2014
Stand 04-2014</t>
  </si>
  <si>
    <t>ARAG Basis (Wohnfläche)
(03-2013)</t>
  </si>
  <si>
    <t>ARAG Comfort (Wohnfläche)
(03-2013)</t>
  </si>
  <si>
    <t>VGB; B.; Ziff. 5.2.3</t>
  </si>
  <si>
    <t>BBVG; D; Ziff. 2</t>
  </si>
  <si>
    <t>VVG; B;  Ziff. 1.2.2 / Leistungsübersicht</t>
  </si>
  <si>
    <t>BBVG; Ziff. 4. / Leistungsübersicht</t>
  </si>
  <si>
    <t>Architekten</t>
  </si>
  <si>
    <t>VVG; B; Ziff. 10.1.1</t>
  </si>
  <si>
    <t>BBVG; Ziff. 14. / Leistungsübersicht</t>
  </si>
  <si>
    <t>BBVG; Ziff. 22./ Leistungsübersicht</t>
  </si>
  <si>
    <t>100 € pro Tag (max. 3.000 €)</t>
  </si>
  <si>
    <t>wie 01-2013 / wie 03.2013 / wie 08-2013</t>
  </si>
  <si>
    <t>wie 03-2013 (Änderung SEPA) / wie 12-2013</t>
  </si>
  <si>
    <t>VGB 2011
Stand 03-2015</t>
  </si>
  <si>
    <t>wie 07-2013 / wie 01-2014</t>
  </si>
  <si>
    <t>VGB 2008 
Stand 01-2015</t>
  </si>
  <si>
    <t>R+V-PrivatPolice
(01-2003)</t>
  </si>
  <si>
    <t>WGB; S; §12</t>
  </si>
  <si>
    <t>WGB; S; §9 Ziff. 9.2</t>
  </si>
  <si>
    <t>WGB; S; §1 Ziff. 1.1</t>
  </si>
  <si>
    <t>max. 3</t>
  </si>
  <si>
    <t>WGB; S; §1 Ziff. 1.2.1</t>
  </si>
  <si>
    <t>versicherbar über Klausel A</t>
  </si>
  <si>
    <t>Klauseln</t>
  </si>
  <si>
    <t>versicherbar über Klausel L</t>
  </si>
  <si>
    <t>WGB; S; §4 Ziff. 4.1.1</t>
  </si>
  <si>
    <t>ja (durch Klausel erweiterbar)</t>
  </si>
  <si>
    <t>WGB; S; §5 Ziff. 5.2 / Klauseln</t>
  </si>
  <si>
    <t>WGB; S; §5 Ziff. 5.5</t>
  </si>
  <si>
    <t>WGB; S; §4 Ziff. 4.3.2</t>
  </si>
  <si>
    <t>WGB; S; §4 Ziff. 4.1.1 / 5.7</t>
  </si>
  <si>
    <t>versicherbar über Klausel M</t>
  </si>
  <si>
    <t>WGB; S; §6 Ziff. 6.2.2</t>
  </si>
  <si>
    <t>nur LW-Schäden</t>
  </si>
  <si>
    <t>WGB; S; §6 Ziff. 6.1.5</t>
  </si>
  <si>
    <t>keine Sprinkler- und Berieselungsanlagen</t>
  </si>
  <si>
    <t>WGB; S; §6 Ziff. 6.1.1 / 6.2.3</t>
  </si>
  <si>
    <t>versicherbar über Klausel G</t>
  </si>
  <si>
    <t>WGB; S; §6 Ziff. 6.1.7</t>
  </si>
  <si>
    <t>WGB; S; §6 Ziff. 6.1.6</t>
  </si>
  <si>
    <t>WGB; S; §6 Ziff. 6.2.1</t>
  </si>
  <si>
    <t>WGB; S; §7 Ziff. 7.1.4</t>
  </si>
  <si>
    <t>WGB; S; §7 Ziff. 7.2.1</t>
  </si>
  <si>
    <t>nur Panzerschläuche</t>
  </si>
  <si>
    <t>WGB; S; §7 Ziff. 7.5</t>
  </si>
  <si>
    <t>WGB; S; §7 Ziff. 7.2.2</t>
  </si>
  <si>
    <t>versicherbar über Klausel H</t>
  </si>
  <si>
    <t>WGB; S; §2 Ziff. 2.1.1 / 2.1.2</t>
  </si>
  <si>
    <t>versicherbar über Klausel C</t>
  </si>
  <si>
    <t xml:space="preserve">WGB; S; §14 Ziff. 14.1.1 </t>
  </si>
  <si>
    <t xml:space="preserve">WGB; S; §16 </t>
  </si>
  <si>
    <t>WGB; S; §2 Ziff. 2.5</t>
  </si>
  <si>
    <t>WGB; S; §2 Ziff. 2.6.2</t>
  </si>
  <si>
    <t>WGB; S; §2 Ziff. 2.4</t>
  </si>
  <si>
    <t>versicherbar über Klausel B</t>
  </si>
  <si>
    <t>versicherbar über Klausel E</t>
  </si>
  <si>
    <t>versicherbar über Klausel D</t>
  </si>
  <si>
    <t>WGB; S; §2 Ziff. 2.7</t>
  </si>
  <si>
    <t>ja, bis wieder bewohnbar</t>
  </si>
  <si>
    <t>WGB; S; §3</t>
  </si>
  <si>
    <t>versicherbar über Klausel I</t>
  </si>
  <si>
    <t>WGB; S; §2 Ziff. 2.8</t>
  </si>
  <si>
    <t>Klausel K</t>
  </si>
  <si>
    <t>ja, Höhe je nach Vereinbarung</t>
  </si>
  <si>
    <t>WGB S 
Stand 01-2003</t>
  </si>
  <si>
    <t>aktuell
(geprüft am 21.07.2015)</t>
  </si>
  <si>
    <t>VGB 2008
Stand 02-2013</t>
  </si>
  <si>
    <t>VGB 2012 Wohneinheitenmodell
Stand (10-2012)</t>
  </si>
  <si>
    <t>A.; Ziff. 1.3.1 (2)</t>
  </si>
  <si>
    <t>wie 10-202</t>
  </si>
  <si>
    <t>PSV--2463Z0
Stand 05-2014</t>
  </si>
  <si>
    <t>VGB §1; Ziff. 1.4</t>
  </si>
  <si>
    <t>VGB §1; Ziff. 1.5</t>
  </si>
  <si>
    <t>VGB §1; Ziff. 1.3</t>
  </si>
  <si>
    <t>VGB §2; Ziff. 2.1.1</t>
  </si>
  <si>
    <t>VGB §2; Ziff. 2.1.2</t>
  </si>
  <si>
    <t>VGB §2; Ziff. 2.1.3</t>
  </si>
  <si>
    <t>Sengschäden + Rauch</t>
  </si>
  <si>
    <t>VGB §2; Ziff. 2.1.1 / 2.1.3</t>
  </si>
  <si>
    <t>VGB §2; Ziff. 2.1.3 / 2.1.4</t>
  </si>
  <si>
    <t>Marderbiss elektrischen Leitungen / Anlagen (max. 3.000 €)</t>
  </si>
  <si>
    <t>VGB §2; Ziff. 2.1.5</t>
  </si>
  <si>
    <t>VGB §2; Ziff. 2.1.6</t>
  </si>
  <si>
    <t>VGB §2; Ziff. 2.2.1</t>
  </si>
  <si>
    <t>VGB §2; Ziff. 2.3.1</t>
  </si>
  <si>
    <t>VGB §2; Ziff. 2.3.2</t>
  </si>
  <si>
    <t>Alle Kosten insg. bis max 2.500.000 €</t>
  </si>
  <si>
    <t>VGB §7; Ziff. 7.2.1 / 7.2.2</t>
  </si>
  <si>
    <t>VGB §7; Ziff. 7.2.3</t>
  </si>
  <si>
    <t>wenn behördlich angeordnet
alle Kosten insg. bis max 2.500.000 €</t>
  </si>
  <si>
    <t>VGB §7; Ziff. 7.2.4</t>
  </si>
  <si>
    <t>ja (auch Mehrkosten durch Technologiefortschritt</t>
  </si>
  <si>
    <t>VGB §7; Ziff. 7.2.5</t>
  </si>
  <si>
    <t>bei Schaden &gt; 25.000 € (alle Kosten insg. bis max 2.500.000 €)</t>
  </si>
  <si>
    <t>VGB §7; Ziff. 7.2.6</t>
  </si>
  <si>
    <t>Alle Kosten insg. bis max 50.000 €</t>
  </si>
  <si>
    <t>VGB §7; Ziff. 7.3.1</t>
  </si>
  <si>
    <t>VGB §7; Ziff. 7.3.2</t>
  </si>
  <si>
    <t>VGB §7; Ziff. 7.3.3</t>
  </si>
  <si>
    <t>Alle Kosten insg. bis max 50.000 €
(auch Strom)</t>
  </si>
  <si>
    <t>VGB §7; Ziff. 7.3.3 / 7.3.5</t>
  </si>
  <si>
    <t>VGB §7; Ziff. 7.3.6</t>
  </si>
  <si>
    <t>VGB §7; Ziff. 7.4.4</t>
  </si>
  <si>
    <t>Alle Kosten insg. bis max 3.000 €
(bei Schäden &gt; 5.000 €)</t>
  </si>
  <si>
    <t>VGB §6; Ziff. 6.2.1</t>
  </si>
  <si>
    <t>VGB §11; Ziff. 11.3</t>
  </si>
  <si>
    <t>bei Schäden &gt; 25.000 €
(keine Architekten)</t>
  </si>
  <si>
    <t>VGB §7; Ziff. 7.3.4</t>
  </si>
  <si>
    <t>max. 150 € pro Tag
bis 1% der VS, max. 3.000 €</t>
  </si>
  <si>
    <t>VGB §6; Ziff. 6.1</t>
  </si>
  <si>
    <t>aktuell
(geprüft am 16.09.2015)</t>
  </si>
  <si>
    <t>VGB 2014 
Stand 09-2014</t>
  </si>
  <si>
    <t>VGB 2014 (GB 3300)
Stand 04-2014</t>
  </si>
  <si>
    <t>VGB 2014
Stand 07-2014</t>
  </si>
  <si>
    <t>WGVB; §13 c</t>
  </si>
  <si>
    <t>WGVB 2015
Stand 01-2015</t>
  </si>
  <si>
    <t>Klausel 7396; Ziff. 3</t>
  </si>
  <si>
    <t>bis 2.000 I</t>
  </si>
  <si>
    <t>Klausel 7166; Ziff. 1,2</t>
  </si>
  <si>
    <t>Klausel 7262; Ziff. 1</t>
  </si>
  <si>
    <t>bis 5.000 I</t>
  </si>
  <si>
    <t>Klausel 7263; Ziff. 2b</t>
  </si>
  <si>
    <t xml:space="preserve">bis 2.000I </t>
  </si>
  <si>
    <t>bis 300 I</t>
  </si>
  <si>
    <t xml:space="preserve">Klausel 7167; Ziff. 1 b) </t>
  </si>
  <si>
    <t>Klausel 7168; Ziff. 1</t>
  </si>
  <si>
    <t>VGB 2014
Stand 06-2015</t>
  </si>
  <si>
    <t>bis 10.000 I</t>
  </si>
  <si>
    <t>VGB; Ziff. 4.7</t>
  </si>
  <si>
    <t>bis 20 k Wp</t>
  </si>
  <si>
    <t>VGB;  §1, Ziff. 2</t>
  </si>
  <si>
    <t>VGH Spezial</t>
  </si>
  <si>
    <t xml:space="preserve">ja </t>
  </si>
  <si>
    <t>VGB; Ziff. 4.7.10</t>
  </si>
  <si>
    <t>VGB; Ziff. 4.7.11</t>
  </si>
  <si>
    <t>VGB; Ziff. 4.7.6</t>
  </si>
  <si>
    <t>VGB; Ziff. 4.7.12</t>
  </si>
  <si>
    <t>VGB; Ziff. 4.7.13</t>
  </si>
  <si>
    <t>VGB; A; §4, Ziff. 4</t>
  </si>
  <si>
    <t xml:space="preserve">bis 10.000 I </t>
  </si>
  <si>
    <t>VGB; Ziff. 4.7.8</t>
  </si>
  <si>
    <t>VGB; Ziff. 4.7.7</t>
  </si>
  <si>
    <t>VGB; Ziff. 4.8.7</t>
  </si>
  <si>
    <t xml:space="preserve">VGB; A; §9, Ziff1.i </t>
  </si>
  <si>
    <t>VGB; Ziff. 4.7.17</t>
  </si>
  <si>
    <t>VGB; Ziff. 4.5. c</t>
  </si>
  <si>
    <t>VGB; Ziff. 4.7.15</t>
  </si>
  <si>
    <t xml:space="preserve">VGB; A; §6, Ziff6.b </t>
  </si>
  <si>
    <t xml:space="preserve">VGB; A; §6, Ziff 3.d </t>
  </si>
  <si>
    <t>VGB; Ziff. 4.8.20</t>
  </si>
  <si>
    <t xml:space="preserve">VGB; A; §6, Ziff 6 </t>
  </si>
  <si>
    <t>bis 1.000 I</t>
  </si>
  <si>
    <t xml:space="preserve">VGB; , Ziff 4.7 .16 </t>
  </si>
  <si>
    <t xml:space="preserve">VGB; A; §6,  </t>
  </si>
  <si>
    <t>VGB; A; §6, 3 a</t>
  </si>
  <si>
    <t>VGB; A; §6, 4 b</t>
  </si>
  <si>
    <t>VGB; A; §6, 5 Ziff. 4.7.17 a)</t>
  </si>
  <si>
    <t>bis 100.00 I</t>
  </si>
  <si>
    <t>VGB; Ziff. 4.7.2</t>
  </si>
  <si>
    <t>VGB; Ziff. 4.8.3</t>
  </si>
  <si>
    <t>VGB; Ziff. 4.8.2 d)i)</t>
  </si>
  <si>
    <t>VGB; A; §1, 3 c</t>
  </si>
  <si>
    <t>VGB; A; §1,5 22 d</t>
  </si>
  <si>
    <t xml:space="preserve">VGB; Ziff. 4.8.19 </t>
  </si>
  <si>
    <t>VGB; Ziff. 4.8.121</t>
  </si>
  <si>
    <t>VGB; Ziff. 4.8.11</t>
  </si>
  <si>
    <t>VGB; Ziff. 4.8.6</t>
  </si>
  <si>
    <t>bis 5.000 €
(20% SB)</t>
  </si>
  <si>
    <t>VGB; Ziff. 4.1.4</t>
  </si>
  <si>
    <t>VGB; Ziff. 4.8.16</t>
  </si>
  <si>
    <t>VGB; Ziff. 4.7.4</t>
  </si>
  <si>
    <t>VGH- Spezial</t>
  </si>
  <si>
    <t>VGB; , Ziff. 4.3.3</t>
  </si>
  <si>
    <t>zusätzlich versicherbar
bis 10.000 €</t>
  </si>
  <si>
    <t>VGB;  Ziff. 4.2 4)</t>
  </si>
  <si>
    <t>bis 5% der VS,
max. 15.000 €</t>
  </si>
  <si>
    <t>Rauch bis VS, Sengschäden bis 1% der VS,  max. 3.000 €</t>
  </si>
  <si>
    <t>bis 1% der VS,
max. 3.000 €</t>
  </si>
  <si>
    <t>bei Schäden &gt; 25.000 €
(20% SB)</t>
  </si>
  <si>
    <t>bis 1% der VS, 
max. 3.000 €</t>
  </si>
  <si>
    <t>bis 1% der VS, max. 3.000 €
bei Schäden &gt; 10.000 €</t>
  </si>
  <si>
    <t>max. 100 € pro Tag
bis 1% der VS, max. 3.000 €</t>
  </si>
  <si>
    <t>bis 5% der VS,
max. 50.000 €</t>
  </si>
  <si>
    <t>ja, außer bei Vorsatz</t>
  </si>
  <si>
    <t>ERGO spezial</t>
  </si>
  <si>
    <t>max. 3.000 €</t>
  </si>
  <si>
    <t>max. 15.000 €
zusätl. Auch für Beschädigung durch Mensch oder Tier sowie Diebstahl</t>
  </si>
  <si>
    <t>KT2014WG
Stand 06-2015</t>
  </si>
  <si>
    <t>aktuell
(geprüft am 11.05.2016)</t>
  </si>
  <si>
    <t>aktuell
(geprüft am 27.06.2016)</t>
  </si>
  <si>
    <t>VGB 2010
Stand 07-2015</t>
  </si>
  <si>
    <t>BBVG Basis 2008
Stand 07-2015</t>
  </si>
  <si>
    <t>BBVG Comfort 2008
Stand 07-2015</t>
  </si>
  <si>
    <t>aktuell
(geprüft am 27.06.2016</t>
  </si>
  <si>
    <t>aktuell
(geprüft am 28.06.2016)</t>
  </si>
  <si>
    <t>VGB 2000 - Fassung 2012
Stand 02-2016</t>
  </si>
  <si>
    <t>bis 500.000 (+vorübergehende (max. 
4 Monate) Obliegenheitsverletz-ungen der Sicherheitsvorschriften)</t>
  </si>
  <si>
    <t>VGB 2014
(Stand 06-2015)</t>
  </si>
  <si>
    <t>Marderbiss elektrischen Leitungen / Anlagen , bis 1% der VS,
max. 3.000 €
ab Schadenhöhe &gt; 25.000 € Mehrklosten  für alters- oder behindertgerechten Wiederaufbau,
Mehrkosten für ökologische und energetisch nachhaltige Wiederherstellung bis max. 50.000 €
Kosten für die Beseitigung von Rohrverstopfung innerhalb des Gebäudes bis 3.000 I</t>
  </si>
  <si>
    <t>Marderbiss sowie Biss sonstiger
 wilder Tiere (nicht Mäuse/Ratten) 
an elektrischen Anlagen (150 € SB)</t>
  </si>
  <si>
    <t xml:space="preserve">-Schadenermittlungskosten
-Auftaukosten von versicherten Rohren/angeschlossenen Einrichtungen im Gebäude
-Schäden durch Wildtiere
zusätzlich versicherbar über "GebäudePlus":
</t>
  </si>
  <si>
    <t>Tierbisschäden an elektr. Leitungen, elektr. Anlagen innerhalb Gebäuden, Dämmungen, Unterspannbahnen von Dächern</t>
  </si>
  <si>
    <t xml:space="preserve">-Unklare Zuständigkeit bei Versicherungswechsel
-Verkehrssicherungskosten sind versichert
-Transport- und Langerungskosten bis max. 12 Monate
-Reparaturkosten für provisorische Maßnahmen
-Mehrkosten für alters-/ behindertengerechten Wiederaufbau bis 10.000 € (ab Schadenhöhe &gt;25.000 €)
-Mehrkosten für Gebäudewiederherstellung mit umweltfreundlichen Baustoffen bis 10.000 €
-Unterversicherungsverzicht bis Schadenhöhe 5.000 €
-Beitragsbefreiung für insg. max. 24 Monate bei Arbeitslosigkeit (siehe Vorraussetzungen)
</t>
  </si>
  <si>
    <t>-Telefonsiche Erstberatung bei Rechtsangelegenheiten rund um das Wohngebäude im Schadenfall und Online-Rechts-Service
-Schäden durch radioaktive Isotope
-Feuerlöschkosten, die der VN zur Brandbekämpfung für geboten halten durfte
-Regiekosten bei 
Schäden &gt; 25.000 €
-Behinderungsbedingte Mehraufwendungen bis 25.000 € 
(bei Schäden &gt; 25.000 €)</t>
  </si>
  <si>
    <t>-Transport-/Lagerkosten bis 200 Tage
-Ertragsausfall für Photovoltaik-
anlagen versicherbar 
(2 € je Tag pro kWp, max. 90 Tage)
-Verkehrssicherungsmaßnahmen
-Feuerlöschkosten bis 10% der VS * Anpassungsfaktor
-zusätzlich versicherbar sind Bruchschäden an Rohren von Wärmepumpenanlagen bis 1% der VS * Anpassungsfaktor
-Nässe-/ Bruchschäden durch/ an Rohren von Regenwassernutzungsanlagen</t>
  </si>
  <si>
    <t>Tierbisschäden an elektr. Leitungen,
 elektr. Anlagen innerhalb Gebäuden,  bis 1.000 €</t>
  </si>
  <si>
    <t>-Reparaturkosten für provisorische Maßnahmen bis 500.000 € /
-Verkehrssicherungsmaßnahmen bis 500.000 €
-Radioaktive Isotope (nicht von Kernreaktoren)
-20% Schadenfreiheitsrabatt, bei Schadenfreiheit über mind. 36 Monate</t>
  </si>
  <si>
    <t>Tierbissschäden an elektrischen Anlagen, Dämmungen und Unterspannbahnen bis 1.000 €</t>
  </si>
  <si>
    <t>-Allgefahrendeckung bei Schäden 
&gt; 1.500 € (1.500 € SB) (Ausschlüse beachten) /
-Reparaturkosten für provisorische Maßnahmen bis 1 Mio. € /
-Verkehrssicherungsmaßnahmen bis 1 Mio. € /
-Radioaktive Isotope (nicht von Kernreaktoren)
-20% Schadenfreiheitsrabatt, bei Schadenfreiheit über mind. 36 Monate</t>
  </si>
  <si>
    <t>Tierbissschäden an elektrischen Anlagen, Dämmungen und Unterspannbahnen bis 5.000 €</t>
  </si>
  <si>
    <t>Marderbiss elektrischen Leitungen / Anlagen bis 1% der VS,
max. 3.000 €</t>
  </si>
  <si>
    <t>Marderbiss elektrischen Leitungen /
 Anlagen , bis 1% der VS,
max. 3.000 €</t>
  </si>
  <si>
    <t xml:space="preserve">
max. 3.000 €
ab Schadenhöhe &gt; 25.000 € Mehrklosten  für alters- oder behindertgerechten Wiederaufbau,
Mehrkosten für ökologische und energetisch nachhaltige Wiederherstellung bis max. 50.000 €
Kosten für die Beseitigung von Rohrverstopfung innerhalb des Gebäudes bis 3.000 I</t>
  </si>
  <si>
    <t>aktuell
(geprüft am 08.07.2016)</t>
  </si>
  <si>
    <t>VGB 2012
Stand 11-2015</t>
  </si>
  <si>
    <t>VGB 2012 / VGB 2012 Plus-Paket Stand 11-2015</t>
  </si>
  <si>
    <t>VGB 2012 / VGB 2012 
Rundumschutz (Stand 11-2015)</t>
  </si>
  <si>
    <t>aktuell
(geprüft am 26.07.2016)</t>
  </si>
  <si>
    <t>WGB F (07/13)
Stand 07-2014</t>
  </si>
  <si>
    <t>VGB 2011
Stand 03-2016</t>
  </si>
  <si>
    <t>ja, bis VS</t>
  </si>
  <si>
    <t>aktuell
(geprüft am 27.07.2016)</t>
  </si>
  <si>
    <t>wie 12-2012</t>
  </si>
  <si>
    <t>aktuell
(geprüft am 28.07.2016)</t>
  </si>
  <si>
    <t>ITL Infinitus</t>
  </si>
  <si>
    <t>ITL Eurosecure Plus</t>
  </si>
  <si>
    <t>ITL afm Protect Plus</t>
  </si>
  <si>
    <t>ITL Classic</t>
  </si>
  <si>
    <t>VGB Protect Plus 2016
Stand 01-2016</t>
  </si>
  <si>
    <t>VGB Eurosecure Plus 2016
Stand 01-2016</t>
  </si>
  <si>
    <t>Leistungsüberischt</t>
  </si>
  <si>
    <t>VGB; E; §27</t>
  </si>
  <si>
    <t xml:space="preserve">VGB; C; 17, Ziff.a </t>
  </si>
  <si>
    <t>VGB; A; 17, Ziff. A</t>
  </si>
  <si>
    <t xml:space="preserve">VGB; C; 16, </t>
  </si>
  <si>
    <t>sofern Vereinbart</t>
  </si>
  <si>
    <t xml:space="preserve">VGB; D; §18, </t>
  </si>
  <si>
    <t>bis 5.000 € (sofern mit dem Gebäude verbunden)</t>
  </si>
  <si>
    <t>VGB; D; §11</t>
  </si>
  <si>
    <t>VGB; D; §10, Ziff. D</t>
  </si>
  <si>
    <t>ja, bis 5.000 €</t>
  </si>
  <si>
    <t>VGB; D; §10, Ziff. E</t>
  </si>
  <si>
    <t>mit Zu-/ Ableitungssystem
verbundene Schläuche
bis 1.000 €</t>
  </si>
  <si>
    <t>VGB; D; §10, Ziff. f)</t>
  </si>
  <si>
    <t>VGB; D; §10, Ziff. e)</t>
  </si>
  <si>
    <t>VGB; D; §12, Ziff.  a)</t>
  </si>
  <si>
    <t>Dichtigkeitsprüfung darf maximal fünf Jahre vor Vertragsbeginn liegen</t>
  </si>
  <si>
    <t xml:space="preserve">VGB;D ; §12, Ziff. 2 b) </t>
  </si>
  <si>
    <t>VGB; D; §D, Ziff. 19.1</t>
  </si>
  <si>
    <t>VGB; D; §D, Ziff.19.5</t>
  </si>
  <si>
    <t>VGB; D; §21</t>
  </si>
  <si>
    <t>VGB; D; §20</t>
  </si>
  <si>
    <t>VGB; D; §D, Ziff. 19.8</t>
  </si>
  <si>
    <t>bis 200 Tage
(max 100 € pro Tag)</t>
  </si>
  <si>
    <t>VGB; D; §D, Ziff. 19.4 a)</t>
  </si>
  <si>
    <t>VGB; A; §5, Ziff. 3 c)</t>
  </si>
  <si>
    <t>BWE; E.; §2</t>
  </si>
  <si>
    <t>BWE; E.; §10 c)</t>
  </si>
  <si>
    <t>aktuell
(geprüft am 26.08.2016)</t>
  </si>
  <si>
    <t>VGB; C; §27</t>
  </si>
  <si>
    <t xml:space="preserve">
 1.000 €
</t>
  </si>
  <si>
    <t xml:space="preserve">BWE; E.; §12 c) </t>
  </si>
  <si>
    <t>VGB; C; §3, Ziff. B 10) aa)</t>
  </si>
  <si>
    <t>VGB; C; §B, Ziff. 10 f)</t>
  </si>
  <si>
    <t>VGB; C; §B, Ziff. 13</t>
  </si>
  <si>
    <t>VGB; C; §B, Ziff. 10 e)</t>
  </si>
  <si>
    <t>ja, sofern der Entsorgung versicherter Gebäude dienend
(bis Gebäudealter 30 Jahre, danach mit Dichtheitsprüfung max. 5Jahre)</t>
  </si>
  <si>
    <t xml:space="preserve">VGB; C; §12, </t>
  </si>
  <si>
    <t>VGB; C; §18, Ziff. 18.1</t>
  </si>
  <si>
    <t>VGB; C; §20, Ziff. 1 j)</t>
  </si>
  <si>
    <t>VGB; C; §19,</t>
  </si>
  <si>
    <t>VGB; C; §18.3</t>
  </si>
  <si>
    <t>VGB; C; §18.8</t>
  </si>
  <si>
    <t xml:space="preserve">VGB; C; §18.7, Ziff. b </t>
  </si>
  <si>
    <t>ja
(auch Regenwasserableitungsrohre)</t>
  </si>
  <si>
    <t>VGB; Teil H; Leistungsübersicht</t>
  </si>
  <si>
    <t>aktuell
(geprüft am 29.08.2016)</t>
  </si>
  <si>
    <t xml:space="preserve">-Verzicht auf den Einwand bei grob fahrlässig
verursachten Schäden
-Regressverzicht gegenüber Angehörigen und
Mietern
-Verbesserte Neuwerterstattung des Gebäudes
bei verändertem Wiederaufbau bzw. Aufbau an
anderem Ort
-Bedingungs-Update-Garantie
-Beitragsfreistellung bei Arbeitslosigkeit bis
24 Monate
</t>
  </si>
  <si>
    <t>VGB; D; §34</t>
  </si>
  <si>
    <t>bis 10.000 € (sofern mit dem Gebäude verbunden)</t>
  </si>
  <si>
    <t>VGB; D; §10, Ziff.a-f</t>
  </si>
  <si>
    <t>VGB; D; §10, Ziff.d</t>
  </si>
  <si>
    <t>VGB; D; §14</t>
  </si>
  <si>
    <t>VGB; D; §12</t>
  </si>
  <si>
    <t>VGB; D; §B, Ziff.10)f</t>
  </si>
  <si>
    <t>VGB; D; §B, Ziff.10a</t>
  </si>
  <si>
    <t>VGB; D; §B, Ziff.10 d</t>
  </si>
  <si>
    <t>VGB; D; §B, Ziff.13</t>
  </si>
  <si>
    <t xml:space="preserve">VGB; D; §F, Ziff. 21.13 </t>
  </si>
  <si>
    <t>VGB; D; §F, Ziff. 22.1 / Ziff. A</t>
  </si>
  <si>
    <t>bis 365 Tage
(max 20 € pro Tag)</t>
  </si>
  <si>
    <t xml:space="preserve">ja, bis 25.000 € </t>
  </si>
  <si>
    <t xml:space="preserve">-Verzicht auf den Einwand bei grob fahrlässig
verursachten Schäden
-Mieterschutzpaket (Aufräum- und Lagerkosten für
Mieter Haushalt) bis 5.000 € - subsidiär 
-Regressverzicht gegenüber Angehörigen und Mietern
-Eindringen von Niederschlägen durch Gebäudeöffnungen bis 2.500 €
-Verbesserte Neuwerterstattung des Gebäudes
bei verändertem Wiederaufbau bzw. Aufbau an
anderem Ort
</t>
  </si>
  <si>
    <t>VGB; C; §B, Ziff. 8</t>
  </si>
  <si>
    <t>VGB; A; §10</t>
  </si>
  <si>
    <t>ja, 250€ SB</t>
  </si>
  <si>
    <t>ja, bis 10.000€</t>
  </si>
  <si>
    <t>VGB; D; §A, Ziff. 13</t>
  </si>
  <si>
    <t>VGB; C; §C, Ziff. 11.3 Ziff. A)</t>
  </si>
  <si>
    <t>bis 200 Tage 
(max 100 € pro Tag )</t>
  </si>
  <si>
    <t>sofern vereinbart
ZÜRS Gk 1+2 SB 1.000 €</t>
  </si>
  <si>
    <t>VGB Infinitus 2016
Stand 01-2016</t>
  </si>
  <si>
    <t>VGB Classic  2016
Stand 01-2016</t>
  </si>
  <si>
    <t xml:space="preserve">-Verzicht auf den Einwand bei grob fahrlässig
verursachten Schäden
-Bedingungsgarantie Mindeststandard Arbeitskreis
</t>
  </si>
  <si>
    <t>HFK afm mit Zusatzdeckung</t>
  </si>
  <si>
    <t>HFK afm ohne Zusatzdeckung</t>
  </si>
  <si>
    <t>Marderbiss</t>
  </si>
  <si>
    <t>Bissschäden durch Tiere
 an elektrischen Leitungen</t>
  </si>
  <si>
    <t>Bissschäden durch wild lebende
 Tiere aller Art 
an elektrischen
 Anlagen und Leitungen max.5.000 €</t>
  </si>
  <si>
    <t>ja, bis 2.000 €</t>
  </si>
  <si>
    <t>VGB C; Ziff. 7395</t>
  </si>
  <si>
    <t>VGB; D; §A, Ziff. 6</t>
  </si>
  <si>
    <t xml:space="preserve">Marder und Kleinnager, an elektrischen Anlagen 
Dämmungen </t>
  </si>
  <si>
    <t>VGB; C; §A, Ziff. 6</t>
  </si>
  <si>
    <t>ITL Protect Plus</t>
  </si>
  <si>
    <t>Bedingungs-Update-Garantie / Innovationsklausel</t>
  </si>
  <si>
    <t>Versicherte Gefahren erweitert</t>
  </si>
  <si>
    <t>unbenannte Gefahren</t>
  </si>
  <si>
    <t xml:space="preserve">Grundstücksbestandteile </t>
  </si>
  <si>
    <t>Gartenhäuser/ Gewächshäuser 
bis XXXX qm Nutzfläche</t>
  </si>
  <si>
    <t>Gebäudebestandteile / Einbauküchen und Einbaumöbel</t>
  </si>
  <si>
    <t>Mehr kosten Preissteigerungen nach Versicherungsfall</t>
  </si>
  <si>
    <t xml:space="preserve">Mehrkosten altes-/ behindertengerechter Wiederaufbau </t>
  </si>
  <si>
    <t>Solarthermieanlagen</t>
  </si>
  <si>
    <t>Garagen / Carports auf dem Versicherungsgrundstück</t>
  </si>
  <si>
    <t>Seng- und Schmorschäden</t>
  </si>
  <si>
    <t>wasser / land / luft schiene</t>
  </si>
  <si>
    <t>Überspannung und Kurzschluss</t>
  </si>
  <si>
    <t>Versicherte Gefahren Feuer</t>
  </si>
  <si>
    <t>Die Grunddeckung beeinhaltet Brand, Blitzschlag, Explosion sowie</t>
  </si>
  <si>
    <t>Versicherte Gefahren Leitungswasser</t>
  </si>
  <si>
    <t>Versicherte Gefahren Sturm / Hagel</t>
  </si>
  <si>
    <t>Mindest Windstärke</t>
  </si>
  <si>
    <t>gefliesste Duschbereiche</t>
  </si>
  <si>
    <t>Aquarien und Wasserbetten ggf. Wassersäulen und Zimmerbrunnen</t>
  </si>
  <si>
    <t>Frost- und Bruchschäden außerhalb des Gebäudes auf dem Versicherungsgrundstück an:</t>
  </si>
  <si>
    <t>Frost- und Bruchschäden außerhalb des Versicherungsgrundstückes an:</t>
  </si>
  <si>
    <t>Such- und Leckortungskaosten</t>
  </si>
  <si>
    <t>Verzicht auf Kürzung bei grober Fahrlässigkeit
(Herbeiführung Versicherungsfall)</t>
  </si>
  <si>
    <t>Verzicht auf Kürzung bei grober Fahrlässigkeit
(Sicherheitsvorschriften und Obligenheiten)</t>
  </si>
  <si>
    <t>Versicherte Sachen auf dem Versicherungsgrundstück</t>
  </si>
  <si>
    <t>Haustechnik</t>
  </si>
  <si>
    <t>Schutzbrief / Entfernung von Bienen- Hornissen- und Wespennestern</t>
  </si>
  <si>
    <t>Allgemein</t>
  </si>
  <si>
    <t>Garantierte Mindeststandards ( GDV / AKBP )</t>
  </si>
  <si>
    <t>Erweiterte Vorsorge gegenüber Wettbewerbsbedingungen | Best-Leistungs-Garantie</t>
  </si>
  <si>
    <t>Besitzstandsgarantie
(ununterbrochen zum direkten Vorvertrag)</t>
  </si>
  <si>
    <t>Wiederaufforstung von Bäumen und Gartenanlagen</t>
  </si>
  <si>
    <t>Entfernung durch Sturm umgestürzter Bäume vom Versicherungsgrundstück (Feuer/Blitz)</t>
  </si>
  <si>
    <t>Anprall oder Absturrz von Fahrzeugen bzw. unbemannten Flugkörpern</t>
  </si>
  <si>
    <t>Schadensabwendungs- und Minderungskosten</t>
  </si>
  <si>
    <t>Rückstausicherungen vorgeschrieben</t>
  </si>
  <si>
    <t>Gebäudebeschädigungen aufgrund eines Einbruchs/-Versuch</t>
  </si>
  <si>
    <t>Zisternen
Regenwassen wie Leitungswasser</t>
  </si>
  <si>
    <t>Eindringen von Niederschlag durch nicht sturmbedingte Öffnungen
Regen-/ Schmelzwasser
z.B. Offenes Fenster</t>
  </si>
  <si>
    <t>Tierbiss an Dämmung und elektrischen Anlagen</t>
  </si>
  <si>
    <t>Höchstentschädigung versicherter Kosten</t>
  </si>
  <si>
    <t>Höchstentschädigung Sachsubstanz I Versicherungssumme</t>
  </si>
  <si>
    <t xml:space="preserve">Unterversicherungsverzicht nach </t>
  </si>
  <si>
    <t>Blindgänger</t>
  </si>
  <si>
    <t>Wasseraustritt aus (Nässeschäden)
bestimmungswidriger Austritt von ….. Aus:</t>
  </si>
  <si>
    <t xml:space="preserve">Einrichrtungen der Heizungs-, Klima-, Wärmepumpen- und Solaranlagen </t>
  </si>
  <si>
    <t>Zu- und Ableitungsrohren und den damit verbundenen Schläuchen</t>
  </si>
  <si>
    <t>mit dem Rohrsystem verbundenen Einrichtungen</t>
  </si>
  <si>
    <t>Einrichrtungen der Lösch- und Berieselungsanlagen</t>
  </si>
  <si>
    <t>Regenwassernutzungsanlagen</t>
  </si>
  <si>
    <t>Rohren der Lösch- und Berieselungsanlagen</t>
  </si>
  <si>
    <t>Zu- und Ableitungsrohren</t>
  </si>
  <si>
    <t>Rohren der Heizungs-, Klima-, Wärmepumpen- und Solaranlagen 
(auch auf dem Dach)</t>
  </si>
  <si>
    <t>Ableitungsrohren
(Dichtigkeitsprüfung ab wann)</t>
  </si>
  <si>
    <t>Gebäudeleerstand max.</t>
  </si>
  <si>
    <t>12 + 11</t>
  </si>
  <si>
    <t>Glas</t>
  </si>
  <si>
    <t>Solarthermie- / Windkraftanlagen (Anlagen zur Energiegewinnung)</t>
  </si>
  <si>
    <t>Mehrkosten Preissteigerungen nach Versicherungsfall</t>
  </si>
  <si>
    <t xml:space="preserve">Tarife im Vergleich zum </t>
  </si>
  <si>
    <t>Allianz</t>
  </si>
  <si>
    <t>HFK / Provinzial</t>
  </si>
  <si>
    <t>HFK / Provinzial Plusdeckung</t>
  </si>
  <si>
    <t>Zellerläterungen</t>
  </si>
  <si>
    <t xml:space="preserve">Definitionen </t>
  </si>
  <si>
    <t>Kernsanierung</t>
  </si>
  <si>
    <t>Rohrleitung</t>
  </si>
  <si>
    <t>Elektroinstaltionen</t>
  </si>
  <si>
    <t>Dach</t>
  </si>
  <si>
    <t>Zu den Bestandteilen einer Kernsanierung können das Erneuern der Dachkonstruktion samt Dacheindeckung sowie die Fassade mit Fenstern und Türen gehören. Des Weiteren wird im Inneren die Haustechnik, also Elektro-, Wasser- und Heizungsinstallation, erneuert.</t>
  </si>
  <si>
    <t>komplette Erneuerung des Rohrleitungssystems (Zu- und Ableitungsrohre innerhalb des Gebäudes, sowie aller Heizungsrohre)</t>
  </si>
  <si>
    <t>komplette Erneuerung der Elektroinstallationen (FI-Schutzschalter, Anpassung an VDE 0100-430, ausreichender Leitungsquerschnitt und ausreichende Zahl an Stromkreisen)</t>
  </si>
  <si>
    <t>komplette Erneuerung oder  fachmännische Überprüfung des Daches (Dacheindeckung, Dachstuhl), wobei ggf. festgestellte Mängel durch eine fachmännische Reparatur beseitigt wurden.  (Besonderheit Flachdächer: Flachdächer älter als 15 Jahre erfordern eine komplette Erneuerung der Flachdachabdichtung.)</t>
  </si>
  <si>
    <t>Definition (Wikipedia):
Der Begriff Kernsanierung umfasst sämtliche bauliche Sanierungsmaßnahmen, die das betreffende Gebäude in seiner Substanz (Mauern, Decken, Böden, Putz) vollständig wiederherstellt und in einen neuwertigen Zustand versetzt. Hierfür wird das Gebäude bis auf die tragenden Strukturen, wie etwa Fundamente, tragende Wände und Decken, zurückgebaut. 
Das ist der wesentliche Unterschied zu Teilsanierungen oder Renovierungen. 
Zu den Bestandteilen einer Kernsanierung können das Erneuern der Dachkonstruktion samt Dacheindeckung sowie die Fassade mit Fenstern und Türen gehören. Des Weiteren wird im Inneren die Haustechnik, also Elektro-, Wasser- und Heizungsinstallation, erneuert.</t>
  </si>
  <si>
    <t>A.; Ziff. 1.1.2 (1) / (2) + LÜ</t>
  </si>
  <si>
    <t>unbegrenzt
LW Frost und Rohrbruch</t>
  </si>
  <si>
    <t>Beseitigung von Verstopfungen</t>
  </si>
  <si>
    <t>unbegrenzt
(behördliche Anordnung binnen 9 Monaten)</t>
  </si>
  <si>
    <t>10 € / qm
bei Schäden &gt; 5.000 €</t>
  </si>
  <si>
    <t>unbegrenzt
bei Schäden &gt; 5.000 €</t>
  </si>
  <si>
    <t>A.; Ziff. 1.1.2 (10) + LÜ</t>
  </si>
  <si>
    <t>unbegrenzt
mit Jungpflanzen
Bäume, Sträucher o. Kletterpflanzen</t>
  </si>
  <si>
    <t>A.; Ziff. 1.1.2 (11) + LÜ</t>
  </si>
  <si>
    <t>A.; Ziff. 1.1.2 (12) + LÜ</t>
  </si>
  <si>
    <t>nein</t>
  </si>
  <si>
    <t>unbegrenzt
Feuerlöschkosten
Auftaukosten</t>
  </si>
  <si>
    <t>A.; Ziff. 1.1.2 (4) + (14)</t>
  </si>
  <si>
    <t>Schäden durch Wildtiere</t>
  </si>
  <si>
    <t>Schalenwild
nach § 2 Abs. 3 BJG
(z.B. Wildschweine, Rehe oder Rothirsche)</t>
  </si>
  <si>
    <t>am Gebäude angebracht
oder auf dem Grundstück</t>
  </si>
  <si>
    <t>A.; Ziff. 1.2.2 (1) + LÜ</t>
  </si>
  <si>
    <t>LÜ</t>
  </si>
  <si>
    <t>unbegrenzt
an elektrischen Geräten
bei Gewitter</t>
  </si>
  <si>
    <t>A.; Ziff. 1.2.2 (2) + LÜ</t>
  </si>
  <si>
    <t>A.; Ziff. 1.2.1 (4) a) + LÜ</t>
  </si>
  <si>
    <t>unbegrenzt
Schalenwild
nach § 2 Abs. 3 BJG</t>
  </si>
  <si>
    <t>A.; Ziff. 1.2.1 (4) c) + LÜ</t>
  </si>
  <si>
    <t>A.; Ziff. 1.2.3 (2) b) + LÜ</t>
  </si>
  <si>
    <t>Rohren der (Dampf-)Heizungs-, Klima-, Wärmepumpen- und Solaranlagen  (auch auf dem Dach)</t>
  </si>
  <si>
    <t>A.; Ziff. 1.2.3 (2) a) + LÜ</t>
  </si>
  <si>
    <t>A.; Ziff. 1.2.3 (2) a) + b) + LÜ</t>
  </si>
  <si>
    <t>ja
der Wasserversorgung
Rohren der Warmwasser- und Dampfheizung
Rohren der Klima-, Wärmepumpen und Solarheizungen
Rohren der Gasversorgung</t>
  </si>
  <si>
    <t>Ableitungsrohren versicherter Gebäude und Anlagen
(Dichtigkeitsprüfung ab wann)</t>
  </si>
  <si>
    <t>Ausschluß
undichte Dichtunegn
Muffenversatz
Wurzeleinwuchs ohne Materialbeschädigung</t>
  </si>
  <si>
    <t>Windstärke 8
und Anscheinsbeweis</t>
  </si>
  <si>
    <t>A.; Ziff. 1.2.4 (1)</t>
  </si>
  <si>
    <t>unverzüglich
kein Kapitalmangel oder durch Betriebsbeschränkungen</t>
  </si>
  <si>
    <t>keine Auflagen die vorher schon bestanden</t>
  </si>
  <si>
    <t>Sachverständigenverfahren
Kostenübernahme durch VR ab Schadenshöhe von</t>
  </si>
  <si>
    <t>bei Schäden &gt; 25.000 € 
90 % der Kosten</t>
  </si>
  <si>
    <t>Verzicht auf Kürzung bei grober Fahrlässigkeit
(Sicherheitsvorschriften, Gefahrenerhöhung und Obligenheiten)</t>
  </si>
  <si>
    <t>A.; Ziff. 4.2</t>
  </si>
  <si>
    <t>GN bis 5.000 € * GNF
ZW bis 5.000 €
gegen Zuschlag 
RohrbruchPlus 10.000 €
RohrbruchBest 15.000</t>
  </si>
  <si>
    <t>gegen Zuschlag
"GebäudePlus"
GN bis 10.000 € * GNF
ZW bis 10.000 €
SB 150 €</t>
  </si>
  <si>
    <t>gegen Zuschlag
"GebäudePlus"
SB 150 €</t>
  </si>
  <si>
    <t>keine Folgeschäden</t>
  </si>
  <si>
    <t>A.; Ziff. 7.2 + 7.4 + LÜ</t>
  </si>
  <si>
    <t>gegen Zuschlag
"GebäudePlus"
Innere Unruhen
SB 150 €</t>
  </si>
  <si>
    <t>Allianz SicherheitPlus</t>
  </si>
  <si>
    <t>Schienenfahrzeuge
Luftfahrzeuge / Teile / Ladung
gegen Zuschlag
"GebäudePlus"
Kfz
SB 150 €</t>
  </si>
  <si>
    <t>PSV---2470Z0 (000)
PSV---2471Z0 (001)</t>
  </si>
  <si>
    <t>Haustechnik (All-Risk)</t>
  </si>
  <si>
    <t>PSV---2469Z0 (000)</t>
  </si>
  <si>
    <t>Ertragsausfall Photovoltaikanlagen</t>
  </si>
  <si>
    <t>GN bis 250 € je qm * GNF
ZW bis 250 € je qm
Wohnfläche
Anzeigepflichtig und Dokumentiert
erg. gegen Zuschlag
"Bauwesenversicherung"</t>
  </si>
  <si>
    <t>A.; Ziff. 1.2.1 (5)
PSV--2068Z0 (000)</t>
  </si>
  <si>
    <t>A.; Ziff. 1.2.3 (2) d)
PSV--2466Z0 (001)</t>
  </si>
  <si>
    <t>A.; Ziff. 1.2.3 (2) d)
PSV--2466Z0 (001)
PSV--2467Z0 (001)</t>
  </si>
  <si>
    <t>Schlüsseldienst
Rohrreinigung
Sanitär-Installations-Service Notfall 
Elektro-Installations-Service Notfall 
Notheizung
Schädlingsbekämpfung
Entfernung von Nestern (Hornissen/Wespen)(bienen)</t>
  </si>
  <si>
    <t>PSV--2472Z0 (000) 1.1.10</t>
  </si>
  <si>
    <t>einschl. fortlaufender Mietnebenkosten</t>
  </si>
  <si>
    <t>nur aus dem 
1. oder 2. Weltkrieg</t>
  </si>
  <si>
    <t>A.; Ziff. 2.1 (1)</t>
  </si>
  <si>
    <t>A.; Ziff. 2.1 (4)</t>
  </si>
  <si>
    <t>gegen Zuschlag
"ModernisierungsPlus"
Modernisierungsmaßnahmen, Wertverbesserungen und Umweltschutzmaßnahmen</t>
  </si>
  <si>
    <t>Rechner / Angebot</t>
  </si>
  <si>
    <t xml:space="preserve">Solarthermische Anlage
gegen Zuschlag
"GrundstückPlus"
Kleinwindanlage bis 5 kW </t>
  </si>
  <si>
    <t>A.; Ziff. 1.1.1 (2) + ABC</t>
  </si>
  <si>
    <t>das der Instandhaltung dient oder zu Wohnzwechken genutzt wird. Innerhalb des Gebäude oder außen angebracht</t>
  </si>
  <si>
    <t>A.; Ziff. 1.1.1 (3) + ABC</t>
  </si>
  <si>
    <t>PSV--2468Z0 (001) A.; Ziff. 1.3 + 1.4 
+ LÜ</t>
  </si>
  <si>
    <t>auch Folge ohne Blitzschlag bei Gewitter</t>
  </si>
  <si>
    <t>Gleitender Neubauwert (GN)</t>
  </si>
  <si>
    <t>A.; Ziff. 1.2.1 (1) a) + 2.1 (2)</t>
  </si>
  <si>
    <t>A.; Ziff. 1.2.1 (1) a) + 
PSV--2468Z0 (001) 1.3 +1.4</t>
  </si>
  <si>
    <t xml:space="preserve">Tausch wegen Rohrbruchschaden </t>
  </si>
  <si>
    <t>A.; Ziff. 1.2.3 b)</t>
  </si>
  <si>
    <t>A.; Ziff. 1.2.3 (2)</t>
  </si>
  <si>
    <t>ja
ist im Antrag zu benennen</t>
  </si>
  <si>
    <t>K.A.</t>
  </si>
  <si>
    <t>A.; Ziff. 1.2.3 (2) d)</t>
  </si>
  <si>
    <t>GN bis 1.000 € * GNF
ZW bis 1.000 €</t>
  </si>
  <si>
    <t>A.; Ziff. 1.3.3 (5) + 1.1.2 (3)</t>
  </si>
  <si>
    <t>aktuell
(geprüft am 27.02.2019)</t>
  </si>
  <si>
    <t>A.; Ziff. 1.1.2 (1) / (2) + LÜ + (13) +(14)</t>
  </si>
  <si>
    <t>ABC und Angebot
PPS--1003Z0 (000) 10/2013 + ABC
PSV--2478Z0 (000) 10/2015
PSV--2477Z0 (000) 10/2012</t>
  </si>
  <si>
    <t>A.; Ziff. 2.2 + ABC</t>
  </si>
  <si>
    <t>Überschwemmung und Rückstau 
14 Tage Wartezeit
Elementarzone I 500 € bei
Überschwemmung und Rückstau
Es gibt 8 Elementarzonen 
SB bis 3.000 € 
Zone 4 + 8 individuell</t>
  </si>
  <si>
    <t>Wohnfläche</t>
  </si>
  <si>
    <t>korrekte Angabe von 
Wohn- und Nutzfläche
sowie Ausstattung gemäß Antrag</t>
  </si>
  <si>
    <t>ABC + Tarifrechner</t>
  </si>
  <si>
    <t>AXA BOXflex</t>
  </si>
  <si>
    <t>auch Nutzfeuer</t>
  </si>
  <si>
    <t>§1 Abs.1 a) + §3 Abs.3 b)</t>
  </si>
  <si>
    <t>§5 Abs.1 a)</t>
  </si>
  <si>
    <t>Solarthermische Anlage</t>
  </si>
  <si>
    <t>§5 Abs.1 a) + 2 b)</t>
  </si>
  <si>
    <t>Rettung- und Wiederherstellung 
von Daten und Programmen</t>
  </si>
  <si>
    <t>§5 Abs. 4 b)</t>
  </si>
  <si>
    <t>Versicherungsumfang</t>
  </si>
  <si>
    <t>Prämienrelevant</t>
  </si>
  <si>
    <t>AXA Boxflex</t>
  </si>
  <si>
    <t>Der Grundbeitrag errechnet sich aus der 
Wohn- /Nutzfläche, 
dem Gebäudetyp, 
der Bausausführung und -ausstattung, 
sonstigen vereinbarten Merkmalen, 
dem jeweils gültigen Beitragssatz für die einzelne Risikoart sowie ggf. Beitragszuschlägen für erweiterten Versicherungsschutz.
(Berufsgruppen)</t>
  </si>
  <si>
    <t>Altersklassen-zuschläge</t>
  </si>
  <si>
    <t>Mietausfall oder Mietwert</t>
  </si>
  <si>
    <t>* Kosten- und Summen-
Differenzdeckung bis 36 Monate
für im Vorvertrag versicherte Risiken</t>
  </si>
  <si>
    <t>unbedeutende Nebengebäude
aus Stein, Beton, Blech Steinfachwerk bis 10 qm
sowie 
Gartenhäuser, Geräteschuppen aus Holz und Hobbygewächshäuser</t>
  </si>
  <si>
    <t>C 2 b)</t>
  </si>
  <si>
    <t>C 3 a)</t>
  </si>
  <si>
    <t>C 3 b)</t>
  </si>
  <si>
    <t>A §5 Abs.1 c) +2 c) + 5
C 2 a) + 4 a)</t>
  </si>
  <si>
    <t>C 6</t>
  </si>
  <si>
    <t>bis 500 €
nur mit dem Gebäude fest verbundenen (S)</t>
  </si>
  <si>
    <t>wildlebende Nagetiere
bis 500 €
keine Folgeschäden</t>
  </si>
  <si>
    <t>C 8</t>
  </si>
  <si>
    <t xml:space="preserve">bis 36 Monate
auch für gewerbliche Räume </t>
  </si>
  <si>
    <t>C 13</t>
  </si>
  <si>
    <t>C 14</t>
  </si>
  <si>
    <t>Ja</t>
  </si>
  <si>
    <t xml:space="preserve">C 15 </t>
  </si>
  <si>
    <t>(auch für Haustiere)</t>
  </si>
  <si>
    <t>Hotelkosten
(oder ähnliche Unterbringung)</t>
  </si>
  <si>
    <t>C 16 a)+d)</t>
  </si>
  <si>
    <t>bis 5.000 €
(nur mit polizeilicher Anzeige)</t>
  </si>
  <si>
    <t>C 18 c)+d) (Reisedefinition)</t>
  </si>
  <si>
    <t>Regiekosten
bei Schäden &gt; 10.000 €</t>
  </si>
  <si>
    <t>C 19</t>
  </si>
  <si>
    <t>A §15 Abs. 3</t>
  </si>
  <si>
    <t>C 16 a)+d) +17 + 19 +20</t>
  </si>
  <si>
    <t xml:space="preserve">auch Erstmaßnahmen und Bewachungskosten 48h </t>
  </si>
  <si>
    <t xml:space="preserve">bei Schäden &gt; 50.000 € </t>
  </si>
  <si>
    <t>C 24</t>
  </si>
  <si>
    <t>C 25</t>
  </si>
  <si>
    <t>A §10 Abs.1 c) C 26</t>
  </si>
  <si>
    <t>aus beendeten Kriegen</t>
  </si>
  <si>
    <t>C 27</t>
  </si>
  <si>
    <t>nur Sengschäden</t>
  </si>
  <si>
    <t>Luftfahrzeuge o. UFK / Teile / Ladung
sowie Straßen- / Schienen- und Wasserfahrzeugen</t>
  </si>
  <si>
    <t>A §1 Abs.1 a) + §2 Abs.1 e) + C 29</t>
  </si>
  <si>
    <t>C 30 g)</t>
  </si>
  <si>
    <t>A §1 Abs.1 b) + §3 + C 31</t>
  </si>
  <si>
    <t>A §1 Abs.1 b) + §3 Abs. 3 + C 32</t>
  </si>
  <si>
    <t xml:space="preserve">A §3 Abs.4 a) aa) + C 33 a) </t>
  </si>
  <si>
    <t>A §1 Abs.1 b) + §3 Abs. 1 + C 33 b)</t>
  </si>
  <si>
    <t>LW Frost und Rohrbruch</t>
  </si>
  <si>
    <t>A §3 + 8 + C 34</t>
  </si>
  <si>
    <t>A § 3 Abs.1 b) + C 35 a) + b)</t>
  </si>
  <si>
    <t>A §1 Abs.1 b) + §3 Abs.2 + C 36 - 38</t>
  </si>
  <si>
    <t>ja
nicht Gasversorgung</t>
  </si>
  <si>
    <t>der Wasserversorgung
Rohren der Warmwasser- und Dampfheizung
Rohren der Klima-, Wärmepumpen und Solarheizungen
Rohren der Gasversorgung</t>
  </si>
  <si>
    <t xml:space="preserve">C 39 </t>
  </si>
  <si>
    <t>10.000 €
kein Wurzeleinwuchs</t>
  </si>
  <si>
    <t>C 40</t>
  </si>
  <si>
    <t>C 42</t>
  </si>
  <si>
    <t>C 44</t>
  </si>
  <si>
    <t>C 45 b</t>
  </si>
  <si>
    <t>AXA BOXflex Premium</t>
  </si>
  <si>
    <t>Premium § 1</t>
  </si>
  <si>
    <t>Premium § 2</t>
  </si>
  <si>
    <t>Premium § 5</t>
  </si>
  <si>
    <t>Premium § 7</t>
  </si>
  <si>
    <t>Premium § 8</t>
  </si>
  <si>
    <t>C 15 + Premium § 11</t>
  </si>
  <si>
    <t xml:space="preserve">auch Erstmaßnahmen und Bewachungskosten 1 Monat </t>
  </si>
  <si>
    <t>C 16 a)+d) +17 + 19 +20
Premium § 12</t>
  </si>
  <si>
    <t>C 16 a)+d)
Premium § 13</t>
  </si>
  <si>
    <t>bis 10.000 €
(nur mit polizeilicher Anzeige)</t>
  </si>
  <si>
    <t>A §1 Abs.1 c) + §4 Abs.2</t>
  </si>
  <si>
    <t>A §1 Abs.1 b)</t>
  </si>
  <si>
    <t>bis 5.000 €
nur mit dem Gebäude fest verbundenen (S)</t>
  </si>
  <si>
    <t>C 6 + Premium § 14</t>
  </si>
  <si>
    <t>C 45 b + Premium § 10</t>
  </si>
  <si>
    <t>Tarifrechner + § 11 4)</t>
  </si>
  <si>
    <t>A §5 Abs.1 a)</t>
  </si>
  <si>
    <t>A §5 Abs.1 b)</t>
  </si>
  <si>
    <t>A §5 Abs.1 a) + 2 b)</t>
  </si>
  <si>
    <t>A §1 Abs.1 a) + §2 Abs.1 d) bb)</t>
  </si>
  <si>
    <t>A §1 Abs.1 a) + §2 Abs.1 d)</t>
  </si>
  <si>
    <t>A §2 Abs.2 a) + C 28</t>
  </si>
  <si>
    <t>A §2 Abs.1 a)</t>
  </si>
  <si>
    <t>A §1 Abs.1 a) + §2 Abs.1 b+c)</t>
  </si>
  <si>
    <t>A §1 Abs.1 a) + §3 Abs.3 b)</t>
  </si>
  <si>
    <t>A §3 Abs.4 a) bb)</t>
  </si>
  <si>
    <t>Bruch- und Frostschäden innerhalb des Gebäudes an:</t>
  </si>
  <si>
    <t>A §1 Abs.1 b) + §3 Abs.1 a) aa)</t>
  </si>
  <si>
    <t>A §1 Abs.1 b) + §3 Abs.1 b) aa)</t>
  </si>
  <si>
    <t>A §1 Abs.1 b) + §3 Abs.1 a) bb) + c)</t>
  </si>
  <si>
    <t>unbegrenzt
(an den Analgen nur Frost)</t>
  </si>
  <si>
    <t>A §1 Abs.1 b) + §3 Abs.1 a) cc)</t>
  </si>
  <si>
    <t>C 5</t>
  </si>
  <si>
    <t>C 36</t>
  </si>
  <si>
    <t>A §1 Abs.1 b) + §3 Abs.1 b) bb)</t>
  </si>
  <si>
    <t>20.000 €
kein Wurzeleinwuchs</t>
  </si>
  <si>
    <t>C 39 + Premium § 15</t>
  </si>
  <si>
    <t>C 40 + Premium § 16</t>
  </si>
  <si>
    <t>gegen Zuschlag
"Optimum"
SB 500 €</t>
  </si>
  <si>
    <t xml:space="preserve">Optimum </t>
  </si>
  <si>
    <t>unbenannte Gefahren
(Bitte immer Ausschlüsse beachten)</t>
  </si>
  <si>
    <t>nur junge Bäume bis 1,50 m</t>
  </si>
  <si>
    <t>junge Bäume bis 1,50 m
sowie
Hecken, Sträucher u. Zierpflanzen
bis 10.000 €
auch weitere Gefahren - nicht Hagel</t>
  </si>
  <si>
    <t>Schutzbrief</t>
  </si>
  <si>
    <t>A §7 Abs.2 + C 20</t>
  </si>
  <si>
    <t>A §8 Abs.1 a) + 2 + C 12</t>
  </si>
  <si>
    <t>Lawinen, Dachlawinen, Schneedruck, Erdfall, Erdrutsch
gegen Zuschlag 
"Elementar"
Überschwemmung, Rückstau, Erdbeben, Vulkanausbruch</t>
  </si>
  <si>
    <t>Elementar § 7 c)</t>
  </si>
  <si>
    <t>A §8 Abs.1 b) + 3</t>
  </si>
  <si>
    <t>Überschwemmung, Rückstau, Erdbeben, Vulkanausbruch
Wartezeit 1 Monat
Elementar Zone 1
10% des Schadens; min. 500€; max. 5.000 €</t>
  </si>
  <si>
    <t>gegen Zuschlag</t>
  </si>
  <si>
    <t>Erneuerbare Energie 09.14</t>
  </si>
  <si>
    <t>AGIB 2014 09.14</t>
  </si>
  <si>
    <t xml:space="preserve">Elementar §8 </t>
  </si>
  <si>
    <t>alle notwendigen und zumutbaren</t>
  </si>
  <si>
    <t>Erneu.Energ. §2 Abs. 2</t>
  </si>
  <si>
    <t>A §4 Abs.3 a) cc)</t>
  </si>
  <si>
    <t>A §10 Abs.1 a)</t>
  </si>
  <si>
    <t>unbegrenzt
auch vorläufige Schutzmaßnahmen</t>
  </si>
  <si>
    <t xml:space="preserve"> C1  + Tarifrechner + Angebot</t>
  </si>
  <si>
    <t>150 € / Tag, max. 150 Tage; über Baustein Premium
200 € / Tag, max. 200 Tage</t>
  </si>
  <si>
    <t>gegen Zuschlag
"Notfallservice"
500 € je VF max. 1.500 € / VJ
• Schlüsseldienst
• Rohrreinigung
• Sanitär-Installations-Service Notfall 
• Elektro-Installations-Service Notfall
• Heinzungs-Installation
• Notheizung
• Schädlingsbekämpfung
• Entfernung von Nestern (Hornissen/Wespen/Bienen)</t>
  </si>
  <si>
    <t>Notfallservice + Angebot</t>
  </si>
  <si>
    <t>gegen Zuschlag
"HWSB"
500 € je VF max. 1.500 € / VJ
• Schlüsseldienst
• Rohrreinigung
• Sanitär-Installations-Service Notfall 
• Elektro-Installations-Service Notfall
• Notheizung
• Schädlingsbekämpfung
• Entfernung von Nestern (Hornissen/Wespen)</t>
  </si>
  <si>
    <t>aktuell
(geprüft am 05.03.2019)</t>
  </si>
  <si>
    <t>A §15 Abs. 3
Premium § 3
Premium § 4
Premium § 6</t>
  </si>
  <si>
    <t>A §11 Abs.1 a)</t>
  </si>
  <si>
    <t>A §14 Abs.6 + C 23</t>
  </si>
  <si>
    <t>A §9 Abs.1 + 2 a) + 3
C 9 a) + 10</t>
  </si>
  <si>
    <t>Domcura Standard</t>
  </si>
  <si>
    <t>VGB 2017-Standard
Stand 2017-07-01</t>
  </si>
  <si>
    <t>VGB 2014 (09.14)
Stand 2014-09</t>
  </si>
  <si>
    <t>PSV--2463Z0
Stand 2014-05</t>
  </si>
  <si>
    <t>PSV--2464Z0
Stand 2014-05</t>
  </si>
  <si>
    <t>ja
(Einführung neuer Tarife auf 10% Mehrbeitrag begrenzt)</t>
  </si>
  <si>
    <t>GDV - Stand 2013-01
AKBP - Stand 2016-01</t>
  </si>
  <si>
    <t>auch Druckwellen durch Hubschrauber</t>
  </si>
  <si>
    <t>Luftfahrzeuge o. UFK / Teile / Ladung
sowie sonstiger Fahrzeuge</t>
  </si>
  <si>
    <t xml:space="preserve">auch bioenergetischen Anlagen oder der erneuerbaren Energie
(nicht Windkraft) </t>
  </si>
  <si>
    <t>Geothermie</t>
  </si>
  <si>
    <t>B §3 Abs. 1 a) bb)+cc)</t>
  </si>
  <si>
    <t>ja
(an den Analgen nur Frost)</t>
  </si>
  <si>
    <t>Überschwemmung, Rückstau,
Erdbeben, Erdsenkung, Erdrutsch,
Schneedruck, Lawinen,
Vulkanausbruch
Wartezeit 14 Tage 
Elementar Zone 1
10% des Schadens; min. 500€; max. 5.000 €</t>
  </si>
  <si>
    <t>Sturmflut, Grundwasser
Trockenheit oder Austrocknung</t>
  </si>
  <si>
    <t>Domcura</t>
  </si>
  <si>
    <t>- Solarthermische Anlage
- Oberflächennahe Geothermieanlage</t>
  </si>
  <si>
    <t>50.000 €</t>
  </si>
  <si>
    <t>Die Entschädigung hierfür ist jedoch begrenzt mit dem Betrag, der sich vertragsgemäß ergeben würde, wenn die versicherte und vom Schaden betroffene Sache zerstört worden wäre, gekürzt um den Altmaterialwert abzüglich Aufräumungs- und Abbruchkosten.</t>
  </si>
  <si>
    <t xml:space="preserve">bis 24 Monate
auch für gewerbliche Räume </t>
  </si>
  <si>
    <r>
      <t>Wohnfläche ist die</t>
    </r>
    <r>
      <rPr>
        <b/>
        <sz val="10"/>
        <rFont val="Arial"/>
        <family val="2"/>
      </rPr>
      <t xml:space="preserve"> Grundfläche</t>
    </r>
    <r>
      <rPr>
        <sz val="10"/>
        <rFont val="Arial"/>
        <family val="2"/>
      </rPr>
      <t xml:space="preserve"> aller Räume eines Gebäudes einschließlich der Hobbyräume. 
Nicht zu berücksichtigen sind: 
</t>
    </r>
    <r>
      <rPr>
        <sz val="10"/>
        <color rgb="FFFF0000"/>
        <rFont val="Arial"/>
        <family val="2"/>
      </rPr>
      <t>Treppen, Balkone, Loggien, Terrassen Keller-, Speicher-/Bodenräume, die nicht zu Wohn- oder Hobbyzwecken ausgebaut sind.</t>
    </r>
  </si>
  <si>
    <r>
      <t xml:space="preserve">Die Wohn- und Nutzfläche ist den Bauunterlagen oder dem Kaufvertrag zu entnehmen, sofern diese den aktuellen Ausbauzustand
wiedergeben.
Liegen entsprechende Unterlagen nicht vor, so kann die Ermittlung der Wohn- und Nutzfläche ebenfalls durch Sachverständige,Fachbetriebe, Wohnflächenverordnung (WoFlV) oder Nutzungsfläche nach DIN 277 erfolgen.
Alternativ hierzu ist die Wohn- und Nutzfläche definiert als die zu Wohn- oder Gewerbezwecken nutzbare </t>
    </r>
    <r>
      <rPr>
        <b/>
        <sz val="10"/>
        <rFont val="Arial"/>
        <family val="2"/>
      </rPr>
      <t>Grundfläche</t>
    </r>
    <r>
      <rPr>
        <sz val="10"/>
        <rFont val="Arial"/>
        <family val="2"/>
      </rPr>
      <t xml:space="preserve"> aller Räume des versicherten Objektes (Dachschrägen reduzieren diese Fläche nicht). Hierzu zählen auch Hobbyräume (z. B. Partyraum, Fitnessraum, Werkstatt), Wintergärten, Saunen und zu gewerblichen Zwecken genutzte Lagerräume.
Nicht zur Wohnfläche zählen:
</t>
    </r>
    <r>
      <rPr>
        <sz val="10"/>
        <color rgb="FFFF0000"/>
        <rFont val="Arial"/>
        <family val="2"/>
      </rPr>
      <t xml:space="preserve">Treppen, Balkone, Loggien, Terrassen, 
Dachgärten,
- Garagen und Carports,
- Abstellräume,- Waschküchen, Heizungs-, Wirtschafts- und Trockenräume,
- nicht ausgebaute Dach- und Kellergeschosse. </t>
    </r>
    <r>
      <rPr>
        <sz val="10"/>
        <rFont val="Arial"/>
        <family val="2"/>
      </rPr>
      <t xml:space="preserve">
Eine Mischnutzung der vorgenannten Raumflächen wird vollumfänglich der Wohn- und Nutzfläche zugerechnet.</t>
    </r>
  </si>
  <si>
    <r>
      <t>Wohnfläche ist die</t>
    </r>
    <r>
      <rPr>
        <b/>
        <sz val="10"/>
        <rFont val="Arial"/>
        <family val="2"/>
      </rPr>
      <t xml:space="preserve"> Grundfläche</t>
    </r>
    <r>
      <rPr>
        <sz val="10"/>
        <rFont val="Arial"/>
        <family val="2"/>
      </rPr>
      <t xml:space="preserve"> aller Räume (kein Abzug für Dachschrägen) des Gebäudes einschließlich der dazugehörigen Hobbyräume</t>
    </r>
    <r>
      <rPr>
        <b/>
        <sz val="10"/>
        <rFont val="Arial"/>
        <family val="2"/>
      </rPr>
      <t xml:space="preserve"> sowie Wintergärten</t>
    </r>
    <r>
      <rPr>
        <sz val="10"/>
        <rFont val="Arial"/>
        <family val="2"/>
      </rPr>
      <t xml:space="preserve">; 
ausgenommen sind dabei 
</t>
    </r>
    <r>
      <rPr>
        <sz val="10"/>
        <color rgb="FFFF0000"/>
        <rFont val="Arial"/>
        <family val="2"/>
      </rPr>
      <t>Treppen, Keller- und Speicherräume, Balkone, Loggien und Terrassen soweit sie nicht zu Wohnzwecken ausgebaut sind.</t>
    </r>
    <r>
      <rPr>
        <sz val="10"/>
        <rFont val="Arial"/>
        <family val="2"/>
      </rPr>
      <t xml:space="preserve"> 
Dem gleichgestellt ist die Übernahme der Angaben aus Mietverträgen oder Bauplänen. Wohnflächen, die nach Erstellung des Mietvertrages oder Bauplans hinzugekommen sind, sind ebenfalls zu berücksichtigen. 
Die Bodenfläche eines sich im Gebäude befindlichen Schwimmbeckens muss nicht berücksichtigt werden. 
Zusätzlich ist - sofern vorhanden - die Nutzfläche von ausschließlich zu beruflichen oder gewerblichen Zwecken genutzten Räumen und Anbauten anzugeben. 
Anzugeben ist die Wohnfläche ohne einen ausgebauten Keller. Dieser wird separat im Rahmen der Wertermittlung erfasst.</t>
    </r>
  </si>
  <si>
    <t>Zuschlag
Altersklasse Gebäudealter Prozentsatz
   01             0 -  2                -
       02             3 -  4              6,0%
       03             5 -  6              6,0%
       04             7 -  8              6,0%
       05             9 - 10             6,0%
       06           11 - 12             3,5%
       07           13 - 14             3,5%
       08           15 - 16             3,5%
       09           17 - 18             2,0%
       10           19 - 20             2,0% 
       11           21 - 24             2,0% 
       12           25 - 28             2,0% 
       13           29 - 32             2,0%
       14           33 - 36             2,0%
       15           37 - 40             0,0%
       16           41+                  0,0%</t>
  </si>
  <si>
    <t>Nachlass
Altersklasse Gebäudealter Prozentsatz
       01             0 -  1              60 %
       02             1 -  2              58 %
       03             2 -  3              56 %
       04             3 -  4              54 %
..
..
      26           25 - 26             10 % 
      27           26 - 27               8 % 
...       
     31           30+                   0%
je Jahr 2% Rabattwegfall
Nachlass gilt nicht für Beitragspflichtige Einschlüsse</t>
  </si>
  <si>
    <t>korrekte Angabe von 
Wohn- und Nutzfläche
sowie Ausstattung gemäß Antrag
(Vorsorge 5 %)</t>
  </si>
  <si>
    <t>zusätzlich</t>
  </si>
  <si>
    <t>aktuell
(geprüft am 06.03.2019)</t>
  </si>
  <si>
    <t>nur direkter Frostschaden an Armaturen</t>
  </si>
  <si>
    <t>GN bis 1 € je qm * GNF
ZW bis 1 € je qm
Wohn- o. Nutzfl.</t>
  </si>
  <si>
    <t>Such- und Leckortungskosten
auch bei nicht versichertem Rohrbruch</t>
  </si>
  <si>
    <t xml:space="preserve"> bis 500 €</t>
  </si>
  <si>
    <t>Premium § 9</t>
  </si>
  <si>
    <t>LÜ / (B §1 nicht erwähnt)</t>
  </si>
  <si>
    <t>gegen Zuschlag
"UG-Deckung von Anlagen der erneuerbaren Energie"
und
"UG-Deckung von Anlagen der Haustechnik"
SB 250 €</t>
  </si>
  <si>
    <t>B6 BB-Erneu.Energ. + B7 BB-Haustechnik</t>
  </si>
  <si>
    <t>5.000 €</t>
  </si>
  <si>
    <t>5.000 €
auch an versicherten Sachen</t>
  </si>
  <si>
    <t>B2 zu B1 §1 Nr. 1</t>
  </si>
  <si>
    <t>B2 zu B1 §1 Nr. 2</t>
  </si>
  <si>
    <t>Schwimmbecken und deren Rohrsystemen</t>
  </si>
  <si>
    <t>nur Rohrsystem</t>
  </si>
  <si>
    <t>B2 zu B1 §3 Nr. 1 a)</t>
  </si>
  <si>
    <t>B2 zu B1 §3 Nr. 1 a) +b)</t>
  </si>
  <si>
    <t>ja
(Anlagen nur Frost)</t>
  </si>
  <si>
    <t>Rohre von weiteren Anlagen</t>
  </si>
  <si>
    <t xml:space="preserve">nur Frost
auch an Boilern, der Warmwasser- o. Dampfheizungsanlage
Klima-,  bioenergetischen Anlagen oder der erneuerbaren Energie
(nicht Windkraft) </t>
  </si>
  <si>
    <t>nur Frost
auch an Boilern, der Warmwasser- o. Dampfheizungsanlage
Klima-,  bioenergetischen Anlagen oder der erneuerbaren Energie
(nicht Windkraft)</t>
  </si>
  <si>
    <t xml:space="preserve">* bioenergetischen Anlagen 
* Anlagen der erneuerbaren Energie
(nicht Windkraft) </t>
  </si>
  <si>
    <t>B1 §3 Nr. 2</t>
  </si>
  <si>
    <t>B1 §3 Nr. 1 a) ee)</t>
  </si>
  <si>
    <t>B1 §11 Abs.1 a)</t>
  </si>
  <si>
    <t>B1 §12 Abs.5</t>
  </si>
  <si>
    <t>Tarifrechner + B1 § 12 Nr. 4)</t>
  </si>
  <si>
    <t>A §19 Nr. 1 + 2</t>
  </si>
  <si>
    <t>A §18 Nr. 1 (2.)</t>
  </si>
  <si>
    <t>B1  §6 Nr. 1 c)</t>
  </si>
  <si>
    <t>B1  §5 Nr. 1 a)</t>
  </si>
  <si>
    <t>B1  §6 Nr. 1 b)</t>
  </si>
  <si>
    <t>B1  §6 Nr. 2</t>
  </si>
  <si>
    <t>B1  §6 Nr. 1d) + 2a) + 5c)</t>
  </si>
  <si>
    <t>B1  §6 Nr. 4 a)</t>
  </si>
  <si>
    <t>B1  §6 Nr.. 4 b)+c)</t>
  </si>
  <si>
    <t>B1 §1 a) + §2 Nr. 1 c) +6</t>
  </si>
  <si>
    <t>B1 §1 a) + §2 Nr. 1 c) +5</t>
  </si>
  <si>
    <t>B1 §2 Nr. 1 a) + 2</t>
  </si>
  <si>
    <t>B1 §2 Nr. 1 b) + 3</t>
  </si>
  <si>
    <t>B1 §1 Nr. 2 a)</t>
  </si>
  <si>
    <t>B1 §1 d) + §5 b) + Nr. 2</t>
  </si>
  <si>
    <t>B1 §1 a) + §2 Nr. 1 d) + §5 a) + Nr. 1</t>
  </si>
  <si>
    <t>B1 §3 Nr. 3 b) aa)</t>
  </si>
  <si>
    <t>B1 §3 Nr. 3 b) bb)</t>
  </si>
  <si>
    <t>B1 §3 Nr. 3 b) cc) + dd)</t>
  </si>
  <si>
    <t>B1 §3 Nr. 3 b) ff)</t>
  </si>
  <si>
    <t>B1 §3 Nr. 4 a) aa)</t>
  </si>
  <si>
    <t>B1 §3 Nr. 3 b) ee)</t>
  </si>
  <si>
    <t>B1 §3 Nr. 1 a) aa)</t>
  </si>
  <si>
    <t>B1 §3 Nr. 1 b) aa)</t>
  </si>
  <si>
    <t>B1 §3 Nr. 1 a) bb)+cc)</t>
  </si>
  <si>
    <t>B1 §3 Nr. 1 b) bb) + cc) + dd)</t>
  </si>
  <si>
    <t>B1 §3 Nr. 1 a) dd) + b) dd)</t>
  </si>
  <si>
    <t>B1 §3 Nr. 1 a) bb)+cc)
B2 zu B1 §1 Nr. 2</t>
  </si>
  <si>
    <t>B1 §3 Nr. 2 + LÜ</t>
  </si>
  <si>
    <t>B1 §4 Nr. 1 a) + 2 a)</t>
  </si>
  <si>
    <t>B1 §4 Nr. 4 a) bb)</t>
  </si>
  <si>
    <t>B1 §8 Nr. 1 b)</t>
  </si>
  <si>
    <t>B1 §8 Nr. 3 + 4</t>
  </si>
  <si>
    <t>B1 §8 Nr. 5</t>
  </si>
  <si>
    <t>B1 §9 Nr. 1a) + 2</t>
  </si>
  <si>
    <t>B1 §9 Nr. 1a) + 2e)</t>
  </si>
  <si>
    <t>B1 §9 Nr. 1b) + 3</t>
  </si>
  <si>
    <t>B1 §12 Nr. 1 a)</t>
  </si>
  <si>
    <t>B1 §8 Nr. 2 +6</t>
  </si>
  <si>
    <t>B1 §10 Nr. 3a) + 1 + 2</t>
  </si>
  <si>
    <t>BB-Erneu.Energ. §7 Nr. 2 +4</t>
  </si>
  <si>
    <t>B1 §6 Nr. 6</t>
  </si>
  <si>
    <t xml:space="preserve">B1 §16 Nr.1 e) + b)bb) </t>
  </si>
  <si>
    <t>B1 §15  Nr. 1</t>
  </si>
  <si>
    <t>B1 §4 Nr. 1 a) + 3</t>
  </si>
  <si>
    <t>B1 §4 Nr. 4 a) aa) + cc) + ee)</t>
  </si>
  <si>
    <t>B1 §4 Nr. 5 + 6</t>
  </si>
  <si>
    <t>A § 4 Nr. 5
A § 23</t>
  </si>
  <si>
    <t>B1 §3 Nr. 2
B2 zu B1 §3 Nr. 2
B2 zu B1 §3 Nr. 2</t>
  </si>
  <si>
    <t>ja
sowie Rohre von  
* bioenergetischen Anlagen 
Anlagen der erneuerbaren Energie
(nicht Windkraft) 
* Wasserlösch- und Berieselungsanlagen</t>
  </si>
  <si>
    <t>ja
sowie Rohre von  
* bioenergetischen Anlagen 
Anlagen der erneuerbaren Energie
(nicht Windkraft) 
* Wasserlösch- und Berieselungsanlagen
* Schwimmbecken
* Regenwassernutzungsanlagen
* Regenrohr
* Fäkalienanlagen / Kläranlagen</t>
  </si>
  <si>
    <t>B2 zu B1 §3 Nr. 2</t>
  </si>
  <si>
    <t>auch Terrarien</t>
  </si>
  <si>
    <t>aller Regenrohre</t>
  </si>
  <si>
    <t>auch bioenergetischen Anlagen oder der erneuerbaren Energie
(nicht Windkraft) 
Lüftungsanlagen
Fäkalien- / Kläranlagen</t>
  </si>
  <si>
    <t>B2 zu B1 §8 Nr. 7</t>
  </si>
  <si>
    <t>B2 zu B1 §8 Nr. 8</t>
  </si>
  <si>
    <t>B2 zu B1 §8 Nr. 9</t>
  </si>
  <si>
    <t>B1 §9 Nr. 1c) + 4</t>
  </si>
  <si>
    <t>korrekte Angabe von 
Wohn- und Nutzfläche
sowie Ausstattung gemäß Antrag
(Vorsorge 5 %)
genereller Verzicht bei Schäden bis 2.500 €</t>
  </si>
  <si>
    <t>B1 §20  Nr. 1</t>
  </si>
  <si>
    <t>B1 §20  Nr. 1 b)
Zu B1 §20  Nr. 1 b)</t>
  </si>
  <si>
    <t>aktuell
(geprüft am 07.03.2019)</t>
  </si>
  <si>
    <t>B3 zu B1 §1 Nr. 1</t>
  </si>
  <si>
    <t>unbegrenzt
auch an versicherten Sachen</t>
  </si>
  <si>
    <t>B3 zu B1 §2 Nr. 2</t>
  </si>
  <si>
    <t>B3 zu B1 §3 Nr. 1 a)</t>
  </si>
  <si>
    <t xml:space="preserve">B2 zu B1 §3 Nr. 1 a) </t>
  </si>
  <si>
    <t>B3 zu B1 §3 Nr. 1 a) +b)</t>
  </si>
  <si>
    <t>B3 zu B1 §3 Nr. 1</t>
  </si>
  <si>
    <t xml:space="preserve">B §3 Abs. 1 b) bb) + cc) + dd)  </t>
  </si>
  <si>
    <t>B §3 Abs. 1 b) bb) + cc) + dd)  
B3 zu B1 §3 Nr. 1</t>
  </si>
  <si>
    <t>B1 §3 Nr. 2
B3 zu B1 §3 Nr. 2
B3 zu B1 §3 Nr. 2</t>
  </si>
  <si>
    <t>B3 zu B1 §3 Nr. 2</t>
  </si>
  <si>
    <t>B1 §3 Nr. 3 b) ff)
B3 zu B1 §3 Nr. 3 b)</t>
  </si>
  <si>
    <t>B1 §3 Nr. 3 b) ff)
B2 zu B1 §3 Nr. 3 b)</t>
  </si>
  <si>
    <t>B2 zu B1 §3 Nr. 3 b)</t>
  </si>
  <si>
    <t>B3 zu B1 §3 Nr. 3 b)</t>
  </si>
  <si>
    <t>B1 §3 Nr. 3 b) cc) + dd)
B3 zu B1 §3 Nr. 3 b)</t>
  </si>
  <si>
    <t>B1 §3 Nr. 3 b) cc) + dd)
B2 zu B1 §3 Nr. 3 b)</t>
  </si>
  <si>
    <t>B3 zu B1 §4 Nr. 2 a)</t>
  </si>
  <si>
    <t>korrekte Angabe von 
Wohn- und Nutzfläche
sowie Ausstattung gemäß Antrag
(Vorsorge 5 %)
genereller Verzicht bei Schäden bis 5.000 €</t>
  </si>
  <si>
    <t>Tarifrechner + B1 § 12 Nr. 4)
B3 zu B1 § 12 Nr. 4)</t>
  </si>
  <si>
    <t>Tarifrechner + B1 § 12 Nr. 4)
B2 zu B1 § 12 Nr. 4)</t>
  </si>
  <si>
    <t>B3 zu B1 §8 Nr. 7</t>
  </si>
  <si>
    <t>bei Schäden &gt; 25.000 € 
unbegrenzt</t>
  </si>
  <si>
    <t>B2 zu B1 §8 Nr. 2 +6</t>
  </si>
  <si>
    <t>B3 zu B1 §8 Nr. 2 +6</t>
  </si>
  <si>
    <t>B2 zu B1 §8 Nr. 1 b) + 10</t>
  </si>
  <si>
    <t>B2 zu B1 §8 Nr. 5</t>
  </si>
  <si>
    <t>B3 zu B1 §8 Nr. 8</t>
  </si>
  <si>
    <t>10.000 €</t>
  </si>
  <si>
    <t>B3 zu B1 §8 Nr. 9</t>
  </si>
  <si>
    <t>Armaturen 
Kosten für den Austausch infolge eines Rohrbruchs</t>
  </si>
  <si>
    <t>nur Frost</t>
  </si>
  <si>
    <t>nur Frost
Sonstige Bruchschäden 500</t>
  </si>
  <si>
    <t>B3 zu B1 §8 Nr. 10</t>
  </si>
  <si>
    <t>B3 zu B1 §8 Nr.12</t>
  </si>
  <si>
    <t>sonstiger Medien Verlust</t>
  </si>
  <si>
    <t>B3 zu B1 §8 Nr.14</t>
  </si>
  <si>
    <t>B3 zu B1 §8 Nr.15</t>
  </si>
  <si>
    <t>B3 zu B1 §8 Nr. 17</t>
  </si>
  <si>
    <t>B3 zu B1 §8 Nr. 20</t>
  </si>
  <si>
    <t>B3 zu B1 §8 Nr. 21</t>
  </si>
  <si>
    <t>B3 zu B1 §8 Nr. 22</t>
  </si>
  <si>
    <t>5.000 €
Spechtschläge</t>
  </si>
  <si>
    <t>Fehlalarm Feuer- und Rauchmelder
Gebäudebeschädigungen und Gebühren</t>
  </si>
  <si>
    <t>B3 zu B1 §8 Nr. 19</t>
  </si>
  <si>
    <t>(subsidär)</t>
  </si>
  <si>
    <t>Inklusiv-Leistungen
(kein Schutzbrief)
• Einstellen von Antennen und Satellitenschüsseln 
bis 500 €
• Entfernung von Nestern (Hornissen/Wespen/Bienen)
bis 5.000 €</t>
  </si>
  <si>
    <t>B3 zu B1 §8 Nr. 23 + 24</t>
  </si>
  <si>
    <t xml:space="preserve">B1 §9 Nr. 1a) + 2
B3 zu B1 §9 Nr. 1a) </t>
  </si>
  <si>
    <t xml:space="preserve">B1 §9 Nr. 1a) + 2e)
B2 zu B1 §9 Nr. 1a) </t>
  </si>
  <si>
    <t xml:space="preserve">B1 §9 Nr. 1a) + 2e)
B3 zu B1 §9 Nr. 1a) </t>
  </si>
  <si>
    <t>B1 §9 Nr. 1b) + 3
B2 zu B1 §9 Nr. 1b) + 3</t>
  </si>
  <si>
    <t>B1 §9 Nr. 1b) + 3
B3 zu B1 §9 Nr. 1b) + 3</t>
  </si>
  <si>
    <t>B1 §9 Nr. 1c) + 4
B2 zu B1 §9 Nr. 1c)</t>
  </si>
  <si>
    <t>B1 §9 Nr. 1c) + 4
B3 zu B1 §9 Nr. 1c)</t>
  </si>
  <si>
    <t>B1 §15  Nr. 3</t>
  </si>
  <si>
    <t>B1 §15  Nr. 3
B3 zu B1 § 15 Nr. 3</t>
  </si>
  <si>
    <t>Zu § 82 VVG - Abwendung und Minderung des Schadens
Bis zu einer Entschädigungsgrenze von 50.000,- Euro wird sich der Versicherer nicht auf grobe Fahrlässigkeit berufen. Erst nach Überschreitung dieses
Betrages wir der Versicherer für den darüber hinausgehenden Teil des Schadens eine entsprechende Verhältniskürzung vornehmen</t>
  </si>
  <si>
    <t>Zu A § 20 – Allgemeine Versicherungsbedingungen - Übergang von Ersatzansprüchen
Bis zu einer Entschädigungsgrenze von 50.000,- Euro wird sich der Versicherer nicht auf grobe Fahrlässigkeit berufen. Erst nach Überschreitung dieses
Betrages wir der Versicherer für den darüber hinausgehenden Teil des Schadens eine entsprechende Verhältniskürzung vornehmen.</t>
  </si>
  <si>
    <t>bis 250.000 €
(nicht für LW und Ele)</t>
  </si>
  <si>
    <t>B3 Leistungsgarantie</t>
  </si>
  <si>
    <t xml:space="preserve">B4 </t>
  </si>
  <si>
    <t>gegen Zuschlag 
"Glasversicherung" 
z.B. Wintergärten, Gewächshäusern Schwimmhallen,-becken 
auch Ceranfelder</t>
  </si>
  <si>
    <t>B5 BB-VGB Unbenannte §3 + 4</t>
  </si>
  <si>
    <t>B8 Marktgarantie §3</t>
  </si>
  <si>
    <t>Ausschlüsse und Sublimits beachten</t>
  </si>
  <si>
    <t>B3 zu B1 §8 Nr. 13</t>
  </si>
  <si>
    <t>A §2 Nr. 5</t>
  </si>
  <si>
    <t>A §2 Nr. 6</t>
  </si>
  <si>
    <t>A §2 Nr. 4</t>
  </si>
  <si>
    <t>A §2 Nr. 1 b)</t>
  </si>
  <si>
    <t>Schäden durch Überspannung, Kurzschluss und Überstrom 
(ohne direkten Blitzschlag)</t>
  </si>
  <si>
    <t>10 % VS
mind. 10.000€</t>
  </si>
  <si>
    <t>100 % VS</t>
  </si>
  <si>
    <t>A §2 Nr. 3</t>
  </si>
  <si>
    <t>A §2 Nr. 7</t>
  </si>
  <si>
    <t>A §2 Nr. 1c)</t>
  </si>
  <si>
    <t>100 % VS
nur Sengschäden</t>
  </si>
  <si>
    <t>A §2 Nr. 8</t>
  </si>
  <si>
    <t xml:space="preserve">Luftfahrzeuge (o. UFK) / Teile / Ladung
</t>
  </si>
  <si>
    <t>A §2 Nr. 9 + LÜ</t>
  </si>
  <si>
    <t>A §2 Nr. 9 + LÜ + 10</t>
  </si>
  <si>
    <t>Luftfahrzeuge (o. UFK) / Teile / Ladung
sowie Straßen- / Schienen- und Wasserfahrzeugen
100 % VS</t>
  </si>
  <si>
    <t>A §3 Nr. 1a) aa)</t>
  </si>
  <si>
    <t>A §3 Nr. 1a) bb)</t>
  </si>
  <si>
    <t>A §3 Nr. 1a) dd) + b) bb)</t>
  </si>
  <si>
    <t>A §3 Nr. 1b) aa)</t>
  </si>
  <si>
    <t>A §3 Nr. 1b) bb)</t>
  </si>
  <si>
    <t>A §3 Nr. 1a) cc) + b) cc)</t>
  </si>
  <si>
    <t>A §3 Nr. 1c)</t>
  </si>
  <si>
    <t>1 % VS</t>
  </si>
  <si>
    <t>Zuleitungsrohren der Wasserversorgung
Rohren der Warmwasser- und Dampfheizung
Rohren der Klima-, Wärmepumpen und Solarheizungen
Rohren der Gasversorgung
(der Versorgung versicherter Gebäude und Anlagen dienend)</t>
  </si>
  <si>
    <t>A §3 Nr. 2 b) + 3)</t>
  </si>
  <si>
    <t>A §3 Nr. 2 a) + 3)</t>
  </si>
  <si>
    <t>A §3 Nr. 3)</t>
  </si>
  <si>
    <t>A §3 Nr. 4</t>
  </si>
  <si>
    <t>A §3 Nr. 4 b)</t>
  </si>
  <si>
    <t>A §3 Nr. 4 c)+d)</t>
  </si>
  <si>
    <t>A §3 Nr. 4 f)+g)</t>
  </si>
  <si>
    <t>A §3 Nr. 4 e)</t>
  </si>
  <si>
    <t>Aquarien und Wasserbetten
sonst 100 % VS</t>
  </si>
  <si>
    <t>A §3 Nr. 4 h)</t>
  </si>
  <si>
    <t>A §3 Nr. 4 b) + 5)</t>
  </si>
  <si>
    <t>A §3 Nr. 4 b) + 5) + 7 a) KK)</t>
  </si>
  <si>
    <t>A §3 Nr. 6 + 7 a) aa)</t>
  </si>
  <si>
    <t>A §3 Nr. 7 a) bb)</t>
  </si>
  <si>
    <t>A §3 Nr. 6 a) + c)</t>
  </si>
  <si>
    <t>A §3 Nr. 6 b) + c)</t>
  </si>
  <si>
    <t>A §3 Nr. 6 b) + c) +7 a) aa)</t>
  </si>
  <si>
    <t>A §4 Nr. 2 a)</t>
  </si>
  <si>
    <t>A §4 Nr. 4 a) bb)</t>
  </si>
  <si>
    <t>A §4 Nr. 1 b) + 3)</t>
  </si>
  <si>
    <t>A §4 Nr. 4 a) aa)+cc)+ee)</t>
  </si>
  <si>
    <t>* Sturmflut, Grundwasser
* Trockenheit oder Austrocknung
(nur Erdsenkung)</t>
  </si>
  <si>
    <t>oberflächennahe
geothermische Anlagen (z.B. Wärmepumpenanlagen mit Erdwärmekollektoren oder Erdwärmesonden),</t>
  </si>
  <si>
    <t>ja
auch oberflächennahe Geothermieanlage</t>
  </si>
  <si>
    <t>A § 6 Nr. 1 b)</t>
  </si>
  <si>
    <t>A §5 + §6 Nr. 1 f) + 3 c)dd)</t>
  </si>
  <si>
    <t>100 % VS
sowie
Feuerlöschkosten</t>
  </si>
  <si>
    <t>A §8 c) + d)</t>
  </si>
  <si>
    <t>A §8 a) + b)</t>
  </si>
  <si>
    <t>A §8 e)</t>
  </si>
  <si>
    <t>10 % VS</t>
  </si>
  <si>
    <t>30 % VS</t>
  </si>
  <si>
    <t>1 % VS
nur Feuer</t>
  </si>
  <si>
    <t>A §8 h)</t>
  </si>
  <si>
    <t>A §8 i)</t>
  </si>
  <si>
    <t>A §8 k)</t>
  </si>
  <si>
    <t>A §8 l)</t>
  </si>
  <si>
    <t>A §8 c) + d) +m)</t>
  </si>
  <si>
    <t>1 % VS
bei Schäden &gt; 5.000 €
min 4 T / Max 6 W</t>
  </si>
  <si>
    <t>A §8 n)</t>
  </si>
  <si>
    <t>A §8 o)</t>
  </si>
  <si>
    <t>auch an Dächern</t>
  </si>
  <si>
    <t>A §8 p)</t>
  </si>
  <si>
    <t>1 % VS mit 10 % SB
auch an versicherten Sachen</t>
  </si>
  <si>
    <t>1 % VS
auch an versicherten Sachen</t>
  </si>
  <si>
    <t>A §8 q)</t>
  </si>
  <si>
    <t>350 €</t>
  </si>
  <si>
    <t>A §8 r)</t>
  </si>
  <si>
    <t>A §8 s)</t>
  </si>
  <si>
    <t>1 % VS
Haarwild
nach § 2 Abs. 1  Nr.1  BJG</t>
  </si>
  <si>
    <t>A §8 t)</t>
  </si>
  <si>
    <t>1 % VS
nur mit dem Gebäude fest verbundenen (S)</t>
  </si>
  <si>
    <t>A §8 u)</t>
  </si>
  <si>
    <t>A §8 v)</t>
  </si>
  <si>
    <t>10 % VS
mind. 50.000 €</t>
  </si>
  <si>
    <t>A §9 Nr. 1 a) + 2</t>
  </si>
  <si>
    <t>30 % VS
mind. 50.000 €</t>
  </si>
  <si>
    <t>100 % VS
mind. 50.000 €</t>
  </si>
  <si>
    <t>A §14 Nr. 1  b)</t>
  </si>
  <si>
    <t>A §9 Nr. 3</t>
  </si>
  <si>
    <t>100 % VS
auch verfliesten und verfugten Bereichen, unmittelbar mit dem Rohrsystem verbunden</t>
  </si>
  <si>
    <t xml:space="preserve">bis 12 Monate
auch für gewerbliche Räume </t>
  </si>
  <si>
    <t>A §10 Nr. 2 und 1 d)</t>
  </si>
  <si>
    <t>A1 §11 Abs.1 a)</t>
  </si>
  <si>
    <t>A1 §11 Abs.1 a) aa)+bb)</t>
  </si>
  <si>
    <t>A1 §11 Abs.1 a) dd)</t>
  </si>
  <si>
    <t xml:space="preserve">* Schätzung Bausachverständiger
* Neubauwert des BJ
* Wert gemäß Antragsfragen
</t>
  </si>
  <si>
    <t>A1 §12 Abs.1 + 2</t>
  </si>
  <si>
    <t>A1 §11 Abs.1 a) dd)  § 12 Nr. 2 c)</t>
  </si>
  <si>
    <t>Gothaer 1914</t>
  </si>
  <si>
    <t>Gebäudealter 
 0 -40,0 %
  1 -38,0 % 
  2 -36,0 % 
je Jahr - 2%
18 -4,0 %
19 -2,0 %
20 0,0 %
21 2,0 %
je Jahr + 2 %
30 20,0 %
31 21,0 %
je Jahr + 1 %
44 34,0 % 
ab 45 35,0 %</t>
  </si>
  <si>
    <r>
      <t xml:space="preserve">
Wert 1914
Die Versicherungssumme ist nach dem ortsüblichen Neubauwert (siehe A § 11) zu ermitteln, der in den Preisen des Jahres 1914 ausgedrückt wird (Versicherungssumme „Wert 1914“).
Die Versicherungssumme gilt als richtig ermittelt, wenn
a) sie aufgrund einer vom Versicherer anerkannten S</t>
    </r>
    <r>
      <rPr>
        <b/>
        <sz val="10"/>
        <rFont val="Arial"/>
        <family val="2"/>
      </rPr>
      <t xml:space="preserve">chätzung eines Bausachverständigen </t>
    </r>
    <r>
      <rPr>
        <sz val="10"/>
        <rFont val="Arial"/>
        <family val="2"/>
      </rPr>
      <t xml:space="preserve">festgesetzt wird
b) der Versicherungsnehmer im Antrag den </t>
    </r>
    <r>
      <rPr>
        <b/>
        <sz val="10"/>
        <rFont val="Arial"/>
        <family val="2"/>
      </rPr>
      <t>Neubauwert in Preisen eines anderen Jahres</t>
    </r>
    <r>
      <rPr>
        <sz val="10"/>
        <rFont val="Arial"/>
        <family val="2"/>
      </rPr>
      <t xml:space="preserve"> zutreffend angibt und der Versicherer diesen Betrag umrechnet
c) der Versicherungsnehmer </t>
    </r>
    <r>
      <rPr>
        <b/>
        <sz val="10"/>
        <rFont val="Arial"/>
        <family val="2"/>
      </rPr>
      <t>Antragsfragen</t>
    </r>
    <r>
      <rPr>
        <sz val="10"/>
        <rFont val="Arial"/>
        <family val="2"/>
      </rPr>
      <t xml:space="preserve"> nach Größe, Ausbau und Ausstattung des Gebäudes zutreffend beantwortet und der Versicherer hiernach die Versicherungssumme „Wert 1914“ berechnet.</t>
    </r>
  </si>
  <si>
    <t>A §12 Nr. 12 a)+c)</t>
  </si>
  <si>
    <t>A §12 Nr. 12 b)</t>
  </si>
  <si>
    <t>bis 5.000 €
nicht für Gefahrenerhöhung</t>
  </si>
  <si>
    <t xml:space="preserve">A §12 Nr. 12 b) + 13 </t>
  </si>
  <si>
    <t xml:space="preserve">A §16  Nr. 6 </t>
  </si>
  <si>
    <t>bei Schäden &gt; 25.000 € 
100% VS</t>
  </si>
  <si>
    <t>A §16  Nr. 6 b)+c)</t>
  </si>
  <si>
    <t>A §18 Nr. 1 b)</t>
  </si>
  <si>
    <t>B §8 Nr. 1  a) aa)</t>
  </si>
  <si>
    <t>C Klausel 7066</t>
  </si>
  <si>
    <t>Klausel 7073</t>
  </si>
  <si>
    <t>A § 6 Nr. 1 d)+e)  + Klausel 7069</t>
  </si>
  <si>
    <t>Garantie-Paket</t>
  </si>
  <si>
    <t>A §8 j)
A §8 j)
Extra-Services</t>
  </si>
  <si>
    <t>Klausel 7080
Klausel 7073
A §8 j)
A §8 w)
Extra-Services</t>
  </si>
  <si>
    <t>Gothaer Basis qm</t>
  </si>
  <si>
    <t>Gothaer Top qm</t>
  </si>
  <si>
    <t>Gothaer Premium qm</t>
  </si>
  <si>
    <t>auch Mehrfamilienhäuser</t>
  </si>
  <si>
    <t>Tarifrechner + A § 6 Nr. 1 a)</t>
  </si>
  <si>
    <t>Tarifrechner + A § 6 Nr. 1 d)</t>
  </si>
  <si>
    <t>gegen Zuschlag
1.500 € 
5.000 €
10.000 €
je nach gewählter Klausel 
Dichtnachweis 5 Jahre Nachlass</t>
  </si>
  <si>
    <t>C Klausel 7049, 7051, 7071
+ Tarifrechner</t>
  </si>
  <si>
    <t>D BPV Klausel 7043
Tarifrechner</t>
  </si>
  <si>
    <t>A1 §11 Abs.1 a) aa)</t>
  </si>
  <si>
    <t>A1 §12 Abs.1 a)</t>
  </si>
  <si>
    <t>bei Schäden &gt; 25.000 € 
500.000 €</t>
  </si>
  <si>
    <t>kein Unterversicherungsverzicht</t>
  </si>
  <si>
    <t>A1 §12 Abs.4</t>
  </si>
  <si>
    <t xml:space="preserve">gegen Zuschlag </t>
  </si>
  <si>
    <t>Tarifrechner + LÜ</t>
  </si>
  <si>
    <t>Tarifrechner + LÜ + A § 6 Nr. 1 d)</t>
  </si>
  <si>
    <t>B §2 Nr. 1 + Tarifrechner</t>
  </si>
  <si>
    <t>unverzüglich</t>
  </si>
  <si>
    <t>A § 6 Nr. 1 c) + Klausel 7069</t>
  </si>
  <si>
    <t>500.000 €
sowie
Feuerlöschkosten</t>
  </si>
  <si>
    <t>150.000 €</t>
  </si>
  <si>
    <t>500.000 €</t>
  </si>
  <si>
    <t>A §12 Nr. 1  d)</t>
  </si>
  <si>
    <t>Mehrkosten Technologiefortschritt
(mangels gleicher Art und Güte)</t>
  </si>
  <si>
    <t>A §11 Nr. 1</t>
  </si>
  <si>
    <t>Verkehrsicherungsmaßnahmen</t>
  </si>
  <si>
    <t>C 22</t>
  </si>
  <si>
    <t xml:space="preserve">A §7 Abs.1 a) +b) + C 11 </t>
  </si>
  <si>
    <t>B3 zu B1 §8 Nr. 16</t>
  </si>
  <si>
    <t>B3 zu B1 §8 Nr. 1 b) + 10</t>
  </si>
  <si>
    <t>A §8 m)</t>
  </si>
  <si>
    <t>5.000 €
nur Feuer</t>
  </si>
  <si>
    <t>5.000 €
bei Schäden &gt; 5.000 €
min 4 T / Max 6 W</t>
  </si>
  <si>
    <t>5.000 €
min 4 T / Max 6 W</t>
  </si>
  <si>
    <t>1 % VS
min 4 T / Max 6 W</t>
  </si>
  <si>
    <t>D Klausel 7045 §2 §5 1b)
D Klausel 7044</t>
  </si>
  <si>
    <t>D Klausel 7044 §2 Nr. 2</t>
  </si>
  <si>
    <t>gegen Zuschlag
"UG-Deckung"
100.000 €
SB 250 €</t>
  </si>
  <si>
    <t>5.000 €
Haarwild
nach § 2 Abs. 1  Nr.1  BJG</t>
  </si>
  <si>
    <t>5.000 € mit 10 % SB
auch an versicherten Sachen</t>
  </si>
  <si>
    <t>5.000 € 
auch an versicherten Sachen</t>
  </si>
  <si>
    <t>5.000 €
nur mit dem Gebäude fest verbundenen (S)</t>
  </si>
  <si>
    <t>500.000 €
auch an versicherten Sachen</t>
  </si>
  <si>
    <t>500.000 €
auch an Dächern</t>
  </si>
  <si>
    <t>500.000 €
nur Sengschäden</t>
  </si>
  <si>
    <t>500.000 €
auch verfliesten und verfugten Bereichen, unmittelbar mit dem Rohrsystem verbunden</t>
  </si>
  <si>
    <t>Aquarien und Wasserbetten
sonst 500.000 €</t>
  </si>
  <si>
    <t xml:space="preserve">Tarifrechner </t>
  </si>
  <si>
    <t>VGB 2019  GNW
Stand 2019-01</t>
  </si>
  <si>
    <t>aktuell
(geprüft am 14.03.2019)</t>
  </si>
  <si>
    <t>VGB 2019  WEZ
Stand 2019-01</t>
  </si>
  <si>
    <t>Gothaer Basis 1914</t>
  </si>
  <si>
    <t>Gothaer Top 1914</t>
  </si>
  <si>
    <t>Gothaer Premium 1914</t>
  </si>
  <si>
    <t>aktuell
(geprüft am 014.03.2019)</t>
  </si>
  <si>
    <t>VGB 2011 | BWE 2011
Stand 07-2019</t>
  </si>
  <si>
    <t>VGB 2011 | BWE 2011
Stand 07-2018</t>
  </si>
  <si>
    <t>LÜ
ZB §22</t>
  </si>
  <si>
    <t>BB zur Konditionsdifferenzdeckung LÜ</t>
  </si>
  <si>
    <t>* Home-Service | Vermittlung von Handwerkern
* Transport- und Lagerkosten bis 12 Monate</t>
  </si>
  <si>
    <r>
      <t xml:space="preserve">* Home-Service | Vermittlung von Handwerkern
</t>
    </r>
    <r>
      <rPr>
        <u/>
        <sz val="7"/>
        <rFont val="Arial"/>
        <family val="2"/>
      </rPr>
      <t xml:space="preserve">gegen Zuschlag </t>
    </r>
    <r>
      <rPr>
        <sz val="7"/>
        <rFont val="Arial"/>
        <family val="2"/>
      </rPr>
      <t xml:space="preserve">
* Konditionsdifferenzdeckung</t>
    </r>
  </si>
  <si>
    <t>Wartezeit 14 Tage
10% des Schadens; min. 250 €; max. 5.000 €</t>
  </si>
  <si>
    <t>BWE §10 + KB</t>
  </si>
  <si>
    <t>Sturmflut, Grundwasser, Überschwemmung infolge Ausuferung stehender oder fließender Gewässer</t>
  </si>
  <si>
    <t>BWE §2 + Klauselbogen</t>
  </si>
  <si>
    <r>
      <rPr>
        <b/>
        <sz val="7"/>
        <rFont val="Arial"/>
        <family val="2"/>
      </rPr>
      <t>Elementar I:</t>
    </r>
    <r>
      <rPr>
        <sz val="7"/>
        <rFont val="Arial"/>
        <family val="2"/>
      </rPr>
      <t xml:space="preserve">
Überschwemmung durch Witterungsniederschläge, Rückstau, Erdbeben, Erdsenkung, Erdrutsch, Schneedruck, Lawinen, Vulkanausbruch
</t>
    </r>
    <r>
      <rPr>
        <b/>
        <sz val="7"/>
        <rFont val="Arial"/>
        <family val="2"/>
      </rPr>
      <t>Elementar II:</t>
    </r>
    <r>
      <rPr>
        <sz val="7"/>
        <rFont val="Arial"/>
        <family val="2"/>
      </rPr>
      <t xml:space="preserve">
Elementar I + Überschwemmung infolge Ausuferung oberirdischer Gewässer
(max. VS bzw. 2.500.000 €)</t>
    </r>
  </si>
  <si>
    <t>ZB §36</t>
  </si>
  <si>
    <t>BB §21</t>
  </si>
  <si>
    <t>A: §15 b) + B: §10 Ziff. 2 c)</t>
  </si>
  <si>
    <t>unverzügliche Anzeige</t>
  </si>
  <si>
    <t>ZB §26 und §27</t>
  </si>
  <si>
    <t>ZB §23</t>
  </si>
  <si>
    <t>ZB §9</t>
  </si>
  <si>
    <t>PVA 2010</t>
  </si>
  <si>
    <t>ZB §28 und §29</t>
  </si>
  <si>
    <t>A: §9 Ziff. 2. + BB §19</t>
  </si>
  <si>
    <t>bis 36 Monate
(gewerbliche Räume bis 12 Monate max. 12.000 €)</t>
  </si>
  <si>
    <t>ZB §19</t>
  </si>
  <si>
    <t>BB §15</t>
  </si>
  <si>
    <t>ZB §20</t>
  </si>
  <si>
    <t>ZB §17</t>
  </si>
  <si>
    <t>BB §16 Ziff. 2. und 3.</t>
  </si>
  <si>
    <t>BB §16 Ziff. 1. und 3.</t>
  </si>
  <si>
    <t>ZB §2 + §18</t>
  </si>
  <si>
    <t>Bäume bis 10.000 € nach Blitzschlag oder Sturm
Gartenanlagen bis 2.500 € nach ersatzpflichtigem Feuerschaden
(Jungpflanzen)</t>
  </si>
  <si>
    <t>ZB §18</t>
  </si>
  <si>
    <t>ZB §24</t>
  </si>
  <si>
    <t>A: §13 Ziff. 6.</t>
  </si>
  <si>
    <t>ZB §16</t>
  </si>
  <si>
    <t>bis 10.000 €
bei Schäden &gt; 25.000 €</t>
  </si>
  <si>
    <t>A: §8 Ziff. 4.</t>
  </si>
  <si>
    <t>BB §14</t>
  </si>
  <si>
    <t>A: §8 Ziff. 1. a)</t>
  </si>
  <si>
    <t>ZB § 15</t>
  </si>
  <si>
    <t>bis 10.000 €
(max. 20.000 € pro Jahr)</t>
  </si>
  <si>
    <t>A: §7 Ziff. 1. + 2. + BB §12, §13</t>
  </si>
  <si>
    <t>B: §13</t>
  </si>
  <si>
    <t>ZB §38</t>
  </si>
  <si>
    <t>Inklusiv-Leistungen
(kein Schutzbrief)
* Entfernung von Nestern (Hornissen/Wespen/Bienen)</t>
  </si>
  <si>
    <t>ZB §37</t>
  </si>
  <si>
    <t>bis 5.000 €
Bissschäden wildlebender Tiere</t>
  </si>
  <si>
    <t>A: §1 Ziff. 2. b) + BB §2</t>
  </si>
  <si>
    <t>Innere Unruhen</t>
  </si>
  <si>
    <t>ZB §33</t>
  </si>
  <si>
    <t>bis 10.000 €
(SB 500 €)</t>
  </si>
  <si>
    <t>ZB §34</t>
  </si>
  <si>
    <t>ZB §35</t>
  </si>
  <si>
    <t>ZB §12</t>
  </si>
  <si>
    <t>bis 2.500 €
Schilder eines Gewerbebetriebes, Lampen, Briefkästen,
Klingelanlagen, Markisen, Sonnensegel, Dachrinnen,
Wetterhähnen, Wetterfahnen, Fensterläden und Vordächer</t>
  </si>
  <si>
    <t>A: §4 Ziff. 4. a) bb)</t>
  </si>
  <si>
    <t>A: §4 Ziff. 2.</t>
  </si>
  <si>
    <t>ZB §4</t>
  </si>
  <si>
    <t>ZB §6</t>
  </si>
  <si>
    <t>BB §8</t>
  </si>
  <si>
    <t xml:space="preserve">Zuleitungsrohren der Wasserversorgung
oder an den Rohren der Warmwasserheizungs-, Dampfheizungs-,
Klima-, Wärmepumpen- oder Solarheizungsanlagen </t>
  </si>
  <si>
    <t xml:space="preserve">bis 10.000 €
Zuleitungsrohren der Wasserversorgung
oder an den Rohren der Warmwasserheizungs-, Dampfheizungs-,
Klima-, Wärmepumpen- oder Solarheizungsanlagen </t>
  </si>
  <si>
    <t>ZB §8</t>
  </si>
  <si>
    <t>ZB §3</t>
  </si>
  <si>
    <t>ZB §5 + ZB §11</t>
  </si>
  <si>
    <t>A: §3 Ziff. 2. + BB §7</t>
  </si>
  <si>
    <t>ja
darüber hinaus Rohre die nicht der Versorgung versicherter Gebäude dienen bis 10.000 €
(keine Gasrohre)</t>
  </si>
  <si>
    <t>ZB §11</t>
  </si>
  <si>
    <t>ZB §7</t>
  </si>
  <si>
    <t>A: §3 Ziff. 1. und 3. + BB §10</t>
  </si>
  <si>
    <t>Klauselbogen + Tarifrechner</t>
  </si>
  <si>
    <t>A: §3 Ziff. 1. a) cc)</t>
  </si>
  <si>
    <t>A: §3 Ziff. 1. b) bb)</t>
  </si>
  <si>
    <t>A: §3 Ziff. 1. a) bb)</t>
  </si>
  <si>
    <t>ZB §10 Ziff. 2. und 3.</t>
  </si>
  <si>
    <t>ZB §10 Ziff. 1. und 3.</t>
  </si>
  <si>
    <t>A: §3 Ziff. 1. b) aa)</t>
  </si>
  <si>
    <t>A: §3 Ziff. 1. a) aa) + BB §9</t>
  </si>
  <si>
    <t>A: §3 Ziff. 1. a) aa)</t>
  </si>
  <si>
    <t>A: §3 Ziff. 4. a) aa)</t>
  </si>
  <si>
    <t>A: §3 Ziff. 3.</t>
  </si>
  <si>
    <t>A: §3 Ziff. 4. a) bb)</t>
  </si>
  <si>
    <t>Tarifrechner</t>
  </si>
  <si>
    <t>A: §3 Ziff. 1.</t>
  </si>
  <si>
    <t>Bruchschäden an Bad- und Duschabdichtungen sofern ursächlich für versicherten Nässeschaden</t>
  </si>
  <si>
    <t>BWE §11 a) bb)</t>
  </si>
  <si>
    <t>ja in überflutungsgefährdeten Räumen 
(inkl. Funktionsbereithaltung)</t>
  </si>
  <si>
    <t>A: §1 Ziff. 1 + BB §1 Ziff. 1.</t>
  </si>
  <si>
    <t xml:space="preserve">Luftfahrzeuge (inkl. Teile, Ladung) sowie Schienen, Straßen- oder Wassersportfahrzeugen </t>
  </si>
  <si>
    <t>A: §2 + BB §5 Ziff. 1. und 3.</t>
  </si>
  <si>
    <t>A: §2 Ziff. 4.1.</t>
  </si>
  <si>
    <t>ZB § 1</t>
  </si>
  <si>
    <t>A: §2 Ziff. 3 + BB §3</t>
  </si>
  <si>
    <t xml:space="preserve">ja
auch Stromschwankungen und Kurzschluss ohne Blitzschlag </t>
  </si>
  <si>
    <t>A: §2 Ziff. 5. d) + BB §4</t>
  </si>
  <si>
    <t>A: §2 Ziff. 5. b) + BB §6 Ziff. 3.</t>
  </si>
  <si>
    <t>A: §2 Ziff. 2. + BB §6 Ziff. 1. und 2.</t>
  </si>
  <si>
    <t>A: §2 + BB §5 Ziff. 1. und 2.</t>
  </si>
  <si>
    <t>A: §1 Ziff. 1 + §2 Ziff. 4.2.</t>
  </si>
  <si>
    <t>BBGL 2011</t>
  </si>
  <si>
    <t>gegen Zuschlag 
"Glasversicherung"</t>
  </si>
  <si>
    <t>A: §5 Ziff. 3. a) + BB §11</t>
  </si>
  <si>
    <t>A: §5 Ziff. 2. c)</t>
  </si>
  <si>
    <t>A: §5 Ziff. 1. + Tarifrechner</t>
  </si>
  <si>
    <t>A: §5 Ziff. 1.</t>
  </si>
  <si>
    <t>kleinere Nebengebäude wie z. B. Garten-, Geräte-
und Gewächshäuser bis zu einem max. Gesamtwert
(Neuwert) von 10.000 €
(darüber hinaus nur nach besonderer Vereinbarung)</t>
  </si>
  <si>
    <t>Verbraucherinfo Wohnfläche</t>
  </si>
  <si>
    <t>A: §24</t>
  </si>
  <si>
    <t>A: §10 Ziff. 1. a)</t>
  </si>
  <si>
    <t>BB §25</t>
  </si>
  <si>
    <t>VGB; A; §2, Ziff. 2.2</t>
  </si>
  <si>
    <t>nur Fahrzeuge
nicht an Zäunen und Wegen</t>
  </si>
  <si>
    <t>auch an den Anlagen</t>
  </si>
  <si>
    <t>ja
(keine Gasrohre)</t>
  </si>
  <si>
    <t>Zuleitungsrohren der Wasserversorgung
Rohren der Warmwasser- und Dampfheizung
Rohren der Klima-, Wärmepumpen und Solarheizungen
Rohren der Gasversorgung
(der Versorgung versicherter 
Gebäude dienend)</t>
  </si>
  <si>
    <t>VGB; A; §3, Ziff. 2 c + b)</t>
  </si>
  <si>
    <t>bis 1.000 € (150 € SB)
(nur innerhalb Gebäude)</t>
  </si>
  <si>
    <r>
      <t xml:space="preserve">bis 5.000 € 
bis Gebäudealter 26 J. 
(zw. 11-26 J. mit 20% SB), 
bei Vertragsbeginn
</t>
    </r>
    <r>
      <rPr>
        <b/>
        <u/>
        <sz val="7"/>
        <rFont val="Arial"/>
        <family val="2"/>
      </rPr>
      <t>oder</t>
    </r>
    <r>
      <rPr>
        <sz val="7"/>
        <rFont val="Arial"/>
        <family val="2"/>
      </rPr>
      <t xml:space="preserve"> uneingeschränkt nach Dichtigkeitsprüfung DIN 1986</t>
    </r>
  </si>
  <si>
    <t>A §5 Nr. 5 + 3 + 2</t>
  </si>
  <si>
    <t>VGB; A; §6, Ziff. 2 d) aa)</t>
  </si>
  <si>
    <t>bis 100 Tage
(max. 100 € pro Tag)
wenn kein Mietausfall gefordert wird</t>
  </si>
  <si>
    <t>im Rahmen der Entschädigung für die Entfernung umgestürzter Bäume
* junge Triebe 
Bäume, Hecken und Sträucher</t>
  </si>
  <si>
    <t>A §8  Nr. 2</t>
  </si>
  <si>
    <t>VGB; A; §9, Ziff. 3 a) dd)</t>
  </si>
  <si>
    <t>VGB; A; §9, Ziff. 5</t>
  </si>
  <si>
    <t>24 Monate
auch für gewerbliche Räume 
nicht aber produzierendes Gewerbe</t>
  </si>
  <si>
    <t>500.000 €
zusätzlich auf erstes Risiko</t>
  </si>
  <si>
    <r>
      <t xml:space="preserve">Die Wohnfläche ist die Summe der </t>
    </r>
    <r>
      <rPr>
        <b/>
        <sz val="10"/>
        <rFont val="Arial"/>
        <family val="2"/>
      </rPr>
      <t xml:space="preserve">Gesamtgrundfläche aller Räume </t>
    </r>
    <r>
      <rPr>
        <sz val="10"/>
        <rFont val="Arial"/>
        <family val="2"/>
      </rPr>
      <t xml:space="preserve">
(Innenmaß ohne Innenwände, kein Abzug für Dachschrägen) des Hauses </t>
    </r>
    <r>
      <rPr>
        <b/>
        <sz val="10"/>
        <rFont val="Arial"/>
        <family val="2"/>
      </rPr>
      <t>und</t>
    </r>
    <r>
      <rPr>
        <sz val="10"/>
        <rFont val="Arial"/>
        <family val="2"/>
      </rPr>
      <t xml:space="preserve"> der zu Wohn- bzw. Gewerbezwecken genutzten </t>
    </r>
    <r>
      <rPr>
        <b/>
        <sz val="10"/>
        <rFont val="Arial"/>
        <family val="2"/>
      </rPr>
      <t>Nebengebäude.</t>
    </r>
    <r>
      <rPr>
        <sz val="10"/>
        <rFont val="Arial"/>
        <family val="2"/>
      </rPr>
      <t xml:space="preserve"> 
Zur Wohnfläche zählen auch 
Arbeitszimmer, gewerblich und beruflich genutzte Räume, Hobbyräume</t>
    </r>
    <r>
      <rPr>
        <b/>
        <sz val="10"/>
        <rFont val="Arial"/>
        <family val="2"/>
      </rPr>
      <t xml:space="preserve"> und Wintergärten.</t>
    </r>
    <r>
      <rPr>
        <sz val="10"/>
        <rFont val="Arial"/>
        <family val="2"/>
      </rPr>
      <t xml:space="preserve"> 
Vorhandene </t>
    </r>
    <r>
      <rPr>
        <b/>
        <sz val="10"/>
        <rFont val="Arial"/>
        <family val="2"/>
      </rPr>
      <t>Kellerräume</t>
    </r>
    <r>
      <rPr>
        <sz val="10"/>
        <rFont val="Arial"/>
        <family val="2"/>
      </rPr>
      <t xml:space="preserve"> (auch Hanglage) sind grundsätzlich, unabhängig von der Nutzung, </t>
    </r>
    <r>
      <rPr>
        <b/>
        <sz val="10"/>
        <rFont val="Arial"/>
        <family val="2"/>
      </rPr>
      <t>mit 20 %</t>
    </r>
    <r>
      <rPr>
        <sz val="10"/>
        <rFont val="Arial"/>
        <family val="2"/>
      </rPr>
      <t xml:space="preserve"> der Grundfläche zu berechnen. 
Zur Wohnfläche zählen nicht 
</t>
    </r>
    <r>
      <rPr>
        <sz val="10"/>
        <color rgb="FFFF0000"/>
        <rFont val="Arial"/>
        <family val="2"/>
      </rPr>
      <t>Treppen, Balkone,Loggien, Terrassen, 
Garagen, Carports 
und sonstige nicht ausgebaute Räume.</t>
    </r>
  </si>
  <si>
    <t>A §12 Nr. 11 + 9 a)</t>
  </si>
  <si>
    <t>A §16 e)</t>
  </si>
  <si>
    <t>* Sturmflut, Grundwasser
(Schäden im Freien an beweglichen Sachen)</t>
  </si>
  <si>
    <t>B §10  (BWE 2008)</t>
  </si>
  <si>
    <t>B §2  (BWE 2008)</t>
  </si>
  <si>
    <t>B §11  (BWE 2008)</t>
  </si>
  <si>
    <t>ja
(nicht für Elementar)</t>
  </si>
  <si>
    <t>C §15 Nr. 3</t>
  </si>
  <si>
    <t>aktuell
(geprüft am 15.03.2019)</t>
  </si>
  <si>
    <t>A §6, Nr. 2 c)</t>
  </si>
  <si>
    <t>B §12 Nr. 1</t>
  </si>
  <si>
    <t>Interlloyd</t>
  </si>
  <si>
    <t>kompletten Erneuerung des Rohrleitungssystems (Zu- und
Ableitungen), der Heizungseinrichtungen, der sanitären Anlagen</t>
  </si>
  <si>
    <t>kompletten Erneuerung der elektrischen Leitungen</t>
  </si>
  <si>
    <t xml:space="preserve"> kompletten Erneuerung der Dacheindeckung</t>
  </si>
  <si>
    <t xml:space="preserve"> Abschlussjahr der ältesten Sanierungsarbeiten als Baujahr (sogenanntes technisches Baujahr)
zugrunde gelegt werden.
„Kernsanierung bedeutet, dass Dachstuhl, Mauern, Decken, Böden, Putz, Fenster und Türen in einen neuwertigen
Zustand versetzt wurden. Grundvoraussetzung ist zudem die komplette Erneuerung des Rohrleitungssystems (Zu- und
Ableitungen), der Heizungseinrichtungen, der sanitären Anlagen, der elektrischen Leitungen und der Dacheindeckung.“
Modernisierungs- oder Renovierungsarbeiten sind für eine Prämieneinstufung nicht maßgeblich.</t>
  </si>
  <si>
    <t>Tarifbuch S.38</t>
  </si>
  <si>
    <t>Tarifbuch S.24+38 + A §11 Nr. 2</t>
  </si>
  <si>
    <t>gegen Zuschlag
bis 25.000 €</t>
  </si>
  <si>
    <t>A §6 Nr. 3 a) + Tarifbuch S 38</t>
  </si>
  <si>
    <t>Überschwemmung, Rückstau,
Erdbeben, Erdsenkung, Erdrutsch,
Schneedruck, Lawinen,
Vulkanausbruch
Wartezeit 4 Wochen 
ZÜRS 1
10% des Schadens
 min. 500€, max. 5.000 €
ZÜRS 2
20% des Schadens
 min. 1.000 €</t>
  </si>
  <si>
    <t>B §12  (BWE 2008) + Tarif S.38</t>
  </si>
  <si>
    <t>VGB; A; §3, Ziff. 3 + Tarifbuch S.39</t>
  </si>
  <si>
    <t>C §22 + Handbuch S. 41</t>
  </si>
  <si>
    <t>Handbuch S. 40</t>
  </si>
  <si>
    <t>GDV - keine Standangabe</t>
  </si>
  <si>
    <t>VGB; A; §2, Ziff. 2.3
(nur Sengschäden definiert)</t>
  </si>
  <si>
    <t>VGB; A; §2, Ziff. 1 c) (4?)
nur in Titel genannt</t>
  </si>
  <si>
    <t>gegen Zuschlag
bis 10.000 €
SB 250 €</t>
  </si>
  <si>
    <t>A; §2, Nr. 1 d) + 5 b)</t>
  </si>
  <si>
    <t xml:space="preserve">A; §2 </t>
  </si>
  <si>
    <t>250 € SB</t>
  </si>
  <si>
    <t>C; A Nr. 1</t>
  </si>
  <si>
    <t>A; §2, Nr. 6 b)</t>
  </si>
  <si>
    <t>auch Nutzfeuer
SB 250 €</t>
  </si>
  <si>
    <t xml:space="preserve">bis 10.000 €
(Kurzschluss u. Übersrom
nur als Folge eines Einschlag auf dem Grundstück) </t>
  </si>
  <si>
    <t>C; A Nr. 3 + A §2 Nr. 3 + 4</t>
  </si>
  <si>
    <t>C; A Nr. 4</t>
  </si>
  <si>
    <t>C; A Nr. 2</t>
  </si>
  <si>
    <t>Luftfahrzeuge (o. UFK) / Teile / Ladung
sowie Straßen- / Schienen- und Wasserfahrzeugen
500.000 €</t>
  </si>
  <si>
    <t>A; §2, Nr. 1 e)</t>
  </si>
  <si>
    <t>Tarifbuch S.49</t>
  </si>
  <si>
    <t>nicht erwähnt im TB</t>
  </si>
  <si>
    <t>A; §3, Nr. 1 a) aa)</t>
  </si>
  <si>
    <t>A; §3, Nr. 1 a) bb)</t>
  </si>
  <si>
    <t>A; §3, Nr. 1 a) cc)</t>
  </si>
  <si>
    <t>A; §3, Nr. 1 b) aa)</t>
  </si>
  <si>
    <t>A; §3, Nr. 1 b) bb)</t>
  </si>
  <si>
    <t>A; §3, Nr. 2</t>
  </si>
  <si>
    <t>A; §3, Nr. 3</t>
  </si>
  <si>
    <t>ja
oder deren wasserführenden Teile</t>
  </si>
  <si>
    <t>A; §3, Nr. 4 a) bb)</t>
  </si>
  <si>
    <t>A; §3, Nr. 4 a) aa)</t>
  </si>
  <si>
    <t>A; §4 Nr. 2</t>
  </si>
  <si>
    <t>A; §4 Nr. 4 a) bb)</t>
  </si>
  <si>
    <t>A; §6, Ziff. 1</t>
  </si>
  <si>
    <t>A §6, Nr. 2 c) + d) bb) + 1</t>
  </si>
  <si>
    <t>A §6, Nr. 2 c) + C 8</t>
  </si>
  <si>
    <t>C; B Nr. 7</t>
  </si>
  <si>
    <t>C; B Nr. 7 + Tarifbuch</t>
  </si>
  <si>
    <t>nur gegen bes. Vereinbarung</t>
  </si>
  <si>
    <t>A; §5, Nr. 3 c)</t>
  </si>
  <si>
    <t>A; §8 Nr. 1 a) + b)</t>
  </si>
  <si>
    <t>A; §7 Nr. 1 c)</t>
  </si>
  <si>
    <t>bis 200 Tage
(max. 100 € pro Tag)
wenn kein Mietausfall gefordert wird</t>
  </si>
  <si>
    <t>A; §7 Nr. 1 d)</t>
  </si>
  <si>
    <t>25 % der VS max. 500.000 €
zusätzlich auf erstes Risiko</t>
  </si>
  <si>
    <t>A; §8 Nr. 1 a) + 2</t>
  </si>
  <si>
    <t>A; §8 Nr. 1 b) + 3</t>
  </si>
  <si>
    <t>A; §8 + C; C. Nr. 11.3</t>
  </si>
  <si>
    <t>A; §8</t>
  </si>
  <si>
    <t xml:space="preserve">12 Monate
gegen Zuschlag auch für 
gewerbliche Räume </t>
  </si>
  <si>
    <t>A; §9 Nr. 1 + 2 a) + 3</t>
  </si>
  <si>
    <t>VS 1914
Gleitender Neubauwert (GN)</t>
  </si>
  <si>
    <t>A; §10 Nr. 1 a) + 2</t>
  </si>
  <si>
    <t>GDV - keine Standangabe
AKBP - Stand 2015-07</t>
  </si>
  <si>
    <t>C; E 15 + Handbuch S. 50</t>
  </si>
  <si>
    <t>C; E 16 + Handbuch S. 50</t>
  </si>
  <si>
    <t>im Rahmen der Vandalismusschäden
250 € SB</t>
  </si>
  <si>
    <r>
      <t xml:space="preserve">VGB; A; §8, Ziff. 1 g) cc) 
</t>
    </r>
    <r>
      <rPr>
        <sz val="7"/>
        <color rgb="FFFF0000"/>
        <rFont val="Arial"/>
        <family val="2"/>
      </rPr>
      <t>Tarifbuch S.40 SB 500</t>
    </r>
  </si>
  <si>
    <t>A §11 Nr..1  + 3 a) + §13 Nr. 9</t>
  </si>
  <si>
    <t>A; §15, Nr. 6 + C; C 11.4</t>
  </si>
  <si>
    <t>90 Tage</t>
  </si>
  <si>
    <t>C; A Nr. 5</t>
  </si>
  <si>
    <t>Innere Unruhen, Streik oder Aussperrung
(keine Glasschäden)</t>
  </si>
  <si>
    <t xml:space="preserve">ja
auch
* Isolierkosten für radioaktiv verseuchte Sachen </t>
  </si>
  <si>
    <t>A; §7 Nr. 1 a) + b) + C; A Nr. 6</t>
  </si>
  <si>
    <t>Photovoltaikanlagen gegen Grundgefahren
(auf dem Dach)</t>
  </si>
  <si>
    <t>sowie
Feuerlöschkosten</t>
  </si>
  <si>
    <t>B §13 Nr. 1 a) + A; C 11.1</t>
  </si>
  <si>
    <t>C; C 11.2</t>
  </si>
  <si>
    <t>C; E Nr. 14</t>
  </si>
  <si>
    <t>VGB 2016 Classic
Stand 01-2016</t>
  </si>
  <si>
    <t>nur Frost
Sonstige Bruchschäden 1 % VS</t>
  </si>
  <si>
    <t>nur Frost
Sonstige Bruchschäden 5.000 €</t>
  </si>
  <si>
    <t>Handbuch S.48</t>
  </si>
  <si>
    <t>aktuell
(geprüft am 19.03.2019)</t>
  </si>
  <si>
    <t>D; A Nr. 1</t>
  </si>
  <si>
    <t>Tarifbuch S. 48 + 50</t>
  </si>
  <si>
    <t>D; A Nr. 2</t>
  </si>
  <si>
    <t>D; A Nr. 3 a)</t>
  </si>
  <si>
    <t>D; A Nr. 3 b)</t>
  </si>
  <si>
    <t>D; A Nr. 4</t>
  </si>
  <si>
    <t>Luftfahrzeuge o. UFK / Teile / Ladung</t>
  </si>
  <si>
    <t>Luftfahrzeuge (o. UFK) / Teile / Ladung
sowie Straßen- / Schienen- und Wasserfahrzeugen</t>
  </si>
  <si>
    <t>nur Marder und wildlebende Kleintiernager</t>
  </si>
  <si>
    <t>D; A Nr. 6</t>
  </si>
  <si>
    <t>D; A Nr. 7</t>
  </si>
  <si>
    <t>5.000 €
nur mit dem Gebäude fest verbundenen</t>
  </si>
  <si>
    <t>D; A Nr. 8 a) + c)</t>
  </si>
  <si>
    <t xml:space="preserve">D; B Nr.10 a) </t>
  </si>
  <si>
    <t>Lüftungsanlagen</t>
  </si>
  <si>
    <t xml:space="preserve">D; B Nr.10 d) </t>
  </si>
  <si>
    <t xml:space="preserve">D; B Nr.10 c) </t>
  </si>
  <si>
    <t>D; B Nr.10 e) + A; §3, Nr. 1 b) bb)</t>
  </si>
  <si>
    <t>D; B Nr.10 f) + A; §3, Nr. 1 b) aa)</t>
  </si>
  <si>
    <t>A; §3, Nr. 2 + D; B Nr.11</t>
  </si>
  <si>
    <t>D; B Nr.12</t>
  </si>
  <si>
    <t>A; §3, Nr. 2 + D; B Nr.12 a)</t>
  </si>
  <si>
    <t>D; B Nr.11</t>
  </si>
  <si>
    <t>A; §3, Nr. 3 + D; B Nr.13</t>
  </si>
  <si>
    <t xml:space="preserve">Rohren von Schwimmbecken </t>
  </si>
  <si>
    <t>D; B Nr.13</t>
  </si>
  <si>
    <t>A §6, Nr. 2 c) + D; C Nr. 16</t>
  </si>
  <si>
    <t>D; C Nr. 17 a) + Tarifbuch S.44</t>
  </si>
  <si>
    <t>A; §7 Nr. 1 d) + D; D Nr. 19</t>
  </si>
  <si>
    <t>D; D Nr. 19.1</t>
  </si>
  <si>
    <t>B §13 Nr. 1 a) + D; D Nr. 19.2</t>
  </si>
  <si>
    <t>D; D Nr. 19.3</t>
  </si>
  <si>
    <t>D; D Nr. 19.4</t>
  </si>
  <si>
    <t>im Rahmen der Vandalismusschäden
bis 5.000 € (250 € SB)</t>
  </si>
  <si>
    <t>D; D Nr. 19.6 a)</t>
  </si>
  <si>
    <t>D; D Nr. 19.6 b)</t>
  </si>
  <si>
    <t>5.000 € (s)</t>
  </si>
  <si>
    <t>D; D Nr. 19.7</t>
  </si>
  <si>
    <t>D; D Nr. 19.8</t>
  </si>
  <si>
    <t>A; §7 Nr. 1 a) + b) + D; A Nr. 9 + 19.9</t>
  </si>
  <si>
    <t>B2 zu B1 §8 Nr. 3 + 4 + 10</t>
  </si>
  <si>
    <t>B3 zu B1 §8 Nr. 3 + 4 + 10</t>
  </si>
  <si>
    <t>ja
auch
* Isolierkosten für radioaktiv verseuchte Sachen 
* vorläufige Schutzmaßnahmen SpRK</t>
  </si>
  <si>
    <t>A; §15, Nr. 6 + D; D 21</t>
  </si>
  <si>
    <t>A; §9 Nr. 1 + 2 a) + 3 + D; D Nr. 22</t>
  </si>
  <si>
    <t xml:space="preserve">Gebäudealter Altersfaktor für Prämienberechnung
 0   1,000
 1   1.048
 2   1,950
 3   1,139
 4   1,187
 5   1,234
 6   1,288
 7   1,337
 8   1,389
10  1,500
20  1,816
25  1,956
27   2,010
28   2,038
29   2,068
30+ 2,098 
Gilt für Classic / ProtectPlus </t>
  </si>
  <si>
    <t>D; F Nr. 25</t>
  </si>
  <si>
    <t>A §11 Nr..1  + 3 a) + §13 Nr. 9 
+ D; F Nr. 26</t>
  </si>
  <si>
    <t>D; C Nr. 15
D; D Nr. 20
D; F Nr. 27</t>
  </si>
  <si>
    <t>* An- und Einbauküchen von Wohnungseigentümer</t>
  </si>
  <si>
    <t>aktuell
(geprüft am 20.03.2019)</t>
  </si>
  <si>
    <t>VGB 2016 ProtectPlus
Stand 01-2016</t>
  </si>
  <si>
    <t>A; §11 Nr. 3 c)</t>
  </si>
  <si>
    <t>bis zum Ende der Versicherungsperiode</t>
  </si>
  <si>
    <t>bis zum Ende der Versicherungsperiode
(erweiterbar für Neubauten von EFH/ZFH auf gleichem Grundstück)</t>
  </si>
  <si>
    <t>D; F Nr. 30 + Handbuch S. 45</t>
  </si>
  <si>
    <t>D; F Nr. 31 + Handbuch S. 45</t>
  </si>
  <si>
    <t>Handbuch S.43</t>
  </si>
  <si>
    <t xml:space="preserve">ja
(Kurzschluss u. Übersrom
nur als Folge eines Einschlag auf dem Grundstück) </t>
  </si>
  <si>
    <t>A §2 Nr. 3 + 4 + D; A fehlt</t>
  </si>
  <si>
    <t>Tarifbuch S.42 + 44</t>
  </si>
  <si>
    <t>Tarifbuch S. 43 + 45</t>
  </si>
  <si>
    <t>A; §8 + D; D. Nr. 20</t>
  </si>
  <si>
    <t>bis 1.000 € (150 € SB)
auch Regenwasserabl.
(nur innerhalb Gebäude)</t>
  </si>
  <si>
    <t>D; B Nr. 14 + Tarifbuch S. 45</t>
  </si>
  <si>
    <t>A; §6, Nr. 2 d)</t>
  </si>
  <si>
    <t>A; §6, Nr. 2 c)+ d)</t>
  </si>
  <si>
    <t>A; §6, Nr. 4</t>
  </si>
  <si>
    <t>A; §2, Nr. 1 e) + D; A Nr. 5</t>
  </si>
  <si>
    <t>A; §2, Nr. 1 e) + C; A Nr. 5</t>
  </si>
  <si>
    <t>C; A Nr. 3 a)</t>
  </si>
  <si>
    <t>C; A Nr. 3 b)</t>
  </si>
  <si>
    <t>C; A Nr. 2 b)</t>
  </si>
  <si>
    <t>A §2 Nr. 3 + 4 + C; A Nr. 2 a)</t>
  </si>
  <si>
    <t>Tarifbuch S.36</t>
  </si>
  <si>
    <t>Handbuch S.35</t>
  </si>
  <si>
    <t>A; §3, Nr. 3 + C; B Nr.13</t>
  </si>
  <si>
    <t>C; B Nr.13</t>
  </si>
  <si>
    <t>auch Lüftungsanlagen</t>
  </si>
  <si>
    <t>C; B Nr.10 f) + A; §3, Nr. 1 b) aa)</t>
  </si>
  <si>
    <t>(nur wenn ersatzpflichtiger Nässeschaden eintritt)</t>
  </si>
  <si>
    <t>nur Frost
Sonstige Bruchschäden bis 1.000 €
(nur wenn ersatzpflichtiger Nässseschaden eintritt)</t>
  </si>
  <si>
    <t>nur Frost
Sonstige Bruchschäden bis 500 €
(nur wenn ersatzpflichtiger Nässeschaden eintritt)</t>
  </si>
  <si>
    <t>C; B Nr.10 e) + A; §3, Nr. 1 b) bb)</t>
  </si>
  <si>
    <t xml:space="preserve">C; B Nr.10 a) </t>
  </si>
  <si>
    <t xml:space="preserve">C; B Nr.10 d) </t>
  </si>
  <si>
    <t xml:space="preserve">C; B Nr.10 c) </t>
  </si>
  <si>
    <t>A; §3, Nr. 2 + C; B Nr.11</t>
  </si>
  <si>
    <t>C; B Nr.12</t>
  </si>
  <si>
    <t>Nein</t>
  </si>
  <si>
    <t>C; C Nr.15 + A; §4 Nr. 2</t>
  </si>
  <si>
    <t>C; C Nr.16</t>
  </si>
  <si>
    <t>C; A Nr. 8</t>
  </si>
  <si>
    <t>C; E Nr. 18.9</t>
  </si>
  <si>
    <t>C; A Nr. 7</t>
  </si>
  <si>
    <t>C; A Nr. 6</t>
  </si>
  <si>
    <t>Tarifbuch S. 35 + 37</t>
  </si>
  <si>
    <t>B §12 Nr. 1 a) + C; E Nr. 18.13</t>
  </si>
  <si>
    <t>A; §8 Nr. 2</t>
  </si>
  <si>
    <t xml:space="preserve"> C; E Nr. 18.4</t>
  </si>
  <si>
    <t xml:space="preserve"> C; E Nr. 18.10</t>
  </si>
  <si>
    <t>A; §9 Nr. 1 a) + 2</t>
  </si>
  <si>
    <t>A; §9 Nr. 1 b) + 3</t>
  </si>
  <si>
    <t>A; §9</t>
  </si>
  <si>
    <t>A; §9 + C; E. Nr. 19 +20</t>
  </si>
  <si>
    <t>A; §14, Nr. 6 + C; E 21</t>
  </si>
  <si>
    <t>C; E Nr. 18.3</t>
  </si>
  <si>
    <t>C; E Nr. 18.8</t>
  </si>
  <si>
    <t>C; E Nr. 18.2</t>
  </si>
  <si>
    <t>bis 200 Tage
wenn kein Mietausfall gefordert wird</t>
  </si>
  <si>
    <t xml:space="preserve">bis 36 Monate
auch für gewerbliche Räume
wenn Objekt zu mind. 50% Wohnzweck  </t>
  </si>
  <si>
    <t>A; §10 Nr. 1 + 2 a) + e)</t>
  </si>
  <si>
    <t>ja
auch Regenwasserabl.
(nur innerhalb Gebäude)</t>
  </si>
  <si>
    <t>C; B Nr. 14</t>
  </si>
  <si>
    <t>nur Datenwiederherstellung</t>
  </si>
  <si>
    <t>C; E Nr. 18.11</t>
  </si>
  <si>
    <t>C; E Nr. 24</t>
  </si>
  <si>
    <t>C; F Nr. 22 + A; §11 Nr. 3 c)</t>
  </si>
  <si>
    <t>bis 100.000 €
bis zur nächsten HF</t>
  </si>
  <si>
    <t>* Schätzung Bausachverständiger
* Neubauwert des BJ
* Wert gemäß Antragsfragen</t>
  </si>
  <si>
    <t>A §12 Nr..9 b) + Tarifbuch S.36</t>
  </si>
  <si>
    <t>C; F Nr. 27 + Handbuch S. 37</t>
  </si>
  <si>
    <t>C; F Nr. 28 + Handbuch S. 37</t>
  </si>
  <si>
    <t>A §13 Abs.1 a) aa)</t>
  </si>
  <si>
    <t>ja
auch weitere versicherte Gefahren</t>
  </si>
  <si>
    <t>A; §6, Nr. 3 b)
C; E Nr. 18.6
C; F Nr. 25</t>
  </si>
  <si>
    <t>VGB 2016 Eurosecure Plus
Stand 01-2016</t>
  </si>
  <si>
    <t>unbegrenzt
(bis 500 qm)</t>
  </si>
  <si>
    <t xml:space="preserve">Tarifbuch S. 36 
VIB S.37 </t>
  </si>
  <si>
    <t>D; A Nr. 2 b)</t>
  </si>
  <si>
    <t>A §2 Nr. 3 + 4 + D; A Nr. 2 a)</t>
  </si>
  <si>
    <t>Tarifbuch S.332</t>
  </si>
  <si>
    <t>1.000 €
nur mit dem Gebäude fest verbundenen</t>
  </si>
  <si>
    <t>10.000 €
nur mit dem Gebäude fest verbundenen
(auch Heizöl)</t>
  </si>
  <si>
    <t>A; §8 Nr. 1 a) + b) +
 D; A Nr. 9 + F Nr.21,7</t>
  </si>
  <si>
    <t>A; §8 Nr. 1 a) + b) + 
C; A Nr. 9 + E Nr.18.5</t>
  </si>
  <si>
    <t xml:space="preserve"> C; F Nr. 21.6</t>
  </si>
  <si>
    <t>A; §3, Nr. 2 + C; B Nr.12 a)</t>
  </si>
  <si>
    <t>D; C Nr.16 + A; §4 Nr. 2</t>
  </si>
  <si>
    <t>D; C Nr.17</t>
  </si>
  <si>
    <t>undichte Silikonfugen der
Badewanne o Duschtasse</t>
  </si>
  <si>
    <t>A; §3, Nr. 4 bb) + D; B Nr.14</t>
  </si>
  <si>
    <t>A §5 Nr. 5 + 3 + 2 + D; D Nr.18</t>
  </si>
  <si>
    <t>A; §6, Nr. 2 c) + D; E Nr.19</t>
  </si>
  <si>
    <t>A; §6, Nr. 2 c) + C; D Nr. 17</t>
  </si>
  <si>
    <t>Handbuch S.31</t>
  </si>
  <si>
    <t>A; §8 Nr. 2 + D; F Nr. 21</t>
  </si>
  <si>
    <t>D; F Nr. 21.3</t>
  </si>
  <si>
    <t>VGB 2016 Infinitus
Stand 01-2016</t>
  </si>
  <si>
    <t>D; F Nr. 21.5</t>
  </si>
  <si>
    <t>D; F Nr. 21.9</t>
  </si>
  <si>
    <t>D; B Nr. 15</t>
  </si>
  <si>
    <t>D; F Nr. 21.11</t>
  </si>
  <si>
    <t>D; F Nr. 21.12</t>
  </si>
  <si>
    <t>D; F Nr. 21.13</t>
  </si>
  <si>
    <t>D; F Nr. 21.14</t>
  </si>
  <si>
    <t>D; F Nr. 21.15</t>
  </si>
  <si>
    <t>B §12 Nr. 1 a) + D; F Nr. 21.16</t>
  </si>
  <si>
    <t>50% 
bis  max. 20.000 €
Schäden &gt; 25.000€</t>
  </si>
  <si>
    <t xml:space="preserve"> C; F Nr. 22.1 + 22.2 b) + 22.2.2</t>
  </si>
  <si>
    <t xml:space="preserve"> C; F Nr. 22.1 + 22.2 </t>
  </si>
  <si>
    <t>A; §14, Nr. 6 + C; F 23</t>
  </si>
  <si>
    <t>D; G Nr. 24 + A; §11 Nr. 3 c)</t>
  </si>
  <si>
    <t>bis 36 Monate
auch für gewerbliche Räume
wenn Objekt zu mind. 50% Wohnzweck  
(auch bei Legionellen)</t>
  </si>
  <si>
    <t>A; §10 Nr. 1 + 2 a) + e) + D; G Nr. 26</t>
  </si>
  <si>
    <t>D; F Nr. 21.2</t>
  </si>
  <si>
    <t>Regiekosten 
Schäden &gt; 5.000 €</t>
  </si>
  <si>
    <t>D; G Nr. 28</t>
  </si>
  <si>
    <t>bis Schäden von 25.000 €</t>
  </si>
  <si>
    <t>D; G Nr. 29</t>
  </si>
  <si>
    <t>D; F Nr. 32</t>
  </si>
  <si>
    <t>D; G Nr. 34 + Handbuch S. 33</t>
  </si>
  <si>
    <t>D; G Nr. 35 + Handbuch S. 33</t>
  </si>
  <si>
    <t>korrekte Wohnflächenangabe
zulässige Abweichung  bis 15 % von der tatsächlichen Wohnfläche
bei leicht fahrlässiger Angabe</t>
  </si>
  <si>
    <t>A §12 Nr..9 b) + Tarifbuch S.32</t>
  </si>
  <si>
    <t>A; §6, Nr. 3 b)
D; F Nr. 21.3 + 21.4
D; F Nr. 21.8
D; F Nr. 21.10
D; G Nr. 25
D; G Nr. 30
D; G Nr. 31
D; I Nr. 39 3) + 2)</t>
  </si>
  <si>
    <t>B §22 Nr. 1 + BWE; E.; §2</t>
  </si>
  <si>
    <t>B §12  (BWE 2008) + Tarif S.48</t>
  </si>
  <si>
    <t>Überschwemmung, Rückstau,
Erdbeben, Erdsenkung, Erdrutsch,
Schneedruck, Lawinen,
Vulkanausbruch
Wartezeit 4 Wochen 
ZÜRS 1 + 2
 SB 1.000 €</t>
  </si>
  <si>
    <t>B §12  (BWE 2008)</t>
  </si>
  <si>
    <t>gegen Zuschlag
Deckung nach AGlB 2008</t>
  </si>
  <si>
    <t>Abschnitt G</t>
  </si>
  <si>
    <t>Abschnitt H</t>
  </si>
  <si>
    <t>Provinzial</t>
  </si>
  <si>
    <t>Provinzial Rundumschutz-Plus</t>
  </si>
  <si>
    <t>VGB; Ziff. 8 + 26.1.1</t>
  </si>
  <si>
    <t xml:space="preserve"> bis zum Schluss des folgenden Versicherungsjahres</t>
  </si>
  <si>
    <t>VGB; Ziff. 26.9.1.3</t>
  </si>
  <si>
    <t xml:space="preserve">- vom VR anerkannte Schätzung eines Bausachverständigen
- Berechnung der VS 1914 durch VR nach den zutreffenden Antworten auf die Antragsfra-
gen nach Größe, Ausbau und Ausstattung des Gebäudes 
- unverzügliche Anzeige von wertsteigernden Maßnahmen (spätestens bis zum Schluss des folgenden Versicherungsjahres) und Anpassung der VS nach den beiden zuvor genannten Punkten </t>
  </si>
  <si>
    <t>VGB; Ziff. 26.9.1</t>
  </si>
  <si>
    <t>bis 5.000 €
(darüber hinaus nur nach besonderer Vereinbarung)</t>
  </si>
  <si>
    <t>VGB; Ziff. 1.3.2 + 1.3.4</t>
  </si>
  <si>
    <t>VGB Plus; Ziff. 1 + 4 + WG 111</t>
  </si>
  <si>
    <t>WG 127 + WG 126</t>
  </si>
  <si>
    <t>VGB; Ziff. 4.1.1 + 5.4</t>
  </si>
  <si>
    <t>VGB; Ziff. 4.1.1 + 5.3</t>
  </si>
  <si>
    <t>Sengschäden an Fußbodenbelegen</t>
  </si>
  <si>
    <t>VGB Rundum; Ziff. 19</t>
  </si>
  <si>
    <t>VGB; Ziff. 4.1.1 + 5.2</t>
  </si>
  <si>
    <t>VGB; Ziff. 4.1.1 + 5.5</t>
  </si>
  <si>
    <t>Luftfahrzeuge (inkl. Teile, Ladung)</t>
  </si>
  <si>
    <t>VGB Rundum; Ziff. 18</t>
  </si>
  <si>
    <t>sofern vereinbart
bis 24 Monate</t>
  </si>
  <si>
    <t>WG 113</t>
  </si>
  <si>
    <t>BEW Ziff. 14.1</t>
  </si>
  <si>
    <t>VGB; Ziff. 6.1.2.1</t>
  </si>
  <si>
    <t>VGB; Ziff. 6.1.2.2</t>
  </si>
  <si>
    <t>VGB; Ziff. 6.1.2.3</t>
  </si>
  <si>
    <t>VGB; Ziff. 6.1.2.5</t>
  </si>
  <si>
    <t>VGB; Ziff. 6.4.2</t>
  </si>
  <si>
    <t>VGB; Ziff. 6.1.2.4</t>
  </si>
  <si>
    <t>VGB; Ziff. 6.4.1</t>
  </si>
  <si>
    <t>VGB; Ziff. 6.2.1.1</t>
  </si>
  <si>
    <t>nur Frost
Badeeinrichtungen, Waschbecken, Spülklosetts oder ähnlichen Installationen</t>
  </si>
  <si>
    <t>VGB; Ziff. 6.2.2.1</t>
  </si>
  <si>
    <t>nur Frost
Armaturen,
Wassermessern oder ähnlichen Installationen</t>
  </si>
  <si>
    <t>VGB Rundum; Ziff. 28.1</t>
  </si>
  <si>
    <t>VGB Rundum; Ziff. 28.2</t>
  </si>
  <si>
    <t>VGB; Ziff. 6.2.1.2 + 6.2.2.5</t>
  </si>
  <si>
    <t>nur Frost
Heizkörpern, Heizkesseln, Boilern oder an vergleichbaren
Teilen von Warmwasser- oder Dampfheizungsanlagen</t>
  </si>
  <si>
    <t>ja
(Folgeschäden an mit dem Rohrsystem verbundenen Einrichtungen wie z.B. Heizungsanlage bis 5.000 €)</t>
  </si>
  <si>
    <t>ja
(Folgeschäden an mit dem Rohrsystem verbundenen Einrichtungen wie z.B. Heizungsanlage bis 10.000 €)</t>
  </si>
  <si>
    <t>VGB; Ziff. 6.2.2.3</t>
  </si>
  <si>
    <t>VGB Rundum; Ziff. 26 + 28.1</t>
  </si>
  <si>
    <t>VGB Plus; Ziff. 11</t>
  </si>
  <si>
    <t>VGB; Ziff. 6.2.1.3 + 6.2.2.4</t>
  </si>
  <si>
    <t>VGB Rundum; Ziff. 24</t>
  </si>
  <si>
    <t>ja
darüber hinaus Rohre die nicht der Versorgung versicherter Gebäude dienen
(keine Gasrohre)</t>
  </si>
  <si>
    <t>VGB; Ziff. 6.3.1</t>
  </si>
  <si>
    <t>gegen Zuschlag
bis 2.500 € (max. 5.000 € im Jahr) mit Dichtigkeitsprüfung;
bis 500 € (max. 1.000 € im Jahr) ohne Dichtigkeitsprüfung</t>
  </si>
  <si>
    <t>Klausel WG 106 und WG 118</t>
  </si>
  <si>
    <t>VGB; Ziff. 6.3.2</t>
  </si>
  <si>
    <t>VGB; Ziff. 7.4.3</t>
  </si>
  <si>
    <t>bis 5.000 €
fest verbundenen Sachen (z. B. Briefkasten, Satellitenanlage, Smart Home- oder Einbruchmeldeanlagen inkl. deren Zubehör) und Wärmepumpen</t>
  </si>
  <si>
    <t>VGB Plus; Ziff. 6</t>
  </si>
  <si>
    <t>VGB Rundum; Ziff. 21 + 22</t>
  </si>
  <si>
    <t>WG 107</t>
  </si>
  <si>
    <t>VGB Plus; Ziff. 7; WG 107</t>
  </si>
  <si>
    <t>Inklusiv-Leistungen
(kein Schutzbrief)
* Entfernung von Nestern (Hornissen/Wespen/Bienen/Hummeln)</t>
  </si>
  <si>
    <t>VGB; Ziff. 2.1.6</t>
  </si>
  <si>
    <t>VGB; Ziff. 2.1.1 + 2.1.2 + 2.2</t>
  </si>
  <si>
    <t>VGB Rundum Ziff. 1 + 2</t>
  </si>
  <si>
    <t>VGB; Ziff. 26.3</t>
  </si>
  <si>
    <t>VGB; Ziff. 2.1.5</t>
  </si>
  <si>
    <t>VGB; Ziff. 8.1</t>
  </si>
  <si>
    <t>VGB Rundum; Ziff. 4</t>
  </si>
  <si>
    <t>VGB Rundum; Ziff. 15.1 + 15.3</t>
  </si>
  <si>
    <t>VGB Rundum; Ziff. 27</t>
  </si>
  <si>
    <t>ja
bei Schäden &gt;5.000 €</t>
  </si>
  <si>
    <t>VGB Rundum; Ziff. 11</t>
  </si>
  <si>
    <t>bis 12 Monate
(auch gewerbliche Räume)</t>
  </si>
  <si>
    <t>bis 24 Monate
(auch gewerbliche Räume)</t>
  </si>
  <si>
    <t>VGB; Ziff. 3</t>
  </si>
  <si>
    <t>VGB Rundum; Ziff. 6</t>
  </si>
  <si>
    <t>VGB Plus; Ziff. 10</t>
  </si>
  <si>
    <t>bis 5.000 €
(nur Daten)</t>
  </si>
  <si>
    <t>VGB; Ziff. 22</t>
  </si>
  <si>
    <t>BEW Ziff. 5</t>
  </si>
  <si>
    <t>BEW Ziff. 13</t>
  </si>
  <si>
    <t>Wartezeit 14 Tage
ab 500 €</t>
  </si>
  <si>
    <t>BEW Ziff. 3 + LÜ</t>
  </si>
  <si>
    <t>- Hypothekenzinsen ab 101. Tag 
(max. bis zu 24 Monaten nach dem Versicherungsfall)</t>
  </si>
  <si>
    <t>- Hypothekenzinsen ab 101. Tag 
(max. bis zu 24 Monaten nach dem Versicherungsfall)
- psychologische Erstbetreuung</t>
  </si>
  <si>
    <t>VGB Rundum; Ziff. 5</t>
  </si>
  <si>
    <t>VGB Rundum; Ziff. 5
VGB Plus; Ziff. 3</t>
  </si>
  <si>
    <t>VGB 2017
Stand 05-2018</t>
  </si>
  <si>
    <t>Geprüft von</t>
  </si>
  <si>
    <t>A. Kiss</t>
  </si>
  <si>
    <t>R. Wilken</t>
  </si>
  <si>
    <t>??</t>
  </si>
  <si>
    <t>HFK</t>
  </si>
  <si>
    <t>HFK Rundumschutz</t>
  </si>
  <si>
    <t>HFK Rundumschutz-Plus</t>
  </si>
  <si>
    <t>Grundstücksbestandteile Gruppe I
• Müllbehälterboxen, • Klingel- und Briefkastenanlagen,</t>
  </si>
  <si>
    <t xml:space="preserve">Grundstücksbestandteile Gruppe II
Einfriedungen  (und zwar ausschließlich Zäune, Mauern,Hecken),
Gehwegweg- und Hofbefestigungen </t>
  </si>
  <si>
    <t>Grundstücksbestandteile Gruppe V
• Regenwasser-Nutzungsanlagen (Zisternen),</t>
  </si>
  <si>
    <t>Grundstücksbestandteile Gruppe IV
• Solaranlagen (solarthermische Anlagen / Photovoltaikanlagen).</t>
  </si>
  <si>
    <t>Grundstücksbestandteile Gruppe III
• Hundehütten und -zwinger,</t>
  </si>
  <si>
    <t>auch
Mülltonnen</t>
  </si>
  <si>
    <t>Grundstücksbestandteile Gruppe VII
Schwimmbecken  (inkl. ihrer Abdeckungen)</t>
  </si>
  <si>
    <t>gegen Zuschlag
"GrundstückPlus"</t>
  </si>
  <si>
    <t>Grundstücksbestandteile Gruppe VIII
Pavillione, Pergolen</t>
  </si>
  <si>
    <t>Hundehütten</t>
  </si>
  <si>
    <t>Grundstücksbestandteile Gruppe IX
Masten und Freileitungen sowie Wege- und
Gartenbeleuchtungen</t>
  </si>
  <si>
    <t>Pergolen</t>
  </si>
  <si>
    <t>im Rahmen von Gruppe II</t>
  </si>
  <si>
    <t>Grundstücksbestandteile Gruppe X
sonstiges</t>
  </si>
  <si>
    <t>Grundstücksbestandteile Gruppe X
Öl- und Gas-Tanks</t>
  </si>
  <si>
    <t>im Rahmen der Gruppe II
auch Ständer</t>
  </si>
  <si>
    <t>auch elektrische Leitungen</t>
  </si>
  <si>
    <t>auch Ständer
(keine Funkmasten)</t>
  </si>
  <si>
    <t>Fahnenmasten
Außenbeleuchtungsanlagen</t>
  </si>
  <si>
    <t>• Satelliten- u. Antennenanlagen</t>
  </si>
  <si>
    <t>Antennenanlagen</t>
  </si>
  <si>
    <t>im Rahmen von Gruppe II
Antennenanlagen</t>
  </si>
  <si>
    <t>Gebäudebestandteile</t>
  </si>
  <si>
    <t>Gebebäudezubehör</t>
  </si>
  <si>
    <t>Grundstücksbestandteile</t>
  </si>
  <si>
    <t>Gebäudebestandteile sind in ein Gebäude eingefügte Sachen, die durch ihre feste Verbindung mit dem Gebäude ihre Selbstständigkeit verloren haben. Dazu gehören auch Einbaumöbel bzw. Einbauküchen, die individuell für das Gebäude raumspezifisch geplant und gefertigt sind</t>
  </si>
  <si>
    <t>Interlloyd Eurosecure 2008</t>
  </si>
  <si>
    <t>A; §5, Ziff. 1 + 2 c) + C; B Nr.9</t>
  </si>
  <si>
    <t xml:space="preserve">A; §5, Ziff. 1 + 2 c) + D; C Nr.17 </t>
  </si>
  <si>
    <t>Als Grundstückbestandteile gelten die mit dem Grund und Boden des Versicherungsgrundstücks fest verbundenen Sachen.</t>
  </si>
  <si>
    <r>
      <t xml:space="preserve">Gebäudezubehör sind bewegliche Sachen, die sich im Gebäude befinden oder außen am Gebäude angebracht sind und der Instandhaltung bzw. überwiegenden Zweckbestimmung des versicherten Gebäudes dienen. 
</t>
    </r>
    <r>
      <rPr>
        <sz val="10"/>
        <color rgb="FFFF0000"/>
        <rFont val="Arial"/>
        <family val="2"/>
      </rPr>
      <t xml:space="preserve">Als Gebäudezubehör gelten ferner ... </t>
    </r>
  </si>
  <si>
    <r>
      <t>Gebäudezubehör sind bewegliche Sachen, die sich im Gebäude befinden oder außen am Gebäude angebracht sind und der Instandhaltung bzw. überwiegenden Zweckbestimmung des versicherten Gebäudes dienen.</t>
    </r>
    <r>
      <rPr>
        <sz val="10"/>
        <color rgb="FFFF0000"/>
        <rFont val="Arial"/>
        <family val="2"/>
      </rPr>
      <t xml:space="preserve"> 
Als Gebäudezubehör gelten ferner Müllboxen, Fahnenmasten, Außenlicht-, Satelliten-, Antennen-, Klingel- und Briefkastenanlagen auf dem Versicherungsgrundstück.</t>
    </r>
  </si>
  <si>
    <t>Gebäudezubehör
(sind bewegliche Sachen, die sich im Gebäude befinden oder außen am Gebäude angebracht sind und der Instandhaltung bzw. überwiegenden Zweckbestimmung des versicherten Gebäudes dienen)</t>
  </si>
  <si>
    <t>Gebäudebestandteile
(eingefügte Sachen, die durch ihre feste Verbindung mit dem Gebäude ihre Selbstständigkeit verloren haben.
Dazu gehören auch Einbaumöbel bzw. Einbauküchen, die individuell für das Gebäude raumspezifisch geplant und gefertigt sind</t>
  </si>
  <si>
    <t>Grundstücksbestandteile 
gelten die mit dem Grund und Boden des Versicherungsgrundstücks fest verbundenen Sachen.
(und Gebäudezubehör auf dem Grundstück)</t>
  </si>
  <si>
    <t>A; §5, Ziff. 1</t>
  </si>
  <si>
    <t xml:space="preserve">C; B Nr.7 + A; §5, Ziff. 2 b + 3 b)  </t>
  </si>
  <si>
    <t xml:space="preserve">D; C Nr.15 + A; §5, Ziff. 2 b + 3 b)  </t>
  </si>
  <si>
    <t>privat genutztes Ein- oder Zweifamilienhaus
(inkl. unmittelbar anschließender Terrassen)</t>
  </si>
  <si>
    <t>A; §6, Ziff. 2 b + 3</t>
  </si>
  <si>
    <t>ja
(Wohnflächen sind zu berücksichtigen)</t>
  </si>
  <si>
    <t xml:space="preserve">A; §6, Nr. 2 d) + </t>
  </si>
  <si>
    <t>A §6, Nr. 2 b)</t>
  </si>
  <si>
    <t>A § 6 Nr. 2 b) + 3 b)</t>
  </si>
  <si>
    <r>
      <t xml:space="preserve">ja
</t>
    </r>
    <r>
      <rPr>
        <u/>
        <sz val="7"/>
        <rFont val="Arial"/>
        <family val="2"/>
      </rPr>
      <t>Erweiterung gegen
Zuschlag</t>
    </r>
    <r>
      <rPr>
        <sz val="7"/>
        <rFont val="Arial"/>
        <family val="2"/>
      </rPr>
      <t xml:space="preserve">
Gebäudezubehör 
für die der VN die Gefahr trägt</t>
    </r>
  </si>
  <si>
    <t>Grundstücksbestandteile Gruppe VI
Springbrunnen, Skulpturen, Grill- bzw. Gartenkamine</t>
  </si>
  <si>
    <t>• Rundfunk-, Fernsehantennen-, Satellitenempfangsanlagen</t>
  </si>
  <si>
    <t>A.; Ziff. 1.1.2 (13)</t>
  </si>
  <si>
    <t>sowie erweiterbar gegen Zuschlag
"GrundstückPlus"
auch Kleinkläranlage</t>
  </si>
  <si>
    <t>im Rahmen von Gruppe I
• Rundfunk-, Fernsehantennen-, Satellitenempfangsanlagen</t>
  </si>
  <si>
    <t>im Rahmen von Gruppe I</t>
  </si>
  <si>
    <t>im Rahmen von Gruppe I  
auch Ständer
(keine Funkmasten)</t>
  </si>
  <si>
    <t>im Rahmen von Gruppe I
sowie erweiterbar gegen Zuschlag
"GrundstückPlus"
auch Kleinkläranlage</t>
  </si>
  <si>
    <t>A: §5 Ziff. 2a)  + BB §20</t>
  </si>
  <si>
    <t>A: §5 Ziff. 2.) + 3b)</t>
  </si>
  <si>
    <t>A: §11 Ziff. 4</t>
  </si>
  <si>
    <t>Unterversicherungsverzicht und Wiederaufbaugarantie</t>
  </si>
  <si>
    <t xml:space="preserve"> BB §18</t>
  </si>
  <si>
    <t>A: §7 Ziff. 1. + 2. 
ZB § 13 und § 14</t>
  </si>
  <si>
    <t>Mehrkosten aufgrund behördlicher Auflagen für Restwerte
(Begrenzung fiktive Entschädigung bei Zerstörung, gekürzt um Altmaterialwert abzüglich Aufräum- und Abbruchkosten)</t>
  </si>
  <si>
    <t>gegen Zuschlag
(nur LW bzw. LW und St/H)</t>
  </si>
  <si>
    <t>auch Abfallsammelbehälter</t>
  </si>
  <si>
    <t>bis 5.000 €
 Antennenanlagen</t>
  </si>
  <si>
    <t>VGB; Ziff. 1.1 + 1.4.4</t>
  </si>
  <si>
    <t>VGB; Ziff. 1.3.3 + Plus Ziff. 4</t>
  </si>
  <si>
    <t>keine Skulpturen</t>
  </si>
  <si>
    <t>auch Brunnen-, Fäkalien-u. Kläranlagen</t>
  </si>
  <si>
    <t>auch Whirpools</t>
  </si>
  <si>
    <t>B1  §6 Nr. 2 a)</t>
  </si>
  <si>
    <t>Zellerläuterungen</t>
  </si>
  <si>
    <t>Versicherte Gefahren - Feuer</t>
  </si>
  <si>
    <t>Versicherte Gefahren - Leitungswasser</t>
  </si>
  <si>
    <t>Versicherte Gefahren - Sturm / Hagel</t>
  </si>
  <si>
    <t>auch als Eigentum Dritter</t>
  </si>
  <si>
    <t xml:space="preserve">gegen Zuschlag
Windkraftanlagen bis 5.000 € </t>
  </si>
  <si>
    <t>A: §5 Ziff. + BB §20 
+ Klauselbogen</t>
  </si>
  <si>
    <t>bis 24 Monate 
(auch  Sturm und Hagel)</t>
  </si>
  <si>
    <t>ja
sowie für Modernisierung 
bis 10.000€</t>
  </si>
  <si>
    <t>BB §17 + Klauselbogen</t>
  </si>
  <si>
    <t>Einfacher Diebstahl von außen angebrachten Sachen 
(nicht direkt mit dem Gebäude verbunden (u.a. auch an Mauern/Zäunen angebracht))</t>
  </si>
  <si>
    <t xml:space="preserve">Gebäudebestandteile
(sind eingefügte Sachen, die durch ihre feste Verbindung mit dem Gebäude ihre Selbstständigkeit verloren haben.,
z.B. Heizkörper, Einbaumöbel, oder Innenschwimmbecken)
</t>
  </si>
  <si>
    <t>(eingefügte Sachen, die durch ihre feste Verbindung mit dem Gebäude ihre Selbstständigkeit verloren haben.
Dazu gehören auch Einbaumöbel bzw. Einbauküchen, die individuell für das Gebäude raumspezifisch geplant und gefertigt sind</t>
  </si>
  <si>
    <t>Besitzstandsgarantie
(nur bei direktem Anschluß an Vorvertrag)</t>
  </si>
  <si>
    <t>Gebäudezubehör
(sind bewegliche Sachen, die sich im Gebäude befinden oder außen am Gebäude angebracht sind und der Instandhaltung bzw. überwiegenden Zweckbestimmung des versicherten Gebäudes dienen)
z.B. Heizöl, Ersatzfliesen, Brennstoffvorräte</t>
  </si>
  <si>
    <t>A.; Ziff. 1.1.1 (1) +(4)</t>
  </si>
  <si>
    <t>ja,
gegen Vereinbarung
auf dem Grundstück gelagert</t>
  </si>
  <si>
    <t>gegen Zuschlag
auch in der Nähe</t>
  </si>
  <si>
    <t>A §5 Abs.1 a) + 2 a)</t>
  </si>
  <si>
    <t>Antennen</t>
  </si>
  <si>
    <t>z.B.  Stützmauern, 
Spielgeräte
Trennwände.
Wäschespinnen</t>
  </si>
  <si>
    <t>inkl. Zubehör</t>
  </si>
  <si>
    <t>Carports
gegen Zuschlag
auch Garagen</t>
  </si>
  <si>
    <t>auch 
im Umkreis von 500 m Luftlinie</t>
  </si>
  <si>
    <t>Grundstücksbestandteile 
gelten die mit dem Grund und Boden fest verbundenen Sachen.
(und Gebäudezubehör auf dem Grundstück)</t>
  </si>
  <si>
    <t>Pergolen
Gartenkamine</t>
  </si>
  <si>
    <t>Grundstücksbestandteile Gruppe II
• Satelliten- u. Antennenanlagen</t>
  </si>
  <si>
    <t>Grundstücksbestandteile Gruppe IV
• Hundehütten und -zwinger,</t>
  </si>
  <si>
    <t>Grundstücksbestandteile Gruppe V
• Solaranlagen (solarthermische Anlagen / Photovoltaikanlagen).</t>
  </si>
  <si>
    <t>Grundstücksbestandteile Gruppe VI
• Regenwasser-Nutzungsanlagen (Zisternen),</t>
  </si>
  <si>
    <t>Grundstücksbestandteile Gruppe VII
• Pavillione • Pergolen, • Grill- bzw. Gartenkamine 
• Springbrunnen • Skulpturen</t>
  </si>
  <si>
    <t>Grundstücksbestandteile Gruppe VIII
• Schwimmbecken  (inkl. ihrer Abdeckungen)</t>
  </si>
  <si>
    <t>Grundstücksbestandteile Gruppe IX
• Masten • Freileitungen
• Wege- und Gartenbeleuchtungen</t>
  </si>
  <si>
    <t>Rauch, Ruß 
(plötzlich bestimmungswidrig aus Feuer-, Heizungs-, Koch-, Trockenanlagen)</t>
  </si>
  <si>
    <t>100% VS</t>
  </si>
  <si>
    <t>500.000€</t>
  </si>
  <si>
    <t xml:space="preserve">Versicherte Gefahren - Leitungswasser </t>
  </si>
  <si>
    <t>Zuleitungsrohren der Wasserversorgung
Rohren der Warmwasser- und Dampfheizung
Rohren der Klima-, Wärmepumpen und Solarheizungen
Rohren der Gasversorgung
(der Versorgung versicherter Gebäude dienend)</t>
  </si>
  <si>
    <t>Eindringen von Niederschlag durch nicht sturmbedingte Öffnungen
Regen-/ Schmelzwasser (z.B. Offenes Fenster)</t>
  </si>
  <si>
    <t>Leerzeile Stehen lassen</t>
  </si>
  <si>
    <t>Gebäudebeschädigungen aufgrund eines Einbruchs/-Versuch
(an Türen, Schlösser, Fenstern, Rollläden und Schutzgitter)</t>
  </si>
  <si>
    <t>Fehlalarm Feuer- und Rauchmelder
(Gebäudebeschädigungen und Gebühren)</t>
  </si>
  <si>
    <t xml:space="preserve">bis 5.000 € </t>
  </si>
  <si>
    <t>gegen Zuschlag
bis 10.000 € (SB 500 €)</t>
  </si>
  <si>
    <t>bis 10.000 €
(innerhalb des Gebäudes)
gegen Zuschlag
bis 10.000 € (SB 500 €)</t>
  </si>
  <si>
    <t>* bioenergetischen Anlagen 
* Anlagen der erneuerbaren Energie
(nicht Windkraft) 
* Lüftungsanlagen
* Fäkalienanlagen / Kläranlagen</t>
  </si>
  <si>
    <t>nur Frost
auch an Boilern, der Warmwasser- o. Dampfheizungsanlage
Klima-,  bioenergetischen Anlagen oder der erneuerbaren Energie
(nicht Windkraft) 
Sonstige Bruchschäden
10.000 €
auch Boilern Wärmeaustauschern 
o. ähnlichen Installationen</t>
  </si>
  <si>
    <t>gegen Zuschlag
"GebäudePlus"
Biss wilder Tiere (nicht Mäuse/Ratten) 
keine Dämmung u. SB 150 €</t>
  </si>
  <si>
    <t>Architekten und sonstige Konstruktions- und Planungskosten</t>
  </si>
  <si>
    <t>im Rahmen des Gleitenden Neuwertes</t>
  </si>
  <si>
    <t>bei zerstörten Gebäuden
im Rahmen des Gleitenden Neuwertes</t>
  </si>
  <si>
    <t xml:space="preserve">bei zerstörten Gebäuden
im Rahmen des Gleitenden Neuwertes / Neuwertes </t>
  </si>
  <si>
    <t>im Rahmen des Neuwertes</t>
  </si>
  <si>
    <r>
      <t>auch oberflächennahe Geothermieanlage</t>
    </r>
    <r>
      <rPr>
        <u/>
        <sz val="7"/>
        <rFont val="Arial"/>
        <family val="2"/>
      </rPr>
      <t xml:space="preserve">
gegen Zuschlag
"Ökobaustein"</t>
    </r>
    <r>
      <rPr>
        <sz val="7"/>
        <rFont val="Arial"/>
        <family val="2"/>
      </rPr>
      <t xml:space="preserve">
Mehrkosten Brennstoffe bis 500 €</t>
    </r>
  </si>
  <si>
    <t>Ertragsausfall Photovoltaikanlagen (Zuschlagspflichtig)</t>
  </si>
  <si>
    <t>INKLUSIVLEISTUNG
2,00 € je kWp und Tag
bis 200 Tage</t>
  </si>
  <si>
    <r>
      <t xml:space="preserve">"Ökobaustein Photovoltaik"
</t>
    </r>
    <r>
      <rPr>
        <u/>
        <sz val="7"/>
        <rFont val="Arial"/>
        <family val="2"/>
      </rPr>
      <t>Anlagen bis 50 kWp</t>
    </r>
    <r>
      <rPr>
        <sz val="7"/>
        <rFont val="Arial"/>
        <family val="2"/>
      </rPr>
      <t xml:space="preserve">
2,00 € / kWp und Tag
max. 3 Monate (SB 2 Ausfalltage)</t>
    </r>
    <r>
      <rPr>
        <u/>
        <sz val="7"/>
        <rFont val="Arial"/>
        <family val="2"/>
      </rPr>
      <t xml:space="preserve">
Anlagen über 50 kWp</t>
    </r>
    <r>
      <rPr>
        <sz val="7"/>
        <rFont val="Arial"/>
        <family val="2"/>
      </rPr>
      <t xml:space="preserve">
Anzahl der Ausfalltage x Faktor
max. 6 Monate (SB 2 Ausfalltage)</t>
    </r>
  </si>
  <si>
    <t>bis 365 Tage
(inkl. Nebenkosten 20 € pro Person)
wenn kein Mietausfall gefordert wird</t>
  </si>
  <si>
    <t>GDV - Stand 2013-01 (abw. ELE)
AKBP - Stand 2016-01</t>
  </si>
  <si>
    <t>bei Privatschutz-Policen mit  
mind. 3 Verträgen | 3 Jahren LZ
ab Tarif 2012-10</t>
  </si>
  <si>
    <t>Überschwemmung, Rückstau,
Erdbeben, Erdsenkung, Erdrutsch,
Schneedruck, Lawinen,
Vulkanausbruch
Wartezeit 1 Monat
SB 10% des Schadens; 
min. 500€; max. 5.000 € bzw.
SB 20% des Schadens; 
min. 500€; max. 10.000
SB Erdbeben 5.000 €</t>
  </si>
  <si>
    <t>im Rahmen von Gruppe I  
Überdachungen (ausgenommen Schwimmbadabdeckungen/-überdachungen und Gewächshäuser); Wäschespinnen</t>
  </si>
  <si>
    <t>Schutz- und Trennwände; Überdachungen
-
'gegen Zuschlag
Grundstücksbestandteile 
für die der VN die Gefahr trägt</t>
  </si>
  <si>
    <t xml:space="preserve">Fahrradständer u. -Unterstand; Spielplatzeinrichtungen
weitere
Bestandteile nur gegen besondere  Benennung
</t>
  </si>
  <si>
    <t>Öl- und Gas-Tanks
weitere
Bestandteile nur gegen besondere Benennung</t>
  </si>
  <si>
    <t>Besitzstandsgarantie
(nur bei direktem Anschluss an Vorvertrag)</t>
  </si>
  <si>
    <t>Die Grunddeckung beinhaltet Brand, Blitzschlag, Explosion sowie</t>
  </si>
  <si>
    <t>Anprall oder Absturz von Fahrzeugen bzw. unbemannten Flugkörpern</t>
  </si>
  <si>
    <t>geflieste Duschbereiche</t>
  </si>
  <si>
    <t xml:space="preserve">Einrichtungen der Heizungs-, Klima-, Wärmepumpen- und Solaranlagen </t>
  </si>
  <si>
    <t>Einrichtungen der Lösch- und Berieselungsanlagen</t>
  </si>
  <si>
    <t>Regenwassernutzungsanlagen und deren Rohrsystem</t>
  </si>
  <si>
    <t>Versicherte Gefahren - Erweitert und Zusatzleistungen</t>
  </si>
  <si>
    <t>Verkehrssicherungsmaßnahmen</t>
  </si>
  <si>
    <t>Verzicht auf Kürzung bei grober Fahrlässigkeit
(Sicherheitsvorschriften, Gefahrenerhöhung und Obliegenheiten)</t>
  </si>
  <si>
    <t>1 Mio. €
(bis 500 qm)
(bis 2 Mio. € gegen Zuschlag)</t>
  </si>
  <si>
    <t>Tarifbuch S. 36 
VIB S.37 + A; §11 Nr. 1a) + 2</t>
  </si>
  <si>
    <t>2,5 Mio. €</t>
  </si>
  <si>
    <t>1 Mio. €</t>
  </si>
  <si>
    <t>1 Mio. €
zusätzlich auf erstes Risiko</t>
  </si>
  <si>
    <t>bis zum Ende der Versicherungsperiode
darüber hinaus max. 30.000 €</t>
  </si>
  <si>
    <t>bis zum Ende des 
laufenden Versicherungsjahres</t>
  </si>
  <si>
    <t>bis zum Schluss der Versicherungsperiode</t>
  </si>
  <si>
    <t xml:space="preserve">* Schätzung Bausachverständiger
* Neubauwert des BJ
* Wert gemäß Antragsfragen
* sowie ab 150 Mark je QM
gemäß korrekter Wohn- / Nutzfläche
</t>
  </si>
  <si>
    <t>mindestens 1 Jahr bestand
max. 3 Monate Unterbrechung</t>
  </si>
  <si>
    <t>ausgeschlossen
nachträglich eingefügtes 
vom Mieter oder WETG</t>
  </si>
  <si>
    <t>auch
nachträglich eingefügtes oder ausgetauschte Sachen
vom Mieter oder WETG</t>
  </si>
  <si>
    <r>
      <t xml:space="preserve">auch bereitgestellte 
Ein- und Anbauküchen
vom WETG
</t>
    </r>
    <r>
      <rPr>
        <sz val="7"/>
        <color rgb="FFFF0000"/>
        <rFont val="Arial"/>
        <family val="2"/>
      </rPr>
      <t>* ausgeschlossen
nachträglich eingefügtes 
vom Mieter oder WETG</t>
    </r>
  </si>
  <si>
    <t>auch bereitgestellte 
Ein- und Anbauküchen
vom WETG
und
nachträglich eingefügte oder ausgetauschte Sachen
vom Mieter oder WETG</t>
  </si>
  <si>
    <t>das der Instandhaltung dient oder zu Wohnzwecken genutzt wird. Innerhalb des Gebäude oder außen angebracht
(z. B. Vorräte an Fliesen, Bodenbelägen, Tapeten),</t>
  </si>
  <si>
    <t>auch
wenn sie erst zukünftig eingefügt werden</t>
  </si>
  <si>
    <t>auch Ladestationen für Elektro-Fz</t>
  </si>
  <si>
    <t>auch
wenn es erst zukünftig eingefügt werden
vom Mieter entferntes Gebäudezubehör auf dem Grundstück gelagert</t>
  </si>
  <si>
    <t>gegen Zuschlag
"BPV Grundgefahren"
bis 20 KW und max. 50.000 €
SB 150€  oder 250 €</t>
  </si>
  <si>
    <t>C; A Nr. 10 + (A §5, Nr. 3 a))</t>
  </si>
  <si>
    <t>D; E Nr. 20 + (A §6  Nr. 4))</t>
  </si>
  <si>
    <t>D; C Nr. 18 + (A §5, Nr. 3 a))</t>
  </si>
  <si>
    <t>Garten- und Gerätehäuser
bis 15 qm Nutzfläche
GN bis 10 € je qm * GNF
ZW bis 10€ je qm
Wohn- o. Nutzfl..</t>
  </si>
  <si>
    <t>Garten- und Gerätehäuser
bis 15 qm Nutzfläche</t>
  </si>
  <si>
    <t>Gewächshäuser, Gartenhäuser, Schuppen bis insgesamt 50 qm Grundfläche 
Darüber hinaus über Nebengebäude Tarif</t>
  </si>
  <si>
    <t>GN bis 10 € je qm * GNF
ZW bis 10€ je qm
Wohn- o. Nutzfl..</t>
  </si>
  <si>
    <t>über Gebäudezubehör
auf dem Grundstück</t>
  </si>
  <si>
    <t>bis 10.000 €
gegen Zuschlag
Entfall der Entschädigungsgrenze
 Antennenanlagen</t>
  </si>
  <si>
    <t xml:space="preserve">Grundstücksbestandteile Gruppe III
• Einfriedungen  (und zwar ausschließlich Zäune, Mauern, Hecken),
• Gehwegweg- und Hofbefestigungen </t>
  </si>
  <si>
    <t>ja
(Einfriedungen allgem..)
auch Terrassenbefestigungen</t>
  </si>
  <si>
    <t>10.000 €
gegen Zuschlag
Entfall der Entschädigungsgrenze</t>
  </si>
  <si>
    <t>ja
(Einfriedungen allgem..)</t>
  </si>
  <si>
    <t>bis 10.000 €
gilt als Nebengebäude</t>
  </si>
  <si>
    <t>gegen Zuschlag
gilt als Nebengebäude</t>
  </si>
  <si>
    <t>im Rahmen von Gruppe I  
sowie erweiterbar gegen Zuschlag
"GrundstückPlus"
Kunst und Skulpturen, Pavillione</t>
  </si>
  <si>
    <t>ja
sowie erweiterbar gegen Zuschlag
"GrundstückPlus"
Kunst und Skulpturen, Pavillione</t>
  </si>
  <si>
    <t>Pergolen und Pavillione
Gartenkamine</t>
  </si>
  <si>
    <t>Leerzeile stehen lassen</t>
  </si>
  <si>
    <t>auch elektrische Leitungen
und Ständer
(Beleuchtungsanlagen allgem..)</t>
  </si>
  <si>
    <t>Bänke; Fahrradständer u. -Unterstand; Markisen; Spielplatzeinrichtungen; Schutz- und Trennwände; Überdachungen;  Wäschespinnen
-
!keine abschließende Aufzählung!</t>
  </si>
  <si>
    <t>bis 5.000 €
Spielgeräte und Sandkästen; Trennwände; Überdachungen (Eingangs- und Terrassen);  gewerblich genutzte Außenbeleuchtungen und Reklameschilder</t>
  </si>
  <si>
    <t>bis 10.000 €
Spielgeräte und Sandkästen; Trennwände; Überdachungen (Eingangs- und Terrassen);  gewerblich genutzte Außenbeleuchtungen und Reklameschilder</t>
  </si>
  <si>
    <t xml:space="preserve">
Bänke; Markisen; Trenn- und Schutzwände; Überdachungen (Haus); Wäschespinnen
weitere
Bestandteile nur gegen besondere Benennung</t>
  </si>
  <si>
    <t>Ausschluss dauerhafte Einwirkung</t>
  </si>
  <si>
    <t>unbegrenzt
nur Sengschäden</t>
  </si>
  <si>
    <t>Wasser / Land / Luft schiene</t>
  </si>
  <si>
    <t>erweitere Rohbauversicherung 
(subsidiär)</t>
  </si>
  <si>
    <t>ja
auch von Wasch-/Geschirrspülmaschinen</t>
  </si>
  <si>
    <t>k.A..</t>
  </si>
  <si>
    <t>A.; Ziff. 1.2.3 (1) + Tarifrechner</t>
  </si>
  <si>
    <t>allgem.. Regenwasserableitungsrohren</t>
  </si>
  <si>
    <t>auch von Wasch-/Geschirrspülmaschinen</t>
  </si>
  <si>
    <t>nur Frost
Badeeinrichtungen, Waschbecken, Spülklosetts, Armaturen, Geruchsverschlüssen, Wassermessern o. ähnl.. Install.</t>
  </si>
  <si>
    <t>nur Frost
Badeeinrichtungen, Waschbecken, Spülklosetts, Armaturen (z.B. Wasser- sowie Absperrhähne, Ventile, Geruchsverschlüssen, Wassermessern) sowie deren Anschl.-Schläuche</t>
  </si>
  <si>
    <t>500 €
Badeeinrichtungen, Waschbecken, Spülklosetts, Armaturen (z.B. Wasser- sowie Absperrhähne, Ventile, Geruchsverschlüssen, Wassermessern) sowie deren Anschl.-Schläuche</t>
  </si>
  <si>
    <t>ja
Badeeinrichtungen, Waschbecken, Spülklosetts, Armaturen (z.B. Wasser- sowie Absperrhähne, Ventile, Geruchsverschlüssen, Wassermessern) sowie deren Anschl.-Schläuche</t>
  </si>
  <si>
    <t>nur Frost
Badeeinrichtungen, Waschbecken, Spülklosetts, Armaturen (z.B. Wasser- sowie Absperrhähne, Ventile, Wassermesser) sowie deren Anschl.-Schläuche</t>
  </si>
  <si>
    <t>bis 500 €
(nur wenn ersatzpflichtiger Nässeschaden eintritt);
nur Frost
Badeeinrichtungen, Waschbecken, Spülklosetts, Armaturen (z.B. Wasser- sowie Absperrhähne, Ventile, Wassermesser) sowie deren Anschl.-Schläuche</t>
  </si>
  <si>
    <t>Badeeinrichtungen, Waschbecken, Spülklosetts, Armaturen (z.B. Wasser- sowie Absperrhähne, Ventile, Wassermesser) sowie deren Anschl.-Schläuche
(nur wenn ersatzpflichtiger Nässeschade eintritt)</t>
  </si>
  <si>
    <t>bis 1.000 €
(nur wenn ersatzpflichtiger Nässeschaden eintritt);
nur Frost
Badeeinrichtungen, Waschbecken, Spülklosetts, Armaturen (z.B. Wasser- sowie Absperrhähne, Ventile, Wassermesser) sowie deren Anschl.-Schläuche</t>
  </si>
  <si>
    <t>nur Frost
Badeeinrichtungen, Waschbecken, Spülklosetts, Armaturen (z.B. Wasser- sowie Absperrhähne, Ventile, Geruchsverschlüsse, Wassermesser) sowie deren Anschl.-Schläuche</t>
  </si>
  <si>
    <t>GN bis 1 € je qm * GNF
ZW bis 1 € je qm
Wohn- o. Nutzfl..</t>
  </si>
  <si>
    <t>nur Frost
auch an Boilern oder vergleichbaren Teilen der Warmwasser- o. Dampfheizungsanlage
Klima- Wärmepumpen- o Solarheizungsanlagen</t>
  </si>
  <si>
    <t>nur Frost
auch an Boilern oder vergleichbaren Teilen der Warmwasser- o. Dampfheizungsanlage
Klima- Wärmepumpen- o Solarheizungsanlagen
Sonstige Bruchschäden
bis 1.000 €</t>
  </si>
  <si>
    <t>bis 5.000 €
(nur wenn ersatzpflichtiger Nässeschaden eintritt)
nur Frost
auch an Boilern oder vergleichbaren Teilen der Warmwasser- o. Dampfheizungsanlage
Klima- Wärmepumpen- o Solarheizungsanlagen</t>
  </si>
  <si>
    <t>auch an Boilern oder vergleichbaren Teilen der Warmwasser- o. Dampfheizungsanlage
Klima- Wärmepumpen- o Solarheizungsanlagen
(nur wenn ersatzpflichtiger Nässeschaden eintritt)</t>
  </si>
  <si>
    <t>nur Frost
an Tanks- und Filtern o-ähnl.. Teilen</t>
  </si>
  <si>
    <t>ja
sowie Rohre von
* Regenwassernutzung- /
Zisternenanlagen
nicht Gas</t>
  </si>
  <si>
    <t>ja
sowie Rohre von
* Regenwassernutzung- /
Zisternenanlagen
Gas bis 100 % VS</t>
  </si>
  <si>
    <t>ja
sowie Rohre von
* Regenwassernutzung- /
Zisternenanlagen
Gas bis 500.000 €</t>
  </si>
  <si>
    <t>ja
sowie Rohre von
* Regenwassernutzung- /
Zisternenanlagen</t>
  </si>
  <si>
    <t>Ausschluss
undichte Dichtungen
Muffenversatz
Wurzeleinwuchs ohne Materialbeschädigung</t>
  </si>
  <si>
    <t>5.000 €
Gebäude max. 30 Jahre
 oder
Prüfung innerhalb 10 Jahren 
sonst 1.000€</t>
  </si>
  <si>
    <t>unbegrenzt
Gebäude max. 30 Jahre
 oder
Prüfung innerhalb 10 Jahren 
sonst 20.000€</t>
  </si>
  <si>
    <t>gegen Zuschlag
1 %  VS (max. 1.500 €)
1 % VS
 2 % VS
je nach gewählter Klausel 
Dichtnachweis 5 Jahre Nachlass</t>
  </si>
  <si>
    <t>ja
bis Alter Ableitungsrohe 30 J.
bei Vertragsbeginn
sonst nur mit
Dichtigkeitsprüfung DIN 1986
max. 5 Jahre alt</t>
  </si>
  <si>
    <t>ja (auch Regenrohre)
bis Gebäudealter 30 J.
bei Vertragsbeginn
sonst nur mit
Dichtigkeitsprüfung DIN 1986
max. 5 Jahre alt</t>
  </si>
  <si>
    <t>ja
bei Vertragsbeginn
Dichtigkeitsprüfung DIN 1986
max. 5 Jahre alt</t>
  </si>
  <si>
    <t>Versicherte Gefahren erweitert und Zusatzleistungen</t>
  </si>
  <si>
    <t>(subsidiär)
an Türen, Schlösser, Fenstern, Rollläden und Schutzgitter</t>
  </si>
  <si>
    <t>5.000 €
auch an Dächern, Decken, Wänden u. Fußböden</t>
  </si>
  <si>
    <t>unbegrenzt
auch an Dächern, Decken, Wänden u. Fußböden</t>
  </si>
  <si>
    <t>bis 5.000 €
(nur dem Gemeingebrauch der Gemeinschaft dienen)</t>
  </si>
  <si>
    <t xml:space="preserve">(subsidiär)
Wohnungsaufbruch durch Polizei/ Feuerwehr durch Fehlalarm Feuermelder und zur Rettung von Menschenleben </t>
  </si>
  <si>
    <t xml:space="preserve">5.000 €
auch an versicherten Sachen
Verbissen von Wildlebenden Nage- u. Raubtiere </t>
  </si>
  <si>
    <t>100 %
nur elektrische Anlagen und Leitungen</t>
  </si>
  <si>
    <t>500.000 €
nur elektrische Anlagen und Leitungen</t>
  </si>
  <si>
    <t>ja
Bisschäden vom Marder oder sonstiger wildlebender Tiere an elektrischen Anlagen und Leitungen</t>
  </si>
  <si>
    <t>gegen Zuschlag
"UG-Deckung"
1 Mio. €
SB 10 % min. 1.000 €</t>
  </si>
  <si>
    <t>INKLUSIVE
"UG-Deckung"
1 Mio. €
SB 10 % min. 1.000 €</t>
  </si>
  <si>
    <t>gegen Zuschlag
"HaustechnikPlus"
benannte Anlagen mit Wert
SB 150 €</t>
  </si>
  <si>
    <t>gegen Zuschlag
"Erneuerbare Energien"
benannte Anlagen mit Wert
SB 250 €</t>
  </si>
  <si>
    <t>gegen Zuschlag
"UG-Deckung von Solarthermie- Geothermie - sowie sonstigen Wärmepumpen"
max. 20 kw
bis 50.000 €
SB 150€  / 250 €
gegen Zuschlag
"UG-Deckung Photovoltaik"
max. 20 kw
bis 50.000 €
SB 150€  / 250 €</t>
  </si>
  <si>
    <t>gegen Zuschlag
"UG-Deckung von Solarthermie-, Geothermieanlagen, sonstige Wärmepumpen sowie nicht genehmigungspflichtige Kleinwindanlagen"
bis 50.000 €
gegen Zuschlag
"UG-Deckung Photovoltaik"
max. 25 kWp
bis 50.000 €
SB 250 €</t>
  </si>
  <si>
    <r>
      <rPr>
        <u/>
        <sz val="7"/>
        <rFont val="Arial"/>
        <family val="2"/>
      </rPr>
      <t xml:space="preserve">gegen Zuschlag </t>
    </r>
    <r>
      <rPr>
        <sz val="7"/>
        <rFont val="Arial"/>
        <family val="2"/>
      </rPr>
      <t xml:space="preserve">
* Elektronikvers.. Über Ökobaustein Photovoltaik mit SB 250 € (siehe auch Ertragsausfall unter Kosten)</t>
    </r>
  </si>
  <si>
    <t>gegen Zuschlag 
"FensterPlus" 
Hobby-Gewächshäuser
"Glas&amp;FensterPlus" 
Pavillione, Terrassen und Carports
und Mobilar-Verglasung incl. Ceranfelder und Waschtischen
Entschädigungsgrenzen beachten</t>
  </si>
  <si>
    <t xml:space="preserve">keine Gewächshäusern Schwimmbadüberdachungen o. Abdeckungen </t>
  </si>
  <si>
    <t>je Scheibe max. 1.250 €
je Fall max. 5.000 €
Kosten bis 250 €
* keine Gewächshäusern 
* künstlerisch bearbeite Gläser
* Werbeanlagen oder Fotovoltaikanlagen</t>
  </si>
  <si>
    <t>je Scheibe max. 1.250 €
je Fall max. 5.000 €
Kosten bis 500 €
* keine Gewächshäusern etc.. 
* künstlerisch bearbeite Gläser
* Werbeanlagen oder Fotovoltaikanlagen</t>
  </si>
  <si>
    <t>Kosten bis 500 €
* keine Gewächshäusern etc.. 
* künstlerisch bearbeite Gläser
* Werbeanlagen oder Fotovoltaikanlagen</t>
  </si>
  <si>
    <t>• Schlüsseldienst
• Rohrreinigung
• Sanitär-Installations-Service Notfall 
• Elektro-Installations-Service Notfall 
• Notheizung
• Schädlingsbekämpfung
• Entfernung von Nestern (Hornissen/Wespen)(Bienen)</t>
  </si>
  <si>
    <t>50.000 €
(auf Weisung des VR auch darüber hinaus)</t>
  </si>
  <si>
    <t>GN bis 200 € je qm * GNF
ZW bis 200 € je qm
Wohn- o. Nutzfl..</t>
  </si>
  <si>
    <t>unbegrenzt
auch Auftaukosten</t>
  </si>
  <si>
    <t>bis 2.5 Mio. €</t>
  </si>
  <si>
    <t>1 Mio. €
auch
* Absperrkosten
* Feuerlöschkosten
* Isolierkosten für radioaktiv verseuchte Sachen
* vorläufige Schutzmaßnahmen</t>
  </si>
  <si>
    <t>50.000 €
auch
* Absperrkosten
* Feuerlöschkosten
* Isolierkosten für radioaktiv verseuchte Sachen</t>
  </si>
  <si>
    <t>unbegrenzt
auch
* Absperrkosten
* Feuerlöschkosten
* Isolierkosten für radioaktiv verseuchte Sachen 
* vorläufige Schutzmaßnahmen</t>
  </si>
  <si>
    <t>ja
darüber hinaus auch ökologische Modernisierung bis 5.000 €</t>
  </si>
  <si>
    <t>ja
darüber hinaus auch Modernisierung für ökologische, energetischer oder allgem..  Modernisierung 
50%  bis max. 20.000 €
Schäden &gt; 25.000€</t>
  </si>
  <si>
    <t>für entschädigungspflichtige Schäden größer 25.000 €
schwellenlosen rollstuhlgerechten Umbau
Handläufe im Treppenhaus und Treppenlift
Umbau Küche und Bad</t>
  </si>
  <si>
    <t>bei Schäden &gt; 25.000 € 
max. 1 Mio. €</t>
  </si>
  <si>
    <t>bei Schäden &gt; 25.000 € 
max. 50.000 €</t>
  </si>
  <si>
    <t>unbegrenzt
auch Hagel / Explosion
abgeknickt, entwurzelt, umgestürzt
beschädigt keine natürliche Regeneration möglich</t>
  </si>
  <si>
    <t>umgestürzt oder beschädigt 
keine natürliche Regeneration möglich</t>
  </si>
  <si>
    <t>10.000 €
auch Hagel
 umgestürzt oder Stämme abgeknickt
oder behördlich angeordnet</t>
  </si>
  <si>
    <t>100 % VS
(kein Feuer)
 umgestürzte Bäume
keine natürliche Regeneration möglich</t>
  </si>
  <si>
    <t>500.000 €
(kein Feuer)
 umgestürzte Bäume
keine natürliche Regeneration möglich</t>
  </si>
  <si>
    <t>bis 5.000 €
(kein Feuer)
 umgestürzte Bäume
keine natürliche Regeneration möglich</t>
  </si>
  <si>
    <t>bis 10.000 €
Blitzschlag oder Sturm
keine natürliche Regeneration möglich</t>
  </si>
  <si>
    <t>bis 10.000 €
* neue Triebe 
Bäume, Sträucher, Pflanzenstöcke und Kletterpflanzen</t>
  </si>
  <si>
    <t>(Reisedefinition min. 4T max. 3 M)</t>
  </si>
  <si>
    <t>bis 5.000 €
bei Schäden &gt; 25.000 €
min 5 T / max. 42 Tage</t>
  </si>
  <si>
    <t>ja
bei Schäden &gt; 5.000 €
min 4 T / max. 56 Tage</t>
  </si>
  <si>
    <t>unbegrenzt bis 24 Monate 
oder Mietwert
(subsidiär)</t>
  </si>
  <si>
    <t>bis 150 Tage
(max. 150 € pro Tag)
(subsidiär)</t>
  </si>
  <si>
    <t>bis 200 Tage
(max. 200 € pro Tag)
(subsidiär)</t>
  </si>
  <si>
    <t>bis 200 Tage
(max. 100 € pro Tag)
(subsidiär)</t>
  </si>
  <si>
    <t>bis 12 Monate
(max. 150 € pro Tag)
(subsidiär)</t>
  </si>
  <si>
    <t>bis 100 Tage
(max. 100 € pro Tag)
(subsidiär)</t>
  </si>
  <si>
    <t>bis 150 Tage
(max. 200 € pro Tag)
(subsidiär)</t>
  </si>
  <si>
    <t>"HaustechnikPlus"
2,50 € / kWp und Tag
max. 6 Monate All-Risk
max. 12 Monate (F/LW/St+H)
SB 150 €</t>
  </si>
  <si>
    <t>"Erneuerbare Energien"
2 € / kWp und Tag
max. 3 Monate
Karenzzeit 3 Tage
SB 250 €</t>
  </si>
  <si>
    <t>"UG-Deckung von Anlagen der erneuerbaren Energie"
2,50 € / kWp und Tag
max. 6 Monate All-Risk
max. 12 Monate (F/LW/St+H)
SB 250 €
(auch Vertragsstrafen)</t>
  </si>
  <si>
    <t>"UG-Deckung Photovoltaik"
Ertragsausfall
ab dritten Tag
max. 6 Monate
SB 150€  / 250 €</t>
  </si>
  <si>
    <t>1 % VS
Ableitungsrohre 
nicht Regenfall o. Drainage</t>
  </si>
  <si>
    <t>5.000 €
Ableitungsrohre 
nicht Regenfall o. Drainage</t>
  </si>
  <si>
    <t>10% der Entschädigung max. 500 € 
bei Schäden &gt; 500 € 
zzgl. 500 € Verpflegung für Helfende</t>
  </si>
  <si>
    <t>A §17 Nr., 1 b) + B; §9 1 b)</t>
  </si>
  <si>
    <t>A §16 Nr., 1 b) + B; §9 1 b)</t>
  </si>
  <si>
    <t>Überschwemmung, Rückstau, Erdbeben, Erdsenkung, Erdrutsch, Schneedruck, Lawinen, Vulkanausbruch
max. 6 Mio. €</t>
  </si>
  <si>
    <t>C7 + Elementar</t>
  </si>
  <si>
    <t>behördlich gesetzlich</t>
  </si>
  <si>
    <t>Elementar §2+9 + Tarifrechner</t>
  </si>
  <si>
    <r>
      <t xml:space="preserve">Allianz-Handwerker-Service
komplette Schadensabwicklung durch VR
inkl. 6 Jahre Gewährleistung
* Kosten- und Summen-
Differenzdeckung bis 18 Monate
für im Vorvertrag versicherte Risiken
ab Tarif 2012-10
Voraussetzung 3 Jahre LZ
</t>
    </r>
    <r>
      <rPr>
        <u/>
        <sz val="7"/>
        <rFont val="Arial"/>
        <family val="2"/>
      </rPr>
      <t>ergänzende Bausteine</t>
    </r>
    <r>
      <rPr>
        <sz val="7"/>
        <rFont val="Arial"/>
        <family val="2"/>
      </rPr>
      <t xml:space="preserve">
gegen Zuschlag
"HaushaftpflichtPlus"
"ÖltankPlus"</t>
    </r>
  </si>
  <si>
    <t>* Kosten- und Summen-
Differenzdeckung bis 36 Monate
für im Vorvertrag versicherte Risiken
'Radioaktive Isotope
Darlehnszinsen
Karenzeit 100 Tage
max. 18 Monate Übernahme
Lagerkosten 
bis 12 Monate</t>
  </si>
  <si>
    <r>
      <t xml:space="preserve">* Betragsbefreiung bei Arbeitslosigkeit
* Kosten- und Summen-
Differenzdeckung
</t>
    </r>
    <r>
      <rPr>
        <u/>
        <sz val="7"/>
        <rFont val="Arial"/>
        <family val="2"/>
      </rPr>
      <t>ergänzende Bausteine</t>
    </r>
    <r>
      <rPr>
        <sz val="7"/>
        <rFont val="Arial"/>
        <family val="2"/>
      </rPr>
      <t xml:space="preserve">
gegen Zuschlag
"HuG" 
"Gewässerschadenhaftpflicht"</t>
    </r>
  </si>
  <si>
    <r>
      <t xml:space="preserve">* Betragsbefreiung bei Arbeitslosigkeit
* Kosten- und Summen-
Differenzdeckung
'* Transport- und Lagerkosten 
bis 12 Monate
</t>
    </r>
    <r>
      <rPr>
        <u/>
        <sz val="7"/>
        <rFont val="Arial"/>
        <family val="2"/>
      </rPr>
      <t>ergänzende Bausteine</t>
    </r>
    <r>
      <rPr>
        <sz val="7"/>
        <rFont val="Arial"/>
        <family val="2"/>
      </rPr>
      <t xml:space="preserve">
gegen Zuschlag
"HuG" 
"Gewässerschadenhaftpflicht"</t>
    </r>
  </si>
  <si>
    <t>* Transport- und Lagerkosten 
max. 200 Tage
Extra-Service
Handwerker und Dienstleister
Vermittlung 
bei versichertem Schaden mit Direktabrechnung</t>
  </si>
  <si>
    <t>* Rabattsystem SFR-Klassen
'* erweiterte Rohbauversicherung 
LW (ohne Frost)
F für Baustoffe und Bauteile
'* Transport- und Lagerkosten 
max. 300 Tage
* 500 € (Keine Vorschläge)
für Installation von Rauch- bzw. Wassermeldesystemen
nach einen erstatt. Schaden
größer 5.000 €
Extra-Service
Handwerker und Dienstleister
Vermittlung 
bei versichertem Schaden mit Direktabrechnung</t>
  </si>
  <si>
    <t>* Rabattsystem SFR-Klassen
'* erweiterte Rohbauversicherung 
LW (ohne Frost)
F für Baustoffe und Bauteile
'* Transport- und Lagerkosten 
max. 200 Tage
* 500 € (Keine Vorschläge)
für Installation von Rauch- bzw. Wassermeldesystemen
nach einen erstatt. Schaden
größer 5.000 €
Extra-Service
Handwerker und Dienstleister
Vermittlung 
bei versichertem Schaden mit Direktabrechnung</t>
  </si>
  <si>
    <t>* An- und Einbauküchen von Wohnungseigentümer
* Transport- und Lagerkosten 
max. 12 Monate
* Beitragsbefreiung bei Arbeitslosigkeit max. 24 Monate
(Bündel mit Premium-UV)</t>
  </si>
  <si>
    <r>
      <t xml:space="preserve">* An- und Einbauküchen von Wohnungseigentümer
'* Reisekosten auch für Mitreisenden, wenn in häuslicher Gem. VN
* Stornokosten für Reiseabbruch
Schäden &gt; 25.000 € (s)
* Transport- und Lagerkosten 
max. 12 Monate
* Maklerkosten Neu-Vermietung
Schäden &gt; 25.000 €
* Übernahme von Bankzinsen 
max. 36 Monate
alternativ zu Mietausfall oder Hotelkosten
* Mieterschutzpaket
Aufräumkosten für Hausrat
Transport und Lager
bis 5.000 € (s)
* Beitragsbefreiung bei Arbeitslosigkeit max. 24 Monate
(Bündel mit Premium-UV)
</t>
    </r>
    <r>
      <rPr>
        <u/>
        <sz val="7"/>
        <rFont val="Arial"/>
        <family val="2"/>
      </rPr>
      <t xml:space="preserve">
* Bauherren-RS und WuG
nach Schadensfällen &gt;25.000 €</t>
    </r>
  </si>
  <si>
    <t xml:space="preserve">* An- und Einbauküchen von Wohnungseigentümer
* Transport- und Lagerkosten 
max. 12 Monate
* Mieterschutzpaket
Aufräumkosten für Hausrat
Transport und Lager
bis 5.000 € (s)
</t>
  </si>
  <si>
    <t>A § 4 Nr. 5
A § 23
B3 zu B1 §8 Nr. 18</t>
  </si>
  <si>
    <t>Allianz inkl. SicherheitPlus
(Stand 2014-05)</t>
  </si>
  <si>
    <t>Allianz inkl. SicherheitPlus
(Stand 2012-10)</t>
  </si>
  <si>
    <t>Alte Leipziger comfort
(Stand 2015-07)</t>
  </si>
  <si>
    <t>600.000 €
(800.000 € gegen Zuschlag)</t>
  </si>
  <si>
    <t>im Rahmen der Entschädigung für die Entfernung umgestürzter Bäume
mit Jungpflanzen
auch Teichanlagen, Gartenbrunnen, Hochbeete, vollständig im Boden eingelassene Schwimmbecken ohne deren Abdeckung</t>
  </si>
  <si>
    <t>VGB Rundum; Ziff. 15.1 + 15.3 + WG110</t>
  </si>
  <si>
    <t>bis 5.000 € 
(10.000 € gegen Zuschlag)
umgestürzte oder 
nicht mehr lebensfähige Bäume
auch Äste und Sträucher 
mit mind. 10 cm Durchmesser</t>
  </si>
  <si>
    <t>u.a. auch ein im häuslichen Badezimmer verfliester,
bodenebener Duschbereich mit festen Abtrennungen</t>
  </si>
  <si>
    <t>nicht benannt</t>
  </si>
  <si>
    <t xml:space="preserve">Grundstücksbestandteile Gruppe III
Einfriedungen  (und zwar ausschließlich Zäune, Mauern, Hecken),
Gehwegweg- und Hofbefestigungen </t>
  </si>
  <si>
    <t>Grundstücksbestandteile Gruppe VII
Pavillione, Pergolen, Grill- bzw. Gartenkamine 
Springbrunnen, Skulpturen</t>
  </si>
  <si>
    <t>Grundstücksbestandteile Gruppe VIII
Schwimmbecken  (inkl. ihrer Abdeckungen)</t>
  </si>
  <si>
    <t>PSV--2468Z0 (001) 
A.; Ziff. 1.3 + 1.4 + LÜ</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</si>
</sst>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0\ &quot;€&quot;;[Red]\-#,##0\ &quot;€&quot;"/>
    <numFmt numFmtId="164" formatCode="#,##0.00\ [$€-1]"/>
    <numFmt numFmtId="165" formatCode="#,##0\ [$€-1];[Red]\-#,##0\ [$€-1]"/>
    <numFmt numFmtId="166" formatCode="#,##0.00\ &quot;€&quot;"/>
  </numFmts>
  <fonts count="28" x14ac:knownFonts="1">
    <font>
      <sz val="10"/>
      <name val="Arial"/>
    </font>
    <font>
      <sz val="10"/>
      <color theme="1"/>
      <name val="Arial"/>
      <family val="2"/>
    </font>
    <font>
      <sz val="8"/>
      <name val="Arial"/>
      <family val="2"/>
    </font>
    <font>
      <b/>
      <sz val="10"/>
      <name val="Arial"/>
      <family val="2"/>
    </font>
    <font>
      <sz val="8"/>
      <name val="Arial"/>
      <family val="2"/>
    </font>
    <font>
      <b/>
      <sz val="8"/>
      <name val="Arial"/>
      <family val="2"/>
    </font>
    <font>
      <b/>
      <sz val="8"/>
      <color indexed="9"/>
      <name val="Arial"/>
      <family val="2"/>
    </font>
    <font>
      <sz val="8"/>
      <name val="Wingdings 2"/>
      <family val="1"/>
      <charset val="2"/>
    </font>
    <font>
      <sz val="10"/>
      <name val="Arial"/>
      <family val="2"/>
    </font>
    <font>
      <b/>
      <sz val="7"/>
      <color indexed="9"/>
      <name val="Arial"/>
      <family val="2"/>
    </font>
    <font>
      <sz val="7"/>
      <name val="Arial"/>
      <family val="2"/>
    </font>
    <font>
      <b/>
      <sz val="7"/>
      <name val="Arial"/>
      <family val="2"/>
    </font>
    <font>
      <sz val="7"/>
      <color indexed="8"/>
      <name val="Arial"/>
      <family val="2"/>
    </font>
    <font>
      <b/>
      <sz val="7"/>
      <color indexed="18"/>
      <name val="Wingdings"/>
      <charset val="2"/>
    </font>
    <font>
      <sz val="7"/>
      <name val="Wingdings 2"/>
      <family val="1"/>
      <charset val="2"/>
    </font>
    <font>
      <b/>
      <sz val="7"/>
      <color indexed="23"/>
      <name val="Wingdings"/>
      <charset val="2"/>
    </font>
    <font>
      <u/>
      <sz val="7"/>
      <name val="Arial"/>
      <family val="2"/>
    </font>
    <font>
      <b/>
      <u/>
      <sz val="7"/>
      <name val="Arial"/>
      <family val="2"/>
    </font>
    <font>
      <sz val="7"/>
      <color indexed="9"/>
      <name val="Arial"/>
      <family val="2"/>
    </font>
    <font>
      <sz val="10"/>
      <name val="Arial"/>
      <family val="2"/>
    </font>
    <font>
      <sz val="10"/>
      <color theme="1"/>
      <name val="Arial"/>
      <family val="2"/>
    </font>
    <font>
      <sz val="7"/>
      <color theme="1"/>
      <name val="Arial"/>
      <family val="2"/>
    </font>
    <font>
      <sz val="10"/>
      <color rgb="FFFF0000"/>
      <name val="Arial"/>
      <family val="2"/>
    </font>
    <font>
      <b/>
      <sz val="7"/>
      <color theme="1"/>
      <name val="Arial"/>
      <family val="2"/>
    </font>
    <font>
      <b/>
      <u/>
      <sz val="10"/>
      <name val="Arial"/>
      <family val="2"/>
    </font>
    <font>
      <sz val="7"/>
      <color rgb="FFFF0000"/>
      <name val="Arial"/>
      <family val="2"/>
    </font>
    <font>
      <sz val="10"/>
      <color rgb="FF9C6500"/>
      <name val="Arial"/>
      <family val="2"/>
    </font>
    <font>
      <b/>
      <i/>
      <sz val="9"/>
      <color indexed="9"/>
      <name val="Arial"/>
      <family val="2"/>
    </font>
  </fonts>
  <fills count="15">
    <fill>
      <patternFill patternType="none"/>
    </fill>
    <fill>
      <patternFill patternType="gray125"/>
    </fill>
    <fill>
      <patternFill patternType="solid">
        <fgColor indexed="63"/>
        <bgColor indexed="64"/>
      </patternFill>
    </fill>
    <fill>
      <patternFill patternType="solid">
        <fgColor indexed="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92D050"/>
        <bgColor indexed="64"/>
      </patternFill>
    </fill>
    <fill>
      <patternFill patternType="solid">
        <fgColor rgb="FF1D2D4B"/>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8" tint="0.59999389629810485"/>
        <bgColor indexed="64"/>
      </patternFill>
    </fill>
    <fill>
      <patternFill patternType="solid">
        <fgColor rgb="FFFFEB9C"/>
      </patternFill>
    </fill>
    <fill>
      <patternFill patternType="solid">
        <fgColor theme="3" tint="0.79998168889431442"/>
        <bgColor indexed="64"/>
      </patternFill>
    </fill>
  </fills>
  <borders count="24">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right/>
      <top style="thin">
        <color indexed="63"/>
      </top>
      <bottom/>
      <diagonal/>
    </border>
    <border>
      <left style="thin">
        <color indexed="63"/>
      </left>
      <right style="thin">
        <color indexed="63"/>
      </right>
      <top/>
      <bottom/>
      <diagonal/>
    </border>
    <border>
      <left style="thin">
        <color indexed="64"/>
      </left>
      <right style="thin">
        <color indexed="64"/>
      </right>
      <top/>
      <bottom style="thin">
        <color indexed="64"/>
      </bottom>
      <diagonal/>
    </border>
    <border>
      <left style="thin">
        <color indexed="64"/>
      </left>
      <right style="thin">
        <color indexed="63"/>
      </right>
      <top style="thin">
        <color indexed="64"/>
      </top>
      <bottom style="thin">
        <color indexed="64"/>
      </bottom>
      <diagonal/>
    </border>
    <border>
      <left style="thin">
        <color indexed="63"/>
      </left>
      <right style="thin">
        <color indexed="63"/>
      </right>
      <top style="thin">
        <color indexed="64"/>
      </top>
      <bottom style="thin">
        <color indexed="64"/>
      </bottom>
      <diagonal/>
    </border>
    <border>
      <left style="thin">
        <color indexed="63"/>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3"/>
      </right>
      <top style="thin">
        <color indexed="63"/>
      </top>
      <bottom/>
      <diagonal/>
    </border>
    <border>
      <left/>
      <right style="thin">
        <color indexed="63"/>
      </right>
      <top/>
      <bottom/>
      <diagonal/>
    </border>
    <border>
      <left style="thin">
        <color indexed="63"/>
      </left>
      <right/>
      <top style="thin">
        <color indexed="63"/>
      </top>
      <bottom style="thin">
        <color indexed="63"/>
      </bottom>
      <diagonal/>
    </border>
    <border>
      <left/>
      <right style="thin">
        <color indexed="63"/>
      </right>
      <top style="thin">
        <color indexed="63"/>
      </top>
      <bottom style="thin">
        <color indexed="63"/>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5">
    <xf numFmtId="0" fontId="0" fillId="0" borderId="0"/>
    <xf numFmtId="0" fontId="8" fillId="0" borderId="0"/>
    <xf numFmtId="0" fontId="19" fillId="0" borderId="0"/>
    <xf numFmtId="0" fontId="20" fillId="0" borderId="0"/>
    <xf numFmtId="0" fontId="26" fillId="13" borderId="0" applyNumberFormat="0" applyBorder="0" applyAlignment="0" applyProtection="0"/>
  </cellStyleXfs>
  <cellXfs count="315">
    <xf numFmtId="0" fontId="0" fillId="0" borderId="0" xfId="0"/>
    <xf numFmtId="0" fontId="6" fillId="0" borderId="0" xfId="0" applyFont="1" applyFill="1" applyBorder="1" applyAlignment="1">
      <alignment horizontal="center" vertical="center" wrapText="1"/>
    </xf>
    <xf numFmtId="0" fontId="0" fillId="0" borderId="0" xfId="0" applyBorder="1"/>
    <xf numFmtId="0" fontId="6" fillId="2" borderId="1" xfId="0"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5" fillId="0" borderId="0" xfId="0" applyFont="1" applyBorder="1" applyAlignment="1">
      <alignment horizontal="center" vertical="center"/>
    </xf>
    <xf numFmtId="164" fontId="0" fillId="0" borderId="0" xfId="0" applyNumberFormat="1" applyBorder="1"/>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xf>
    <xf numFmtId="49" fontId="5" fillId="0" borderId="0" xfId="0" applyNumberFormat="1" applyFont="1" applyBorder="1" applyAlignment="1">
      <alignment horizontal="center" vertical="center"/>
    </xf>
    <xf numFmtId="0" fontId="3" fillId="0" borderId="0" xfId="0" applyFont="1" applyBorder="1" applyAlignment="1">
      <alignment vertical="top" wrapText="1"/>
    </xf>
    <xf numFmtId="0" fontId="6" fillId="2" borderId="3" xfId="0"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10" fillId="0" borderId="0" xfId="0" applyFont="1" applyBorder="1"/>
    <xf numFmtId="0" fontId="11" fillId="0" borderId="0" xfId="0" applyFont="1" applyBorder="1" applyAlignment="1">
      <alignment horizontal="right" vertical="center" indent="3"/>
    </xf>
    <xf numFmtId="0" fontId="11" fillId="0" borderId="0" xfId="0" applyFont="1" applyBorder="1" applyAlignment="1" applyProtection="1">
      <alignment horizontal="right" vertical="center" indent="3"/>
    </xf>
    <xf numFmtId="14" fontId="10" fillId="0" borderId="2" xfId="0" applyNumberFormat="1" applyFont="1" applyBorder="1" applyAlignment="1" applyProtection="1">
      <alignment horizontal="center" vertical="center"/>
      <protection locked="0"/>
    </xf>
    <xf numFmtId="0" fontId="10" fillId="0" borderId="0" xfId="0" applyFont="1" applyFill="1" applyBorder="1"/>
    <xf numFmtId="0" fontId="10" fillId="0" borderId="2" xfId="0" applyNumberFormat="1" applyFont="1" applyFill="1" applyBorder="1" applyAlignment="1">
      <alignment vertical="center" wrapText="1"/>
    </xf>
    <xf numFmtId="0" fontId="10" fillId="0" borderId="2"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center" vertical="center" wrapText="1"/>
    </xf>
    <xf numFmtId="0" fontId="10" fillId="0" borderId="0" xfId="0" applyFont="1" applyBorder="1" applyAlignment="1">
      <alignment vertical="center"/>
    </xf>
    <xf numFmtId="0" fontId="11" fillId="0" borderId="0" xfId="0" applyFont="1" applyBorder="1" applyAlignment="1">
      <alignment horizontal="center" vertical="center"/>
    </xf>
    <xf numFmtId="0" fontId="10" fillId="0" borderId="2" xfId="0" applyFont="1" applyFill="1" applyBorder="1" applyAlignment="1">
      <alignment vertical="center" wrapText="1"/>
    </xf>
    <xf numFmtId="0" fontId="10" fillId="0" borderId="2" xfId="0" applyFont="1" applyFill="1" applyBorder="1" applyAlignment="1">
      <alignment horizontal="left" vertical="center" wrapText="1"/>
    </xf>
    <xf numFmtId="0" fontId="10" fillId="0" borderId="0" xfId="0" applyNumberFormat="1" applyFont="1" applyFill="1" applyBorder="1" applyAlignment="1">
      <alignment horizontal="center" vertical="center" wrapText="1"/>
    </xf>
    <xf numFmtId="0" fontId="10" fillId="0" borderId="0" xfId="0" applyFont="1" applyFill="1" applyBorder="1" applyAlignment="1">
      <alignment vertical="center" wrapText="1"/>
    </xf>
    <xf numFmtId="0" fontId="13" fillId="0" borderId="0" xfId="0" applyFont="1" applyFill="1" applyBorder="1" applyAlignment="1">
      <alignment horizontal="center" vertical="center" wrapText="1"/>
    </xf>
    <xf numFmtId="0" fontId="11" fillId="0" borderId="0" xfId="0" applyNumberFormat="1" applyFont="1" applyFill="1" applyBorder="1" applyAlignment="1" applyProtection="1">
      <alignment horizontal="center" vertical="center"/>
    </xf>
    <xf numFmtId="0" fontId="14"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165" fontId="10" fillId="0" borderId="0" xfId="0" applyNumberFormat="1" applyFont="1" applyFill="1" applyBorder="1" applyAlignment="1">
      <alignment horizontal="center" vertical="center"/>
    </xf>
    <xf numFmtId="165" fontId="10" fillId="0" borderId="0" xfId="0" applyNumberFormat="1" applyFont="1" applyBorder="1" applyAlignment="1">
      <alignment horizontal="center" vertical="center"/>
    </xf>
    <xf numFmtId="0" fontId="10" fillId="0" borderId="0" xfId="0" applyFont="1" applyBorder="1" applyAlignment="1">
      <alignment wrapText="1"/>
    </xf>
    <xf numFmtId="0" fontId="10" fillId="0" borderId="0" xfId="0" applyFont="1" applyBorder="1" applyAlignment="1">
      <alignment vertical="center" wrapText="1"/>
    </xf>
    <xf numFmtId="0" fontId="9" fillId="2" borderId="8" xfId="0" applyNumberFormat="1" applyFont="1" applyFill="1" applyBorder="1" applyAlignment="1">
      <alignment horizontal="left" vertical="center" wrapText="1"/>
    </xf>
    <xf numFmtId="0" fontId="9" fillId="2" borderId="9" xfId="0"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protection locked="0"/>
    </xf>
    <xf numFmtId="0" fontId="10" fillId="0" borderId="2" xfId="0"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protection locked="0"/>
    </xf>
    <xf numFmtId="0" fontId="9" fillId="2" borderId="1" xfId="0" applyFont="1" applyFill="1" applyBorder="1" applyAlignment="1">
      <alignment horizontal="center" vertical="center" wrapText="1"/>
    </xf>
    <xf numFmtId="49" fontId="10" fillId="0" borderId="2"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xf>
    <xf numFmtId="0" fontId="9" fillId="2" borderId="3"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wrapText="1"/>
    </xf>
    <xf numFmtId="0" fontId="9" fillId="2" borderId="6"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164" fontId="10" fillId="0" borderId="0" xfId="0" applyNumberFormat="1" applyFont="1" applyBorder="1"/>
    <xf numFmtId="0" fontId="10" fillId="0" borderId="0" xfId="0" applyFont="1"/>
    <xf numFmtId="0" fontId="11" fillId="0" borderId="0" xfId="0" applyFont="1" applyFill="1" applyBorder="1" applyAlignment="1">
      <alignment horizontal="center" vertical="center" wrapText="1"/>
    </xf>
    <xf numFmtId="49" fontId="11" fillId="0" borderId="2"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xf>
    <xf numFmtId="49" fontId="11" fillId="0"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49" fontId="11" fillId="0" borderId="12" xfId="0" applyNumberFormat="1" applyFont="1" applyFill="1" applyBorder="1" applyAlignment="1">
      <alignment horizontal="center" vertical="center"/>
    </xf>
    <xf numFmtId="49" fontId="11" fillId="0" borderId="13" xfId="0" applyNumberFormat="1" applyFont="1" applyFill="1" applyBorder="1" applyAlignment="1">
      <alignment horizontal="center" vertical="center"/>
    </xf>
    <xf numFmtId="49" fontId="11" fillId="0" borderId="7" xfId="0" applyNumberFormat="1" applyFont="1" applyFill="1" applyBorder="1" applyAlignment="1">
      <alignment horizontal="center" vertical="center"/>
    </xf>
    <xf numFmtId="49" fontId="10" fillId="3" borderId="2" xfId="0" applyNumberFormat="1" applyFont="1" applyFill="1" applyBorder="1" applyAlignment="1">
      <alignment horizontal="center" vertical="center" wrapText="1"/>
    </xf>
    <xf numFmtId="49" fontId="10" fillId="3" borderId="2" xfId="0" applyNumberFormat="1" applyFont="1" applyFill="1" applyBorder="1" applyAlignment="1">
      <alignment horizontal="center" vertical="center"/>
    </xf>
    <xf numFmtId="49" fontId="10" fillId="5" borderId="2" xfId="0" applyNumberFormat="1" applyFont="1" applyFill="1" applyBorder="1" applyAlignment="1">
      <alignment horizontal="center" vertical="center" wrapText="1"/>
    </xf>
    <xf numFmtId="0" fontId="10" fillId="0" borderId="2" xfId="0" quotePrefix="1" applyNumberFormat="1" applyFont="1" applyFill="1" applyBorder="1" applyAlignment="1">
      <alignment horizontal="center" vertical="center" wrapText="1"/>
    </xf>
    <xf numFmtId="0" fontId="11" fillId="0" borderId="0" xfId="0" applyNumberFormat="1" applyFont="1" applyFill="1" applyBorder="1" applyAlignment="1">
      <alignment horizontal="left" vertical="center" wrapText="1"/>
    </xf>
    <xf numFmtId="166" fontId="11" fillId="0" borderId="2" xfId="0" applyNumberFormat="1" applyFont="1" applyBorder="1" applyAlignment="1" applyProtection="1">
      <alignment horizontal="center" vertical="center" wrapText="1"/>
      <protection locked="0"/>
    </xf>
    <xf numFmtId="49" fontId="10" fillId="6" borderId="2" xfId="0" applyNumberFormat="1" applyFont="1" applyFill="1" applyBorder="1" applyAlignment="1">
      <alignment horizontal="center" vertical="center" wrapText="1"/>
    </xf>
    <xf numFmtId="49" fontId="10" fillId="0" borderId="2" xfId="0" quotePrefix="1" applyNumberFormat="1" applyFont="1" applyFill="1" applyBorder="1" applyAlignment="1">
      <alignment horizontal="center" vertical="center" wrapText="1"/>
    </xf>
    <xf numFmtId="0" fontId="9" fillId="2" borderId="1" xfId="0" applyFont="1" applyFill="1" applyBorder="1" applyAlignment="1">
      <alignment vertical="center" wrapText="1"/>
    </xf>
    <xf numFmtId="0" fontId="10" fillId="5" borderId="2" xfId="0" applyFont="1" applyFill="1" applyBorder="1" applyAlignment="1">
      <alignment horizontal="right" vertical="center" wrapText="1" indent="1"/>
    </xf>
    <xf numFmtId="0" fontId="10" fillId="0" borderId="2" xfId="0" applyFont="1" applyFill="1" applyBorder="1" applyAlignment="1">
      <alignment vertical="center"/>
    </xf>
    <xf numFmtId="0" fontId="9" fillId="2" borderId="3" xfId="0" applyFont="1" applyFill="1" applyBorder="1" applyAlignment="1">
      <alignment vertical="center" wrapText="1"/>
    </xf>
    <xf numFmtId="0" fontId="12" fillId="0" borderId="2" xfId="0" applyFont="1" applyFill="1" applyBorder="1" applyAlignment="1">
      <alignment vertical="center" wrapText="1"/>
    </xf>
    <xf numFmtId="0" fontId="10" fillId="4" borderId="2" xfId="0" applyFont="1" applyFill="1" applyBorder="1" applyAlignment="1">
      <alignment vertical="center" wrapText="1"/>
    </xf>
    <xf numFmtId="0" fontId="10" fillId="0" borderId="7" xfId="0" applyFont="1" applyFill="1" applyBorder="1" applyAlignment="1">
      <alignment vertical="center" wrapText="1"/>
    </xf>
    <xf numFmtId="49" fontId="11" fillId="0" borderId="0" xfId="0" applyNumberFormat="1" applyFont="1" applyBorder="1" applyAlignment="1">
      <alignment horizontal="center" vertical="center"/>
    </xf>
    <xf numFmtId="0" fontId="10" fillId="0" borderId="0" xfId="0" applyFont="1" applyFill="1" applyBorder="1" applyAlignment="1">
      <alignment wrapText="1"/>
    </xf>
    <xf numFmtId="49" fontId="10" fillId="0" borderId="0" xfId="0" applyNumberFormat="1" applyFont="1" applyFill="1" applyBorder="1" applyAlignment="1">
      <alignment horizontal="left" vertical="center" indent="2"/>
    </xf>
    <xf numFmtId="49" fontId="10" fillId="0" borderId="0" xfId="0" applyNumberFormat="1" applyFont="1" applyBorder="1"/>
    <xf numFmtId="49" fontId="10" fillId="0" borderId="2" xfId="0" applyNumberFormat="1" applyFont="1" applyFill="1" applyBorder="1" applyAlignment="1" applyProtection="1">
      <alignment horizontal="center" vertical="center" wrapText="1"/>
      <protection locked="0"/>
    </xf>
    <xf numFmtId="49" fontId="10" fillId="0" borderId="2" xfId="0" applyNumberFormat="1" applyFont="1" applyFill="1" applyBorder="1" applyAlignment="1" applyProtection="1">
      <alignment horizontal="center" vertical="center"/>
      <protection locked="0"/>
    </xf>
    <xf numFmtId="49" fontId="10" fillId="0" borderId="2" xfId="0" quotePrefix="1" applyNumberFormat="1" applyFont="1" applyFill="1" applyBorder="1" applyAlignment="1" applyProtection="1">
      <alignment horizontal="center" vertical="center" wrapText="1"/>
      <protection locked="0"/>
    </xf>
    <xf numFmtId="0" fontId="10" fillId="0" borderId="0" xfId="0" applyFont="1" applyFill="1" applyBorder="1" applyAlignment="1"/>
    <xf numFmtId="0" fontId="10" fillId="4" borderId="14" xfId="0" applyFont="1" applyFill="1" applyBorder="1" applyAlignment="1">
      <alignment vertical="center" wrapText="1"/>
    </xf>
    <xf numFmtId="0" fontId="9" fillId="7" borderId="6" xfId="0" applyFont="1" applyFill="1" applyBorder="1" applyAlignment="1">
      <alignment vertical="center" wrapText="1"/>
    </xf>
    <xf numFmtId="0" fontId="9" fillId="7" borderId="3" xfId="0" applyFont="1" applyFill="1" applyBorder="1" applyAlignment="1">
      <alignment vertical="center" wrapText="1"/>
    </xf>
    <xf numFmtId="0" fontId="10" fillId="0" borderId="0" xfId="0" applyFont="1" applyFill="1" applyBorder="1" applyAlignment="1">
      <alignment vertical="center"/>
    </xf>
    <xf numFmtId="0" fontId="9" fillId="7" borderId="4" xfId="0" applyFont="1" applyFill="1" applyBorder="1" applyAlignment="1">
      <alignment vertical="center" wrapText="1"/>
    </xf>
    <xf numFmtId="0" fontId="9" fillId="8" borderId="1" xfId="0" applyFont="1" applyFill="1" applyBorder="1" applyAlignment="1">
      <alignment horizontal="center" vertical="center" wrapText="1"/>
    </xf>
    <xf numFmtId="49" fontId="10" fillId="5" borderId="2"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xf>
    <xf numFmtId="0" fontId="18" fillId="2" borderId="1" xfId="0" applyFont="1" applyFill="1" applyBorder="1" applyAlignment="1">
      <alignment vertical="center" wrapText="1"/>
    </xf>
    <xf numFmtId="0" fontId="9" fillId="2" borderId="0" xfId="0" applyFont="1" applyFill="1" applyBorder="1" applyAlignment="1">
      <alignment horizontal="center" vertical="center" wrapText="1"/>
    </xf>
    <xf numFmtId="49" fontId="10" fillId="0" borderId="11" xfId="0" applyNumberFormat="1" applyFont="1" applyFill="1" applyBorder="1" applyAlignment="1">
      <alignment horizontal="center" vertical="center"/>
    </xf>
    <xf numFmtId="0" fontId="10" fillId="0" borderId="11" xfId="0" applyNumberFormat="1" applyFont="1" applyFill="1" applyBorder="1" applyAlignment="1">
      <alignment horizontal="center" vertical="center" wrapText="1"/>
    </xf>
    <xf numFmtId="49" fontId="11" fillId="0" borderId="11" xfId="0" applyNumberFormat="1" applyFont="1" applyFill="1" applyBorder="1" applyAlignment="1">
      <alignment horizontal="center" vertical="center" wrapText="1"/>
    </xf>
    <xf numFmtId="0" fontId="10" fillId="0" borderId="11" xfId="0" quotePrefix="1" applyNumberFormat="1" applyFont="1" applyFill="1" applyBorder="1" applyAlignment="1">
      <alignment horizontal="center" vertical="center" wrapText="1"/>
    </xf>
    <xf numFmtId="0" fontId="10" fillId="0" borderId="15" xfId="0" applyNumberFormat="1" applyFont="1" applyFill="1" applyBorder="1" applyAlignment="1">
      <alignment horizontal="center" vertical="center" wrapText="1"/>
    </xf>
    <xf numFmtId="49" fontId="10" fillId="5" borderId="11" xfId="0" applyNumberFormat="1" applyFont="1" applyFill="1" applyBorder="1" applyAlignment="1">
      <alignment horizontal="center" vertical="center" wrapText="1"/>
    </xf>
    <xf numFmtId="49" fontId="10" fillId="5" borderId="15" xfId="0" applyNumberFormat="1" applyFont="1" applyFill="1" applyBorder="1" applyAlignment="1">
      <alignment horizontal="center" vertical="center" wrapText="1"/>
    </xf>
    <xf numFmtId="0" fontId="10" fillId="5" borderId="2" xfId="0" applyNumberFormat="1" applyFont="1" applyFill="1" applyBorder="1" applyAlignment="1">
      <alignment horizontal="center" vertical="center" wrapText="1"/>
    </xf>
    <xf numFmtId="6" fontId="10" fillId="0" borderId="2" xfId="0" applyNumberFormat="1" applyFont="1" applyFill="1" applyBorder="1" applyAlignment="1" applyProtection="1">
      <alignment horizontal="center" vertical="center"/>
      <protection locked="0"/>
    </xf>
    <xf numFmtId="6" fontId="10" fillId="0" borderId="2" xfId="0" applyNumberFormat="1" applyFont="1" applyFill="1" applyBorder="1" applyAlignment="1" applyProtection="1">
      <alignment horizontal="center" vertical="center" wrapText="1"/>
      <protection locked="0"/>
    </xf>
    <xf numFmtId="1" fontId="10" fillId="0" borderId="2" xfId="0" quotePrefix="1" applyNumberFormat="1" applyFont="1" applyFill="1" applyBorder="1" applyAlignment="1">
      <alignment horizontal="center" vertical="center" wrapText="1"/>
    </xf>
    <xf numFmtId="1" fontId="10" fillId="5" borderId="2" xfId="0" applyNumberFormat="1" applyFont="1" applyFill="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xf>
    <xf numFmtId="0" fontId="10" fillId="0" borderId="0" xfId="0" applyFont="1" applyBorder="1" applyAlignment="1">
      <alignment horizontal="center" vertical="center"/>
    </xf>
    <xf numFmtId="0" fontId="10" fillId="0" borderId="0" xfId="0" applyFont="1" applyBorder="1" applyAlignment="1">
      <alignment horizontal="center" vertical="center" wrapText="1"/>
    </xf>
    <xf numFmtId="0" fontId="10" fillId="0"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6" xfId="0" applyFont="1" applyFill="1" applyBorder="1" applyAlignment="1">
      <alignment horizontal="center" vertical="center" wrapText="1"/>
    </xf>
    <xf numFmtId="49" fontId="10" fillId="0" borderId="15" xfId="0" applyNumberFormat="1" applyFont="1" applyFill="1" applyBorder="1" applyAlignment="1">
      <alignment horizontal="center" vertical="center"/>
    </xf>
    <xf numFmtId="49" fontId="10" fillId="0" borderId="15" xfId="0" applyNumberFormat="1" applyFont="1" applyFill="1" applyBorder="1" applyAlignment="1">
      <alignment horizontal="center" vertical="center" wrapText="1"/>
    </xf>
    <xf numFmtId="0" fontId="9" fillId="2" borderId="4" xfId="0" applyNumberFormat="1" applyFont="1" applyFill="1" applyBorder="1" applyAlignment="1">
      <alignment horizontal="center" vertical="center" wrapText="1"/>
    </xf>
    <xf numFmtId="0" fontId="9" fillId="2" borderId="16" xfId="0" applyNumberFormat="1" applyFont="1" applyFill="1" applyBorder="1" applyAlignment="1">
      <alignment horizontal="center" vertical="center" wrapText="1"/>
    </xf>
    <xf numFmtId="0" fontId="9" fillId="2" borderId="10" xfId="0" applyNumberFormat="1" applyFont="1" applyFill="1" applyBorder="1" applyAlignment="1">
      <alignment horizontal="center" vertical="center" wrapText="1"/>
    </xf>
    <xf numFmtId="0" fontId="9" fillId="2" borderId="17"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9" fillId="2" borderId="3" xfId="1" applyFont="1" applyFill="1" applyBorder="1" applyAlignment="1">
      <alignment horizontal="center" vertical="center"/>
    </xf>
    <xf numFmtId="0" fontId="21" fillId="0" borderId="2" xfId="0" applyFont="1" applyBorder="1" applyAlignment="1">
      <alignment horizontal="center" vertical="center"/>
    </xf>
    <xf numFmtId="49" fontId="10" fillId="5" borderId="2" xfId="1" applyNumberFormat="1" applyFont="1" applyFill="1" applyBorder="1" applyAlignment="1">
      <alignment horizontal="center" vertical="center"/>
    </xf>
    <xf numFmtId="0" fontId="21" fillId="0" borderId="0" xfId="0" applyFont="1" applyAlignment="1">
      <alignment horizontal="center" vertical="center"/>
    </xf>
    <xf numFmtId="0" fontId="9" fillId="2" borderId="2" xfId="1" applyFont="1" applyFill="1" applyBorder="1" applyAlignment="1">
      <alignment horizontal="center" vertical="center" wrapText="1"/>
    </xf>
    <xf numFmtId="0" fontId="21" fillId="0" borderId="2" xfId="0" applyFont="1" applyBorder="1" applyAlignment="1">
      <alignment horizontal="center" vertical="center" wrapText="1"/>
    </xf>
    <xf numFmtId="0" fontId="9" fillId="2" borderId="2" xfId="1" applyFont="1" applyFill="1" applyBorder="1" applyAlignment="1">
      <alignment horizontal="center" vertical="center"/>
    </xf>
    <xf numFmtId="0" fontId="10" fillId="0" borderId="0" xfId="2" applyFont="1" applyBorder="1"/>
    <xf numFmtId="0" fontId="9" fillId="0" borderId="0" xfId="2" applyFont="1" applyFill="1" applyBorder="1" applyAlignment="1">
      <alignment vertical="center" wrapText="1"/>
    </xf>
    <xf numFmtId="0" fontId="10" fillId="0" borderId="0" xfId="2" applyFont="1" applyFill="1" applyBorder="1" applyAlignment="1">
      <alignment vertical="center" wrapText="1"/>
    </xf>
    <xf numFmtId="0" fontId="10" fillId="0" borderId="2" xfId="2" applyNumberFormat="1" applyFont="1" applyFill="1" applyBorder="1" applyAlignment="1">
      <alignment horizontal="center" vertical="center" wrapText="1"/>
    </xf>
    <xf numFmtId="0" fontId="9" fillId="0" borderId="0" xfId="2" applyFont="1" applyFill="1" applyBorder="1" applyAlignment="1">
      <alignment horizontal="center" vertical="center" wrapText="1"/>
    </xf>
    <xf numFmtId="0" fontId="11" fillId="0" borderId="0" xfId="2" applyFont="1" applyBorder="1" applyAlignment="1">
      <alignment horizontal="center" vertical="center"/>
    </xf>
    <xf numFmtId="0" fontId="13" fillId="0" borderId="0" xfId="2" applyFont="1" applyFill="1" applyBorder="1" applyAlignment="1">
      <alignment horizontal="center" vertical="center" wrapText="1"/>
    </xf>
    <xf numFmtId="0" fontId="15" fillId="0" borderId="0" xfId="2" applyFont="1" applyFill="1" applyBorder="1" applyAlignment="1">
      <alignment horizontal="center" vertical="center" wrapText="1"/>
    </xf>
    <xf numFmtId="165" fontId="10" fillId="0" borderId="0" xfId="2" applyNumberFormat="1" applyFont="1" applyBorder="1" applyAlignment="1">
      <alignment horizontal="center" vertical="center"/>
    </xf>
    <xf numFmtId="0" fontId="9" fillId="2" borderId="1" xfId="2" applyFont="1" applyFill="1" applyBorder="1" applyAlignment="1">
      <alignment horizontal="center" vertical="center" wrapText="1"/>
    </xf>
    <xf numFmtId="49" fontId="10" fillId="0" borderId="2" xfId="2" applyNumberFormat="1" applyFont="1" applyFill="1" applyBorder="1" applyAlignment="1">
      <alignment horizontal="center" vertical="center"/>
    </xf>
    <xf numFmtId="49" fontId="10" fillId="0" borderId="2" xfId="2" applyNumberFormat="1" applyFont="1" applyFill="1" applyBorder="1" applyAlignment="1">
      <alignment horizontal="center" vertical="center" wrapText="1"/>
    </xf>
    <xf numFmtId="49" fontId="10" fillId="0" borderId="0" xfId="2" applyNumberFormat="1" applyFont="1" applyFill="1" applyBorder="1" applyAlignment="1">
      <alignment horizontal="center" vertical="center"/>
    </xf>
    <xf numFmtId="164" fontId="10" fillId="0" borderId="0" xfId="2" applyNumberFormat="1" applyFont="1" applyBorder="1"/>
    <xf numFmtId="0" fontId="11" fillId="0" borderId="0" xfId="2" applyFont="1" applyFill="1" applyBorder="1" applyAlignment="1">
      <alignment horizontal="center" vertical="center" wrapText="1"/>
    </xf>
    <xf numFmtId="49" fontId="10" fillId="0" borderId="0" xfId="2" applyNumberFormat="1" applyFont="1" applyFill="1" applyBorder="1" applyAlignment="1">
      <alignment horizontal="center" vertical="center" wrapText="1"/>
    </xf>
    <xf numFmtId="49" fontId="10" fillId="5" borderId="2" xfId="2" applyNumberFormat="1" applyFont="1" applyFill="1" applyBorder="1" applyAlignment="1">
      <alignment horizontal="center" vertical="center" wrapText="1"/>
    </xf>
    <xf numFmtId="0" fontId="10" fillId="0" borderId="2" xfId="2" quotePrefix="1" applyNumberFormat="1" applyFont="1" applyFill="1" applyBorder="1" applyAlignment="1">
      <alignment horizontal="center" vertical="center" wrapText="1"/>
    </xf>
    <xf numFmtId="0" fontId="10" fillId="9" borderId="2" xfId="0" applyFont="1" applyFill="1" applyBorder="1" applyAlignment="1" applyProtection="1">
      <alignment horizontal="center" vertical="center"/>
      <protection locked="0"/>
    </xf>
    <xf numFmtId="49" fontId="10" fillId="9" borderId="2" xfId="0" applyNumberFormat="1" applyFont="1" applyFill="1" applyBorder="1" applyAlignment="1">
      <alignment horizontal="center" vertical="center" wrapText="1"/>
    </xf>
    <xf numFmtId="49" fontId="10" fillId="9" borderId="2" xfId="0" applyNumberFormat="1" applyFont="1" applyFill="1" applyBorder="1" applyAlignment="1">
      <alignment horizontal="center" vertical="center"/>
    </xf>
    <xf numFmtId="0" fontId="10" fillId="9" borderId="0" xfId="0" applyFont="1" applyFill="1" applyBorder="1"/>
    <xf numFmtId="164" fontId="10" fillId="0" borderId="0" xfId="0" applyNumberFormat="1" applyFont="1" applyFill="1" applyBorder="1"/>
    <xf numFmtId="0" fontId="10" fillId="4" borderId="0" xfId="0" applyFont="1" applyFill="1" applyBorder="1" applyAlignment="1">
      <alignment vertical="center" wrapText="1"/>
    </xf>
    <xf numFmtId="0" fontId="10" fillId="9" borderId="2" xfId="0" applyFont="1" applyFill="1" applyBorder="1" applyAlignment="1">
      <alignment vertical="center" wrapText="1"/>
    </xf>
    <xf numFmtId="0" fontId="10" fillId="10" borderId="2" xfId="0" applyFont="1" applyFill="1" applyBorder="1" applyAlignment="1">
      <alignment vertical="center" wrapText="1"/>
    </xf>
    <xf numFmtId="0" fontId="10" fillId="11" borderId="2" xfId="0" applyFont="1" applyFill="1" applyBorder="1" applyAlignment="1">
      <alignment vertical="center" wrapText="1"/>
    </xf>
    <xf numFmtId="0" fontId="0" fillId="0" borderId="0" xfId="0" applyAlignment="1">
      <alignment horizontal="center" vertical="center"/>
    </xf>
    <xf numFmtId="0" fontId="9" fillId="9" borderId="0" xfId="0" applyFont="1" applyFill="1" applyBorder="1" applyAlignment="1">
      <alignment vertical="center" wrapText="1"/>
    </xf>
    <xf numFmtId="0" fontId="0" fillId="0" borderId="0" xfId="0" applyAlignment="1">
      <alignment horizontal="center" vertical="center" wrapText="1"/>
    </xf>
    <xf numFmtId="0" fontId="10" fillId="5" borderId="2" xfId="0" applyFont="1" applyFill="1" applyBorder="1" applyAlignment="1">
      <alignment horizontal="right" vertical="center" wrapText="1"/>
    </xf>
    <xf numFmtId="0" fontId="0" fillId="0" borderId="0" xfId="0" applyAlignment="1">
      <alignment wrapText="1"/>
    </xf>
    <xf numFmtId="49" fontId="10" fillId="0" borderId="0" xfId="0" applyNumberFormat="1" applyFont="1" applyFill="1" applyBorder="1" applyAlignment="1">
      <alignment horizontal="left" vertical="center" wrapText="1"/>
    </xf>
    <xf numFmtId="0" fontId="10" fillId="5" borderId="0" xfId="0" applyFont="1" applyFill="1" applyBorder="1" applyAlignment="1">
      <alignment horizontal="right" vertical="center" wrapText="1"/>
    </xf>
    <xf numFmtId="0" fontId="10" fillId="9" borderId="2" xfId="0" applyFont="1" applyFill="1" applyBorder="1" applyAlignment="1">
      <alignment horizontal="right" vertical="center" wrapText="1"/>
    </xf>
    <xf numFmtId="0" fontId="10" fillId="9" borderId="0" xfId="0" applyFont="1" applyFill="1" applyBorder="1" applyAlignment="1">
      <alignment horizontal="right" vertical="center" wrapText="1"/>
    </xf>
    <xf numFmtId="0" fontId="10" fillId="9" borderId="2"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4" borderId="11" xfId="0" applyFont="1" applyFill="1" applyBorder="1" applyAlignment="1">
      <alignment vertical="center" wrapText="1"/>
    </xf>
    <xf numFmtId="49" fontId="10" fillId="0" borderId="0" xfId="0" applyNumberFormat="1" applyFont="1" applyFill="1" applyBorder="1" applyAlignment="1" applyProtection="1">
      <alignment horizontal="center" vertical="center"/>
      <protection locked="0"/>
    </xf>
    <xf numFmtId="0" fontId="10" fillId="0" borderId="0" xfId="0" applyFont="1" applyFill="1" applyBorder="1" applyAlignment="1">
      <alignment horizontal="left"/>
    </xf>
    <xf numFmtId="0" fontId="9" fillId="2" borderId="1" xfId="0" applyFont="1" applyFill="1" applyBorder="1" applyAlignment="1">
      <alignment vertical="center"/>
    </xf>
    <xf numFmtId="0" fontId="9" fillId="2" borderId="9" xfId="0" applyNumberFormat="1" applyFont="1" applyFill="1" applyBorder="1" applyAlignment="1">
      <alignment horizontal="center" vertical="center"/>
    </xf>
    <xf numFmtId="0" fontId="10" fillId="0" borderId="0" xfId="0" applyFont="1" applyBorder="1" applyAlignment="1" applyProtection="1">
      <alignment horizontal="center"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4" fontId="0" fillId="0" borderId="0" xfId="0" applyNumberFormat="1" applyBorder="1" applyAlignment="1">
      <alignment horizontal="center" vertical="center"/>
    </xf>
    <xf numFmtId="49" fontId="10" fillId="11" borderId="2" xfId="0" applyNumberFormat="1" applyFont="1" applyFill="1" applyBorder="1" applyAlignment="1">
      <alignment horizontal="center" vertical="center" wrapText="1"/>
    </xf>
    <xf numFmtId="0" fontId="10" fillId="11" borderId="2" xfId="0" applyFont="1" applyFill="1" applyBorder="1" applyAlignment="1">
      <alignment horizontal="center" vertical="center" wrapText="1"/>
    </xf>
    <xf numFmtId="0" fontId="21" fillId="11" borderId="2" xfId="0" applyFont="1" applyFill="1" applyBorder="1" applyAlignment="1">
      <alignment horizontal="center" vertical="center"/>
    </xf>
    <xf numFmtId="49" fontId="10" fillId="11" borderId="2" xfId="0" applyNumberFormat="1" applyFont="1" applyFill="1" applyBorder="1" applyAlignment="1">
      <alignment horizontal="center" vertical="center"/>
    </xf>
    <xf numFmtId="49" fontId="10" fillId="10" borderId="2" xfId="0" applyNumberFormat="1" applyFont="1" applyFill="1" applyBorder="1" applyAlignment="1">
      <alignment horizontal="center" vertical="center" wrapText="1"/>
    </xf>
    <xf numFmtId="0" fontId="10" fillId="10" borderId="2" xfId="0" applyFont="1" applyFill="1" applyBorder="1" applyAlignment="1">
      <alignment horizontal="center" vertical="center" wrapText="1"/>
    </xf>
    <xf numFmtId="0" fontId="21" fillId="10" borderId="2" xfId="0" applyFont="1" applyFill="1" applyBorder="1" applyAlignment="1">
      <alignment horizontal="center" vertical="center"/>
    </xf>
    <xf numFmtId="49" fontId="10" fillId="10" borderId="2" xfId="0" applyNumberFormat="1" applyFont="1" applyFill="1" applyBorder="1" applyAlignment="1">
      <alignment horizontal="center" vertical="center"/>
    </xf>
    <xf numFmtId="0" fontId="10" fillId="10" borderId="0" xfId="0" applyFont="1" applyFill="1" applyBorder="1"/>
    <xf numFmtId="49" fontId="10" fillId="11" borderId="11" xfId="0" applyNumberFormat="1" applyFont="1" applyFill="1" applyBorder="1" applyAlignment="1">
      <alignment horizontal="center" vertical="center" wrapText="1"/>
    </xf>
    <xf numFmtId="49" fontId="10" fillId="11" borderId="15" xfId="0" applyNumberFormat="1" applyFont="1" applyFill="1" applyBorder="1" applyAlignment="1">
      <alignment horizontal="center" vertical="center"/>
    </xf>
    <xf numFmtId="0" fontId="10" fillId="11" borderId="2" xfId="0" applyNumberFormat="1" applyFont="1" applyFill="1" applyBorder="1" applyAlignment="1">
      <alignment horizontal="center" vertical="center" wrapText="1"/>
    </xf>
    <xf numFmtId="0" fontId="10" fillId="11" borderId="2" xfId="0" applyFont="1" applyFill="1" applyBorder="1" applyAlignment="1" applyProtection="1">
      <alignment horizontal="center" vertical="center"/>
      <protection locked="0"/>
    </xf>
    <xf numFmtId="6" fontId="10" fillId="11" borderId="2" xfId="0" applyNumberFormat="1" applyFont="1" applyFill="1" applyBorder="1" applyAlignment="1" applyProtection="1">
      <alignment horizontal="center" vertical="center"/>
      <protection locked="0"/>
    </xf>
    <xf numFmtId="0" fontId="10" fillId="11" borderId="2" xfId="0" applyFont="1" applyFill="1" applyBorder="1" applyAlignment="1">
      <alignment horizontal="left" vertical="center" wrapText="1"/>
    </xf>
    <xf numFmtId="0" fontId="10" fillId="11" borderId="2" xfId="0" applyFont="1" applyFill="1" applyBorder="1" applyAlignment="1" applyProtection="1">
      <alignment horizontal="center" vertical="center" wrapText="1"/>
      <protection locked="0"/>
    </xf>
    <xf numFmtId="49" fontId="10" fillId="11" borderId="7" xfId="0" applyNumberFormat="1" applyFont="1" applyFill="1" applyBorder="1" applyAlignment="1">
      <alignment horizontal="center" vertical="center"/>
    </xf>
    <xf numFmtId="0" fontId="10" fillId="10" borderId="2" xfId="0" applyNumberFormat="1" applyFont="1" applyFill="1" applyBorder="1" applyAlignment="1">
      <alignment horizontal="center" vertical="center" wrapText="1"/>
    </xf>
    <xf numFmtId="0" fontId="10" fillId="10" borderId="2" xfId="0" applyFont="1" applyFill="1" applyBorder="1" applyAlignment="1" applyProtection="1">
      <alignment horizontal="center" vertical="center"/>
      <protection locked="0"/>
    </xf>
    <xf numFmtId="49" fontId="10" fillId="10" borderId="7" xfId="0" applyNumberFormat="1" applyFont="1" applyFill="1" applyBorder="1" applyAlignment="1">
      <alignment horizontal="center" vertical="center"/>
    </xf>
    <xf numFmtId="49" fontId="11" fillId="11" borderId="2" xfId="0" applyNumberFormat="1" applyFont="1" applyFill="1" applyBorder="1" applyAlignment="1">
      <alignment horizontal="center" vertical="center"/>
    </xf>
    <xf numFmtId="49" fontId="10" fillId="11" borderId="11" xfId="0" applyNumberFormat="1" applyFont="1" applyFill="1" applyBorder="1" applyAlignment="1">
      <alignment horizontal="center" vertical="center"/>
    </xf>
    <xf numFmtId="0" fontId="23" fillId="0" borderId="0" xfId="0" applyFont="1" applyFill="1" applyBorder="1" applyAlignment="1">
      <alignment horizontal="center" vertical="center" wrapText="1"/>
    </xf>
    <xf numFmtId="0" fontId="23" fillId="0" borderId="0" xfId="1" applyFont="1" applyFill="1" applyBorder="1" applyAlignment="1">
      <alignment horizontal="center" vertical="center"/>
    </xf>
    <xf numFmtId="0" fontId="1" fillId="0" borderId="0" xfId="0" applyFont="1" applyFill="1" applyBorder="1"/>
    <xf numFmtId="14" fontId="21" fillId="0" borderId="0" xfId="0" applyNumberFormat="1" applyFont="1" applyFill="1" applyBorder="1" applyAlignment="1">
      <alignment horizontal="center" vertical="center" wrapText="1"/>
    </xf>
    <xf numFmtId="0" fontId="8" fillId="0" borderId="0" xfId="0" applyFont="1" applyAlignment="1">
      <alignment horizontal="center" vertical="center" wrapText="1"/>
    </xf>
    <xf numFmtId="0" fontId="24" fillId="0" borderId="0" xfId="0" applyFont="1" applyAlignment="1">
      <alignment horizontal="center" vertical="center"/>
    </xf>
    <xf numFmtId="49" fontId="10" fillId="11" borderId="15" xfId="0" applyNumberFormat="1" applyFont="1" applyFill="1" applyBorder="1" applyAlignment="1">
      <alignment horizontal="center" vertical="center" wrapText="1"/>
    </xf>
    <xf numFmtId="0" fontId="21" fillId="11" borderId="2" xfId="0" applyFont="1" applyFill="1" applyBorder="1" applyAlignment="1">
      <alignment horizontal="center" vertical="center" wrapText="1"/>
    </xf>
    <xf numFmtId="49" fontId="11" fillId="11" borderId="2" xfId="0" applyNumberFormat="1" applyFont="1" applyFill="1" applyBorder="1" applyAlignment="1">
      <alignment horizontal="center" vertical="center" wrapText="1"/>
    </xf>
    <xf numFmtId="0" fontId="25" fillId="0" borderId="0" xfId="0" applyFont="1" applyBorder="1"/>
    <xf numFmtId="0" fontId="0" fillId="0" borderId="21" xfId="0" applyBorder="1" applyAlignment="1">
      <alignment horizontal="center" vertical="center"/>
    </xf>
    <xf numFmtId="0" fontId="0" fillId="0" borderId="21" xfId="0" applyBorder="1"/>
    <xf numFmtId="0" fontId="8" fillId="0" borderId="21" xfId="0" applyFont="1" applyBorder="1" applyAlignment="1">
      <alignment horizontal="center" vertical="center" wrapText="1"/>
    </xf>
    <xf numFmtId="0" fontId="10" fillId="12" borderId="2" xfId="0" applyFont="1" applyFill="1" applyBorder="1" applyAlignment="1">
      <alignment vertical="center" wrapText="1"/>
    </xf>
    <xf numFmtId="0" fontId="10" fillId="12" borderId="2" xfId="0" applyFont="1" applyFill="1" applyBorder="1" applyAlignment="1">
      <alignment horizontal="right" vertical="center" wrapText="1" indent="1"/>
    </xf>
    <xf numFmtId="0" fontId="10" fillId="12" borderId="2" xfId="0" applyFont="1" applyFill="1" applyBorder="1" applyAlignment="1">
      <alignment vertical="center"/>
    </xf>
    <xf numFmtId="0" fontId="9" fillId="12" borderId="3" xfId="0" applyFont="1" applyFill="1" applyBorder="1" applyAlignment="1">
      <alignment vertical="center" wrapText="1"/>
    </xf>
    <xf numFmtId="49" fontId="10" fillId="12" borderId="2" xfId="0" applyNumberFormat="1" applyFont="1" applyFill="1" applyBorder="1" applyAlignment="1">
      <alignment horizontal="center" vertical="center" wrapText="1"/>
    </xf>
    <xf numFmtId="0" fontId="10" fillId="12" borderId="2" xfId="0" applyFont="1" applyFill="1" applyBorder="1" applyAlignment="1">
      <alignment horizontal="center" vertical="center" wrapText="1"/>
    </xf>
    <xf numFmtId="0" fontId="9" fillId="12" borderId="1" xfId="0" applyFont="1" applyFill="1" applyBorder="1" applyAlignment="1">
      <alignment vertical="center" wrapText="1"/>
    </xf>
    <xf numFmtId="0" fontId="10" fillId="12" borderId="0" xfId="0" applyFont="1" applyFill="1" applyBorder="1" applyAlignment="1">
      <alignment vertical="center"/>
    </xf>
    <xf numFmtId="0" fontId="10" fillId="12" borderId="2" xfId="0" applyFont="1" applyFill="1" applyBorder="1" applyAlignment="1">
      <alignment horizontal="left" vertical="center" wrapText="1"/>
    </xf>
    <xf numFmtId="0" fontId="8" fillId="12" borderId="0" xfId="1" applyFill="1"/>
    <xf numFmtId="0" fontId="10" fillId="12" borderId="0" xfId="0" applyFont="1" applyFill="1" applyBorder="1" applyAlignment="1">
      <alignment vertical="center" wrapText="1"/>
    </xf>
    <xf numFmtId="0" fontId="9" fillId="12" borderId="6" xfId="0" applyFont="1" applyFill="1" applyBorder="1" applyAlignment="1">
      <alignment vertical="center" wrapText="1"/>
    </xf>
    <xf numFmtId="0" fontId="10" fillId="12" borderId="0" xfId="0" applyFont="1" applyFill="1" applyBorder="1"/>
    <xf numFmtId="0" fontId="9" fillId="12" borderId="4" xfId="0" applyFont="1" applyFill="1" applyBorder="1" applyAlignment="1">
      <alignment vertical="center" wrapText="1"/>
    </xf>
    <xf numFmtId="49" fontId="10" fillId="12" borderId="0" xfId="0" applyNumberFormat="1" applyFont="1" applyFill="1" applyBorder="1" applyAlignment="1">
      <alignment horizontal="left" vertical="center" indent="2"/>
    </xf>
    <xf numFmtId="0" fontId="8" fillId="0" borderId="0" xfId="0" applyFont="1" applyBorder="1"/>
    <xf numFmtId="49" fontId="10" fillId="10" borderId="11" xfId="0" applyNumberFormat="1" applyFont="1" applyFill="1" applyBorder="1" applyAlignment="1">
      <alignment horizontal="center" vertical="center" wrapText="1"/>
    </xf>
    <xf numFmtId="49" fontId="10" fillId="10" borderId="15" xfId="0" applyNumberFormat="1" applyFont="1" applyFill="1" applyBorder="1" applyAlignment="1">
      <alignment horizontal="center" vertical="center" wrapText="1"/>
    </xf>
    <xf numFmtId="0" fontId="10" fillId="10" borderId="2" xfId="0" applyFont="1" applyFill="1" applyBorder="1" applyAlignment="1" applyProtection="1">
      <alignment horizontal="center" vertical="center" wrapText="1"/>
      <protection locked="0"/>
    </xf>
    <xf numFmtId="49" fontId="10" fillId="10" borderId="2" xfId="1" applyNumberFormat="1" applyFont="1" applyFill="1" applyBorder="1" applyAlignment="1">
      <alignment horizontal="center" vertical="center"/>
    </xf>
    <xf numFmtId="49" fontId="8" fillId="0" borderId="2" xfId="0" applyNumberFormat="1"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xf numFmtId="0" fontId="9" fillId="2" borderId="6" xfId="0" applyNumberFormat="1" applyFont="1" applyFill="1" applyBorder="1" applyAlignment="1">
      <alignment horizontal="center" vertical="center"/>
    </xf>
    <xf numFmtId="0" fontId="9" fillId="7" borderId="6" xfId="0" applyFont="1" applyFill="1" applyBorder="1" applyAlignment="1">
      <alignment vertical="center"/>
    </xf>
    <xf numFmtId="0" fontId="9" fillId="2" borderId="3" xfId="0" applyFont="1" applyFill="1" applyBorder="1" applyAlignment="1">
      <alignment horizontal="center" vertical="center"/>
    </xf>
    <xf numFmtId="0" fontId="9" fillId="2" borderId="17"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vertical="center"/>
    </xf>
    <xf numFmtId="0" fontId="10" fillId="0" borderId="0" xfId="0" applyFont="1" applyBorder="1" applyAlignment="1"/>
    <xf numFmtId="0" fontId="9" fillId="2" borderId="19" xfId="0" applyFont="1" applyFill="1" applyBorder="1" applyAlignment="1">
      <alignment horizontal="center" vertical="center"/>
    </xf>
    <xf numFmtId="0" fontId="9" fillId="7" borderId="3" xfId="0" applyFont="1" applyFill="1" applyBorder="1" applyAlignment="1">
      <alignment vertical="center"/>
    </xf>
    <xf numFmtId="0" fontId="9" fillId="2" borderId="3" xfId="0" applyNumberFormat="1" applyFont="1" applyFill="1" applyBorder="1" applyAlignment="1">
      <alignment horizontal="center" vertical="center"/>
    </xf>
    <xf numFmtId="0" fontId="9" fillId="2" borderId="16" xfId="0" applyNumberFormat="1" applyFont="1" applyFill="1" applyBorder="1" applyAlignment="1">
      <alignment horizontal="center" vertical="center"/>
    </xf>
    <xf numFmtId="0" fontId="9" fillId="7" borderId="4" xfId="0" applyFont="1" applyFill="1" applyBorder="1" applyAlignment="1">
      <alignment vertical="center"/>
    </xf>
    <xf numFmtId="0" fontId="8" fillId="0" borderId="0" xfId="0" applyFont="1" applyAlignment="1">
      <alignment horizontal="center" vertical="top" wrapText="1"/>
    </xf>
    <xf numFmtId="0" fontId="0" fillId="10" borderId="0" xfId="0" applyFill="1"/>
    <xf numFmtId="49" fontId="10" fillId="10" borderId="7" xfId="0" applyNumberFormat="1" applyFont="1" applyFill="1" applyBorder="1" applyAlignment="1">
      <alignment horizontal="center" vertical="center" wrapText="1"/>
    </xf>
    <xf numFmtId="49" fontId="11" fillId="10" borderId="2" xfId="0" applyNumberFormat="1" applyFont="1" applyFill="1" applyBorder="1" applyAlignment="1">
      <alignment horizontal="center" vertical="center"/>
    </xf>
    <xf numFmtId="49" fontId="10" fillId="11" borderId="7" xfId="0" applyNumberFormat="1" applyFont="1" applyFill="1" applyBorder="1" applyAlignment="1">
      <alignment horizontal="center" vertical="center" wrapText="1"/>
    </xf>
    <xf numFmtId="0" fontId="10" fillId="0" borderId="0" xfId="0" applyFont="1" applyBorder="1" applyAlignment="1">
      <alignment vertical="top" wrapText="1"/>
    </xf>
    <xf numFmtId="0" fontId="10" fillId="0" borderId="0" xfId="0" applyFont="1" applyFill="1" applyBorder="1" applyAlignment="1" applyProtection="1">
      <alignment horizontal="center" vertical="center"/>
      <protection locked="0"/>
    </xf>
    <xf numFmtId="0" fontId="21" fillId="10" borderId="11" xfId="0" applyFont="1" applyFill="1" applyBorder="1" applyAlignment="1">
      <alignment horizontal="center" vertical="center"/>
    </xf>
    <xf numFmtId="49" fontId="10" fillId="5" borderId="11" xfId="1" applyNumberFormat="1" applyFont="1" applyFill="1" applyBorder="1" applyAlignment="1">
      <alignment horizontal="center" vertical="center"/>
    </xf>
    <xf numFmtId="0" fontId="21" fillId="11" borderId="11" xfId="0" applyFont="1" applyFill="1" applyBorder="1" applyAlignment="1">
      <alignment horizontal="center" vertical="center"/>
    </xf>
    <xf numFmtId="0" fontId="0" fillId="0" borderId="0" xfId="0" applyFill="1" applyBorder="1"/>
    <xf numFmtId="0" fontId="21" fillId="0" borderId="11" xfId="0" applyFont="1" applyBorder="1" applyAlignment="1">
      <alignment horizontal="center" vertical="center"/>
    </xf>
    <xf numFmtId="0" fontId="10" fillId="0" borderId="0" xfId="0" applyFont="1" applyFill="1" applyBorder="1" applyAlignment="1" applyProtection="1">
      <alignment horizontal="center" vertical="center" wrapText="1"/>
      <protection locked="0"/>
    </xf>
    <xf numFmtId="14" fontId="10" fillId="6" borderId="0" xfId="0" applyNumberFormat="1" applyFont="1" applyFill="1" applyAlignment="1">
      <alignment horizontal="center" vertical="center"/>
    </xf>
    <xf numFmtId="0" fontId="23" fillId="6" borderId="0" xfId="0" applyFont="1" applyFill="1" applyBorder="1" applyAlignment="1">
      <alignment horizontal="center" vertical="center" wrapText="1"/>
    </xf>
    <xf numFmtId="0" fontId="0" fillId="6" borderId="0" xfId="0" applyFill="1" applyAlignment="1">
      <alignment horizontal="center" vertical="center"/>
    </xf>
    <xf numFmtId="0" fontId="23" fillId="6" borderId="0" xfId="1" applyFont="1" applyFill="1" applyBorder="1" applyAlignment="1">
      <alignment horizontal="center" vertical="center"/>
    </xf>
    <xf numFmtId="0" fontId="26" fillId="13" borderId="0" xfId="4" applyBorder="1" applyAlignment="1">
      <alignment horizontal="center" vertical="center" wrapText="1"/>
    </xf>
    <xf numFmtId="49" fontId="10" fillId="0" borderId="2" xfId="0" applyNumberFormat="1" applyFont="1" applyFill="1" applyBorder="1" applyAlignment="1">
      <alignment horizontal="left" vertical="center" wrapText="1"/>
    </xf>
    <xf numFmtId="49" fontId="10" fillId="6" borderId="14" xfId="0" applyNumberFormat="1" applyFont="1" applyFill="1" applyBorder="1" applyAlignment="1">
      <alignment horizontal="center" vertical="center" wrapText="1"/>
    </xf>
    <xf numFmtId="0" fontId="10" fillId="0" borderId="2" xfId="0" applyFont="1" applyBorder="1" applyAlignment="1">
      <alignment vertical="center"/>
    </xf>
    <xf numFmtId="0" fontId="10" fillId="0" borderId="2" xfId="0" applyFont="1" applyBorder="1"/>
    <xf numFmtId="164" fontId="10" fillId="0" borderId="2" xfId="0" applyNumberFormat="1" applyFont="1" applyBorder="1"/>
    <xf numFmtId="0" fontId="10" fillId="0" borderId="2" xfId="0" applyFont="1" applyBorder="1" applyAlignment="1">
      <alignment horizontal="center" vertical="center"/>
    </xf>
    <xf numFmtId="49" fontId="10" fillId="5" borderId="14" xfId="0" applyNumberFormat="1" applyFont="1" applyFill="1" applyBorder="1" applyAlignment="1">
      <alignment horizontal="center" vertical="center" wrapText="1"/>
    </xf>
    <xf numFmtId="0" fontId="10" fillId="0" borderId="2" xfId="0" applyFont="1" applyFill="1" applyBorder="1" applyAlignment="1">
      <alignment horizontal="right" vertical="center" wrapText="1" indent="1"/>
    </xf>
    <xf numFmtId="49" fontId="10" fillId="0" borderId="2" xfId="1" applyNumberFormat="1" applyFont="1" applyFill="1" applyBorder="1" applyAlignment="1">
      <alignment horizontal="center" vertical="center"/>
    </xf>
    <xf numFmtId="0" fontId="0" fillId="0" borderId="0" xfId="0" applyFill="1"/>
    <xf numFmtId="49" fontId="10" fillId="0" borderId="0" xfId="0" applyNumberFormat="1" applyFont="1" applyFill="1" applyBorder="1" applyAlignment="1" applyProtection="1">
      <alignment horizontal="center" vertical="center" wrapText="1"/>
      <protection locked="0"/>
    </xf>
    <xf numFmtId="49" fontId="10" fillId="0" borderId="20" xfId="0" applyNumberFormat="1" applyFont="1" applyFill="1" applyBorder="1" applyAlignment="1">
      <alignment horizontal="center" vertical="center" wrapText="1"/>
    </xf>
    <xf numFmtId="49" fontId="10" fillId="14" borderId="2" xfId="0" applyNumberFormat="1" applyFont="1" applyFill="1" applyBorder="1" applyAlignment="1">
      <alignment horizontal="center" vertical="center" wrapText="1"/>
    </xf>
    <xf numFmtId="49" fontId="10" fillId="14" borderId="2" xfId="0" applyNumberFormat="1" applyFont="1" applyFill="1" applyBorder="1" applyAlignment="1">
      <alignment horizontal="center" vertical="center"/>
    </xf>
    <xf numFmtId="0" fontId="10" fillId="14" borderId="2" xfId="0" applyNumberFormat="1" applyFont="1" applyFill="1" applyBorder="1" applyAlignment="1">
      <alignment horizontal="center" vertical="center" wrapText="1"/>
    </xf>
    <xf numFmtId="0" fontId="10" fillId="14" borderId="2" xfId="0" quotePrefix="1"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10" fillId="4" borderId="7" xfId="0" applyFont="1" applyFill="1" applyBorder="1" applyAlignment="1">
      <alignment vertical="center" wrapText="1"/>
    </xf>
    <xf numFmtId="0" fontId="9" fillId="2" borderId="2" xfId="0" applyFont="1" applyFill="1" applyBorder="1" applyAlignment="1">
      <alignment vertical="center"/>
    </xf>
    <xf numFmtId="0" fontId="9" fillId="2" borderId="2" xfId="0" applyFont="1" applyFill="1" applyBorder="1" applyAlignment="1">
      <alignment vertical="center" wrapText="1"/>
    </xf>
    <xf numFmtId="0" fontId="9" fillId="2" borderId="2" xfId="0" applyNumberFormat="1" applyFont="1" applyFill="1" applyBorder="1" applyAlignment="1">
      <alignment horizontal="center" vertical="center" wrapText="1"/>
    </xf>
    <xf numFmtId="0" fontId="11" fillId="10" borderId="2" xfId="0" applyFont="1" applyFill="1" applyBorder="1" applyAlignment="1">
      <alignment vertical="center" wrapText="1"/>
    </xf>
    <xf numFmtId="49" fontId="10" fillId="10" borderId="2" xfId="0" quotePrefix="1" applyNumberFormat="1" applyFont="1" applyFill="1" applyBorder="1" applyAlignment="1">
      <alignment horizontal="center" vertical="center" wrapText="1"/>
    </xf>
    <xf numFmtId="49" fontId="11" fillId="10" borderId="2" xfId="0" applyNumberFormat="1" applyFont="1" applyFill="1" applyBorder="1" applyAlignment="1">
      <alignment horizontal="center" vertical="center" wrapText="1"/>
    </xf>
    <xf numFmtId="0" fontId="0" fillId="0" borderId="0" xfId="0" applyBorder="1" applyAlignment="1"/>
    <xf numFmtId="0" fontId="9" fillId="2" borderId="2" xfId="0" applyNumberFormat="1" applyFont="1" applyFill="1" applyBorder="1" applyAlignment="1" applyProtection="1">
      <alignment horizontal="center" vertical="center" wrapText="1"/>
      <protection locked="0"/>
    </xf>
    <xf numFmtId="0" fontId="10" fillId="0" borderId="22" xfId="0" applyNumberFormat="1" applyFont="1" applyFill="1" applyBorder="1" applyAlignment="1">
      <alignment horizontal="center" vertical="center" wrapText="1"/>
    </xf>
    <xf numFmtId="0" fontId="10" fillId="0" borderId="21" xfId="0" applyNumberFormat="1" applyFont="1" applyFill="1" applyBorder="1" applyAlignment="1">
      <alignment horizontal="center" vertical="center" wrapText="1"/>
    </xf>
    <xf numFmtId="0" fontId="10" fillId="4" borderId="23" xfId="0" applyFont="1" applyFill="1" applyBorder="1" applyAlignment="1">
      <alignment vertical="center" wrapText="1"/>
    </xf>
    <xf numFmtId="0" fontId="10" fillId="0" borderId="7" xfId="0" applyNumberFormat="1" applyFont="1" applyFill="1" applyBorder="1" applyAlignment="1">
      <alignment horizontal="center" vertical="center" wrapText="1"/>
    </xf>
    <xf numFmtId="49" fontId="10" fillId="0" borderId="7" xfId="0" applyNumberFormat="1" applyFont="1" applyFill="1" applyBorder="1" applyAlignment="1" applyProtection="1">
      <alignment horizontal="center" vertical="center"/>
      <protection locked="0"/>
    </xf>
    <xf numFmtId="0" fontId="9" fillId="7" borderId="2" xfId="0" applyFont="1" applyFill="1" applyBorder="1" applyAlignment="1">
      <alignment vertical="center"/>
    </xf>
    <xf numFmtId="0" fontId="9" fillId="2" borderId="2" xfId="0" applyNumberFormat="1" applyFont="1" applyFill="1" applyBorder="1" applyAlignment="1">
      <alignment horizontal="left" vertical="center" wrapText="1"/>
    </xf>
    <xf numFmtId="0" fontId="11" fillId="0" borderId="0" xfId="0" applyFont="1" applyFill="1" applyBorder="1"/>
    <xf numFmtId="0" fontId="3" fillId="0" borderId="0" xfId="0" applyFont="1" applyFill="1" applyBorder="1"/>
    <xf numFmtId="0" fontId="3" fillId="0" borderId="0" xfId="0" applyFont="1" applyFill="1" applyBorder="1" applyAlignment="1"/>
    <xf numFmtId="0" fontId="23" fillId="0" borderId="0" xfId="0" applyFont="1" applyFill="1" applyBorder="1" applyAlignment="1"/>
    <xf numFmtId="0" fontId="21" fillId="0" borderId="0" xfId="0" applyFont="1" applyFill="1" applyBorder="1" applyAlignment="1"/>
    <xf numFmtId="0" fontId="11" fillId="0" borderId="0" xfId="0" applyFont="1" applyBorder="1" applyAlignment="1"/>
    <xf numFmtId="49" fontId="10" fillId="5" borderId="0" xfId="0" applyNumberFormat="1" applyFont="1" applyFill="1" applyBorder="1" applyAlignment="1">
      <alignment horizontal="center" vertical="center" wrapText="1"/>
    </xf>
    <xf numFmtId="49" fontId="10" fillId="5" borderId="0" xfId="2" applyNumberFormat="1" applyFont="1" applyFill="1" applyBorder="1" applyAlignment="1">
      <alignment horizontal="center" vertical="center" wrapText="1"/>
    </xf>
    <xf numFmtId="0" fontId="10" fillId="0" borderId="11"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cellXfs>
  <cellStyles count="5">
    <cellStyle name="Neutral" xfId="4" builtinId="28"/>
    <cellStyle name="Standard" xfId="0" builtinId="0"/>
    <cellStyle name="Standard 2" xfId="1"/>
    <cellStyle name="Standard 3" xfId="2"/>
    <cellStyle name="Standard 4" xfId="3"/>
  </cellStyles>
  <dxfs count="84">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theme="0" tint="-4.9989318521683403E-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theme="0" tint="-4.9989318521683403E-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theme="0" tint="-4.9989318521683403E-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BFB088"/>
      <rgbColor rgb="0000FFFF"/>
      <rgbColor rgb="006E0717"/>
      <rgbColor rgb="00008000"/>
      <rgbColor rgb="001D2D4B"/>
      <rgbColor rgb="00808000"/>
      <rgbColor rgb="00800080"/>
      <rgbColor rgb="00008080"/>
      <rgbColor rgb="00D6D6D6"/>
      <rgbColor rgb="00777777"/>
      <rgbColor rgb="001D2D4B"/>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7D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D2D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Drop" dropLines="20" dropStyle="combo" dx="16" fmlaLink="'WG-Daten'!$AJ$2" fmlaRange="GesMatrixWG" sel="22" val="5"/>
</file>

<file path=xl/ctrlProps/ctrlProp2.xml><?xml version="1.0" encoding="utf-8"?>
<formControlPr xmlns="http://schemas.microsoft.com/office/spreadsheetml/2009/9/main" objectType="Drop" dropLines="20" dropStyle="combo" dx="16" fmlaLink="'WG-Daten'!$AK$2" fmlaRange="GesMatrixWG" sel="22" val="9"/>
</file>

<file path=xl/ctrlProps/ctrlProp3.xml><?xml version="1.0" encoding="utf-8"?>
<formControlPr xmlns="http://schemas.microsoft.com/office/spreadsheetml/2009/9/main" objectType="Drop" dropLines="20" dropStyle="combo" dx="16" fmlaLink="'WG-Daten'!$AL$2" fmlaRange="GesMatrixWG" sel="22" val="0"/>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xdr:row>
          <xdr:rowOff>28575</xdr:rowOff>
        </xdr:from>
        <xdr:to>
          <xdr:col>1</xdr:col>
          <xdr:colOff>1428750</xdr:colOff>
          <xdr:row>2</xdr:row>
          <xdr:rowOff>257175</xdr:rowOff>
        </xdr:to>
        <xdr:sp macro="" textlink="">
          <xdr:nvSpPr>
            <xdr:cNvPr id="6145" name="Drop Down 1"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xdr:row>
          <xdr:rowOff>28575</xdr:rowOff>
        </xdr:from>
        <xdr:to>
          <xdr:col>2</xdr:col>
          <xdr:colOff>1428750</xdr:colOff>
          <xdr:row>2</xdr:row>
          <xdr:rowOff>257175</xdr:rowOff>
        </xdr:to>
        <xdr:sp macro="" textlink="">
          <xdr:nvSpPr>
            <xdr:cNvPr id="6146" name="Drop Down 2" hidden="1">
              <a:extLst>
                <a:ext uri="{63B3BB69-23CF-44E3-9099-C40C66FF867C}">
                  <a14:compatExt spid="_x0000_s61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xdr:row>
          <xdr:rowOff>28575</xdr:rowOff>
        </xdr:from>
        <xdr:to>
          <xdr:col>3</xdr:col>
          <xdr:colOff>1428750</xdr:colOff>
          <xdr:row>2</xdr:row>
          <xdr:rowOff>257175</xdr:rowOff>
        </xdr:to>
        <xdr:sp macro="" textlink="">
          <xdr:nvSpPr>
            <xdr:cNvPr id="6147" name="Drop Down 3" hidden="1">
              <a:extLst>
                <a:ext uri="{63B3BB69-23CF-44E3-9099-C40C66FF867C}">
                  <a14:compatExt spid="_x0000_s61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62"/>
  <sheetViews>
    <sheetView showGridLines="0" tabSelected="1" topLeftCell="A10" zoomScale="120" zoomScaleNormal="120" zoomScaleSheetLayoutView="100" workbookViewId="0">
      <selection activeCell="B80" sqref="B80"/>
    </sheetView>
  </sheetViews>
  <sheetFormatPr baseColWidth="10" defaultRowHeight="12.75" x14ac:dyDescent="0.2"/>
  <cols>
    <col min="1" max="1" width="41.28515625" style="2" customWidth="1"/>
    <col min="2" max="4" width="21.7109375" style="180" customWidth="1"/>
    <col min="5" max="5" width="21.7109375" style="163" customWidth="1"/>
    <col min="6" max="16384" width="11.42578125" style="2"/>
  </cols>
  <sheetData>
    <row r="1" spans="1:5" s="14" customFormat="1" ht="12" customHeight="1" x14ac:dyDescent="0.15">
      <c r="B1" s="115"/>
      <c r="C1" s="115"/>
      <c r="D1" s="115"/>
      <c r="E1" s="115"/>
    </row>
    <row r="2" spans="1:5" s="18" customFormat="1" ht="20.100000000000001" customHeight="1" x14ac:dyDescent="0.15">
      <c r="A2" s="16" t="s">
        <v>149</v>
      </c>
      <c r="B2" s="313"/>
      <c r="C2" s="314"/>
      <c r="D2" s="24" t="s">
        <v>150</v>
      </c>
      <c r="E2" s="17"/>
    </row>
    <row r="3" spans="1:5" ht="22.5" customHeight="1" x14ac:dyDescent="0.2">
      <c r="A3" s="10"/>
      <c r="B3" s="181"/>
      <c r="C3" s="181"/>
      <c r="D3" s="181"/>
    </row>
    <row r="4" spans="1:5" s="14" customFormat="1" ht="20.100000000000001" customHeight="1" x14ac:dyDescent="0.15">
      <c r="A4" s="71"/>
      <c r="B4" s="292" t="str">
        <f>Auswahl1WG</f>
        <v>Keine</v>
      </c>
      <c r="C4" s="292" t="str">
        <f>Auswahl2WG</f>
        <v>Keine</v>
      </c>
      <c r="D4" s="292" t="str">
        <f>Auswahl3WG</f>
        <v>Keine</v>
      </c>
      <c r="E4" s="297" t="s">
        <v>825</v>
      </c>
    </row>
    <row r="5" spans="1:5" s="14" customFormat="1" ht="19.5" customHeight="1" x14ac:dyDescent="0.15">
      <c r="A5" s="15" t="s">
        <v>176</v>
      </c>
      <c r="B5" s="72"/>
      <c r="C5" s="72"/>
      <c r="D5" s="72"/>
      <c r="E5" s="72"/>
    </row>
    <row r="6" spans="1:5" s="14" customFormat="1" ht="9.9499999999999993" customHeight="1" x14ac:dyDescent="0.15">
      <c r="B6" s="24"/>
      <c r="C6" s="24"/>
      <c r="D6" s="24"/>
      <c r="E6" s="115"/>
    </row>
    <row r="7" spans="1:5" s="14" customFormat="1" ht="20.100000000000001" customHeight="1" x14ac:dyDescent="0.15">
      <c r="A7" s="291" t="s">
        <v>3668</v>
      </c>
      <c r="B7" s="292" t="str">
        <f>B4</f>
        <v>Keine</v>
      </c>
      <c r="C7" s="292" t="str">
        <f t="shared" ref="C7:E7" si="0">C4</f>
        <v>Keine</v>
      </c>
      <c r="D7" s="292" t="str">
        <f t="shared" si="0"/>
        <v>Keine</v>
      </c>
      <c r="E7" s="292" t="str">
        <f t="shared" si="0"/>
        <v>Individuell</v>
      </c>
    </row>
    <row r="8" spans="1:5" s="14" customFormat="1" ht="24.75" customHeight="1" x14ac:dyDescent="0.15">
      <c r="A8" s="25" t="s">
        <v>3682</v>
      </c>
      <c r="B8" s="20" t="str">
        <f>HLOOKUP(Auswahl1WG,VergleichMatrixWG,2)</f>
        <v>-</v>
      </c>
      <c r="C8" s="20" t="str">
        <f>HLOOKUP(Auswahl2WG,VergleichMatrixWG,2)</f>
        <v>-</v>
      </c>
      <c r="D8" s="20" t="str">
        <f>HLOOKUP(Auswahl3WG,VergleichMatrixWG,2)</f>
        <v>-</v>
      </c>
      <c r="E8" s="86"/>
    </row>
    <row r="9" spans="1:5" s="14" customFormat="1" ht="21.95" customHeight="1" x14ac:dyDescent="0.15">
      <c r="A9" s="25" t="s">
        <v>3681</v>
      </c>
      <c r="B9" s="20" t="str">
        <f>HLOOKUP(Auswahl1WG,VergleichMatrixWG,4)</f>
        <v>-</v>
      </c>
      <c r="C9" s="20" t="str">
        <f>HLOOKUP(Auswahl2WG,VergleichMatrixWG,4)</f>
        <v>-</v>
      </c>
      <c r="D9" s="20" t="str">
        <f>HLOOKUP(Auswahl3WG,VergleichMatrixWG,4)</f>
        <v>-</v>
      </c>
      <c r="E9" s="86"/>
    </row>
    <row r="10" spans="1:5" s="14" customFormat="1" ht="72" customHeight="1" x14ac:dyDescent="0.15">
      <c r="A10" s="19" t="s">
        <v>80</v>
      </c>
      <c r="B10" s="20" t="str">
        <f>HLOOKUP(Auswahl1WG,VergleichMatrixWG,6)</f>
        <v>-</v>
      </c>
      <c r="C10" s="20" t="str">
        <f>HLOOKUP(Auswahl2WG,VergleichMatrixWG,6)</f>
        <v>-</v>
      </c>
      <c r="D10" s="20" t="str">
        <f>HLOOKUP(Auswahl3WG,VergleichMatrixWG,6)</f>
        <v>-</v>
      </c>
      <c r="E10" s="86"/>
    </row>
    <row r="11" spans="1:5" s="14" customFormat="1" ht="127.5" customHeight="1" x14ac:dyDescent="0.15">
      <c r="A11" s="25" t="s">
        <v>4842</v>
      </c>
      <c r="B11" s="20" t="str">
        <f>HLOOKUP(Auswahl1WG,VergleichMatrixWG,8)</f>
        <v>-</v>
      </c>
      <c r="C11" s="20" t="str">
        <f>HLOOKUP(Auswahl2WG,VergleichMatrixWG,8)</f>
        <v>-</v>
      </c>
      <c r="D11" s="20" t="str">
        <f>HLOOKUP(Auswahl3WG,VergleichMatrixWG,8)</f>
        <v>-</v>
      </c>
      <c r="E11" s="86"/>
    </row>
    <row r="12" spans="1:5" s="14" customFormat="1" ht="21.95" customHeight="1" x14ac:dyDescent="0.15">
      <c r="A12" s="160" t="s">
        <v>3669</v>
      </c>
      <c r="B12" s="20" t="str">
        <f>HLOOKUP(Auswahl1WG,VergleichMatrixWG,10)</f>
        <v>-</v>
      </c>
      <c r="C12" s="20" t="str">
        <f>HLOOKUP(Auswahl2WG,VergleichMatrixWG,10)</f>
        <v>-</v>
      </c>
      <c r="D12" s="20" t="str">
        <f>HLOOKUP(Auswahl3WG,VergleichMatrixWG,10)</f>
        <v>-</v>
      </c>
      <c r="E12" s="86"/>
    </row>
    <row r="13" spans="1:5" s="14" customFormat="1" ht="33" customHeight="1" x14ac:dyDescent="0.15">
      <c r="A13" s="77" t="s">
        <v>3640</v>
      </c>
      <c r="B13" s="20" t="str">
        <f>HLOOKUP(Auswahl1WG,VergleichMatrixWG,12)</f>
        <v>-</v>
      </c>
      <c r="C13" s="20" t="str">
        <f>HLOOKUP(Auswahl2WG,VergleichMatrixWG,12)</f>
        <v>-</v>
      </c>
      <c r="D13" s="20" t="str">
        <f>HLOOKUP(Auswahl3WG,VergleichMatrixWG,12)</f>
        <v>-</v>
      </c>
      <c r="E13" s="86"/>
    </row>
    <row r="14" spans="1:5" s="14" customFormat="1" ht="21.95" customHeight="1" x14ac:dyDescent="0.15">
      <c r="A14" s="25" t="s">
        <v>3670</v>
      </c>
      <c r="B14" s="20" t="str">
        <f>HLOOKUP(Auswahl1WG,VergleichMatrixWG,14)</f>
        <v>-</v>
      </c>
      <c r="C14" s="20" t="str">
        <f>HLOOKUP(Auswahl2WG,VergleichMatrixWG,14)</f>
        <v>-</v>
      </c>
      <c r="D14" s="20" t="str">
        <f>HLOOKUP(Auswahl3WG,VergleichMatrixWG,14)</f>
        <v>-</v>
      </c>
      <c r="E14" s="86"/>
    </row>
    <row r="15" spans="1:5" s="14" customFormat="1" ht="21" customHeight="1" x14ac:dyDescent="0.15">
      <c r="A15" s="25" t="s">
        <v>4920</v>
      </c>
      <c r="B15" s="20" t="str">
        <f>HLOOKUP(Auswahl1WG,VergleichMatrixWG,16)</f>
        <v>-</v>
      </c>
      <c r="C15" s="20" t="str">
        <f>HLOOKUP(Auswahl2WG,VergleichMatrixWG,16)</f>
        <v>-</v>
      </c>
      <c r="D15" s="20" t="str">
        <f>HLOOKUP(Auswahl3WG,VergleichMatrixWG,16)</f>
        <v>-</v>
      </c>
      <c r="E15" s="87"/>
    </row>
    <row r="16" spans="1:5" s="14" customFormat="1" ht="7.5" customHeight="1" x14ac:dyDescent="0.15">
      <c r="A16" s="21"/>
      <c r="B16" s="22"/>
      <c r="C16" s="22"/>
      <c r="D16" s="22"/>
      <c r="E16" s="115"/>
    </row>
    <row r="17" spans="1:5" s="14" customFormat="1" ht="20.100000000000001" customHeight="1" x14ac:dyDescent="0.15">
      <c r="A17" s="291" t="s">
        <v>3665</v>
      </c>
      <c r="B17" s="292" t="str">
        <f>B4</f>
        <v>Keine</v>
      </c>
      <c r="C17" s="292" t="str">
        <f t="shared" ref="C17:E17" si="1">C4</f>
        <v>Keine</v>
      </c>
      <c r="D17" s="292" t="str">
        <f t="shared" si="1"/>
        <v>Keine</v>
      </c>
      <c r="E17" s="292" t="str">
        <f t="shared" si="1"/>
        <v>Individuell</v>
      </c>
    </row>
    <row r="18" spans="1:5" s="14" customFormat="1" ht="20.100000000000001" customHeight="1" x14ac:dyDescent="0.15">
      <c r="A18" s="25" t="s">
        <v>4824</v>
      </c>
      <c r="B18" s="20" t="str">
        <f>HLOOKUP(Auswahl1WG,VergleichMatrixWG,20)</f>
        <v>-</v>
      </c>
      <c r="C18" s="20" t="str">
        <f>HLOOKUP(Auswahl2WG,VergleichMatrixWG,20)</f>
        <v>-</v>
      </c>
      <c r="D18" s="20" t="str">
        <f>HLOOKUP(Auswahl3WG,VergleichMatrixWG,20)</f>
        <v>-</v>
      </c>
      <c r="E18" s="87"/>
    </row>
    <row r="19" spans="1:5" s="14" customFormat="1" ht="73.5" customHeight="1" x14ac:dyDescent="0.15">
      <c r="A19" s="25" t="s">
        <v>4866</v>
      </c>
      <c r="B19" s="20" t="str">
        <f>HLOOKUP(Auswahl1WG,VergleichMatrixWG,22)</f>
        <v>-</v>
      </c>
      <c r="C19" s="20" t="str">
        <f>HLOOKUP(Auswahl2WG,VergleichMatrixWG,22)</f>
        <v>-</v>
      </c>
      <c r="D19" s="20" t="str">
        <f>HLOOKUP(Auswahl3WG,VergleichMatrixWG,22)</f>
        <v>-</v>
      </c>
      <c r="E19" s="87"/>
    </row>
    <row r="20" spans="1:5" s="14" customFormat="1" ht="75" customHeight="1" x14ac:dyDescent="0.15">
      <c r="A20" s="25" t="s">
        <v>4818</v>
      </c>
      <c r="B20" s="20" t="str">
        <f>HLOOKUP(Auswahl1WG,VergleichMatrixWG,24)</f>
        <v>-</v>
      </c>
      <c r="C20" s="20" t="str">
        <f>HLOOKUP(Auswahl2WG,VergleichMatrixWG,24)</f>
        <v>-</v>
      </c>
      <c r="D20" s="20" t="str">
        <f>HLOOKUP(Auswahl3WG,VergleichMatrixWG,24)</f>
        <v>-</v>
      </c>
      <c r="E20" s="87"/>
    </row>
    <row r="21" spans="1:5" s="14" customFormat="1" ht="42.75" customHeight="1" x14ac:dyDescent="0.15">
      <c r="A21" s="25" t="s">
        <v>4503</v>
      </c>
      <c r="B21" s="20" t="str">
        <f>HLOOKUP(Auswahl1WG,VergleichMatrixWG,26)</f>
        <v>-</v>
      </c>
      <c r="C21" s="20" t="str">
        <f>HLOOKUP(Auswahl2WG,VergleichMatrixWG,26)</f>
        <v>-</v>
      </c>
      <c r="D21" s="20" t="str">
        <f>HLOOKUP(Auswahl3WG,VergleichMatrixWG,26)</f>
        <v>-</v>
      </c>
      <c r="E21" s="87"/>
    </row>
    <row r="22" spans="1:5" s="14" customFormat="1" ht="47.25" customHeight="1" x14ac:dyDescent="0.15">
      <c r="A22" s="25" t="s">
        <v>3698</v>
      </c>
      <c r="B22" s="20" t="str">
        <f>HLOOKUP(Auswahl1WG,VergleichMatrixWG,28)</f>
        <v>-</v>
      </c>
      <c r="C22" s="20" t="str">
        <f>HLOOKUP(Auswahl2WG,VergleichMatrixWG,28)</f>
        <v>-</v>
      </c>
      <c r="D22" s="20" t="str">
        <f>HLOOKUP(Auswahl3WG,VergleichMatrixWG,28)</f>
        <v>-</v>
      </c>
      <c r="E22" s="87"/>
    </row>
    <row r="23" spans="1:5" s="14" customFormat="1" ht="64.5" customHeight="1" x14ac:dyDescent="0.15">
      <c r="A23" s="25" t="s">
        <v>57</v>
      </c>
      <c r="B23" s="20" t="str">
        <f>HLOOKUP(Auswahl1WG,VergleichMatrixWG,30)</f>
        <v>-</v>
      </c>
      <c r="C23" s="20" t="str">
        <f>HLOOKUP(Auswahl2WG,VergleichMatrixWG,30)</f>
        <v>-</v>
      </c>
      <c r="D23" s="20" t="str">
        <f>HLOOKUP(Auswahl3WG,VergleichMatrixWG,30)</f>
        <v>-</v>
      </c>
      <c r="E23" s="87"/>
    </row>
    <row r="24" spans="1:5" s="14" customFormat="1" ht="33.75" customHeight="1" x14ac:dyDescent="0.15">
      <c r="A24" s="25" t="s">
        <v>3649</v>
      </c>
      <c r="B24" s="20" t="str">
        <f>HLOOKUP(Auswahl1WG,VergleichMatrixWG,32)</f>
        <v>-</v>
      </c>
      <c r="C24" s="20" t="str">
        <f>HLOOKUP(Auswahl2WG,VergleichMatrixWG,32)</f>
        <v>-</v>
      </c>
      <c r="D24" s="20" t="str">
        <f>HLOOKUP(Auswahl3WG,VergleichMatrixWG,32)</f>
        <v>-</v>
      </c>
      <c r="E24" s="87"/>
    </row>
    <row r="25" spans="1:5" s="14" customFormat="1" ht="9.9499999999999993" customHeight="1" x14ac:dyDescent="0.15">
      <c r="A25" s="28"/>
      <c r="B25" s="27"/>
      <c r="C25" s="27"/>
      <c r="D25" s="27"/>
      <c r="E25" s="175"/>
    </row>
    <row r="26" spans="1:5" s="14" customFormat="1" ht="20.100000000000001" customHeight="1" x14ac:dyDescent="0.15">
      <c r="A26" s="291" t="s">
        <v>3665</v>
      </c>
      <c r="B26" s="292" t="str">
        <f>B4</f>
        <v>Keine</v>
      </c>
      <c r="C26" s="292" t="str">
        <f t="shared" ref="C26:E26" si="2">C4</f>
        <v>Keine</v>
      </c>
      <c r="D26" s="292" t="str">
        <f t="shared" si="2"/>
        <v>Keine</v>
      </c>
      <c r="E26" s="292" t="str">
        <f t="shared" si="2"/>
        <v>Individuell</v>
      </c>
    </row>
    <row r="27" spans="1:5" s="14" customFormat="1" ht="32.25" customHeight="1" x14ac:dyDescent="0.15">
      <c r="A27" s="80" t="s">
        <v>4879</v>
      </c>
      <c r="B27" s="27"/>
      <c r="C27" s="27"/>
      <c r="D27" s="27"/>
      <c r="E27" s="282"/>
    </row>
    <row r="28" spans="1:5" s="14" customFormat="1" ht="33" customHeight="1" x14ac:dyDescent="0.15">
      <c r="A28" s="25" t="s">
        <v>4786</v>
      </c>
      <c r="B28" s="20" t="str">
        <f>HLOOKUP(Auswahl1WG,VergleichMatrixWG,35)</f>
        <v>-</v>
      </c>
      <c r="C28" s="20" t="str">
        <f>HLOOKUP(Auswahl2WG,VergleichMatrixWG,35)</f>
        <v>-</v>
      </c>
      <c r="D28" s="20" t="str">
        <f>HLOOKUP(Auswahl3WG,VergleichMatrixWG,35)</f>
        <v>-</v>
      </c>
      <c r="E28" s="86"/>
    </row>
    <row r="29" spans="1:5" s="14" customFormat="1" ht="33" customHeight="1" x14ac:dyDescent="0.15">
      <c r="A29" s="25" t="s">
        <v>4881</v>
      </c>
      <c r="B29" s="20" t="str">
        <f>HLOOKUP(Auswahl1WG,VergleichMatrixWG,36)</f>
        <v>-</v>
      </c>
      <c r="C29" s="20" t="str">
        <f>HLOOKUP(Auswahl2WG,VergleichMatrixWG,36)</f>
        <v>-</v>
      </c>
      <c r="D29" s="20" t="str">
        <f>HLOOKUP(Auswahl3WG,VergleichMatrixWG,36)</f>
        <v>-</v>
      </c>
      <c r="E29" s="86"/>
    </row>
    <row r="30" spans="1:5" s="14" customFormat="1" ht="33" customHeight="1" x14ac:dyDescent="0.15">
      <c r="A30" s="25" t="s">
        <v>5094</v>
      </c>
      <c r="B30" s="20" t="str">
        <f>HLOOKUP(Auswahl1WG,VergleichMatrixWG,37)</f>
        <v>-</v>
      </c>
      <c r="C30" s="20" t="str">
        <f>HLOOKUP(Auswahl2WG,VergleichMatrixWG,37)</f>
        <v>-</v>
      </c>
      <c r="D30" s="20" t="str">
        <f>HLOOKUP(Auswahl3WG,VergleichMatrixWG,37)</f>
        <v>-</v>
      </c>
      <c r="E30" s="86"/>
    </row>
    <row r="31" spans="1:5" s="14" customFormat="1" ht="21.95" customHeight="1" x14ac:dyDescent="0.15">
      <c r="A31" s="25" t="s">
        <v>4882</v>
      </c>
      <c r="B31" s="20" t="str">
        <f>HLOOKUP(Auswahl1WG,VergleichMatrixWG,38)</f>
        <v>-</v>
      </c>
      <c r="C31" s="20" t="str">
        <f>HLOOKUP(Auswahl2WG,VergleichMatrixWG,38)</f>
        <v>-</v>
      </c>
      <c r="D31" s="20" t="str">
        <f>HLOOKUP(Auswahl3WG,VergleichMatrixWG,38)</f>
        <v>-</v>
      </c>
      <c r="E31" s="86"/>
    </row>
    <row r="32" spans="1:5" s="14" customFormat="1" ht="24" customHeight="1" x14ac:dyDescent="0.15">
      <c r="A32" s="25" t="s">
        <v>4883</v>
      </c>
      <c r="B32" s="20" t="str">
        <f>HLOOKUP(Auswahl1WG,VergleichMatrixWG,39)</f>
        <v>-</v>
      </c>
      <c r="C32" s="20" t="str">
        <f>HLOOKUP(Auswahl2WG,VergleichMatrixWG,39)</f>
        <v>-</v>
      </c>
      <c r="D32" s="20" t="str">
        <f>HLOOKUP(Auswahl3WG,VergleichMatrixWG,39)</f>
        <v>-</v>
      </c>
      <c r="E32" s="86"/>
    </row>
    <row r="33" spans="1:5" s="14" customFormat="1" ht="41.25" customHeight="1" x14ac:dyDescent="0.15">
      <c r="A33" s="25" t="s">
        <v>4884</v>
      </c>
      <c r="B33" s="20" t="str">
        <f>HLOOKUP(Auswahl1WG,VergleichMatrixWG,40)</f>
        <v>-</v>
      </c>
      <c r="C33" s="20" t="str">
        <f>HLOOKUP(Auswahl2WG,VergleichMatrixWG,40)</f>
        <v>-</v>
      </c>
      <c r="D33" s="20" t="str">
        <f>HLOOKUP(Auswahl3WG,VergleichMatrixWG,40)</f>
        <v>-</v>
      </c>
      <c r="E33" s="86"/>
    </row>
    <row r="34" spans="1:5" s="14" customFormat="1" ht="42.75" customHeight="1" x14ac:dyDescent="0.15">
      <c r="A34" s="25" t="s">
        <v>5095</v>
      </c>
      <c r="B34" s="20" t="str">
        <f>HLOOKUP(Auswahl1WG,VergleichMatrixWG,41)</f>
        <v>-</v>
      </c>
      <c r="C34" s="20" t="str">
        <f>HLOOKUP(Auswahl2WG,VergleichMatrixWG,41)</f>
        <v>-</v>
      </c>
      <c r="D34" s="20" t="str">
        <f>HLOOKUP(Auswahl3WG,VergleichMatrixWG,41)</f>
        <v>-</v>
      </c>
      <c r="E34" s="86"/>
    </row>
    <row r="35" spans="1:5" s="14" customFormat="1" ht="25.5" customHeight="1" x14ac:dyDescent="0.15">
      <c r="A35" s="25" t="s">
        <v>5096</v>
      </c>
      <c r="B35" s="20" t="str">
        <f>HLOOKUP(Auswahl1WG,VergleichMatrixWG,42)</f>
        <v>-</v>
      </c>
      <c r="C35" s="20" t="str">
        <f>HLOOKUP(Auswahl2WG,VergleichMatrixWG,42)</f>
        <v>-</v>
      </c>
      <c r="D35" s="20" t="str">
        <f>HLOOKUP(Auswahl3WG,VergleichMatrixWG,42)</f>
        <v>-</v>
      </c>
      <c r="E35" s="87"/>
    </row>
    <row r="36" spans="1:5" s="14" customFormat="1" ht="33" customHeight="1" x14ac:dyDescent="0.15">
      <c r="A36" s="25" t="s">
        <v>4796</v>
      </c>
      <c r="B36" s="20" t="str">
        <f>HLOOKUP(Auswahl1WG,VergleichMatrixWG,44)</f>
        <v>-</v>
      </c>
      <c r="C36" s="20" t="str">
        <f>HLOOKUP(Auswahl2WG,VergleichMatrixWG,44)</f>
        <v>-</v>
      </c>
      <c r="D36" s="20" t="str">
        <f>HLOOKUP(Auswahl3WG,VergleichMatrixWG,44)</f>
        <v>-</v>
      </c>
      <c r="E36" s="87"/>
    </row>
    <row r="37" spans="1:5" s="14" customFormat="1" ht="106.5" customHeight="1" x14ac:dyDescent="0.15">
      <c r="A37" s="25" t="s">
        <v>4799</v>
      </c>
      <c r="B37" s="20" t="str">
        <f>HLOOKUP(Auswahl1WG,VergleichMatrixWG,46)</f>
        <v>-</v>
      </c>
      <c r="C37" s="20" t="str">
        <f>HLOOKUP(Auswahl2WG,VergleichMatrixWG,46)</f>
        <v>-</v>
      </c>
      <c r="D37" s="20" t="str">
        <f>HLOOKUP(Auswahl3WG,VergleichMatrixWG,46)</f>
        <v>-</v>
      </c>
      <c r="E37" s="87"/>
    </row>
    <row r="38" spans="1:5" s="14" customFormat="1" ht="6.75" customHeight="1" x14ac:dyDescent="0.15">
      <c r="A38" s="21"/>
      <c r="B38" s="22"/>
      <c r="C38" s="22"/>
      <c r="D38" s="22"/>
      <c r="E38" s="115"/>
    </row>
    <row r="39" spans="1:5" s="14" customFormat="1" ht="20.100000000000001" customHeight="1" x14ac:dyDescent="0.15">
      <c r="A39" s="75" t="s">
        <v>4856</v>
      </c>
      <c r="B39" s="39" t="str">
        <f>B4</f>
        <v>Keine</v>
      </c>
      <c r="C39" s="39" t="str">
        <f t="shared" ref="C39:E39" si="3">C4</f>
        <v>Keine</v>
      </c>
      <c r="D39" s="39" t="str">
        <f t="shared" si="3"/>
        <v>Keine</v>
      </c>
      <c r="E39" s="39" t="str">
        <f t="shared" si="3"/>
        <v>Individuell</v>
      </c>
    </row>
    <row r="40" spans="1:5" s="14" customFormat="1" ht="12" customHeight="1" x14ac:dyDescent="0.15">
      <c r="A40" s="80" t="s">
        <v>4921</v>
      </c>
      <c r="B40" s="24"/>
      <c r="C40" s="24"/>
      <c r="D40" s="24"/>
      <c r="E40" s="115"/>
    </row>
    <row r="41" spans="1:5" s="14" customFormat="1" ht="20.100000000000001" customHeight="1" x14ac:dyDescent="0.15">
      <c r="A41" s="25" t="s">
        <v>8</v>
      </c>
      <c r="B41" s="20" t="str">
        <f>HLOOKUP(Auswahl1WG,VergleichMatrixWG,51)</f>
        <v>-</v>
      </c>
      <c r="C41" s="20" t="str">
        <f>HLOOKUP(Auswahl2WG,VergleichMatrixWG,51)</f>
        <v>-</v>
      </c>
      <c r="D41" s="20" t="str">
        <f>HLOOKUP(Auswahl3WG,VergleichMatrixWG,51)</f>
        <v>-</v>
      </c>
      <c r="E41" s="87"/>
    </row>
    <row r="42" spans="1:5" s="14" customFormat="1" ht="20.100000000000001" customHeight="1" x14ac:dyDescent="0.15">
      <c r="A42" s="26" t="s">
        <v>6</v>
      </c>
      <c r="B42" s="20" t="str">
        <f>HLOOKUP(Auswahl1WG,VergleichMatrixWG,53)</f>
        <v>-</v>
      </c>
      <c r="C42" s="20" t="str">
        <f>HLOOKUP(Auswahl2WG,VergleichMatrixWG,53)</f>
        <v>-</v>
      </c>
      <c r="D42" s="20" t="str">
        <f>HLOOKUP(Auswahl3WG,VergleichMatrixWG,53)</f>
        <v>-</v>
      </c>
      <c r="E42" s="87"/>
    </row>
    <row r="43" spans="1:5" s="14" customFormat="1" ht="33" customHeight="1" x14ac:dyDescent="0.15">
      <c r="A43" s="26" t="s">
        <v>4888</v>
      </c>
      <c r="B43" s="20" t="str">
        <f>HLOOKUP(Auswahl1WG,VergleichMatrixWG,55)</f>
        <v>-</v>
      </c>
      <c r="C43" s="20" t="str">
        <f>HLOOKUP(Auswahl2WG,VergleichMatrixWG,55)</f>
        <v>-</v>
      </c>
      <c r="D43" s="20" t="str">
        <f>HLOOKUP(Auswahl3WG,VergleichMatrixWG,55)</f>
        <v>-</v>
      </c>
      <c r="E43" s="87"/>
    </row>
    <row r="44" spans="1:5" s="14" customFormat="1" ht="20.100000000000001" customHeight="1" x14ac:dyDescent="0.15">
      <c r="A44" s="26" t="s">
        <v>3650</v>
      </c>
      <c r="B44" s="20" t="str">
        <f>HLOOKUP(Auswahl1WG,VergleichMatrixWG,57)</f>
        <v>-</v>
      </c>
      <c r="C44" s="20" t="str">
        <f>HLOOKUP(Auswahl2WG,VergleichMatrixWG,57)</f>
        <v>-</v>
      </c>
      <c r="D44" s="20" t="str">
        <f>HLOOKUP(Auswahl3WG,VergleichMatrixWG,57)</f>
        <v>-</v>
      </c>
      <c r="E44" s="87"/>
    </row>
    <row r="45" spans="1:5" s="14" customFormat="1" ht="20.100000000000001" customHeight="1" x14ac:dyDescent="0.15">
      <c r="A45" s="25" t="s">
        <v>79</v>
      </c>
      <c r="B45" s="20" t="str">
        <f>HLOOKUP(Auswahl1WG,VergleichMatrixWG,59)</f>
        <v>-</v>
      </c>
      <c r="C45" s="20" t="str">
        <f>HLOOKUP(Auswahl2WG,VergleichMatrixWG,59)</f>
        <v>-</v>
      </c>
      <c r="D45" s="20" t="str">
        <f>HLOOKUP(Auswahl3WG,VergleichMatrixWG,59)</f>
        <v>-</v>
      </c>
      <c r="E45" s="87"/>
    </row>
    <row r="46" spans="1:5" s="14" customFormat="1" ht="39" customHeight="1" x14ac:dyDescent="0.15">
      <c r="A46" s="25" t="s">
        <v>4125</v>
      </c>
      <c r="B46" s="20" t="str">
        <f>HLOOKUP(Auswahl1WG,VergleichMatrixWG,61)</f>
        <v>-</v>
      </c>
      <c r="C46" s="20" t="str">
        <f>HLOOKUP(Auswahl2WG,VergleichMatrixWG,61)</f>
        <v>-</v>
      </c>
      <c r="D46" s="20" t="str">
        <f>HLOOKUP(Auswahl3WG,VergleichMatrixWG,61)</f>
        <v>-</v>
      </c>
      <c r="E46" s="87"/>
    </row>
    <row r="47" spans="1:5" s="14" customFormat="1" ht="26.25" customHeight="1" x14ac:dyDescent="0.15">
      <c r="A47" s="26" t="s">
        <v>3684</v>
      </c>
      <c r="B47" s="20" t="str">
        <f>HLOOKUP(Auswahl1WG,VergleichMatrixWG,63)</f>
        <v>-</v>
      </c>
      <c r="C47" s="20" t="str">
        <f>HLOOKUP(Auswahl2WG,VergleichMatrixWG,63)</f>
        <v>-</v>
      </c>
      <c r="D47" s="20" t="str">
        <f>HLOOKUP(Auswahl3WG,VergleichMatrixWG,63)</f>
        <v>-</v>
      </c>
      <c r="E47" s="87"/>
    </row>
    <row r="48" spans="1:5" s="14" customFormat="1" ht="45.75" customHeight="1" x14ac:dyDescent="0.15">
      <c r="A48" s="26" t="s">
        <v>34</v>
      </c>
      <c r="B48" s="20" t="str">
        <f>HLOOKUP(Auswahl1WG,VergleichMatrixWG,65)</f>
        <v>-</v>
      </c>
      <c r="C48" s="20" t="str">
        <f>HLOOKUP(Auswahl2WG,VergleichMatrixWG,65)</f>
        <v>-</v>
      </c>
      <c r="D48" s="20" t="str">
        <f>HLOOKUP(Auswahl3WG,VergleichMatrixWG,65)</f>
        <v>-</v>
      </c>
      <c r="E48" s="87"/>
    </row>
    <row r="49" spans="1:6" s="14" customFormat="1" ht="78.75" customHeight="1" x14ac:dyDescent="0.15">
      <c r="A49" s="25" t="s">
        <v>4922</v>
      </c>
      <c r="B49" s="20" t="str">
        <f>HLOOKUP(Auswahl1WG,VergleichMatrixWG,67)</f>
        <v>-</v>
      </c>
      <c r="C49" s="20" t="str">
        <f>HLOOKUP(Auswahl2WG,VergleichMatrixWG,67)</f>
        <v>-</v>
      </c>
      <c r="D49" s="20" t="str">
        <f>HLOOKUP(Auswahl3WG,VergleichMatrixWG,67)</f>
        <v>-</v>
      </c>
      <c r="E49" s="87"/>
    </row>
    <row r="50" spans="1:6" s="14" customFormat="1" ht="24" customHeight="1" x14ac:dyDescent="0.15">
      <c r="A50" s="25" t="s">
        <v>42</v>
      </c>
      <c r="B50" s="20" t="str">
        <f>HLOOKUP(Auswahl1WG,VergleichMatrixWG,69)</f>
        <v>-</v>
      </c>
      <c r="C50" s="20" t="str">
        <f>HLOOKUP(Auswahl2WG,VergleichMatrixWG,69)</f>
        <v>-</v>
      </c>
      <c r="D50" s="20" t="str">
        <f>HLOOKUP(Auswahl3WG,VergleichMatrixWG,69)</f>
        <v>-</v>
      </c>
      <c r="E50" s="87"/>
    </row>
    <row r="51" spans="1:6" s="14" customFormat="1" ht="9.9499999999999993" customHeight="1" x14ac:dyDescent="0.15">
      <c r="A51" s="28"/>
      <c r="B51" s="29"/>
      <c r="C51" s="29"/>
      <c r="D51" s="29"/>
      <c r="E51" s="115"/>
    </row>
    <row r="52" spans="1:6" s="14" customFormat="1" ht="20.100000000000001" customHeight="1" x14ac:dyDescent="0.15">
      <c r="A52" s="291" t="s">
        <v>4857</v>
      </c>
      <c r="B52" s="292" t="str">
        <f>B4</f>
        <v>Keine</v>
      </c>
      <c r="C52" s="292" t="str">
        <f t="shared" ref="C52:E52" si="4">C4</f>
        <v>Keine</v>
      </c>
      <c r="D52" s="292" t="str">
        <f t="shared" si="4"/>
        <v>Keine</v>
      </c>
      <c r="E52" s="292" t="str">
        <f t="shared" si="4"/>
        <v>Individuell</v>
      </c>
      <c r="F52" s="214"/>
    </row>
    <row r="53" spans="1:6" s="14" customFormat="1" ht="20.100000000000001" customHeight="1" x14ac:dyDescent="0.15">
      <c r="A53" s="289" t="s">
        <v>3685</v>
      </c>
      <c r="B53" s="298"/>
      <c r="C53" s="299"/>
      <c r="D53" s="299"/>
      <c r="E53" s="175"/>
    </row>
    <row r="54" spans="1:6" s="14" customFormat="1" ht="20.100000000000001" customHeight="1" x14ac:dyDescent="0.15">
      <c r="A54" s="25" t="s">
        <v>3687</v>
      </c>
      <c r="B54" s="20" t="str">
        <f>HLOOKUP(Auswahl1WG,VergleichMatrixWG,74)</f>
        <v>-</v>
      </c>
      <c r="C54" s="20" t="str">
        <f>HLOOKUP(Auswahl2WG,VergleichMatrixWG,74)</f>
        <v>-</v>
      </c>
      <c r="D54" s="20" t="str">
        <f>HLOOKUP(Auswahl3WG,VergleichMatrixWG,74)</f>
        <v>-</v>
      </c>
      <c r="E54" s="87"/>
    </row>
    <row r="55" spans="1:6" s="14" customFormat="1" ht="20.100000000000001" customHeight="1" x14ac:dyDescent="0.15">
      <c r="A55" s="25" t="s">
        <v>3688</v>
      </c>
      <c r="B55" s="20" t="str">
        <f>HLOOKUP(Auswahl1WG,VergleichMatrixWG,76)</f>
        <v>-</v>
      </c>
      <c r="C55" s="20" t="str">
        <f>HLOOKUP(Auswahl2WG,VergleichMatrixWG,76)</f>
        <v>-</v>
      </c>
      <c r="D55" s="20" t="str">
        <f>HLOOKUP(Auswahl3WG,VergleichMatrixWG,76)</f>
        <v>-</v>
      </c>
      <c r="E55" s="87"/>
    </row>
    <row r="56" spans="1:6" s="14" customFormat="1" ht="43.5" customHeight="1" x14ac:dyDescent="0.15">
      <c r="A56" s="25" t="s">
        <v>4923</v>
      </c>
      <c r="B56" s="20" t="str">
        <f>HLOOKUP(Auswahl1WG,VergleichMatrixWG,78)</f>
        <v>-</v>
      </c>
      <c r="C56" s="20" t="str">
        <f>HLOOKUP(Auswahl2WG,VergleichMatrixWG,78)</f>
        <v>-</v>
      </c>
      <c r="D56" s="20" t="str">
        <f>HLOOKUP(Auswahl3WG,VergleichMatrixWG,78)</f>
        <v>-</v>
      </c>
      <c r="E56" s="87"/>
    </row>
    <row r="57" spans="1:6" s="14" customFormat="1" ht="55.5" customHeight="1" x14ac:dyDescent="0.15">
      <c r="A57" s="25" t="s">
        <v>4924</v>
      </c>
      <c r="B57" s="20" t="str">
        <f>HLOOKUP(Auswahl1WG,VergleichMatrixWG,80)</f>
        <v>-</v>
      </c>
      <c r="C57" s="20" t="str">
        <f>HLOOKUP(Auswahl2WG,VergleichMatrixWG,80)</f>
        <v>-</v>
      </c>
      <c r="D57" s="20" t="str">
        <f>HLOOKUP(Auswahl3WG,VergleichMatrixWG,80)</f>
        <v>-</v>
      </c>
      <c r="E57" s="87"/>
    </row>
    <row r="58" spans="1:6" s="14" customFormat="1" ht="20.100000000000001" customHeight="1" x14ac:dyDescent="0.15">
      <c r="A58" s="25" t="s">
        <v>13</v>
      </c>
      <c r="B58" s="20" t="str">
        <f>HLOOKUP(Auswahl1WG,VergleichMatrixWG,82)</f>
        <v>-</v>
      </c>
      <c r="C58" s="20" t="str">
        <f>HLOOKUP(Auswahl2WG,VergleichMatrixWG,82)</f>
        <v>-</v>
      </c>
      <c r="D58" s="20" t="str">
        <f>HLOOKUP(Auswahl3WG,VergleichMatrixWG,82)</f>
        <v>-</v>
      </c>
      <c r="E58" s="87"/>
    </row>
    <row r="59" spans="1:6" s="14" customFormat="1" ht="20.100000000000001" customHeight="1" x14ac:dyDescent="0.15">
      <c r="A59" s="25" t="s">
        <v>3659</v>
      </c>
      <c r="B59" s="20" t="str">
        <f>HLOOKUP(Auswahl1WG,VergleichMatrixWG,84)</f>
        <v>-</v>
      </c>
      <c r="C59" s="20" t="str">
        <f>HLOOKUP(Auswahl2WG,VergleichMatrixWG,84)</f>
        <v>-</v>
      </c>
      <c r="D59" s="20" t="str">
        <f>HLOOKUP(Auswahl3WG,VergleichMatrixWG,84)</f>
        <v>-</v>
      </c>
      <c r="E59" s="87"/>
    </row>
    <row r="60" spans="1:6" s="14" customFormat="1" ht="20.100000000000001" customHeight="1" x14ac:dyDescent="0.15">
      <c r="A60" s="25" t="s">
        <v>4537</v>
      </c>
      <c r="B60" s="20" t="str">
        <f>HLOOKUP(Auswahl1WG,VergleichMatrixWG,86)</f>
        <v>-</v>
      </c>
      <c r="C60" s="20" t="str">
        <f>HLOOKUP(Auswahl2WG,VergleichMatrixWG,86)</f>
        <v>-</v>
      </c>
      <c r="D60" s="20" t="str">
        <f>HLOOKUP(Auswahl3WG,VergleichMatrixWG,86)</f>
        <v>-</v>
      </c>
      <c r="E60" s="87"/>
    </row>
    <row r="61" spans="1:6" s="14" customFormat="1" ht="20.100000000000001" customHeight="1" x14ac:dyDescent="0.15">
      <c r="A61" s="25" t="s">
        <v>143</v>
      </c>
      <c r="B61" s="20" t="str">
        <f>HLOOKUP(Auswahl1WG,VergleichMatrixWG,88)</f>
        <v>-</v>
      </c>
      <c r="C61" s="20" t="str">
        <f>HLOOKUP(Auswahl2WG,VergleichMatrixWG,88)</f>
        <v>-</v>
      </c>
      <c r="D61" s="20" t="str">
        <f>HLOOKUP(Auswahl3WG,VergleichMatrixWG,88)</f>
        <v>-</v>
      </c>
      <c r="E61" s="87"/>
    </row>
    <row r="62" spans="1:6" s="14" customFormat="1" ht="20.100000000000001" customHeight="1" x14ac:dyDescent="0.15">
      <c r="A62" s="25" t="s">
        <v>4925</v>
      </c>
      <c r="B62" s="20" t="str">
        <f>HLOOKUP(Auswahl1WG,VergleichMatrixWG,90)</f>
        <v>-</v>
      </c>
      <c r="C62" s="20" t="str">
        <f>HLOOKUP(Auswahl2WG,VergleichMatrixWG,90)</f>
        <v>-</v>
      </c>
      <c r="D62" s="20" t="str">
        <f>HLOOKUP(Auswahl3WG,VergleichMatrixWG,90)</f>
        <v>-</v>
      </c>
      <c r="E62" s="87"/>
    </row>
    <row r="63" spans="1:6" s="14" customFormat="1" ht="20.100000000000001" customHeight="1" x14ac:dyDescent="0.15">
      <c r="A63" s="25" t="s">
        <v>3690</v>
      </c>
      <c r="B63" s="20" t="str">
        <f>HLOOKUP(Auswahl1WG,VergleichMatrixWG,92)</f>
        <v>-</v>
      </c>
      <c r="C63" s="20" t="str">
        <f>HLOOKUP(Auswahl2WG,VergleichMatrixWG,92)</f>
        <v>-</v>
      </c>
      <c r="D63" s="20" t="str">
        <f>HLOOKUP(Auswahl3WG,VergleichMatrixWG,92)</f>
        <v>-</v>
      </c>
      <c r="E63" s="87"/>
    </row>
    <row r="64" spans="1:6" s="14" customFormat="1" ht="20.100000000000001" customHeight="1" x14ac:dyDescent="0.15">
      <c r="A64" s="25" t="s">
        <v>78</v>
      </c>
      <c r="B64" s="20" t="str">
        <f>HLOOKUP(Auswahl1WG,VergleichMatrixWG,94)</f>
        <v>-</v>
      </c>
      <c r="C64" s="20" t="str">
        <f>HLOOKUP(Auswahl2WG,VergleichMatrixWG,94)</f>
        <v>-</v>
      </c>
      <c r="D64" s="20" t="str">
        <f>HLOOKUP(Auswahl3WG,VergleichMatrixWG,94)</f>
        <v>-</v>
      </c>
      <c r="E64" s="87"/>
    </row>
    <row r="65" spans="1:6" s="14" customFormat="1" ht="9.9499999999999993" customHeight="1" x14ac:dyDescent="0.15">
      <c r="A65" s="28"/>
      <c r="B65" s="27"/>
      <c r="C65" s="27"/>
      <c r="D65" s="27"/>
      <c r="E65" s="175"/>
    </row>
    <row r="66" spans="1:6" s="14" customFormat="1" ht="20.100000000000001" customHeight="1" x14ac:dyDescent="0.15">
      <c r="A66" s="291" t="s">
        <v>4857</v>
      </c>
      <c r="B66" s="292" t="str">
        <f>B17</f>
        <v>Keine</v>
      </c>
      <c r="C66" s="292" t="str">
        <f t="shared" ref="C66:E66" si="5">C17</f>
        <v>Keine</v>
      </c>
      <c r="D66" s="292" t="str">
        <f t="shared" si="5"/>
        <v>Keine</v>
      </c>
      <c r="E66" s="292" t="str">
        <f t="shared" si="5"/>
        <v>Individuell</v>
      </c>
      <c r="F66" s="214"/>
    </row>
    <row r="67" spans="1:6" s="14" customFormat="1" ht="12" customHeight="1" x14ac:dyDescent="0.15">
      <c r="A67" s="90" t="s">
        <v>3894</v>
      </c>
      <c r="B67" s="30"/>
      <c r="C67" s="30"/>
      <c r="D67" s="30"/>
      <c r="E67" s="30"/>
    </row>
    <row r="68" spans="1:6" s="14" customFormat="1" ht="20.100000000000001" customHeight="1" x14ac:dyDescent="0.15">
      <c r="A68" s="25" t="s">
        <v>3692</v>
      </c>
      <c r="B68" s="20" t="str">
        <f>HLOOKUP(Auswahl1WG,VergleichMatrixWG,98)</f>
        <v>-</v>
      </c>
      <c r="C68" s="20" t="str">
        <f>HLOOKUP(Auswahl2WG,VergleichMatrixWG,98)</f>
        <v>-</v>
      </c>
      <c r="D68" s="20" t="str">
        <f>HLOOKUP(Auswahl3WG,VergleichMatrixWG,98)</f>
        <v>-</v>
      </c>
      <c r="E68" s="87"/>
    </row>
    <row r="69" spans="1:6" s="14" customFormat="1" ht="21" customHeight="1" x14ac:dyDescent="0.15">
      <c r="A69" s="25" t="s">
        <v>40</v>
      </c>
      <c r="B69" s="20" t="str">
        <f>HLOOKUP(Auswahl1WG,VergleichMatrixWG,100)</f>
        <v>-</v>
      </c>
      <c r="C69" s="20" t="str">
        <f>HLOOKUP(Auswahl2WG,VergleichMatrixWG,100)</f>
        <v>-</v>
      </c>
      <c r="D69" s="20" t="str">
        <f>HLOOKUP(Auswahl3WG,VergleichMatrixWG,100)</f>
        <v>-</v>
      </c>
      <c r="E69" s="86"/>
    </row>
    <row r="70" spans="1:6" s="14" customFormat="1" ht="77.25" customHeight="1" x14ac:dyDescent="0.15">
      <c r="A70" s="25" t="s">
        <v>39</v>
      </c>
      <c r="B70" s="20" t="str">
        <f>HLOOKUP(Auswahl1WG,VergleichMatrixWG,102)</f>
        <v>-</v>
      </c>
      <c r="C70" s="20" t="str">
        <f>HLOOKUP(Auswahl2WG,VergleichMatrixWG,102)</f>
        <v>-</v>
      </c>
      <c r="D70" s="20" t="str">
        <f>HLOOKUP(Auswahl3WG,VergleichMatrixWG,102)</f>
        <v>-</v>
      </c>
      <c r="E70" s="86"/>
    </row>
    <row r="71" spans="1:6" s="14" customFormat="1" ht="32.25" customHeight="1" x14ac:dyDescent="0.15">
      <c r="A71" s="25" t="s">
        <v>77</v>
      </c>
      <c r="B71" s="20" t="str">
        <f>HLOOKUP(Auswahl1WG,VergleichMatrixWG,104)</f>
        <v>-</v>
      </c>
      <c r="C71" s="20" t="str">
        <f>HLOOKUP(Auswahl2WG,VergleichMatrixWG,104)</f>
        <v>-</v>
      </c>
      <c r="D71" s="20" t="str">
        <f>HLOOKUP(Auswahl3WG,VergleichMatrixWG,104)</f>
        <v>-</v>
      </c>
      <c r="E71" s="87"/>
    </row>
    <row r="72" spans="1:6" s="14" customFormat="1" ht="30" customHeight="1" x14ac:dyDescent="0.15">
      <c r="A72" s="25" t="s">
        <v>4084</v>
      </c>
      <c r="B72" s="20" t="str">
        <f>HLOOKUP(Auswahl1WG,VergleichMatrixWG,106)</f>
        <v>-</v>
      </c>
      <c r="C72" s="20" t="str">
        <f>HLOOKUP(Auswahl2WG,VergleichMatrixWG,106)</f>
        <v>-</v>
      </c>
      <c r="D72" s="20" t="str">
        <f>HLOOKUP(Auswahl3WG,VergleichMatrixWG,106)</f>
        <v>-</v>
      </c>
      <c r="E72" s="87"/>
    </row>
    <row r="73" spans="1:6" s="14" customFormat="1" ht="28.5" customHeight="1" x14ac:dyDescent="0.15">
      <c r="A73" s="25" t="s">
        <v>3739</v>
      </c>
      <c r="B73" s="20" t="str">
        <f>HLOOKUP(Auswahl1WG,VergleichMatrixWG,108)</f>
        <v>-</v>
      </c>
      <c r="C73" s="20" t="str">
        <f>HLOOKUP(Auswahl2WG,VergleichMatrixWG,108)</f>
        <v>-</v>
      </c>
      <c r="D73" s="20" t="str">
        <f>HLOOKUP(Auswahl3WG,VergleichMatrixWG,108)</f>
        <v>-</v>
      </c>
      <c r="E73" s="86"/>
    </row>
    <row r="74" spans="1:6" s="14" customFormat="1" ht="120" customHeight="1" x14ac:dyDescent="0.15">
      <c r="A74" s="25" t="s">
        <v>41</v>
      </c>
      <c r="B74" s="20" t="str">
        <f>HLOOKUP(Auswahl1WG,VergleichMatrixWG,110)</f>
        <v>-</v>
      </c>
      <c r="C74" s="20" t="str">
        <f>HLOOKUP(Auswahl2WG,VergleichMatrixWG,110)</f>
        <v>-</v>
      </c>
      <c r="D74" s="20" t="str">
        <f>HLOOKUP(Auswahl3WG,VergleichMatrixWG,110)</f>
        <v>-</v>
      </c>
      <c r="E74" s="87"/>
    </row>
    <row r="75" spans="1:6" s="14" customFormat="1" ht="30" customHeight="1" x14ac:dyDescent="0.15">
      <c r="A75" s="25" t="s">
        <v>3691</v>
      </c>
      <c r="B75" s="20" t="str">
        <f>HLOOKUP(Auswahl1WG,VergleichMatrixWG,112)</f>
        <v>-</v>
      </c>
      <c r="C75" s="20" t="str">
        <f>HLOOKUP(Auswahl2WG,VergleichMatrixWG,112)</f>
        <v>-</v>
      </c>
      <c r="D75" s="20" t="str">
        <f>HLOOKUP(Auswahl3WG,VergleichMatrixWG,112)</f>
        <v>-</v>
      </c>
      <c r="E75" s="86"/>
    </row>
    <row r="76" spans="1:6" s="14" customFormat="1" ht="48.75" customHeight="1" x14ac:dyDescent="0.15">
      <c r="A76" s="25" t="s">
        <v>3982</v>
      </c>
      <c r="B76" s="20" t="str">
        <f>HLOOKUP(Auswahl1WG,VergleichMatrixWG,114)</f>
        <v>-</v>
      </c>
      <c r="C76" s="20" t="str">
        <f>HLOOKUP(Auswahl2WG,VergleichMatrixWG,114)</f>
        <v>-</v>
      </c>
      <c r="D76" s="20" t="str">
        <f>HLOOKUP(Auswahl3WG,VergleichMatrixWG,114)</f>
        <v>-</v>
      </c>
      <c r="E76" s="86"/>
      <c r="F76" s="214"/>
    </row>
    <row r="77" spans="1:6" s="14" customFormat="1" ht="9.9499999999999993" customHeight="1" x14ac:dyDescent="0.15">
      <c r="A77" s="28"/>
      <c r="B77" s="27"/>
      <c r="C77" s="27"/>
      <c r="D77" s="27"/>
      <c r="E77" s="282"/>
      <c r="F77" s="214"/>
    </row>
    <row r="78" spans="1:6" s="14" customFormat="1" ht="20.100000000000001" customHeight="1" x14ac:dyDescent="0.15">
      <c r="A78" s="291" t="s">
        <v>4891</v>
      </c>
      <c r="B78" s="292" t="str">
        <f>B4</f>
        <v>Keine</v>
      </c>
      <c r="C78" s="292" t="str">
        <f t="shared" ref="C78:E78" si="6">C4</f>
        <v>Keine</v>
      </c>
      <c r="D78" s="292" t="str">
        <f t="shared" si="6"/>
        <v>Keine</v>
      </c>
      <c r="E78" s="292" t="str">
        <f t="shared" si="6"/>
        <v>Individuell</v>
      </c>
      <c r="F78" s="214"/>
    </row>
    <row r="79" spans="1:6" s="14" customFormat="1" ht="12" customHeight="1" x14ac:dyDescent="0.15">
      <c r="A79" s="300" t="s">
        <v>3894</v>
      </c>
      <c r="B79" s="30"/>
      <c r="C79" s="30"/>
      <c r="D79" s="30"/>
      <c r="E79" s="30"/>
    </row>
    <row r="80" spans="1:6" s="14" customFormat="1" ht="20.25" customHeight="1" x14ac:dyDescent="0.15">
      <c r="A80" s="25" t="s">
        <v>13</v>
      </c>
      <c r="B80" s="20" t="str">
        <f>HLOOKUP(Auswahl1WG,VergleichMatrixWG,116)</f>
        <v>-</v>
      </c>
      <c r="C80" s="20" t="str">
        <f>HLOOKUP(Auswahl2WG,VergleichMatrixWG,116)</f>
        <v>-</v>
      </c>
      <c r="D80" s="20" t="str">
        <f>HLOOKUP(Auswahl3WG,VergleichMatrixWG,116)</f>
        <v>-</v>
      </c>
      <c r="E80" s="86"/>
    </row>
    <row r="81" spans="1:6" s="14" customFormat="1" ht="20.100000000000001" customHeight="1" x14ac:dyDescent="0.15">
      <c r="A81" s="25" t="s">
        <v>3659</v>
      </c>
      <c r="B81" s="20" t="str">
        <f>HLOOKUP(Auswahl1WG,VergleichMatrixWG,118)</f>
        <v>-</v>
      </c>
      <c r="C81" s="20" t="str">
        <f>HLOOKUP(Auswahl2WG,VergleichMatrixWG,118)</f>
        <v>-</v>
      </c>
      <c r="D81" s="20" t="str">
        <f>HLOOKUP(Auswahl3WG,VergleichMatrixWG,118)</f>
        <v>-</v>
      </c>
      <c r="E81" s="86"/>
    </row>
    <row r="82" spans="1:6" s="14" customFormat="1" ht="20.100000000000001" customHeight="1" x14ac:dyDescent="0.15">
      <c r="A82" s="25" t="s">
        <v>3977</v>
      </c>
      <c r="B82" s="20" t="str">
        <f>HLOOKUP(Auswahl1WG,VergleichMatrixWG,120)</f>
        <v>-</v>
      </c>
      <c r="C82" s="20" t="str">
        <f>HLOOKUP(Auswahl2WG,VergleichMatrixWG,120)</f>
        <v>-</v>
      </c>
      <c r="D82" s="20" t="str">
        <f>HLOOKUP(Auswahl3WG,VergleichMatrixWG,120)</f>
        <v>-</v>
      </c>
      <c r="E82" s="87"/>
    </row>
    <row r="83" spans="1:6" s="14" customFormat="1" ht="20.100000000000001" customHeight="1" x14ac:dyDescent="0.15">
      <c r="A83" s="25" t="s">
        <v>78</v>
      </c>
      <c r="B83" s="20" t="str">
        <f>HLOOKUP(Auswahl1WG,VergleichMatrixWG,122)</f>
        <v>-</v>
      </c>
      <c r="C83" s="20" t="str">
        <f>HLOOKUP(Auswahl2WG,VergleichMatrixWG,122)</f>
        <v>-</v>
      </c>
      <c r="D83" s="20" t="str">
        <f>HLOOKUP(Auswahl3WG,VergleichMatrixWG,122)</f>
        <v>-</v>
      </c>
      <c r="E83" s="87"/>
    </row>
    <row r="84" spans="1:6" s="14" customFormat="1" ht="20.100000000000001" customHeight="1" x14ac:dyDescent="0.15">
      <c r="A84" s="25" t="s">
        <v>4926</v>
      </c>
      <c r="B84" s="20" t="str">
        <f>HLOOKUP(Auswahl1WG,VergleichMatrixWG,124)</f>
        <v>-</v>
      </c>
      <c r="C84" s="20" t="str">
        <f>HLOOKUP(Auswahl2WG,VergleichMatrixWG,124)</f>
        <v>-</v>
      </c>
      <c r="D84" s="20" t="str">
        <f>HLOOKUP(Auswahl3WG,VergleichMatrixWG,124)</f>
        <v>-</v>
      </c>
      <c r="E84" s="87"/>
    </row>
    <row r="85" spans="1:6" s="14" customFormat="1" ht="20.100000000000001" customHeight="1" x14ac:dyDescent="0.15">
      <c r="A85" s="25" t="s">
        <v>26</v>
      </c>
      <c r="B85" s="20"/>
      <c r="C85" s="20"/>
      <c r="D85" s="20"/>
      <c r="E85" s="86"/>
    </row>
    <row r="86" spans="1:6" s="14" customFormat="1" ht="20.100000000000001" customHeight="1" x14ac:dyDescent="0.15">
      <c r="A86" s="28"/>
      <c r="B86" s="27"/>
      <c r="C86" s="27"/>
      <c r="D86" s="27"/>
      <c r="E86" s="282"/>
    </row>
    <row r="87" spans="1:6" s="14" customFormat="1" ht="20.100000000000001" customHeight="1" x14ac:dyDescent="0.15">
      <c r="A87" s="291" t="s">
        <v>4891</v>
      </c>
      <c r="B87" s="292" t="str">
        <f>B4</f>
        <v>Keine</v>
      </c>
      <c r="C87" s="292" t="str">
        <f t="shared" ref="C87:E87" si="7">C4</f>
        <v>Keine</v>
      </c>
      <c r="D87" s="292" t="str">
        <f t="shared" si="7"/>
        <v>Keine</v>
      </c>
      <c r="E87" s="292" t="str">
        <f t="shared" si="7"/>
        <v>Individuell</v>
      </c>
      <c r="F87" s="214"/>
    </row>
    <row r="88" spans="1:6" s="14" customFormat="1" ht="20.100000000000001" customHeight="1" x14ac:dyDescent="0.15">
      <c r="A88" s="300" t="s">
        <v>3660</v>
      </c>
      <c r="B88" s="30"/>
      <c r="C88" s="30"/>
      <c r="D88" s="30"/>
      <c r="E88" s="30"/>
    </row>
    <row r="89" spans="1:6" s="14" customFormat="1" ht="105" customHeight="1" x14ac:dyDescent="0.15">
      <c r="A89" s="272" t="s">
        <v>4892</v>
      </c>
      <c r="B89" s="20" t="str">
        <f>HLOOKUP(Auswahl1WG,VergleichMatrixWG,130)</f>
        <v>-</v>
      </c>
      <c r="C89" s="20" t="str">
        <f>HLOOKUP(Auswahl2WG,VergleichMatrixWG,130)</f>
        <v>-</v>
      </c>
      <c r="D89" s="20" t="str">
        <f>HLOOKUP(Auswahl3WG,VergleichMatrixWG,130)</f>
        <v>-</v>
      </c>
      <c r="E89" s="87"/>
    </row>
    <row r="90" spans="1:6" s="14" customFormat="1" ht="62.25" customHeight="1" x14ac:dyDescent="0.15">
      <c r="A90" s="25" t="s">
        <v>3743</v>
      </c>
      <c r="B90" s="20" t="str">
        <f>HLOOKUP(Auswahl1WG,VergleichMatrixWG,132)</f>
        <v>-</v>
      </c>
      <c r="C90" s="20" t="str">
        <f>HLOOKUP(Auswahl2WG,VergleichMatrixWG,132)</f>
        <v>-</v>
      </c>
      <c r="D90" s="20" t="str">
        <f>HLOOKUP(Auswahl3WG,VergleichMatrixWG,132)</f>
        <v>-</v>
      </c>
      <c r="E90" s="86"/>
    </row>
    <row r="91" spans="1:6" s="14" customFormat="1" ht="20.100000000000001" customHeight="1" x14ac:dyDescent="0.15">
      <c r="A91" s="80" t="s">
        <v>3661</v>
      </c>
      <c r="B91" s="30"/>
      <c r="C91" s="30"/>
      <c r="D91" s="30"/>
      <c r="E91" s="30"/>
    </row>
    <row r="92" spans="1:6" s="14" customFormat="1" ht="124.5" customHeight="1" x14ac:dyDescent="0.15">
      <c r="A92" s="25" t="s">
        <v>4145</v>
      </c>
      <c r="B92" s="20" t="str">
        <f>HLOOKUP(Auswahl1WG,VergleichMatrixWG,138)</f>
        <v>-</v>
      </c>
      <c r="C92" s="20" t="str">
        <f>HLOOKUP(Auswahl2WG,VergleichMatrixWG,138)</f>
        <v>-</v>
      </c>
      <c r="D92" s="20" t="str">
        <f>HLOOKUP(Auswahl3WG,VergleichMatrixWG,138)</f>
        <v>-</v>
      </c>
      <c r="E92" s="86"/>
    </row>
    <row r="93" spans="1:6" s="14" customFormat="1" ht="75" customHeight="1" x14ac:dyDescent="0.15">
      <c r="A93" s="25" t="s">
        <v>3743</v>
      </c>
      <c r="B93" s="20" t="str">
        <f>HLOOKUP(Auswahl1WG,VergleichMatrixWG,140)</f>
        <v>-</v>
      </c>
      <c r="C93" s="20" t="str">
        <f>HLOOKUP(Auswahl2WG,VergleichMatrixWG,140)</f>
        <v>-</v>
      </c>
      <c r="D93" s="20" t="str">
        <f>HLOOKUP(Auswahl3WG,VergleichMatrixWG,140)</f>
        <v>-</v>
      </c>
      <c r="E93" s="86"/>
    </row>
    <row r="94" spans="1:6" s="14" customFormat="1" ht="9.9499999999999993" customHeight="1" x14ac:dyDescent="0.15">
      <c r="A94" s="28"/>
      <c r="B94" s="33"/>
      <c r="C94" s="33"/>
      <c r="D94" s="33"/>
      <c r="E94" s="33"/>
    </row>
    <row r="95" spans="1:6" s="14" customFormat="1" ht="20.100000000000001" customHeight="1" x14ac:dyDescent="0.15">
      <c r="A95" s="177" t="s">
        <v>4858</v>
      </c>
      <c r="B95" s="178" t="str">
        <f>B4</f>
        <v>Keine</v>
      </c>
      <c r="C95" s="178" t="str">
        <f t="shared" ref="C95:E95" si="8">C4</f>
        <v>Keine</v>
      </c>
      <c r="D95" s="178" t="str">
        <f t="shared" si="8"/>
        <v>Keine</v>
      </c>
      <c r="E95" s="178" t="str">
        <f t="shared" si="8"/>
        <v>Individuell</v>
      </c>
    </row>
    <row r="96" spans="1:6" s="14" customFormat="1" ht="21.95" customHeight="1" x14ac:dyDescent="0.15">
      <c r="A96" s="25" t="s">
        <v>3657</v>
      </c>
      <c r="B96" s="20" t="str">
        <f>HLOOKUP(Auswahl1WG,VergleichMatrixWG,144)</f>
        <v>-</v>
      </c>
      <c r="C96" s="20" t="str">
        <f>HLOOKUP(Auswahl2WG,VergleichMatrixWG,144)</f>
        <v>-</v>
      </c>
      <c r="D96" s="20" t="str">
        <f>HLOOKUP(Auswahl3WG,VergleichMatrixWG,144)</f>
        <v>-</v>
      </c>
      <c r="E96" s="87"/>
    </row>
    <row r="97" spans="1:6" s="14" customFormat="1" ht="21.95" customHeight="1" x14ac:dyDescent="0.15">
      <c r="A97" s="25" t="s">
        <v>4893</v>
      </c>
      <c r="B97" s="20" t="str">
        <f>HLOOKUP(Auswahl1WG,VergleichMatrixWG,146)</f>
        <v>-</v>
      </c>
      <c r="C97" s="20" t="str">
        <f>HLOOKUP(Auswahl2WG,VergleichMatrixWG,146)</f>
        <v>-</v>
      </c>
      <c r="D97" s="20" t="str">
        <f>HLOOKUP(Auswahl3WG,VergleichMatrixWG,146)</f>
        <v>-</v>
      </c>
      <c r="E97" s="87"/>
    </row>
    <row r="98" spans="1:6" s="14" customFormat="1" ht="9.9499999999999993" customHeight="1" x14ac:dyDescent="0.15">
      <c r="A98" s="28"/>
      <c r="B98" s="33"/>
      <c r="C98" s="33"/>
      <c r="D98" s="33"/>
      <c r="E98" s="115"/>
    </row>
    <row r="99" spans="1:6" s="14" customFormat="1" ht="20.100000000000001" customHeight="1" x14ac:dyDescent="0.15">
      <c r="A99" s="177" t="s">
        <v>4927</v>
      </c>
      <c r="B99" s="39" t="str">
        <f>B4</f>
        <v>Keine</v>
      </c>
      <c r="C99" s="39" t="str">
        <f t="shared" ref="C99:E99" si="9">C4</f>
        <v>Keine</v>
      </c>
      <c r="D99" s="39" t="str">
        <f t="shared" si="9"/>
        <v>Keine</v>
      </c>
      <c r="E99" s="39" t="str">
        <f t="shared" si="9"/>
        <v>Individuell</v>
      </c>
    </row>
    <row r="100" spans="1:6" s="14" customFormat="1" ht="63.75" customHeight="1" x14ac:dyDescent="0.15">
      <c r="A100" s="25" t="s">
        <v>2815</v>
      </c>
      <c r="B100" s="20" t="str">
        <f>HLOOKUP(Auswahl1WG,VergleichMatrixWG,150)</f>
        <v>-</v>
      </c>
      <c r="C100" s="20" t="str">
        <f>HLOOKUP(Auswahl2WG,VergleichMatrixWG,150)</f>
        <v>-</v>
      </c>
      <c r="D100" s="20" t="str">
        <f>HLOOKUP(Auswahl3WG,VergleichMatrixWG,150)</f>
        <v>-</v>
      </c>
      <c r="E100" s="87"/>
    </row>
    <row r="101" spans="1:6" s="14" customFormat="1" ht="47.25" customHeight="1" x14ac:dyDescent="0.15">
      <c r="A101" s="25" t="s">
        <v>4895</v>
      </c>
      <c r="B101" s="20" t="str">
        <f>HLOOKUP(Auswahl1WG,VergleichMatrixWG,152)</f>
        <v>-</v>
      </c>
      <c r="C101" s="20" t="str">
        <f>HLOOKUP(Auswahl2WG,VergleichMatrixWG,152)</f>
        <v>-</v>
      </c>
      <c r="D101" s="20" t="str">
        <f>HLOOKUP(Auswahl3WG,VergleichMatrixWG,152)</f>
        <v>-</v>
      </c>
      <c r="E101" s="87"/>
    </row>
    <row r="102" spans="1:6" s="14" customFormat="1" ht="21.95" customHeight="1" x14ac:dyDescent="0.15">
      <c r="A102" s="25" t="s">
        <v>4896</v>
      </c>
      <c r="B102" s="20" t="str">
        <f>HLOOKUP(Auswahl1WG,VergleichMatrixWG,154)</f>
        <v>-</v>
      </c>
      <c r="C102" s="20" t="str">
        <f>HLOOKUP(Auswahl2WG,VergleichMatrixWG,154)</f>
        <v>-</v>
      </c>
      <c r="D102" s="20" t="str">
        <f>HLOOKUP(Auswahl3WG,VergleichMatrixWG,154)</f>
        <v>-</v>
      </c>
      <c r="E102" s="87"/>
    </row>
    <row r="103" spans="1:6" s="14" customFormat="1" ht="45.75" customHeight="1" x14ac:dyDescent="0.15">
      <c r="A103" s="25" t="s">
        <v>18</v>
      </c>
      <c r="B103" s="20" t="str">
        <f>HLOOKUP(Auswahl1WG,VergleichMatrixWG,156)</f>
        <v>-</v>
      </c>
      <c r="C103" s="20" t="str">
        <f>HLOOKUP(Auswahl2WG,VergleichMatrixWG,156)</f>
        <v>-</v>
      </c>
      <c r="D103" s="20" t="str">
        <f>HLOOKUP(Auswahl3WG,VergleichMatrixWG,156)</f>
        <v>-</v>
      </c>
      <c r="E103" s="87"/>
    </row>
    <row r="104" spans="1:6" s="14" customFormat="1" ht="48.75" customHeight="1" x14ac:dyDescent="0.15">
      <c r="A104" s="25" t="s">
        <v>37</v>
      </c>
      <c r="B104" s="20" t="str">
        <f>HLOOKUP(Auswahl1WG,VergleichMatrixWG,158)</f>
        <v>-</v>
      </c>
      <c r="C104" s="20" t="str">
        <f>HLOOKUP(Auswahl2WG,VergleichMatrixWG,158)</f>
        <v>-</v>
      </c>
      <c r="D104" s="20" t="str">
        <f>HLOOKUP(Auswahl3WG,VergleichMatrixWG,158)</f>
        <v>-</v>
      </c>
      <c r="E104" s="87"/>
    </row>
    <row r="105" spans="1:6" s="14" customFormat="1" ht="39.75" customHeight="1" x14ac:dyDescent="0.15">
      <c r="A105" s="26" t="s">
        <v>4500</v>
      </c>
      <c r="B105" s="20" t="str">
        <f>HLOOKUP(Auswahl1WG,VergleichMatrixWG,160)</f>
        <v>-</v>
      </c>
      <c r="C105" s="20" t="str">
        <f>HLOOKUP(Auswahl2WG,VergleichMatrixWG,160)</f>
        <v>-</v>
      </c>
      <c r="D105" s="20" t="str">
        <f>HLOOKUP(Auswahl3WG,VergleichMatrixWG,160)</f>
        <v>-</v>
      </c>
      <c r="E105" s="87"/>
    </row>
    <row r="106" spans="1:6" s="14" customFormat="1" ht="52.5" customHeight="1" x14ac:dyDescent="0.15">
      <c r="A106" s="25" t="s">
        <v>3680</v>
      </c>
      <c r="B106" s="20" t="str">
        <f>HLOOKUP(Auswahl1WG,VergleichMatrixWG,162)</f>
        <v>-</v>
      </c>
      <c r="C106" s="20" t="str">
        <f>HLOOKUP(Auswahl2WG,VergleichMatrixWG,162)</f>
        <v>-</v>
      </c>
      <c r="D106" s="20" t="str">
        <f>HLOOKUP(Auswahl3WG,VergleichMatrixWG,162)</f>
        <v>-</v>
      </c>
      <c r="E106" s="87"/>
    </row>
    <row r="107" spans="1:6" s="14" customFormat="1" ht="30" customHeight="1" x14ac:dyDescent="0.15">
      <c r="A107" s="25" t="s">
        <v>3728</v>
      </c>
      <c r="B107" s="20" t="str">
        <f>HLOOKUP(Auswahl1WG,VergleichMatrixWG,164)</f>
        <v>-</v>
      </c>
      <c r="C107" s="20" t="str">
        <f>HLOOKUP(Auswahl2WG,VergleichMatrixWG,164)</f>
        <v>-</v>
      </c>
      <c r="D107" s="20" t="str">
        <f>HLOOKUP(Auswahl3WG,VergleichMatrixWG,164)</f>
        <v>-</v>
      </c>
      <c r="E107" s="87"/>
      <c r="F107" s="214"/>
    </row>
    <row r="108" spans="1:6" s="14" customFormat="1" ht="9.9499999999999993" customHeight="1" x14ac:dyDescent="0.15">
      <c r="A108" s="28"/>
      <c r="B108" s="27"/>
      <c r="C108" s="27"/>
      <c r="D108" s="27"/>
      <c r="E108" s="175"/>
      <c r="F108" s="214"/>
    </row>
    <row r="109" spans="1:6" s="14" customFormat="1" ht="20.100000000000001" customHeight="1" x14ac:dyDescent="0.15">
      <c r="A109" s="290" t="s">
        <v>4927</v>
      </c>
      <c r="B109" s="292" t="str">
        <f>B4</f>
        <v>Keine</v>
      </c>
      <c r="C109" s="292" t="str">
        <f t="shared" ref="C109:E109" si="10">C4</f>
        <v>Keine</v>
      </c>
      <c r="D109" s="292" t="str">
        <f t="shared" si="10"/>
        <v>Keine</v>
      </c>
      <c r="E109" s="292" t="str">
        <f t="shared" si="10"/>
        <v>Individuell</v>
      </c>
      <c r="F109" s="248"/>
    </row>
    <row r="110" spans="1:6" s="14" customFormat="1" ht="55.5" customHeight="1" x14ac:dyDescent="0.15">
      <c r="A110" s="81" t="s">
        <v>3908</v>
      </c>
      <c r="B110" s="301" t="str">
        <f>HLOOKUP(Auswahl1WG,VergleichMatrixWG,166)</f>
        <v>-</v>
      </c>
      <c r="C110" s="301" t="str">
        <f>HLOOKUP(Auswahl2WG,VergleichMatrixWG,166)</f>
        <v>-</v>
      </c>
      <c r="D110" s="301" t="str">
        <f>HLOOKUP(Auswahl3WG,VergleichMatrixWG,166)</f>
        <v>-</v>
      </c>
      <c r="E110" s="302"/>
    </row>
    <row r="111" spans="1:6" s="14" customFormat="1" ht="129" customHeight="1" x14ac:dyDescent="0.15">
      <c r="A111" s="25" t="s">
        <v>3762</v>
      </c>
      <c r="B111" s="20" t="str">
        <f>HLOOKUP(Auswahl1WG,VergleichMatrixWG,168)</f>
        <v>-</v>
      </c>
      <c r="C111" s="20" t="str">
        <f>HLOOKUP(Auswahl2WG,VergleichMatrixWG,168)</f>
        <v>-</v>
      </c>
      <c r="D111" s="20" t="str">
        <f>HLOOKUP(Auswahl3WG,VergleichMatrixWG,168)</f>
        <v>-</v>
      </c>
      <c r="E111" s="87"/>
    </row>
    <row r="112" spans="1:6" s="14" customFormat="1" ht="67.5" customHeight="1" x14ac:dyDescent="0.15">
      <c r="A112" s="25" t="s">
        <v>3697</v>
      </c>
      <c r="B112" s="20" t="str">
        <f>HLOOKUP(Auswahl1WG,VergleichMatrixWG,170)</f>
        <v>-</v>
      </c>
      <c r="C112" s="20" t="str">
        <f>HLOOKUP(Auswahl2WG,VergleichMatrixWG,170)</f>
        <v>-</v>
      </c>
      <c r="D112" s="20" t="str">
        <f>HLOOKUP(Auswahl3WG,VergleichMatrixWG,170)</f>
        <v>-</v>
      </c>
      <c r="E112" s="87"/>
    </row>
    <row r="113" spans="1:5" s="14" customFormat="1" ht="153" customHeight="1" x14ac:dyDescent="0.15">
      <c r="A113" s="25" t="s">
        <v>3911</v>
      </c>
      <c r="B113" s="20" t="str">
        <f>HLOOKUP(Auswahl1WG,VergleichMatrixWG,172)</f>
        <v>-</v>
      </c>
      <c r="C113" s="20" t="str">
        <f>HLOOKUP(Auswahl2WG,VergleichMatrixWG,172)</f>
        <v>-</v>
      </c>
      <c r="D113" s="20" t="str">
        <f>HLOOKUP(Auswahl3WG,VergleichMatrixWG,172)</f>
        <v>-</v>
      </c>
      <c r="E113" s="87"/>
    </row>
    <row r="114" spans="1:5" s="14" customFormat="1" ht="9.9499999999999993" customHeight="1" x14ac:dyDescent="0.15">
      <c r="A114" s="23"/>
      <c r="B114" s="34"/>
      <c r="C114" s="35"/>
      <c r="D114" s="35"/>
      <c r="E114" s="115"/>
    </row>
    <row r="115" spans="1:5" s="14" customFormat="1" ht="20.100000000000001" customHeight="1" x14ac:dyDescent="0.15">
      <c r="A115" s="303" t="s">
        <v>27</v>
      </c>
      <c r="B115" s="292" t="str">
        <f>B4</f>
        <v>Keine</v>
      </c>
      <c r="C115" s="292" t="str">
        <f t="shared" ref="C115:E115" si="11">C4</f>
        <v>Keine</v>
      </c>
      <c r="D115" s="292" t="str">
        <f t="shared" si="11"/>
        <v>Keine</v>
      </c>
      <c r="E115" s="292" t="str">
        <f t="shared" si="11"/>
        <v>Individuell</v>
      </c>
    </row>
    <row r="116" spans="1:5" s="14" customFormat="1" ht="28.5" customHeight="1" x14ac:dyDescent="0.15">
      <c r="A116" s="25" t="s">
        <v>3675</v>
      </c>
      <c r="B116" s="20" t="str">
        <f>HLOOKUP(Auswahl1WG,VergleichMatrixWG,176)</f>
        <v>-</v>
      </c>
      <c r="C116" s="20" t="str">
        <f>HLOOKUP(Auswahl2WG,VergleichMatrixWG,176)</f>
        <v>-</v>
      </c>
      <c r="D116" s="20" t="str">
        <f>HLOOKUP(Auswahl3WG,VergleichMatrixWG,176)</f>
        <v>-</v>
      </c>
      <c r="E116" s="87"/>
    </row>
    <row r="117" spans="1:5" s="36" customFormat="1" ht="69.75" customHeight="1" x14ac:dyDescent="0.15">
      <c r="A117" s="25" t="s">
        <v>75</v>
      </c>
      <c r="B117" s="20" t="str">
        <f>HLOOKUP(Auswahl1WG,VergleichMatrixWG,178)</f>
        <v>-</v>
      </c>
      <c r="C117" s="20" t="str">
        <f>HLOOKUP(Auswahl2WG,VergleichMatrixWG,178)</f>
        <v>-</v>
      </c>
      <c r="D117" s="20" t="str">
        <f>HLOOKUP(Auswahl3WG,VergleichMatrixWG,178)</f>
        <v>-</v>
      </c>
      <c r="E117" s="87"/>
    </row>
    <row r="118" spans="1:5" s="36" customFormat="1" ht="30" customHeight="1" x14ac:dyDescent="0.15">
      <c r="A118" s="25" t="s">
        <v>4928</v>
      </c>
      <c r="B118" s="20" t="str">
        <f>HLOOKUP(Auswahl1WG,VergleichMatrixWG,180)</f>
        <v>-</v>
      </c>
      <c r="C118" s="20" t="str">
        <f>HLOOKUP(Auswahl2WG,VergleichMatrixWG,180)</f>
        <v>-</v>
      </c>
      <c r="D118" s="20" t="str">
        <f>HLOOKUP(Auswahl3WG,VergleichMatrixWG,180)</f>
        <v>-</v>
      </c>
      <c r="E118" s="87"/>
    </row>
    <row r="119" spans="1:5" s="14" customFormat="1" ht="32.25" customHeight="1" x14ac:dyDescent="0.15">
      <c r="A119" s="25" t="s">
        <v>74</v>
      </c>
      <c r="B119" s="20" t="str">
        <f>HLOOKUP(Auswahl1WG,VergleichMatrixWG,182)</f>
        <v>-</v>
      </c>
      <c r="C119" s="20" t="str">
        <f>HLOOKUP(Auswahl2WG,VergleichMatrixWG,182)</f>
        <v>-</v>
      </c>
      <c r="D119" s="20" t="str">
        <f>HLOOKUP(Auswahl3WG,VergleichMatrixWG,182)</f>
        <v>-</v>
      </c>
      <c r="E119" s="87"/>
    </row>
    <row r="120" spans="1:5" s="14" customFormat="1" ht="30" customHeight="1" x14ac:dyDescent="0.15">
      <c r="A120" s="25" t="s">
        <v>72</v>
      </c>
      <c r="B120" s="20" t="str">
        <f>HLOOKUP(Auswahl1WG,VergleichMatrixWG,184)</f>
        <v>-</v>
      </c>
      <c r="C120" s="20" t="str">
        <f>HLOOKUP(Auswahl2WG,VergleichMatrixWG,184)</f>
        <v>-</v>
      </c>
      <c r="D120" s="20" t="str">
        <f>HLOOKUP(Auswahl3WG,VergleichMatrixWG,184)</f>
        <v>-</v>
      </c>
      <c r="E120" s="87"/>
    </row>
    <row r="121" spans="1:5" s="14" customFormat="1" ht="33" customHeight="1" x14ac:dyDescent="0.15">
      <c r="A121" s="25" t="s">
        <v>4845</v>
      </c>
      <c r="B121" s="20" t="str">
        <f>HLOOKUP(Auswahl1WG,VergleichMatrixWG,186)</f>
        <v>-</v>
      </c>
      <c r="C121" s="20" t="str">
        <f>HLOOKUP(Auswahl2WG,VergleichMatrixWG,186)</f>
        <v>-</v>
      </c>
      <c r="D121" s="20" t="str">
        <f>HLOOKUP(Auswahl3WG,VergleichMatrixWG,186)</f>
        <v>-</v>
      </c>
      <c r="E121" s="87"/>
    </row>
    <row r="122" spans="1:5" s="14" customFormat="1" ht="20.100000000000001" customHeight="1" x14ac:dyDescent="0.15">
      <c r="A122" s="25" t="s">
        <v>3699</v>
      </c>
      <c r="B122" s="20" t="str">
        <f>HLOOKUP(Auswahl1WG,VergleichMatrixWG,188)</f>
        <v>-</v>
      </c>
      <c r="C122" s="20" t="str">
        <f>HLOOKUP(Auswahl2WG,VergleichMatrixWG,188)</f>
        <v>-</v>
      </c>
      <c r="D122" s="20" t="str">
        <f>HLOOKUP(Auswahl3WG,VergleichMatrixWG,188)</f>
        <v>-</v>
      </c>
      <c r="E122" s="87"/>
    </row>
    <row r="123" spans="1:5" s="14" customFormat="1" ht="58.5" customHeight="1" x14ac:dyDescent="0.15">
      <c r="A123" s="25" t="s">
        <v>4257</v>
      </c>
      <c r="B123" s="20" t="str">
        <f>HLOOKUP(Auswahl1WG,VergleichMatrixWG,190)</f>
        <v>-</v>
      </c>
      <c r="C123" s="20" t="str">
        <f>HLOOKUP(Auswahl2WG,VergleichMatrixWG,190)</f>
        <v>-</v>
      </c>
      <c r="D123" s="20" t="str">
        <f>HLOOKUP(Auswahl3WG,VergleichMatrixWG,190)</f>
        <v>-</v>
      </c>
      <c r="E123" s="87"/>
    </row>
    <row r="124" spans="1:5" s="14" customFormat="1" ht="49.5" customHeight="1" x14ac:dyDescent="0.15">
      <c r="A124" s="25" t="s">
        <v>3647</v>
      </c>
      <c r="B124" s="20" t="str">
        <f>HLOOKUP(Auswahl1WG,VergleichMatrixWG,192)</f>
        <v>-</v>
      </c>
      <c r="C124" s="20" t="str">
        <f>HLOOKUP(Auswahl2WG,VergleichMatrixWG,192)</f>
        <v>-</v>
      </c>
      <c r="D124" s="20" t="str">
        <f>HLOOKUP(Auswahl3WG,VergleichMatrixWG,192)</f>
        <v>-</v>
      </c>
      <c r="E124" s="87"/>
    </row>
    <row r="125" spans="1:5" s="14" customFormat="1" ht="39" customHeight="1" x14ac:dyDescent="0.15">
      <c r="A125" s="25" t="s">
        <v>4903</v>
      </c>
      <c r="B125" s="20" t="str">
        <f>HLOOKUP(Auswahl1WG,VergleichMatrixWG,194)</f>
        <v>-</v>
      </c>
      <c r="C125" s="20" t="str">
        <f>HLOOKUP(Auswahl2WG,VergleichMatrixWG,194)</f>
        <v>-</v>
      </c>
      <c r="D125" s="20" t="str">
        <f>HLOOKUP(Auswahl3WG,VergleichMatrixWG,194)</f>
        <v>-</v>
      </c>
      <c r="E125" s="87"/>
    </row>
    <row r="126" spans="1:5" s="14" customFormat="1" ht="21.95" customHeight="1" x14ac:dyDescent="0.15">
      <c r="A126" s="25" t="s">
        <v>58</v>
      </c>
      <c r="B126" s="20" t="str">
        <f>HLOOKUP(Auswahl1WG,VergleichMatrixWG,196)</f>
        <v>-</v>
      </c>
      <c r="C126" s="20" t="str">
        <f>HLOOKUP(Auswahl2WG,VergleichMatrixWG,196)</f>
        <v>-</v>
      </c>
      <c r="D126" s="20" t="str">
        <f>HLOOKUP(Auswahl3WG,VergleichMatrixWG,196)</f>
        <v>-</v>
      </c>
      <c r="E126" s="87"/>
    </row>
    <row r="127" spans="1:5" s="14" customFormat="1" ht="9.9499999999999993" customHeight="1" x14ac:dyDescent="0.15">
      <c r="A127" s="28"/>
      <c r="B127" s="27"/>
      <c r="C127" s="27"/>
      <c r="D127" s="27"/>
      <c r="E127" s="175"/>
    </row>
    <row r="128" spans="1:5" s="14" customFormat="1" ht="20.100000000000001" customHeight="1" x14ac:dyDescent="0.15">
      <c r="A128" s="303" t="s">
        <v>27</v>
      </c>
      <c r="B128" s="292" t="str">
        <f>B4</f>
        <v>Keine</v>
      </c>
      <c r="C128" s="292" t="str">
        <f t="shared" ref="C128:E128" si="12">C4</f>
        <v>Keine</v>
      </c>
      <c r="D128" s="292" t="str">
        <f t="shared" si="12"/>
        <v>Keine</v>
      </c>
      <c r="E128" s="292" t="str">
        <f t="shared" si="12"/>
        <v>Individuell</v>
      </c>
    </row>
    <row r="129" spans="1:6" s="14" customFormat="1" ht="51.95" customHeight="1" x14ac:dyDescent="0.15">
      <c r="A129" s="25" t="s">
        <v>3673</v>
      </c>
      <c r="B129" s="20" t="str">
        <f>HLOOKUP(Auswahl1WG,VergleichMatrixWG,198)</f>
        <v>-</v>
      </c>
      <c r="C129" s="20" t="str">
        <f>HLOOKUP(Auswahl2WG,VergleichMatrixWG,198)</f>
        <v>-</v>
      </c>
      <c r="D129" s="20" t="str">
        <f>HLOOKUP(Auswahl3WG,VergleichMatrixWG,198)</f>
        <v>-</v>
      </c>
      <c r="E129" s="87"/>
    </row>
    <row r="130" spans="1:6" s="14" customFormat="1" ht="60" customHeight="1" x14ac:dyDescent="0.15">
      <c r="A130" s="25" t="s">
        <v>3672</v>
      </c>
      <c r="B130" s="20" t="str">
        <f>HLOOKUP(Auswahl1WG,VergleichMatrixWG,200)</f>
        <v>-</v>
      </c>
      <c r="C130" s="20" t="str">
        <f>HLOOKUP(Auswahl2WG,VergleichMatrixWG,200)</f>
        <v>-</v>
      </c>
      <c r="D130" s="20" t="str">
        <f>HLOOKUP(Auswahl3WG,VergleichMatrixWG,200)</f>
        <v>-</v>
      </c>
      <c r="E130" s="87"/>
    </row>
    <row r="131" spans="1:6" ht="20.100000000000001" customHeight="1" x14ac:dyDescent="0.2">
      <c r="A131" s="25" t="s">
        <v>70</v>
      </c>
      <c r="B131" s="20" t="str">
        <f>HLOOKUP(Auswahl1WG,VergleichMatrixWG,202)</f>
        <v>-</v>
      </c>
      <c r="C131" s="20" t="str">
        <f>HLOOKUP(Auswahl2WG,VergleichMatrixWG,202)</f>
        <v>-</v>
      </c>
      <c r="D131" s="20" t="str">
        <f>HLOOKUP(Auswahl3WG,VergleichMatrixWG,202)</f>
        <v>-</v>
      </c>
      <c r="E131" s="87"/>
    </row>
    <row r="132" spans="1:6" ht="20.100000000000001" customHeight="1" x14ac:dyDescent="0.2">
      <c r="A132" s="25" t="s">
        <v>69</v>
      </c>
      <c r="B132" s="20" t="str">
        <f>HLOOKUP(Auswahl1WG,VergleichMatrixWG,204)</f>
        <v>-</v>
      </c>
      <c r="C132" s="20" t="str">
        <f>HLOOKUP(Auswahl2WG,VergleichMatrixWG,204)</f>
        <v>-</v>
      </c>
      <c r="D132" s="20" t="str">
        <f>HLOOKUP(Auswahl3WG,VergleichMatrixWG,204)</f>
        <v>-</v>
      </c>
      <c r="E132" s="87"/>
    </row>
    <row r="133" spans="1:6" ht="20.100000000000001" customHeight="1" x14ac:dyDescent="0.2">
      <c r="A133" s="25" t="s">
        <v>3967</v>
      </c>
      <c r="B133" s="20" t="str">
        <f>HLOOKUP(Auswahl1WG,VergleichMatrixWG,206)</f>
        <v>-</v>
      </c>
      <c r="C133" s="20" t="str">
        <f>HLOOKUP(Auswahl2WG,VergleichMatrixWG,206)</f>
        <v>-</v>
      </c>
      <c r="D133" s="20" t="str">
        <f>HLOOKUP(Auswahl3WG,VergleichMatrixWG,206)</f>
        <v>-</v>
      </c>
      <c r="E133" s="87"/>
    </row>
    <row r="134" spans="1:6" ht="30" customHeight="1" x14ac:dyDescent="0.2">
      <c r="A134" s="25" t="s">
        <v>68</v>
      </c>
      <c r="B134" s="20" t="str">
        <f>HLOOKUP(Auswahl1WG,VergleichMatrixWG,208)</f>
        <v>-</v>
      </c>
      <c r="C134" s="20" t="str">
        <f>HLOOKUP(Auswahl2WG,VergleichMatrixWG,208)</f>
        <v>-</v>
      </c>
      <c r="D134" s="20" t="str">
        <f>HLOOKUP(Auswahl3WG,VergleichMatrixWG,208)</f>
        <v>-</v>
      </c>
      <c r="E134" s="87"/>
    </row>
    <row r="135" spans="1:6" ht="30" customHeight="1" x14ac:dyDescent="0.2">
      <c r="A135" s="25" t="s">
        <v>3832</v>
      </c>
      <c r="B135" s="20" t="str">
        <f>HLOOKUP(Auswahl1WG,VergleichMatrixWG,210)</f>
        <v>-</v>
      </c>
      <c r="C135" s="20" t="str">
        <f>HLOOKUP(Auswahl2WG,VergleichMatrixWG,210)</f>
        <v>-</v>
      </c>
      <c r="D135" s="20" t="str">
        <f>HLOOKUP(Auswahl3WG,VergleichMatrixWG,210)</f>
        <v>-</v>
      </c>
      <c r="E135" s="87"/>
    </row>
    <row r="136" spans="1:6" ht="45" customHeight="1" x14ac:dyDescent="0.2">
      <c r="A136" s="25" t="s">
        <v>3815</v>
      </c>
      <c r="B136" s="20" t="str">
        <f>HLOOKUP(Auswahl1WG,VergleichMatrixWG,212)</f>
        <v>-</v>
      </c>
      <c r="C136" s="20" t="str">
        <f>HLOOKUP(Auswahl2WG,VergleichMatrixWG,212)</f>
        <v>-</v>
      </c>
      <c r="D136" s="20" t="str">
        <f>HLOOKUP(Auswahl3WG,VergleichMatrixWG,212)</f>
        <v>-</v>
      </c>
      <c r="E136" s="87"/>
    </row>
    <row r="137" spans="1:6" ht="63.75" customHeight="1" x14ac:dyDescent="0.2">
      <c r="A137" s="25" t="s">
        <v>4909</v>
      </c>
      <c r="B137" s="20" t="str">
        <f>HLOOKUP(Auswahl1WG,VergleichMatrixWG,214)</f>
        <v>-</v>
      </c>
      <c r="C137" s="20" t="str">
        <f>HLOOKUP(Auswahl2WG,VergleichMatrixWG,214)</f>
        <v>-</v>
      </c>
      <c r="D137" s="20" t="str">
        <f>HLOOKUP(Auswahl3WG,VergleichMatrixWG,214)</f>
        <v>-</v>
      </c>
      <c r="E137" s="87"/>
      <c r="F137" s="233"/>
    </row>
    <row r="138" spans="1:6" ht="32.25" customHeight="1" x14ac:dyDescent="0.2">
      <c r="A138" s="25" t="s">
        <v>3717</v>
      </c>
      <c r="B138" s="20" t="str">
        <f>HLOOKUP(Auswahl1WG,VergleichMatrixWG,216)</f>
        <v>-</v>
      </c>
      <c r="C138" s="20" t="str">
        <f>HLOOKUP(Auswahl2WG,VergleichMatrixWG,216)</f>
        <v>-</v>
      </c>
      <c r="D138" s="20" t="str">
        <f>HLOOKUP(Auswahl3WG,VergleichMatrixWG,216)</f>
        <v>-</v>
      </c>
      <c r="E138" s="87"/>
    </row>
    <row r="139" spans="1:6" ht="22.5" customHeight="1" x14ac:dyDescent="0.2">
      <c r="A139" s="25" t="s">
        <v>3808</v>
      </c>
      <c r="B139" s="20" t="str">
        <f>HLOOKUP(Auswahl1WG,VergleichMatrixWG,218)</f>
        <v>-</v>
      </c>
      <c r="C139" s="20" t="str">
        <f>HLOOKUP(Auswahl2WG,VergleichMatrixWG,218)</f>
        <v>-</v>
      </c>
      <c r="D139" s="20" t="str">
        <f>HLOOKUP(Auswahl3WG,VergleichMatrixWG,218)</f>
        <v>-</v>
      </c>
      <c r="E139" s="87"/>
    </row>
    <row r="140" spans="1:6" ht="28.5" customHeight="1" x14ac:dyDescent="0.2">
      <c r="A140" s="25" t="s">
        <v>50</v>
      </c>
      <c r="B140" s="20" t="str">
        <f>HLOOKUP(Auswahl1WG,VergleichMatrixWG,220)</f>
        <v>-</v>
      </c>
      <c r="C140" s="20" t="str">
        <f>HLOOKUP(Auswahl2WG,VergleichMatrixWG,220)</f>
        <v>-</v>
      </c>
      <c r="D140" s="20" t="str">
        <f>HLOOKUP(Auswahl3WG,VergleichMatrixWG,220)</f>
        <v>-</v>
      </c>
      <c r="E140" s="87"/>
    </row>
    <row r="141" spans="1:6" ht="3" customHeight="1" x14ac:dyDescent="0.2">
      <c r="A141" s="28"/>
      <c r="B141" s="27"/>
      <c r="C141" s="27"/>
      <c r="D141" s="27"/>
      <c r="E141" s="179"/>
    </row>
    <row r="142" spans="1:6" ht="20.100000000000001" customHeight="1" x14ac:dyDescent="0.2">
      <c r="A142" s="303" t="s">
        <v>46</v>
      </c>
      <c r="B142" s="292" t="str">
        <f>B4</f>
        <v>Keine</v>
      </c>
      <c r="C142" s="292" t="str">
        <f>C4</f>
        <v>Keine</v>
      </c>
      <c r="D142" s="292" t="str">
        <f>D4</f>
        <v>Keine</v>
      </c>
      <c r="E142" s="292" t="str">
        <f t="shared" ref="E142" si="13">E4</f>
        <v>Individuell</v>
      </c>
      <c r="F142" s="296"/>
    </row>
    <row r="143" spans="1:6" ht="21.95" customHeight="1" x14ac:dyDescent="0.2">
      <c r="A143" s="25" t="s">
        <v>3695</v>
      </c>
      <c r="B143" s="20" t="str">
        <f>HLOOKUP(Auswahl1WG,VergleichMatrixWG,224)</f>
        <v>-</v>
      </c>
      <c r="C143" s="20" t="str">
        <f>HLOOKUP(Auswahl2WG,VergleichMatrixWG,224)</f>
        <v>-</v>
      </c>
      <c r="D143" s="20" t="str">
        <f>HLOOKUP(Auswahl3WG,VergleichMatrixWG,224)</f>
        <v>-</v>
      </c>
      <c r="E143" s="86"/>
    </row>
    <row r="144" spans="1:6" ht="21.95" customHeight="1" x14ac:dyDescent="0.2">
      <c r="A144" s="25" t="s">
        <v>3663</v>
      </c>
      <c r="B144" s="20" t="str">
        <f>HLOOKUP(Auswahl1WG,VergleichMatrixWG,226)</f>
        <v>-</v>
      </c>
      <c r="C144" s="20" t="str">
        <f>HLOOKUP(Auswahl2WG,VergleichMatrixWG,226)</f>
        <v>-</v>
      </c>
      <c r="D144" s="20" t="str">
        <f>HLOOKUP(Auswahl3WG,VergleichMatrixWG,226)</f>
        <v>-</v>
      </c>
      <c r="E144" s="86"/>
    </row>
    <row r="145" spans="1:5" ht="21.95" customHeight="1" x14ac:dyDescent="0.2">
      <c r="A145" s="25" t="s">
        <v>4929</v>
      </c>
      <c r="B145" s="20" t="str">
        <f>HLOOKUP(Auswahl1WG,VergleichMatrixWG,228)</f>
        <v>-</v>
      </c>
      <c r="C145" s="20" t="str">
        <f>HLOOKUP(Auswahl2WG,VergleichMatrixWG,228)</f>
        <v>-</v>
      </c>
      <c r="D145" s="20" t="str">
        <f>HLOOKUP(Auswahl3WG,VergleichMatrixWG,228)</f>
        <v>-</v>
      </c>
      <c r="E145" s="86"/>
    </row>
    <row r="146" spans="1:5" ht="9.9499999999999993" customHeight="1" x14ac:dyDescent="0.2">
      <c r="A146" s="23"/>
      <c r="B146" s="34"/>
      <c r="C146" s="35"/>
      <c r="D146" s="35"/>
      <c r="E146" s="115"/>
    </row>
    <row r="147" spans="1:5" ht="20.100000000000001" customHeight="1" x14ac:dyDescent="0.2">
      <c r="A147" s="304" t="s">
        <v>86</v>
      </c>
      <c r="B147" s="292" t="str">
        <f>B4</f>
        <v>Keine</v>
      </c>
      <c r="C147" s="292" t="str">
        <f>C4</f>
        <v>Keine</v>
      </c>
      <c r="D147" s="292" t="str">
        <f>D4</f>
        <v>Keine</v>
      </c>
      <c r="E147" s="292" t="str">
        <f t="shared" ref="E147" si="14">E4</f>
        <v>Individuell</v>
      </c>
    </row>
    <row r="148" spans="1:5" ht="122.25" customHeight="1" x14ac:dyDescent="0.2">
      <c r="A148" s="25" t="s">
        <v>85</v>
      </c>
      <c r="B148" s="20" t="str">
        <f>HLOOKUP(Auswahl1WG,VergleichMatrixWG,232)</f>
        <v>-</v>
      </c>
      <c r="C148" s="20" t="str">
        <f>HLOOKUP(Auswahl2WG,VergleichMatrixWG,232)</f>
        <v>-</v>
      </c>
      <c r="D148" s="20" t="str">
        <f>HLOOKUP(Auswahl3WG,VergleichMatrixWG,232)</f>
        <v>-</v>
      </c>
      <c r="E148" s="86"/>
    </row>
    <row r="149" spans="1:5" s="14" customFormat="1" ht="31.5" customHeight="1" x14ac:dyDescent="0.15">
      <c r="A149" s="25" t="s">
        <v>3676</v>
      </c>
      <c r="B149" s="20" t="str">
        <f>HLOOKUP(Auswahl1WG,VergleichMatrixWG,234)</f>
        <v>-</v>
      </c>
      <c r="C149" s="20" t="str">
        <f>HLOOKUP(Auswahl2WG,VergleichMatrixWG,234)</f>
        <v>-</v>
      </c>
      <c r="D149" s="20" t="str">
        <f>HLOOKUP(Auswahl3WG,VergleichMatrixWG,234)</f>
        <v>-</v>
      </c>
      <c r="E149" s="87"/>
    </row>
    <row r="150" spans="1:5" ht="46.5" customHeight="1" x14ac:dyDescent="0.2">
      <c r="A150" s="25" t="s">
        <v>83</v>
      </c>
      <c r="B150" s="20" t="str">
        <f>HLOOKUP(Auswahl1WG,VergleichMatrixWG,236)</f>
        <v>-</v>
      </c>
      <c r="C150" s="20" t="str">
        <f>HLOOKUP(Auswahl2WG,VergleichMatrixWG,236)</f>
        <v>-</v>
      </c>
      <c r="D150" s="20" t="str">
        <f>HLOOKUP(Auswahl3WG,VergleichMatrixWG,236)</f>
        <v>-</v>
      </c>
      <c r="E150" s="86"/>
    </row>
    <row r="151" spans="1:5" ht="99" customHeight="1" x14ac:dyDescent="0.2">
      <c r="A151" s="25" t="s">
        <v>304</v>
      </c>
      <c r="B151" s="20" t="str">
        <f>HLOOKUP(Auswahl1WG,VergleichMatrixWG,238)</f>
        <v>-</v>
      </c>
      <c r="C151" s="20" t="str">
        <f>HLOOKUP(Auswahl2WG,VergleichMatrixWG,238)</f>
        <v>-</v>
      </c>
      <c r="D151" s="20" t="str">
        <f>HLOOKUP(Auswahl3WG,VergleichMatrixWG,238)</f>
        <v>-</v>
      </c>
      <c r="E151" s="86"/>
    </row>
    <row r="152" spans="1:5" ht="9.9499999999999993" customHeight="1" x14ac:dyDescent="0.2">
      <c r="A152" s="28"/>
      <c r="B152" s="27"/>
      <c r="C152" s="27"/>
      <c r="D152" s="27"/>
      <c r="E152" s="179"/>
    </row>
    <row r="153" spans="1:5" ht="20.100000000000001" customHeight="1" x14ac:dyDescent="0.2">
      <c r="A153" s="38" t="s">
        <v>177</v>
      </c>
      <c r="B153" s="39" t="str">
        <f>B4</f>
        <v>Keine</v>
      </c>
      <c r="C153" s="39" t="str">
        <f>C4</f>
        <v>Keine</v>
      </c>
      <c r="D153" s="39" t="str">
        <f>D4</f>
        <v>Keine</v>
      </c>
      <c r="E153" s="39" t="str">
        <f t="shared" ref="E153" si="15">E4</f>
        <v>Individuell</v>
      </c>
    </row>
    <row r="154" spans="1:5" ht="291" customHeight="1" x14ac:dyDescent="0.2">
      <c r="A154" s="25"/>
      <c r="B154" s="20" t="str">
        <f>HLOOKUP(Auswahl1WG,VergleichMatrixWG,242)</f>
        <v>-</v>
      </c>
      <c r="C154" s="20" t="str">
        <f>HLOOKUP(Auswahl2WG,VergleichMatrixWG,242)</f>
        <v>-</v>
      </c>
      <c r="D154" s="20" t="str">
        <f>HLOOKUP(Auswahl3WG,VergleichMatrixWG,242)</f>
        <v>-</v>
      </c>
      <c r="E154" s="88"/>
    </row>
    <row r="155" spans="1:5" ht="9.9499999999999993" customHeight="1" x14ac:dyDescent="0.2">
      <c r="A155" s="37"/>
      <c r="B155" s="34"/>
      <c r="C155" s="34"/>
      <c r="D155" s="34"/>
      <c r="E155" s="115"/>
    </row>
    <row r="156" spans="1:5" ht="20.100000000000001" customHeight="1" x14ac:dyDescent="0.2">
      <c r="A156" s="38" t="s">
        <v>120</v>
      </c>
      <c r="B156" s="40" t="str">
        <f>B4</f>
        <v>Keine</v>
      </c>
      <c r="C156" s="40" t="str">
        <f>C4</f>
        <v>Keine</v>
      </c>
      <c r="D156" s="40" t="str">
        <f>D4</f>
        <v>Keine</v>
      </c>
      <c r="E156" s="40" t="str">
        <f t="shared" ref="E156" si="16">E4</f>
        <v>Individuell</v>
      </c>
    </row>
    <row r="157" spans="1:5" ht="20.100000000000001" customHeight="1" x14ac:dyDescent="0.2">
      <c r="A157" s="25"/>
      <c r="B157" s="20" t="str">
        <f>HLOOKUP(Auswahl1WG,VergleichMatrixWG,246)</f>
        <v>-</v>
      </c>
      <c r="C157" s="20" t="str">
        <f>HLOOKUP(Auswahl2WG,VergleichMatrixWG,246)</f>
        <v>-</v>
      </c>
      <c r="D157" s="20" t="str">
        <f>HLOOKUP(Auswahl3WG,VergleichMatrixWG,246)</f>
        <v>-</v>
      </c>
      <c r="E157" s="87"/>
    </row>
    <row r="158" spans="1:5" x14ac:dyDescent="0.2">
      <c r="A158" s="14"/>
      <c r="B158" s="115"/>
      <c r="C158" s="115"/>
      <c r="D158" s="115"/>
      <c r="E158" s="115"/>
    </row>
    <row r="161" spans="3:5" x14ac:dyDescent="0.2">
      <c r="C161" s="182"/>
      <c r="D161" s="182"/>
      <c r="E161" s="180"/>
    </row>
    <row r="162" spans="3:5" x14ac:dyDescent="0.2">
      <c r="E162" s="180"/>
    </row>
  </sheetData>
  <sheetProtection password="98DB" sheet="1" objects="1" scenarios="1"/>
  <mergeCells count="1">
    <mergeCell ref="B2:C2"/>
  </mergeCells>
  <phoneticPr fontId="2" type="noConversion"/>
  <printOptions horizontalCentered="1"/>
  <pageMargins left="0.78740157480314965" right="0.78740157480314965" top="0.98425196850393704" bottom="0.78740157480314965" header="0.51181102362204722" footer="0.51181102362204722"/>
  <pageSetup paperSize="9" orientation="landscape" verticalDpi="1200" r:id="rId1"/>
  <headerFooter alignWithMargins="0">
    <oddHeader>&amp;L&amp;"Arial,Fett"&amp;16Leistungsvergleich Wohngebäudeversicherung&amp;R&amp;G</oddHeader>
    <oddFooter>&amp;L&amp;8Seite &amp;P von &amp;N&amp;C&amp;8Bei den Deckungsinhalten handelt es sich um Stichworte. Die detaillierten Deckungsumfänge sind den jeweiligen Bedingungen zu entnehmen.&amp;R&amp;8Stand 04-2019</oddFooter>
  </headerFooter>
  <rowBreaks count="13" manualBreakCount="13">
    <brk id="16" max="16383" man="1"/>
    <brk id="25" max="16383" man="1"/>
    <brk id="38" max="16383" man="1"/>
    <brk id="51" max="16383" man="1"/>
    <brk id="65" max="16383" man="1"/>
    <brk id="77" max="16383" man="1"/>
    <brk id="86" max="16383" man="1"/>
    <brk id="94" max="16383" man="1"/>
    <brk id="108" max="16383" man="1"/>
    <brk id="114" max="16383" man="1"/>
    <brk id="127" max="16383" man="1"/>
    <brk id="141" max="16383" man="1"/>
    <brk id="152" max="16383" man="1"/>
  </rowBreaks>
  <colBreaks count="1" manualBreakCount="1">
    <brk id="5"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5" r:id="rId5" name="Drop Down 1">
              <controlPr defaultSize="0" print="0" autoLine="0" autoPict="0">
                <anchor moveWithCells="1">
                  <from>
                    <xdr:col>1</xdr:col>
                    <xdr:colOff>28575</xdr:colOff>
                    <xdr:row>2</xdr:row>
                    <xdr:rowOff>28575</xdr:rowOff>
                  </from>
                  <to>
                    <xdr:col>1</xdr:col>
                    <xdr:colOff>1428750</xdr:colOff>
                    <xdr:row>2</xdr:row>
                    <xdr:rowOff>257175</xdr:rowOff>
                  </to>
                </anchor>
              </controlPr>
            </control>
          </mc:Choice>
        </mc:AlternateContent>
        <mc:AlternateContent xmlns:mc="http://schemas.openxmlformats.org/markup-compatibility/2006">
          <mc:Choice Requires="x14">
            <control shapeId="6146" r:id="rId6" name="Drop Down 2">
              <controlPr defaultSize="0" print="0" autoLine="0" autoPict="0">
                <anchor moveWithCells="1">
                  <from>
                    <xdr:col>2</xdr:col>
                    <xdr:colOff>28575</xdr:colOff>
                    <xdr:row>2</xdr:row>
                    <xdr:rowOff>28575</xdr:rowOff>
                  </from>
                  <to>
                    <xdr:col>2</xdr:col>
                    <xdr:colOff>1428750</xdr:colOff>
                    <xdr:row>2</xdr:row>
                    <xdr:rowOff>257175</xdr:rowOff>
                  </to>
                </anchor>
              </controlPr>
            </control>
          </mc:Choice>
        </mc:AlternateContent>
        <mc:AlternateContent xmlns:mc="http://schemas.openxmlformats.org/markup-compatibility/2006">
          <mc:Choice Requires="x14">
            <control shapeId="6147" r:id="rId7" name="Drop Down 3">
              <controlPr defaultSize="0" print="0" autoLine="0" autoPict="0">
                <anchor moveWithCells="1">
                  <from>
                    <xdr:col>3</xdr:col>
                    <xdr:colOff>28575</xdr:colOff>
                    <xdr:row>2</xdr:row>
                    <xdr:rowOff>28575</xdr:rowOff>
                  </from>
                  <to>
                    <xdr:col>3</xdr:col>
                    <xdr:colOff>1428750</xdr:colOff>
                    <xdr:row>2</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02"/>
  <sheetViews>
    <sheetView zoomScale="120" zoomScaleNormal="120" workbookViewId="0">
      <pane xSplit="1" ySplit="1" topLeftCell="R74" activePane="bottomRight" state="frozen"/>
      <selection activeCell="X37" sqref="X37"/>
      <selection pane="topRight" activeCell="X37" sqref="X37"/>
      <selection pane="bottomLeft" activeCell="X37" sqref="X37"/>
      <selection pane="bottomRight" activeCell="S82" sqref="S82:W83"/>
    </sheetView>
  </sheetViews>
  <sheetFormatPr baseColWidth="10" defaultRowHeight="12.75" x14ac:dyDescent="0.2"/>
  <cols>
    <col min="1" max="1" width="42.28515625" style="14" customWidth="1"/>
    <col min="2" max="2" width="29.28515625" style="18" customWidth="1"/>
    <col min="3" max="29" width="21.7109375" style="14" customWidth="1"/>
    <col min="32" max="32" width="11.42578125" style="14"/>
    <col min="33" max="33" width="23.85546875" style="248" customWidth="1"/>
    <col min="34" max="35" width="11.42578125" style="14"/>
    <col min="36" max="36" width="18.28515625" style="14" customWidth="1"/>
    <col min="37" max="37" width="14.28515625" style="14" customWidth="1"/>
    <col min="38" max="38" width="19.42578125" style="14" customWidth="1"/>
    <col min="39" max="16384" width="11.42578125" style="14"/>
  </cols>
  <sheetData>
    <row r="1" spans="1:39" s="248" customFormat="1" ht="22.5" customHeight="1" x14ac:dyDescent="0.15">
      <c r="A1" s="247" t="s">
        <v>3668</v>
      </c>
      <c r="B1" s="288" t="s">
        <v>4855</v>
      </c>
      <c r="C1" s="245" t="s">
        <v>3701</v>
      </c>
      <c r="D1" s="245" t="s">
        <v>3759</v>
      </c>
      <c r="E1" s="243" t="s">
        <v>3802</v>
      </c>
      <c r="F1" s="243" t="s">
        <v>3867</v>
      </c>
      <c r="G1" s="243" t="s">
        <v>178</v>
      </c>
      <c r="H1" s="243" t="s">
        <v>3937</v>
      </c>
      <c r="I1" s="243" t="s">
        <v>179</v>
      </c>
      <c r="J1" s="245" t="s">
        <v>4285</v>
      </c>
      <c r="K1" s="245" t="s">
        <v>4233</v>
      </c>
      <c r="L1" s="245" t="s">
        <v>4287</v>
      </c>
      <c r="M1" s="245" t="s">
        <v>4235</v>
      </c>
      <c r="N1" s="245" t="s">
        <v>4286</v>
      </c>
      <c r="O1" s="245" t="s">
        <v>4234</v>
      </c>
      <c r="P1" s="243" t="s">
        <v>4783</v>
      </c>
      <c r="Q1" s="245" t="s">
        <v>4784</v>
      </c>
      <c r="R1" s="245" t="s">
        <v>4785</v>
      </c>
      <c r="S1" s="245" t="s">
        <v>161</v>
      </c>
      <c r="T1" s="245" t="s">
        <v>3552</v>
      </c>
      <c r="U1" s="245" t="s">
        <v>3550</v>
      </c>
      <c r="V1" s="245" t="s">
        <v>3549</v>
      </c>
      <c r="W1" s="245" t="s">
        <v>3639</v>
      </c>
      <c r="X1" s="245" t="s">
        <v>90</v>
      </c>
      <c r="Y1" s="243" t="s">
        <v>4696</v>
      </c>
      <c r="Z1" s="245" t="s">
        <v>873</v>
      </c>
      <c r="AA1" s="245" t="s">
        <v>4697</v>
      </c>
      <c r="AB1" s="245" t="s">
        <v>1931</v>
      </c>
      <c r="AC1" s="245" t="s">
        <v>1930</v>
      </c>
      <c r="AI1" s="310"/>
      <c r="AJ1" s="310" t="s">
        <v>91</v>
      </c>
      <c r="AK1" s="310" t="s">
        <v>92</v>
      </c>
      <c r="AL1" s="310" t="s">
        <v>93</v>
      </c>
      <c r="AM1" s="310"/>
    </row>
    <row r="2" spans="1:39" s="18" customFormat="1" ht="39" customHeight="1" x14ac:dyDescent="0.2">
      <c r="A2" s="25" t="s">
        <v>3682</v>
      </c>
      <c r="B2" s="284" t="s">
        <v>3810</v>
      </c>
      <c r="C2" s="47" t="s">
        <v>3783</v>
      </c>
      <c r="D2" s="47" t="s">
        <v>3783</v>
      </c>
      <c r="E2" s="47" t="s">
        <v>3783</v>
      </c>
      <c r="F2" s="47" t="s">
        <v>3783</v>
      </c>
      <c r="G2" s="47" t="s">
        <v>3783</v>
      </c>
      <c r="H2" s="47" t="s">
        <v>3783</v>
      </c>
      <c r="I2" s="47" t="s">
        <v>3783</v>
      </c>
      <c r="J2" s="47" t="s">
        <v>3783</v>
      </c>
      <c r="K2" s="47" t="s">
        <v>3783</v>
      </c>
      <c r="L2" s="47" t="s">
        <v>3783</v>
      </c>
      <c r="M2" s="47" t="s">
        <v>3783</v>
      </c>
      <c r="N2" s="47" t="s">
        <v>3783</v>
      </c>
      <c r="O2" s="47" t="s">
        <v>3783</v>
      </c>
      <c r="P2" s="47" t="s">
        <v>3783</v>
      </c>
      <c r="Q2" s="47" t="s">
        <v>3783</v>
      </c>
      <c r="R2" s="47" t="s">
        <v>3783</v>
      </c>
      <c r="S2" s="47" t="s">
        <v>5088</v>
      </c>
      <c r="T2" s="47" t="s">
        <v>4489</v>
      </c>
      <c r="U2" s="47" t="s">
        <v>4930</v>
      </c>
      <c r="V2" s="47" t="s">
        <v>4640</v>
      </c>
      <c r="W2" s="47" t="s">
        <v>4489</v>
      </c>
      <c r="X2" s="46" t="s">
        <v>3</v>
      </c>
      <c r="Y2" s="47" t="s">
        <v>3783</v>
      </c>
      <c r="Z2" s="47" t="s">
        <v>3783</v>
      </c>
      <c r="AA2" s="47" t="s">
        <v>3783</v>
      </c>
      <c r="AB2" s="47" t="s">
        <v>3783</v>
      </c>
      <c r="AC2" s="47" t="s">
        <v>3783</v>
      </c>
      <c r="AF2" s="306">
        <v>1</v>
      </c>
      <c r="AG2" s="308" t="s">
        <v>3701</v>
      </c>
      <c r="AI2" s="305"/>
      <c r="AJ2" s="305">
        <v>22</v>
      </c>
      <c r="AK2" s="305">
        <v>22</v>
      </c>
      <c r="AL2" s="305">
        <v>22</v>
      </c>
      <c r="AM2" s="305"/>
    </row>
    <row r="3" spans="1:39" s="18" customFormat="1" ht="24" customHeight="1" x14ac:dyDescent="0.2">
      <c r="A3" s="76" t="s">
        <v>402</v>
      </c>
      <c r="B3" s="69"/>
      <c r="C3" s="69" t="s">
        <v>2800</v>
      </c>
      <c r="D3" s="69" t="s">
        <v>2800</v>
      </c>
      <c r="E3" s="69" t="s">
        <v>3925</v>
      </c>
      <c r="F3" s="69" t="s">
        <v>3925</v>
      </c>
      <c r="G3" s="69" t="s">
        <v>3988</v>
      </c>
      <c r="H3" s="69" t="s">
        <v>3988</v>
      </c>
      <c r="I3" s="69" t="s">
        <v>3988</v>
      </c>
      <c r="J3" s="69" t="s">
        <v>4209</v>
      </c>
      <c r="K3" s="69" t="s">
        <v>4209</v>
      </c>
      <c r="L3" s="69" t="s">
        <v>4209</v>
      </c>
      <c r="M3" s="69" t="s">
        <v>4209</v>
      </c>
      <c r="N3" s="69" t="s">
        <v>4209</v>
      </c>
      <c r="O3" s="69" t="s">
        <v>4209</v>
      </c>
      <c r="P3" s="69" t="s">
        <v>4698</v>
      </c>
      <c r="Q3" s="69" t="s">
        <v>4698</v>
      </c>
      <c r="R3" s="69" t="s">
        <v>4698</v>
      </c>
      <c r="S3" s="69" t="s">
        <v>4433</v>
      </c>
      <c r="T3" s="69" t="s">
        <v>4490</v>
      </c>
      <c r="U3" s="69" t="s">
        <v>4931</v>
      </c>
      <c r="V3" s="69" t="s">
        <v>4641</v>
      </c>
      <c r="W3" s="69" t="s">
        <v>4490</v>
      </c>
      <c r="X3" s="69"/>
      <c r="Y3" s="69" t="s">
        <v>4698</v>
      </c>
      <c r="Z3" s="69" t="s">
        <v>4698</v>
      </c>
      <c r="AA3" s="69" t="s">
        <v>4698</v>
      </c>
      <c r="AB3" s="69" t="s">
        <v>4396</v>
      </c>
      <c r="AC3" s="69" t="s">
        <v>4396</v>
      </c>
      <c r="AF3" s="306">
        <v>2</v>
      </c>
      <c r="AG3" s="308" t="s">
        <v>3759</v>
      </c>
      <c r="AI3" s="305"/>
      <c r="AJ3" s="305" t="str">
        <f>VLOOKUP(AJ2,AuswMatrixWG,2)</f>
        <v>Keine</v>
      </c>
      <c r="AK3" s="305" t="str">
        <f>VLOOKUP(AK2,AuswMatrixWG,2)</f>
        <v>Keine</v>
      </c>
      <c r="AL3" s="305" t="str">
        <f>VLOOKUP(AL2,AuswMatrixWG,2)</f>
        <v>Keine</v>
      </c>
      <c r="AM3" s="305"/>
    </row>
    <row r="4" spans="1:39" s="18" customFormat="1" ht="22.5" customHeight="1" x14ac:dyDescent="0.2">
      <c r="A4" s="25" t="s">
        <v>3681</v>
      </c>
      <c r="B4" s="284" t="s">
        <v>3963</v>
      </c>
      <c r="C4" s="47" t="s">
        <v>3</v>
      </c>
      <c r="D4" s="47" t="s">
        <v>3</v>
      </c>
      <c r="E4" s="47" t="s">
        <v>4932</v>
      </c>
      <c r="F4" s="47" t="s">
        <v>4932</v>
      </c>
      <c r="G4" s="47" t="s">
        <v>4933</v>
      </c>
      <c r="H4" s="47" t="s">
        <v>3954</v>
      </c>
      <c r="I4" s="47" t="s">
        <v>3</v>
      </c>
      <c r="J4" s="47" t="s">
        <v>3</v>
      </c>
      <c r="K4" s="47" t="s">
        <v>3</v>
      </c>
      <c r="L4" s="47" t="s">
        <v>3</v>
      </c>
      <c r="M4" s="47" t="s">
        <v>3</v>
      </c>
      <c r="N4" s="47" t="s">
        <v>3</v>
      </c>
      <c r="O4" s="47" t="s">
        <v>3</v>
      </c>
      <c r="P4" s="47" t="s">
        <v>3</v>
      </c>
      <c r="Q4" s="47" t="s">
        <v>3</v>
      </c>
      <c r="R4" s="47" t="s">
        <v>3</v>
      </c>
      <c r="S4" s="47" t="s">
        <v>4414</v>
      </c>
      <c r="T4" s="47" t="s">
        <v>4482</v>
      </c>
      <c r="U4" s="47" t="s">
        <v>4414</v>
      </c>
      <c r="V4" s="47" t="s">
        <v>4933</v>
      </c>
      <c r="W4" s="47" t="s">
        <v>4934</v>
      </c>
      <c r="X4" s="46" t="s">
        <v>3</v>
      </c>
      <c r="Y4" s="47" t="s">
        <v>3</v>
      </c>
      <c r="Z4" s="47" t="s">
        <v>3</v>
      </c>
      <c r="AA4" s="47" t="s">
        <v>3</v>
      </c>
      <c r="AB4" s="47" t="s">
        <v>3</v>
      </c>
      <c r="AC4" s="47" t="s">
        <v>3</v>
      </c>
      <c r="AF4" s="306">
        <v>3</v>
      </c>
      <c r="AG4" s="308" t="s">
        <v>3802</v>
      </c>
      <c r="AI4" s="305"/>
      <c r="AJ4" s="305">
        <v>1</v>
      </c>
      <c r="AK4" s="305">
        <v>1</v>
      </c>
      <c r="AL4" s="305">
        <v>1</v>
      </c>
      <c r="AM4" s="305"/>
    </row>
    <row r="5" spans="1:39" s="18" customFormat="1" ht="12" customHeight="1" x14ac:dyDescent="0.2">
      <c r="A5" s="76" t="s">
        <v>402</v>
      </c>
      <c r="B5" s="69"/>
      <c r="C5" s="69" t="s">
        <v>3</v>
      </c>
      <c r="D5" s="69" t="s">
        <v>3</v>
      </c>
      <c r="E5" s="69" t="s">
        <v>3927</v>
      </c>
      <c r="F5" s="69" t="s">
        <v>3927</v>
      </c>
      <c r="G5" s="69" t="s">
        <v>3989</v>
      </c>
      <c r="H5" s="69" t="s">
        <v>3989</v>
      </c>
      <c r="I5" s="69" t="s">
        <v>3989</v>
      </c>
      <c r="J5" s="69"/>
      <c r="K5" s="69"/>
      <c r="L5" s="69"/>
      <c r="M5" s="69"/>
      <c r="N5" s="69"/>
      <c r="O5" s="69"/>
      <c r="P5" s="69" t="s">
        <v>3</v>
      </c>
      <c r="Q5" s="69" t="s">
        <v>3</v>
      </c>
      <c r="R5" s="69" t="s">
        <v>3</v>
      </c>
      <c r="S5" s="69" t="s">
        <v>4410</v>
      </c>
      <c r="T5" s="69" t="s">
        <v>4481</v>
      </c>
      <c r="U5" s="69" t="s">
        <v>4611</v>
      </c>
      <c r="V5" s="69" t="s">
        <v>4659</v>
      </c>
      <c r="W5" s="69" t="s">
        <v>4541</v>
      </c>
      <c r="X5" s="69"/>
      <c r="Y5" s="69" t="s">
        <v>3</v>
      </c>
      <c r="Z5" s="69" t="s">
        <v>3</v>
      </c>
      <c r="AA5" s="69" t="s">
        <v>3</v>
      </c>
      <c r="AB5" s="69" t="s">
        <v>3</v>
      </c>
      <c r="AC5" s="69" t="s">
        <v>3</v>
      </c>
      <c r="AF5" s="306">
        <v>4</v>
      </c>
      <c r="AG5" s="308" t="s">
        <v>3867</v>
      </c>
      <c r="AI5" s="305"/>
      <c r="AJ5" s="305" t="str">
        <f>VLOOKUP(AJ4,AuswMatrixWG,2)</f>
        <v>Allianz</v>
      </c>
      <c r="AK5" s="305" t="str">
        <f>VLOOKUP(AK4,AuswMatrixWG,2)</f>
        <v>Allianz</v>
      </c>
      <c r="AL5" s="305" t="str">
        <f>VLOOKUP(AL4,AuswMatrixWG,2)</f>
        <v>Allianz</v>
      </c>
      <c r="AM5" s="305"/>
    </row>
    <row r="6" spans="1:39" s="18" customFormat="1" ht="75.75" customHeight="1" x14ac:dyDescent="0.2">
      <c r="A6" s="25" t="s">
        <v>80</v>
      </c>
      <c r="B6" s="284"/>
      <c r="C6" s="47" t="s">
        <v>3765</v>
      </c>
      <c r="D6" s="47" t="s">
        <v>3765</v>
      </c>
      <c r="E6" s="47" t="s">
        <v>4567</v>
      </c>
      <c r="F6" s="47" t="s">
        <v>4567</v>
      </c>
      <c r="G6" s="47" t="s">
        <v>4935</v>
      </c>
      <c r="H6" s="47" t="s">
        <v>4935</v>
      </c>
      <c r="I6" s="47" t="s">
        <v>4935</v>
      </c>
      <c r="J6" s="47" t="s">
        <v>4566</v>
      </c>
      <c r="K6" s="47" t="s">
        <v>4566</v>
      </c>
      <c r="L6" s="47" t="s">
        <v>4566</v>
      </c>
      <c r="M6" s="47" t="s">
        <v>4566</v>
      </c>
      <c r="N6" s="47" t="s">
        <v>4566</v>
      </c>
      <c r="O6" s="47" t="s">
        <v>4566</v>
      </c>
      <c r="P6" s="47" t="s">
        <v>4699</v>
      </c>
      <c r="Q6" s="47" t="s">
        <v>4699</v>
      </c>
      <c r="R6" s="47" t="s">
        <v>4699</v>
      </c>
      <c r="S6" s="47" t="s">
        <v>3</v>
      </c>
      <c r="T6" s="47" t="s">
        <v>4936</v>
      </c>
      <c r="U6" s="47" t="s">
        <v>4631</v>
      </c>
      <c r="V6" s="47" t="s">
        <v>4631</v>
      </c>
      <c r="W6" s="47" t="s">
        <v>4936</v>
      </c>
      <c r="X6" s="47" t="s">
        <v>3</v>
      </c>
      <c r="Y6" s="47" t="s">
        <v>4699</v>
      </c>
      <c r="Z6" s="47" t="s">
        <v>4699</v>
      </c>
      <c r="AA6" s="47" t="s">
        <v>4699</v>
      </c>
      <c r="AB6" s="47" t="s">
        <v>4937</v>
      </c>
      <c r="AC6" s="47" t="s">
        <v>4937</v>
      </c>
      <c r="AF6" s="306">
        <v>5</v>
      </c>
      <c r="AG6" s="308" t="s">
        <v>178</v>
      </c>
      <c r="AI6" s="305"/>
      <c r="AJ6" s="305"/>
      <c r="AK6" s="305"/>
      <c r="AL6" s="305"/>
      <c r="AM6" s="305"/>
    </row>
    <row r="7" spans="1:39" s="18" customFormat="1" ht="20.100000000000001" customHeight="1" x14ac:dyDescent="0.2">
      <c r="A7" s="76" t="s">
        <v>402</v>
      </c>
      <c r="B7" s="69"/>
      <c r="C7" s="69" t="s">
        <v>3766</v>
      </c>
      <c r="D7" s="69" t="s">
        <v>3766</v>
      </c>
      <c r="E7" s="69" t="s">
        <v>3844</v>
      </c>
      <c r="F7" s="69" t="s">
        <v>3844</v>
      </c>
      <c r="G7" s="69" t="s">
        <v>3988</v>
      </c>
      <c r="H7" s="69" t="s">
        <v>3988</v>
      </c>
      <c r="I7" s="69" t="s">
        <v>3988</v>
      </c>
      <c r="J7" s="69" t="s">
        <v>4214</v>
      </c>
      <c r="K7" s="69" t="s">
        <v>4242</v>
      </c>
      <c r="L7" s="69" t="s">
        <v>4211</v>
      </c>
      <c r="M7" s="69" t="s">
        <v>4242</v>
      </c>
      <c r="N7" s="69" t="s">
        <v>4211</v>
      </c>
      <c r="O7" s="69" t="s">
        <v>4242</v>
      </c>
      <c r="P7" s="69" t="s">
        <v>4700</v>
      </c>
      <c r="Q7" s="69" t="s">
        <v>4700</v>
      </c>
      <c r="R7" s="69" t="s">
        <v>4700</v>
      </c>
      <c r="S7" s="69" t="s">
        <v>3</v>
      </c>
      <c r="T7" s="69" t="s">
        <v>4565</v>
      </c>
      <c r="U7" s="69" t="s">
        <v>4630</v>
      </c>
      <c r="V7" s="69" t="s">
        <v>4675</v>
      </c>
      <c r="W7" s="69" t="s">
        <v>4565</v>
      </c>
      <c r="X7" s="69"/>
      <c r="Y7" s="69" t="s">
        <v>4700</v>
      </c>
      <c r="Z7" s="69" t="s">
        <v>4700</v>
      </c>
      <c r="AA7" s="69" t="s">
        <v>4700</v>
      </c>
      <c r="AB7" s="69" t="s">
        <v>4396</v>
      </c>
      <c r="AC7" s="69" t="s">
        <v>4396</v>
      </c>
      <c r="AF7" s="306">
        <v>6</v>
      </c>
      <c r="AG7" s="308" t="s">
        <v>3937</v>
      </c>
    </row>
    <row r="8" spans="1:39" s="18" customFormat="1" ht="156.75" customHeight="1" x14ac:dyDescent="0.2">
      <c r="A8" s="25" t="s">
        <v>4842</v>
      </c>
      <c r="B8" s="284"/>
      <c r="C8" s="47" t="s">
        <v>3800</v>
      </c>
      <c r="D8" s="47" t="s">
        <v>3800</v>
      </c>
      <c r="E8" s="47" t="s">
        <v>3800</v>
      </c>
      <c r="F8" s="47" t="s">
        <v>3800</v>
      </c>
      <c r="G8" s="47" t="s">
        <v>4050</v>
      </c>
      <c r="H8" s="47" t="s">
        <v>3962</v>
      </c>
      <c r="I8" s="47" t="s">
        <v>4072</v>
      </c>
      <c r="J8" s="47" t="s">
        <v>4212</v>
      </c>
      <c r="K8" s="47" t="s">
        <v>4245</v>
      </c>
      <c r="L8" s="47" t="s">
        <v>4212</v>
      </c>
      <c r="M8" s="47" t="s">
        <v>4245</v>
      </c>
      <c r="N8" s="47" t="s">
        <v>4212</v>
      </c>
      <c r="O8" s="47" t="s">
        <v>4245</v>
      </c>
      <c r="P8" s="47" t="s">
        <v>4701</v>
      </c>
      <c r="Q8" s="47" t="s">
        <v>4701</v>
      </c>
      <c r="R8" s="47" t="s">
        <v>4701</v>
      </c>
      <c r="S8" s="47" t="s">
        <v>4686</v>
      </c>
      <c r="T8" s="47" t="s">
        <v>4632</v>
      </c>
      <c r="U8" s="47" t="s">
        <v>4686</v>
      </c>
      <c r="V8" s="47" t="s">
        <v>4686</v>
      </c>
      <c r="W8" s="47" t="s">
        <v>4938</v>
      </c>
      <c r="X8" s="46" t="s">
        <v>3</v>
      </c>
      <c r="Y8" s="47" t="s">
        <v>4701</v>
      </c>
      <c r="Z8" s="47" t="s">
        <v>4701</v>
      </c>
      <c r="AA8" s="47" t="s">
        <v>4701</v>
      </c>
      <c r="AB8" s="47" t="s">
        <v>3800</v>
      </c>
      <c r="AC8" s="47" t="s">
        <v>3800</v>
      </c>
      <c r="AF8" s="306">
        <v>7</v>
      </c>
      <c r="AG8" s="308" t="s">
        <v>179</v>
      </c>
    </row>
    <row r="9" spans="1:39" s="18" customFormat="1" ht="20.100000000000001" customHeight="1" x14ac:dyDescent="0.2">
      <c r="A9" s="76" t="s">
        <v>402</v>
      </c>
      <c r="B9" s="69"/>
      <c r="C9" s="69" t="s">
        <v>3801</v>
      </c>
      <c r="D9" s="69" t="s">
        <v>3801</v>
      </c>
      <c r="E9" s="69" t="s">
        <v>3883</v>
      </c>
      <c r="F9" s="69" t="s">
        <v>3883</v>
      </c>
      <c r="G9" s="69" t="s">
        <v>4074</v>
      </c>
      <c r="H9" s="69" t="s">
        <v>3990</v>
      </c>
      <c r="I9" s="69" t="s">
        <v>4073</v>
      </c>
      <c r="J9" s="69" t="s">
        <v>4213</v>
      </c>
      <c r="K9" s="69" t="s">
        <v>4246</v>
      </c>
      <c r="L9" s="69" t="s">
        <v>4213</v>
      </c>
      <c r="M9" s="69" t="s">
        <v>4246</v>
      </c>
      <c r="N9" s="69" t="s">
        <v>4213</v>
      </c>
      <c r="O9" s="69" t="s">
        <v>4246</v>
      </c>
      <c r="P9" s="69" t="s">
        <v>4702</v>
      </c>
      <c r="Q9" s="69" t="s">
        <v>4702</v>
      </c>
      <c r="R9" s="69" t="s">
        <v>4702</v>
      </c>
      <c r="S9" s="69" t="s">
        <v>4416</v>
      </c>
      <c r="T9" s="69" t="s">
        <v>4496</v>
      </c>
      <c r="U9" s="69" t="s">
        <v>4633</v>
      </c>
      <c r="V9" s="69" t="s">
        <v>4687</v>
      </c>
      <c r="W9" s="69" t="s">
        <v>4560</v>
      </c>
      <c r="X9" s="69" t="s">
        <v>3</v>
      </c>
      <c r="Y9" s="69" t="s">
        <v>4702</v>
      </c>
      <c r="Z9" s="69" t="s">
        <v>4702</v>
      </c>
      <c r="AA9" s="69" t="s">
        <v>4702</v>
      </c>
      <c r="AB9" s="69" t="s">
        <v>4841</v>
      </c>
      <c r="AC9" s="69" t="s">
        <v>4841</v>
      </c>
      <c r="AF9" s="306">
        <v>8</v>
      </c>
      <c r="AG9" s="308" t="s">
        <v>4285</v>
      </c>
    </row>
    <row r="10" spans="1:39" s="18" customFormat="1" ht="22.5" customHeight="1" x14ac:dyDescent="0.2">
      <c r="A10" s="160" t="s">
        <v>3669</v>
      </c>
      <c r="B10" s="284"/>
      <c r="C10" s="47" t="s">
        <v>3</v>
      </c>
      <c r="D10" s="47" t="s">
        <v>3</v>
      </c>
      <c r="E10" s="47" t="s">
        <v>3</v>
      </c>
      <c r="F10" s="47" t="s">
        <v>3</v>
      </c>
      <c r="G10" s="155" t="s">
        <v>3943</v>
      </c>
      <c r="H10" s="155" t="s">
        <v>3943</v>
      </c>
      <c r="I10" s="155" t="s">
        <v>3943</v>
      </c>
      <c r="J10" s="155" t="s">
        <v>3</v>
      </c>
      <c r="K10" s="155" t="s">
        <v>3</v>
      </c>
      <c r="L10" s="155" t="s">
        <v>4913</v>
      </c>
      <c r="M10" s="155" t="s">
        <v>4913</v>
      </c>
      <c r="N10" s="155" t="s">
        <v>4913</v>
      </c>
      <c r="O10" s="155" t="s">
        <v>4913</v>
      </c>
      <c r="P10" s="155" t="s">
        <v>3</v>
      </c>
      <c r="Q10" s="155" t="s">
        <v>3</v>
      </c>
      <c r="R10" s="47" t="s">
        <v>3</v>
      </c>
      <c r="S10" s="47" t="s">
        <v>4441</v>
      </c>
      <c r="T10" s="47" t="s">
        <v>4491</v>
      </c>
      <c r="U10" s="47" t="s">
        <v>4491</v>
      </c>
      <c r="V10" s="47" t="s">
        <v>4491</v>
      </c>
      <c r="W10" s="47" t="s">
        <v>4491</v>
      </c>
      <c r="X10" s="46" t="s">
        <v>3</v>
      </c>
      <c r="Y10" s="155" t="s">
        <v>3</v>
      </c>
      <c r="Z10" s="155" t="s">
        <v>3</v>
      </c>
      <c r="AA10" s="47" t="s">
        <v>3</v>
      </c>
      <c r="AB10" s="47" t="s">
        <v>95</v>
      </c>
      <c r="AC10" s="47" t="s">
        <v>95</v>
      </c>
      <c r="AE10" s="308"/>
      <c r="AF10" s="306">
        <v>9</v>
      </c>
      <c r="AG10" s="308" t="s">
        <v>4233</v>
      </c>
    </row>
    <row r="11" spans="1:39" s="18" customFormat="1" ht="12" customHeight="1" x14ac:dyDescent="0.2">
      <c r="A11" s="76" t="s">
        <v>402</v>
      </c>
      <c r="B11" s="69"/>
      <c r="C11" s="69" t="s">
        <v>3</v>
      </c>
      <c r="D11" s="69" t="s">
        <v>3</v>
      </c>
      <c r="E11" s="69" t="s">
        <v>3</v>
      </c>
      <c r="F11" s="69" t="s">
        <v>3</v>
      </c>
      <c r="G11" s="69" t="s">
        <v>3991</v>
      </c>
      <c r="H11" s="69" t="s">
        <v>3991</v>
      </c>
      <c r="I11" s="69" t="s">
        <v>3991</v>
      </c>
      <c r="J11" s="69" t="s">
        <v>4230</v>
      </c>
      <c r="K11" s="69" t="s">
        <v>4230</v>
      </c>
      <c r="L11" s="69" t="s">
        <v>4230</v>
      </c>
      <c r="M11" s="69" t="s">
        <v>4230</v>
      </c>
      <c r="N11" s="69" t="s">
        <v>4230</v>
      </c>
      <c r="O11" s="69" t="s">
        <v>4230</v>
      </c>
      <c r="P11" s="69" t="s">
        <v>3</v>
      </c>
      <c r="Q11" s="69" t="s">
        <v>3</v>
      </c>
      <c r="R11" s="69" t="s">
        <v>3</v>
      </c>
      <c r="S11" s="69" t="s">
        <v>4440</v>
      </c>
      <c r="T11" s="69" t="s">
        <v>4492</v>
      </c>
      <c r="U11" s="69" t="s">
        <v>4634</v>
      </c>
      <c r="V11" s="69" t="s">
        <v>4684</v>
      </c>
      <c r="W11" s="69" t="s">
        <v>4568</v>
      </c>
      <c r="X11" s="69" t="s">
        <v>3</v>
      </c>
      <c r="Y11" s="69" t="s">
        <v>3</v>
      </c>
      <c r="Z11" s="69" t="s">
        <v>3</v>
      </c>
      <c r="AA11" s="69" t="s">
        <v>3</v>
      </c>
      <c r="AB11" s="69" t="s">
        <v>3732</v>
      </c>
      <c r="AC11" s="69" t="s">
        <v>3732</v>
      </c>
      <c r="AE11" s="308"/>
      <c r="AF11" s="306">
        <v>10</v>
      </c>
      <c r="AG11" s="308" t="s">
        <v>4287</v>
      </c>
    </row>
    <row r="12" spans="1:39" s="18" customFormat="1" ht="30" customHeight="1" x14ac:dyDescent="0.2">
      <c r="A12" s="77" t="s">
        <v>3640</v>
      </c>
      <c r="B12" s="284"/>
      <c r="C12" s="47" t="s">
        <v>4914</v>
      </c>
      <c r="D12" s="47" t="s">
        <v>4914</v>
      </c>
      <c r="E12" s="47" t="s">
        <v>95</v>
      </c>
      <c r="F12" s="47" t="s">
        <v>95</v>
      </c>
      <c r="G12" s="47" t="s">
        <v>3942</v>
      </c>
      <c r="H12" s="47" t="s">
        <v>3942</v>
      </c>
      <c r="I12" s="47" t="s">
        <v>3942</v>
      </c>
      <c r="J12" s="47" t="s">
        <v>95</v>
      </c>
      <c r="K12" s="47" t="s">
        <v>95</v>
      </c>
      <c r="L12" s="47" t="s">
        <v>95</v>
      </c>
      <c r="M12" s="47" t="s">
        <v>95</v>
      </c>
      <c r="N12" s="47" t="s">
        <v>95</v>
      </c>
      <c r="O12" s="47" t="s">
        <v>95</v>
      </c>
      <c r="P12" s="47" t="s">
        <v>3</v>
      </c>
      <c r="Q12" s="47" t="s">
        <v>3</v>
      </c>
      <c r="R12" s="47" t="s">
        <v>3</v>
      </c>
      <c r="S12" s="47" t="s">
        <v>95</v>
      </c>
      <c r="T12" s="47" t="s">
        <v>95</v>
      </c>
      <c r="U12" s="47" t="s">
        <v>95</v>
      </c>
      <c r="V12" s="47" t="s">
        <v>95</v>
      </c>
      <c r="W12" s="47" t="s">
        <v>95</v>
      </c>
      <c r="X12" s="46" t="s">
        <v>3</v>
      </c>
      <c r="Y12" s="47" t="s">
        <v>3</v>
      </c>
      <c r="Z12" s="47" t="s">
        <v>3</v>
      </c>
      <c r="AA12" s="47" t="s">
        <v>3</v>
      </c>
      <c r="AB12" s="47" t="s">
        <v>95</v>
      </c>
      <c r="AC12" s="47" t="s">
        <v>95</v>
      </c>
      <c r="AE12" s="308"/>
      <c r="AF12" s="306">
        <v>11</v>
      </c>
      <c r="AG12" s="308" t="s">
        <v>4235</v>
      </c>
    </row>
    <row r="13" spans="1:39" s="18" customFormat="1" ht="12" customHeight="1" x14ac:dyDescent="0.2">
      <c r="A13" s="76" t="s">
        <v>402</v>
      </c>
      <c r="B13" s="69"/>
      <c r="C13" s="69" t="s">
        <v>2801</v>
      </c>
      <c r="D13" s="69" t="s">
        <v>2801</v>
      </c>
      <c r="E13" s="69" t="s">
        <v>3843</v>
      </c>
      <c r="F13" s="69" t="s">
        <v>3843</v>
      </c>
      <c r="G13" s="69" t="s">
        <v>3992</v>
      </c>
      <c r="H13" s="69" t="s">
        <v>3992</v>
      </c>
      <c r="I13" s="69" t="s">
        <v>3992</v>
      </c>
      <c r="J13" s="69" t="s">
        <v>4230</v>
      </c>
      <c r="K13" s="69" t="s">
        <v>4230</v>
      </c>
      <c r="L13" s="69" t="s">
        <v>4230</v>
      </c>
      <c r="M13" s="69" t="s">
        <v>4230</v>
      </c>
      <c r="N13" s="69" t="s">
        <v>4230</v>
      </c>
      <c r="O13" s="69" t="s">
        <v>4230</v>
      </c>
      <c r="P13" s="69" t="s">
        <v>3</v>
      </c>
      <c r="Q13" s="69" t="s">
        <v>3</v>
      </c>
      <c r="R13" s="69" t="s">
        <v>3</v>
      </c>
      <c r="S13" s="69" t="s">
        <v>4439</v>
      </c>
      <c r="T13" s="69" t="s">
        <v>4493</v>
      </c>
      <c r="U13" s="69" t="s">
        <v>4635</v>
      </c>
      <c r="V13" s="69" t="s">
        <v>4685</v>
      </c>
      <c r="W13" s="69" t="s">
        <v>4569</v>
      </c>
      <c r="X13" s="69" t="s">
        <v>3</v>
      </c>
      <c r="Y13" s="69" t="s">
        <v>3</v>
      </c>
      <c r="Z13" s="69" t="s">
        <v>3</v>
      </c>
      <c r="AA13" s="69" t="s">
        <v>3</v>
      </c>
      <c r="AB13" s="69" t="s">
        <v>4395</v>
      </c>
      <c r="AC13" s="69" t="s">
        <v>4395</v>
      </c>
      <c r="AE13" s="308"/>
      <c r="AF13" s="306">
        <v>12</v>
      </c>
      <c r="AG13" s="308" t="s">
        <v>4286</v>
      </c>
    </row>
    <row r="14" spans="1:39" s="18" customFormat="1" ht="22.5" customHeight="1" x14ac:dyDescent="0.2">
      <c r="A14" s="25" t="s">
        <v>3670</v>
      </c>
      <c r="B14" s="284" t="s">
        <v>4119</v>
      </c>
      <c r="C14" s="47" t="s">
        <v>3</v>
      </c>
      <c r="D14" s="47" t="s">
        <v>3</v>
      </c>
      <c r="E14" s="47" t="s">
        <v>3</v>
      </c>
      <c r="F14" s="47" t="s">
        <v>3</v>
      </c>
      <c r="G14" s="47" t="s">
        <v>3</v>
      </c>
      <c r="H14" s="47" t="s">
        <v>3</v>
      </c>
      <c r="I14" s="47" t="s">
        <v>798</v>
      </c>
      <c r="J14" s="47" t="s">
        <v>3</v>
      </c>
      <c r="K14" s="47" t="s">
        <v>3</v>
      </c>
      <c r="L14" s="47" t="s">
        <v>3</v>
      </c>
      <c r="M14" s="47" t="s">
        <v>3</v>
      </c>
      <c r="N14" s="47" t="s">
        <v>3</v>
      </c>
      <c r="O14" s="47" t="s">
        <v>3</v>
      </c>
      <c r="P14" s="47" t="s">
        <v>3</v>
      </c>
      <c r="Q14" s="47" t="s">
        <v>3</v>
      </c>
      <c r="R14" s="47" t="s">
        <v>3</v>
      </c>
      <c r="S14" s="47" t="s">
        <v>3</v>
      </c>
      <c r="T14" s="47" t="s">
        <v>3</v>
      </c>
      <c r="U14" s="46" t="s">
        <v>3</v>
      </c>
      <c r="V14" s="46" t="s">
        <v>3</v>
      </c>
      <c r="W14" s="47" t="s">
        <v>3</v>
      </c>
      <c r="X14" s="46" t="s">
        <v>3</v>
      </c>
      <c r="Y14" s="47" t="s">
        <v>3</v>
      </c>
      <c r="Z14" s="47" t="s">
        <v>3</v>
      </c>
      <c r="AA14" s="47" t="s">
        <v>3</v>
      </c>
      <c r="AB14" s="47" t="s">
        <v>3</v>
      </c>
      <c r="AC14" s="47" t="s">
        <v>3</v>
      </c>
      <c r="AE14" s="308"/>
      <c r="AF14" s="306">
        <v>13</v>
      </c>
      <c r="AG14" s="308" t="s">
        <v>4234</v>
      </c>
    </row>
    <row r="15" spans="1:39" s="18" customFormat="1" ht="12" customHeight="1" x14ac:dyDescent="0.2">
      <c r="A15" s="76" t="s">
        <v>402</v>
      </c>
      <c r="B15" s="69"/>
      <c r="C15" s="69" t="s">
        <v>3</v>
      </c>
      <c r="D15" s="69" t="s">
        <v>3</v>
      </c>
      <c r="E15" s="69" t="s">
        <v>3</v>
      </c>
      <c r="F15" s="69" t="s">
        <v>3</v>
      </c>
      <c r="G15" s="69" t="s">
        <v>3732</v>
      </c>
      <c r="H15" s="69" t="s">
        <v>3732</v>
      </c>
      <c r="I15" s="69" t="s">
        <v>4118</v>
      </c>
      <c r="J15" s="69" t="s">
        <v>3</v>
      </c>
      <c r="K15" s="69" t="s">
        <v>3</v>
      </c>
      <c r="L15" s="69" t="s">
        <v>3</v>
      </c>
      <c r="M15" s="69" t="s">
        <v>3</v>
      </c>
      <c r="N15" s="69" t="s">
        <v>3</v>
      </c>
      <c r="O15" s="69" t="s">
        <v>3</v>
      </c>
      <c r="P15" s="69" t="s">
        <v>3</v>
      </c>
      <c r="Q15" s="69" t="s">
        <v>3</v>
      </c>
      <c r="R15" s="69" t="s">
        <v>3</v>
      </c>
      <c r="S15" s="69" t="s">
        <v>3</v>
      </c>
      <c r="T15" s="69" t="s">
        <v>3</v>
      </c>
      <c r="U15" s="69" t="s">
        <v>3</v>
      </c>
      <c r="V15" s="69" t="s">
        <v>3</v>
      </c>
      <c r="W15" s="69" t="s">
        <v>3</v>
      </c>
      <c r="X15" s="69" t="s">
        <v>3</v>
      </c>
      <c r="Y15" s="69" t="s">
        <v>3</v>
      </c>
      <c r="Z15" s="69" t="s">
        <v>3</v>
      </c>
      <c r="AA15" s="69" t="s">
        <v>3</v>
      </c>
      <c r="AB15" s="69" t="s">
        <v>3</v>
      </c>
      <c r="AC15" s="69" t="s">
        <v>3</v>
      </c>
      <c r="AE15" s="308"/>
      <c r="AF15" s="306">
        <v>14</v>
      </c>
      <c r="AG15" s="308" t="s">
        <v>4783</v>
      </c>
    </row>
    <row r="16" spans="1:39" s="18" customFormat="1" ht="22.5" customHeight="1" x14ac:dyDescent="0.2">
      <c r="A16" s="25" t="s">
        <v>4920</v>
      </c>
      <c r="B16" s="284" t="s">
        <v>4939</v>
      </c>
      <c r="C16" s="47" t="s">
        <v>3</v>
      </c>
      <c r="D16" s="47" t="s">
        <v>3</v>
      </c>
      <c r="E16" s="47" t="s">
        <v>3</v>
      </c>
      <c r="F16" s="47" t="s">
        <v>3</v>
      </c>
      <c r="G16" s="47" t="s">
        <v>3</v>
      </c>
      <c r="H16" s="47" t="s">
        <v>3</v>
      </c>
      <c r="I16" s="47" t="s">
        <v>4113</v>
      </c>
      <c r="J16" s="47" t="s">
        <v>3</v>
      </c>
      <c r="K16" s="47" t="s">
        <v>3</v>
      </c>
      <c r="L16" s="47" t="s">
        <v>3</v>
      </c>
      <c r="M16" s="47" t="s">
        <v>3</v>
      </c>
      <c r="N16" s="47" t="s">
        <v>3</v>
      </c>
      <c r="O16" s="47" t="s">
        <v>3</v>
      </c>
      <c r="P16" s="47" t="s">
        <v>3</v>
      </c>
      <c r="Q16" s="47" t="s">
        <v>3</v>
      </c>
      <c r="R16" s="47" t="s">
        <v>3</v>
      </c>
      <c r="S16" s="47" t="s">
        <v>3</v>
      </c>
      <c r="T16" s="47" t="s">
        <v>3</v>
      </c>
      <c r="U16" s="46" t="s">
        <v>3</v>
      </c>
      <c r="V16" s="46" t="s">
        <v>3</v>
      </c>
      <c r="W16" s="47" t="s">
        <v>3</v>
      </c>
      <c r="X16" s="46" t="s">
        <v>3</v>
      </c>
      <c r="Y16" s="47" t="s">
        <v>3</v>
      </c>
      <c r="Z16" s="47" t="s">
        <v>3</v>
      </c>
      <c r="AA16" s="47" t="s">
        <v>3</v>
      </c>
      <c r="AB16" s="47" t="s">
        <v>3</v>
      </c>
      <c r="AC16" s="47" t="s">
        <v>3</v>
      </c>
      <c r="AF16" s="306">
        <v>15</v>
      </c>
      <c r="AG16" s="308" t="s">
        <v>4784</v>
      </c>
    </row>
    <row r="17" spans="1:33" s="18" customFormat="1" ht="12" customHeight="1" x14ac:dyDescent="0.2">
      <c r="A17" s="76" t="s">
        <v>402</v>
      </c>
      <c r="B17" s="69"/>
      <c r="C17" s="69" t="s">
        <v>3</v>
      </c>
      <c r="D17" s="69" t="s">
        <v>3</v>
      </c>
      <c r="E17" s="69" t="s">
        <v>3</v>
      </c>
      <c r="F17" s="69" t="s">
        <v>3</v>
      </c>
      <c r="G17" s="69" t="s">
        <v>3</v>
      </c>
      <c r="H17" s="69" t="s">
        <v>3</v>
      </c>
      <c r="I17" s="69" t="s">
        <v>4114</v>
      </c>
      <c r="J17" s="69" t="s">
        <v>3</v>
      </c>
      <c r="K17" s="69" t="s">
        <v>3</v>
      </c>
      <c r="L17" s="69" t="s">
        <v>3</v>
      </c>
      <c r="M17" s="69" t="s">
        <v>3</v>
      </c>
      <c r="N17" s="69" t="s">
        <v>3</v>
      </c>
      <c r="O17" s="69" t="s">
        <v>3</v>
      </c>
      <c r="P17" s="69" t="s">
        <v>3</v>
      </c>
      <c r="Q17" s="69" t="s">
        <v>3</v>
      </c>
      <c r="R17" s="69" t="s">
        <v>3</v>
      </c>
      <c r="S17" s="69" t="s">
        <v>3</v>
      </c>
      <c r="T17" s="69" t="s">
        <v>3</v>
      </c>
      <c r="U17" s="69" t="s">
        <v>3</v>
      </c>
      <c r="V17" s="69" t="s">
        <v>3</v>
      </c>
      <c r="W17" s="69" t="s">
        <v>3</v>
      </c>
      <c r="X17" s="69" t="s">
        <v>3</v>
      </c>
      <c r="Y17" s="69" t="s">
        <v>3</v>
      </c>
      <c r="Z17" s="69" t="s">
        <v>3</v>
      </c>
      <c r="AA17" s="69" t="s">
        <v>3</v>
      </c>
      <c r="AB17" s="69" t="s">
        <v>3</v>
      </c>
      <c r="AC17" s="69" t="s">
        <v>3</v>
      </c>
      <c r="AF17" s="306">
        <v>16</v>
      </c>
      <c r="AG17" s="308" t="s">
        <v>4785</v>
      </c>
    </row>
    <row r="18" spans="1:33" s="18" customFormat="1" ht="12" customHeight="1" x14ac:dyDescent="0.2">
      <c r="A18" s="21"/>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F18" s="306">
        <v>17</v>
      </c>
      <c r="AG18" s="308" t="s">
        <v>161</v>
      </c>
    </row>
    <row r="19" spans="1:33" s="89" customFormat="1" ht="22.5" customHeight="1" x14ac:dyDescent="0.2">
      <c r="A19" s="247" t="s">
        <v>3665</v>
      </c>
      <c r="B19" s="243"/>
      <c r="C19" s="243" t="str">
        <f t="shared" ref="C19:O19" si="0">C1</f>
        <v>Allianz</v>
      </c>
      <c r="D19" s="243" t="str">
        <f t="shared" si="0"/>
        <v>Allianz SicherheitPlus</v>
      </c>
      <c r="E19" s="243" t="str">
        <f t="shared" si="0"/>
        <v>AXA BOXflex</v>
      </c>
      <c r="F19" s="243" t="str">
        <f t="shared" si="0"/>
        <v>AXA BOXflex Premium</v>
      </c>
      <c r="G19" s="243" t="str">
        <f t="shared" si="0"/>
        <v>Domcura Komfort</v>
      </c>
      <c r="H19" s="243" t="str">
        <f>H1</f>
        <v>Domcura Standard</v>
      </c>
      <c r="I19" s="243" t="str">
        <f t="shared" si="0"/>
        <v>Domcura Top</v>
      </c>
      <c r="J19" s="243" t="str">
        <f>J1</f>
        <v>Gothaer Basis 1914</v>
      </c>
      <c r="K19" s="243" t="str">
        <f>K1</f>
        <v>Gothaer Basis qm</v>
      </c>
      <c r="L19" s="243" t="str">
        <f>L1</f>
        <v>Gothaer Premium 1914</v>
      </c>
      <c r="M19" s="243" t="str">
        <f>M1</f>
        <v>Gothaer Premium qm</v>
      </c>
      <c r="N19" s="243" t="str">
        <f>N1</f>
        <v>Gothaer Top 1914</v>
      </c>
      <c r="O19" s="243" t="str">
        <f t="shared" si="0"/>
        <v>Gothaer Top qm</v>
      </c>
      <c r="P19" s="243" t="str">
        <f t="shared" ref="P19:R19" si="1">P1</f>
        <v>HFK</v>
      </c>
      <c r="Q19" s="243" t="str">
        <f t="shared" si="1"/>
        <v>HFK Rundumschutz</v>
      </c>
      <c r="R19" s="243" t="str">
        <f t="shared" si="1"/>
        <v>HFK Rundumschutz-Plus</v>
      </c>
      <c r="S19" s="243" t="str">
        <f t="shared" ref="S19:X19" si="2">S1</f>
        <v>ITL afm Eurosecure 2009</v>
      </c>
      <c r="T19" s="243" t="str">
        <f t="shared" si="2"/>
        <v>ITL Classic</v>
      </c>
      <c r="U19" s="243" t="str">
        <f>U1</f>
        <v>ITL Eurosecure Plus</v>
      </c>
      <c r="V19" s="243" t="str">
        <f>V1</f>
        <v>ITL Infinitus</v>
      </c>
      <c r="W19" s="243" t="str">
        <f t="shared" si="2"/>
        <v>ITL Protect Plus</v>
      </c>
      <c r="X19" s="243" t="str">
        <f t="shared" si="2"/>
        <v>Keine</v>
      </c>
      <c r="Y19" s="243" t="str">
        <f t="shared" ref="Y19:AC19" si="3">Y1</f>
        <v>Provinzial</v>
      </c>
      <c r="Z19" s="243" t="str">
        <f t="shared" si="3"/>
        <v>Provinzial Rundumschutz</v>
      </c>
      <c r="AA19" s="243" t="str">
        <f t="shared" si="3"/>
        <v>Provinzial Rundumschutz-Plus</v>
      </c>
      <c r="AB19" s="243" t="str">
        <f t="shared" si="3"/>
        <v>VHV Klassik Garant</v>
      </c>
      <c r="AC19" s="243" t="str">
        <f t="shared" si="3"/>
        <v>VHV Klassik Garant Exklusiv</v>
      </c>
      <c r="AF19" s="307">
        <v>18</v>
      </c>
      <c r="AG19" s="308" t="s">
        <v>3552</v>
      </c>
    </row>
    <row r="20" spans="1:33" s="18" customFormat="1" ht="22.5" customHeight="1" x14ac:dyDescent="0.2">
      <c r="A20" s="25" t="s">
        <v>4824</v>
      </c>
      <c r="B20" s="285"/>
      <c r="C20" s="46" t="s">
        <v>95</v>
      </c>
      <c r="D20" s="46" t="s">
        <v>95</v>
      </c>
      <c r="E20" s="46" t="s">
        <v>95</v>
      </c>
      <c r="F20" s="46" t="s">
        <v>95</v>
      </c>
      <c r="G20" s="46" t="s">
        <v>95</v>
      </c>
      <c r="H20" s="46" t="s">
        <v>95</v>
      </c>
      <c r="I20" s="46" t="s">
        <v>95</v>
      </c>
      <c r="J20" s="46" t="s">
        <v>4236</v>
      </c>
      <c r="K20" s="46" t="s">
        <v>95</v>
      </c>
      <c r="L20" s="46" t="s">
        <v>4236</v>
      </c>
      <c r="M20" s="46" t="s">
        <v>95</v>
      </c>
      <c r="N20" s="46" t="s">
        <v>4236</v>
      </c>
      <c r="O20" s="46" t="s">
        <v>95</v>
      </c>
      <c r="P20" s="47" t="s">
        <v>95</v>
      </c>
      <c r="Q20" s="46" t="s">
        <v>95</v>
      </c>
      <c r="R20" s="46" t="s">
        <v>95</v>
      </c>
      <c r="S20" s="46" t="s">
        <v>4236</v>
      </c>
      <c r="T20" s="46" t="s">
        <v>4236</v>
      </c>
      <c r="U20" s="46" t="s">
        <v>4236</v>
      </c>
      <c r="V20" s="46" t="s">
        <v>4236</v>
      </c>
      <c r="W20" s="46" t="s">
        <v>4236</v>
      </c>
      <c r="X20" s="46" t="s">
        <v>3</v>
      </c>
      <c r="Y20" s="46" t="s">
        <v>95</v>
      </c>
      <c r="Z20" s="46" t="s">
        <v>95</v>
      </c>
      <c r="AA20" s="46" t="s">
        <v>95</v>
      </c>
      <c r="AB20" s="46" t="s">
        <v>95</v>
      </c>
      <c r="AC20" s="46" t="s">
        <v>95</v>
      </c>
      <c r="AF20" s="306">
        <v>19</v>
      </c>
      <c r="AG20" s="308" t="s">
        <v>3550</v>
      </c>
    </row>
    <row r="21" spans="1:33" s="18" customFormat="1" ht="12" customHeight="1" x14ac:dyDescent="0.2">
      <c r="A21" s="76" t="s">
        <v>402</v>
      </c>
      <c r="B21" s="69"/>
      <c r="C21" s="69" t="s">
        <v>2764</v>
      </c>
      <c r="D21" s="69" t="s">
        <v>2764</v>
      </c>
      <c r="E21" s="69" t="s">
        <v>3884</v>
      </c>
      <c r="F21" s="69" t="s">
        <v>3884</v>
      </c>
      <c r="G21" s="69" t="s">
        <v>3994</v>
      </c>
      <c r="H21" s="69" t="s">
        <v>3994</v>
      </c>
      <c r="I21" s="69" t="s">
        <v>3994</v>
      </c>
      <c r="J21" s="69" t="s">
        <v>4237</v>
      </c>
      <c r="K21" s="69" t="s">
        <v>4237</v>
      </c>
      <c r="L21" s="69" t="s">
        <v>4237</v>
      </c>
      <c r="M21" s="69" t="s">
        <v>4237</v>
      </c>
      <c r="N21" s="69" t="s">
        <v>4237</v>
      </c>
      <c r="O21" s="69" t="s">
        <v>4237</v>
      </c>
      <c r="P21" s="69" t="s">
        <v>553</v>
      </c>
      <c r="Q21" s="69" t="s">
        <v>553</v>
      </c>
      <c r="R21" s="69" t="s">
        <v>553</v>
      </c>
      <c r="S21" s="69" t="s">
        <v>4471</v>
      </c>
      <c r="T21" s="69" t="s">
        <v>4821</v>
      </c>
      <c r="U21" s="69" t="s">
        <v>4471</v>
      </c>
      <c r="V21" s="69" t="s">
        <v>4471</v>
      </c>
      <c r="W21" s="69" t="s">
        <v>4821</v>
      </c>
      <c r="X21" s="69"/>
      <c r="Y21" s="69" t="s">
        <v>553</v>
      </c>
      <c r="Z21" s="69" t="s">
        <v>553</v>
      </c>
      <c r="AA21" s="69" t="s">
        <v>553</v>
      </c>
      <c r="AB21" s="69" t="s">
        <v>4394</v>
      </c>
      <c r="AC21" s="69" t="s">
        <v>4394</v>
      </c>
      <c r="AF21" s="306">
        <v>20</v>
      </c>
      <c r="AG21" s="308" t="s">
        <v>3549</v>
      </c>
    </row>
    <row r="22" spans="1:33" s="18" customFormat="1" ht="76.5" customHeight="1" x14ac:dyDescent="0.2">
      <c r="A22" s="25" t="s">
        <v>4866</v>
      </c>
      <c r="B22" s="284" t="s">
        <v>4867</v>
      </c>
      <c r="C22" s="47" t="s">
        <v>95</v>
      </c>
      <c r="D22" s="47" t="s">
        <v>95</v>
      </c>
      <c r="E22" s="47" t="s">
        <v>4940</v>
      </c>
      <c r="F22" s="47" t="s">
        <v>4940</v>
      </c>
      <c r="G22" s="47" t="s">
        <v>4941</v>
      </c>
      <c r="H22" s="47" t="s">
        <v>4941</v>
      </c>
      <c r="I22" s="47" t="s">
        <v>4941</v>
      </c>
      <c r="J22" s="47" t="s">
        <v>4940</v>
      </c>
      <c r="K22" s="47" t="s">
        <v>4940</v>
      </c>
      <c r="L22" s="47" t="s">
        <v>4940</v>
      </c>
      <c r="M22" s="47" t="s">
        <v>4940</v>
      </c>
      <c r="N22" s="47" t="s">
        <v>4940</v>
      </c>
      <c r="O22" s="47" t="s">
        <v>4940</v>
      </c>
      <c r="P22" s="47" t="s">
        <v>4940</v>
      </c>
      <c r="Q22" s="47" t="s">
        <v>4940</v>
      </c>
      <c r="R22" s="47" t="s">
        <v>4940</v>
      </c>
      <c r="S22" s="47" t="s">
        <v>95</v>
      </c>
      <c r="T22" s="47" t="s">
        <v>4942</v>
      </c>
      <c r="U22" s="47" t="s">
        <v>4943</v>
      </c>
      <c r="V22" s="47" t="s">
        <v>4943</v>
      </c>
      <c r="W22" s="47" t="s">
        <v>4942</v>
      </c>
      <c r="X22" s="46" t="s">
        <v>3</v>
      </c>
      <c r="Y22" s="47" t="s">
        <v>4940</v>
      </c>
      <c r="Z22" s="47" t="s">
        <v>4940</v>
      </c>
      <c r="AA22" s="47" t="s">
        <v>4940</v>
      </c>
      <c r="AB22" s="47" t="s">
        <v>4940</v>
      </c>
      <c r="AC22" s="47" t="s">
        <v>4940</v>
      </c>
      <c r="AF22" s="306">
        <v>21</v>
      </c>
      <c r="AG22" s="308" t="s">
        <v>3639</v>
      </c>
    </row>
    <row r="23" spans="1:33" s="18" customFormat="1" ht="12" customHeight="1" x14ac:dyDescent="0.2">
      <c r="A23" s="76" t="s">
        <v>402</v>
      </c>
      <c r="B23" s="69"/>
      <c r="C23" s="69" t="s">
        <v>4870</v>
      </c>
      <c r="D23" s="69" t="s">
        <v>4870</v>
      </c>
      <c r="E23" s="69" t="s">
        <v>4873</v>
      </c>
      <c r="F23" s="69" t="s">
        <v>4873</v>
      </c>
      <c r="G23" s="69" t="s">
        <v>4854</v>
      </c>
      <c r="H23" s="69" t="s">
        <v>4854</v>
      </c>
      <c r="I23" s="69" t="s">
        <v>4854</v>
      </c>
      <c r="J23" s="69" t="s">
        <v>4829</v>
      </c>
      <c r="K23" s="69" t="s">
        <v>4829</v>
      </c>
      <c r="L23" s="69" t="s">
        <v>4829</v>
      </c>
      <c r="M23" s="69" t="s">
        <v>4829</v>
      </c>
      <c r="N23" s="69" t="s">
        <v>4829</v>
      </c>
      <c r="O23" s="69" t="s">
        <v>4829</v>
      </c>
      <c r="P23" s="69" t="s">
        <v>4849</v>
      </c>
      <c r="Q23" s="69" t="s">
        <v>4849</v>
      </c>
      <c r="R23" s="69" t="s">
        <v>4849</v>
      </c>
      <c r="S23" s="69" t="s">
        <v>4828</v>
      </c>
      <c r="T23" s="69" t="s">
        <v>4822</v>
      </c>
      <c r="U23" s="69" t="s">
        <v>4825</v>
      </c>
      <c r="V23" s="69" t="s">
        <v>4825</v>
      </c>
      <c r="W23" s="69" t="s">
        <v>4823</v>
      </c>
      <c r="X23" s="69" t="s">
        <v>3</v>
      </c>
      <c r="Y23" s="69" t="s">
        <v>4849</v>
      </c>
      <c r="Z23" s="69" t="s">
        <v>4849</v>
      </c>
      <c r="AA23" s="69" t="s">
        <v>4849</v>
      </c>
      <c r="AB23" s="69" t="s">
        <v>4840</v>
      </c>
      <c r="AC23" s="69" t="s">
        <v>4840</v>
      </c>
      <c r="AF23" s="306">
        <v>22</v>
      </c>
      <c r="AG23" s="308" t="s">
        <v>90</v>
      </c>
    </row>
    <row r="24" spans="1:33" s="18" customFormat="1" ht="96.75" customHeight="1" x14ac:dyDescent="0.2">
      <c r="A24" s="25" t="s">
        <v>4869</v>
      </c>
      <c r="B24" s="284" t="s">
        <v>4944</v>
      </c>
      <c r="C24" s="47" t="s">
        <v>4871</v>
      </c>
      <c r="D24" s="47" t="s">
        <v>4871</v>
      </c>
      <c r="E24" s="46" t="s">
        <v>95</v>
      </c>
      <c r="F24" s="47" t="s">
        <v>4945</v>
      </c>
      <c r="G24" s="47" t="s">
        <v>4945</v>
      </c>
      <c r="H24" s="47" t="s">
        <v>4945</v>
      </c>
      <c r="I24" s="47" t="s">
        <v>4945</v>
      </c>
      <c r="J24" s="47" t="s">
        <v>4830</v>
      </c>
      <c r="K24" s="47" t="s">
        <v>4830</v>
      </c>
      <c r="L24" s="47" t="s">
        <v>4830</v>
      </c>
      <c r="M24" s="47" t="s">
        <v>4830</v>
      </c>
      <c r="N24" s="47" t="s">
        <v>4830</v>
      </c>
      <c r="O24" s="47" t="s">
        <v>4830</v>
      </c>
      <c r="P24" s="47" t="s">
        <v>95</v>
      </c>
      <c r="Q24" s="47" t="s">
        <v>95</v>
      </c>
      <c r="R24" s="47" t="s">
        <v>4946</v>
      </c>
      <c r="S24" s="46" t="s">
        <v>95</v>
      </c>
      <c r="T24" s="47" t="s">
        <v>4945</v>
      </c>
      <c r="U24" s="47" t="s">
        <v>4947</v>
      </c>
      <c r="V24" s="47" t="s">
        <v>4947</v>
      </c>
      <c r="W24" s="47" t="s">
        <v>4947</v>
      </c>
      <c r="X24" s="46" t="s">
        <v>3</v>
      </c>
      <c r="Y24" s="47" t="s">
        <v>95</v>
      </c>
      <c r="Z24" s="47" t="s">
        <v>95</v>
      </c>
      <c r="AA24" s="47" t="s">
        <v>4946</v>
      </c>
      <c r="AB24" s="47" t="s">
        <v>95</v>
      </c>
      <c r="AC24" s="47" t="s">
        <v>95</v>
      </c>
      <c r="AF24" s="306">
        <v>23</v>
      </c>
      <c r="AG24" s="308" t="s">
        <v>4696</v>
      </c>
    </row>
    <row r="25" spans="1:33" s="18" customFormat="1" ht="12" customHeight="1" x14ac:dyDescent="0.2">
      <c r="A25" s="76" t="s">
        <v>402</v>
      </c>
      <c r="B25" s="69"/>
      <c r="C25" s="69" t="s">
        <v>3780</v>
      </c>
      <c r="D25" s="69" t="s">
        <v>3780</v>
      </c>
      <c r="E25" s="69" t="s">
        <v>3805</v>
      </c>
      <c r="F25" s="69" t="s">
        <v>3871</v>
      </c>
      <c r="G25" s="69" t="s">
        <v>3997</v>
      </c>
      <c r="H25" s="69" t="s">
        <v>3997</v>
      </c>
      <c r="I25" s="69" t="s">
        <v>3997</v>
      </c>
      <c r="J25" s="69" t="s">
        <v>4252</v>
      </c>
      <c r="K25" s="69" t="s">
        <v>4252</v>
      </c>
      <c r="L25" s="69" t="s">
        <v>4252</v>
      </c>
      <c r="M25" s="69" t="s">
        <v>4252</v>
      </c>
      <c r="N25" s="69" t="s">
        <v>4252</v>
      </c>
      <c r="O25" s="69" t="s">
        <v>4252</v>
      </c>
      <c r="P25" s="69" t="s">
        <v>897</v>
      </c>
      <c r="Q25" s="69" t="s">
        <v>897</v>
      </c>
      <c r="R25" s="69" t="s">
        <v>4850</v>
      </c>
      <c r="S25" s="69" t="s">
        <v>4425</v>
      </c>
      <c r="T25" s="69" t="s">
        <v>4473</v>
      </c>
      <c r="U25" s="69" t="s">
        <v>4657</v>
      </c>
      <c r="V25" s="69" t="s">
        <v>4656</v>
      </c>
      <c r="W25" s="69" t="s">
        <v>4539</v>
      </c>
      <c r="X25" s="69" t="s">
        <v>3</v>
      </c>
      <c r="Y25" s="69" t="s">
        <v>897</v>
      </c>
      <c r="Z25" s="69" t="s">
        <v>897</v>
      </c>
      <c r="AA25" s="69" t="s">
        <v>4850</v>
      </c>
      <c r="AB25" s="69" t="s">
        <v>4390</v>
      </c>
      <c r="AC25" s="69" t="s">
        <v>4390</v>
      </c>
      <c r="AF25" s="306">
        <v>24</v>
      </c>
      <c r="AG25" s="308" t="s">
        <v>873</v>
      </c>
    </row>
    <row r="26" spans="1:33" s="18" customFormat="1" ht="48.75" customHeight="1" x14ac:dyDescent="0.2">
      <c r="A26" s="25" t="s">
        <v>4503</v>
      </c>
      <c r="B26" s="284"/>
      <c r="C26" s="47" t="s">
        <v>95</v>
      </c>
      <c r="D26" s="47" t="s">
        <v>95</v>
      </c>
      <c r="E26" s="47" t="s">
        <v>95</v>
      </c>
      <c r="F26" s="47" t="s">
        <v>95</v>
      </c>
      <c r="G26" s="47" t="s">
        <v>95</v>
      </c>
      <c r="H26" s="47" t="s">
        <v>95</v>
      </c>
      <c r="I26" s="47" t="s">
        <v>95</v>
      </c>
      <c r="J26" s="47" t="s">
        <v>4948</v>
      </c>
      <c r="K26" s="47" t="s">
        <v>4948</v>
      </c>
      <c r="L26" s="47" t="s">
        <v>4948</v>
      </c>
      <c r="M26" s="47" t="s">
        <v>4948</v>
      </c>
      <c r="N26" s="47" t="s">
        <v>4948</v>
      </c>
      <c r="O26" s="47" t="s">
        <v>4948</v>
      </c>
      <c r="P26" s="47" t="s">
        <v>4859</v>
      </c>
      <c r="Q26" s="47" t="s">
        <v>4859</v>
      </c>
      <c r="R26" s="47" t="s">
        <v>4859</v>
      </c>
      <c r="S26" s="47" t="s">
        <v>4434</v>
      </c>
      <c r="T26" s="47" t="s">
        <v>3918</v>
      </c>
      <c r="U26" s="47" t="s">
        <v>3918</v>
      </c>
      <c r="V26" s="46" t="s">
        <v>23</v>
      </c>
      <c r="W26" s="47" t="s">
        <v>3918</v>
      </c>
      <c r="X26" s="46" t="s">
        <v>3</v>
      </c>
      <c r="Y26" s="47" t="s">
        <v>4859</v>
      </c>
      <c r="Z26" s="47" t="s">
        <v>4859</v>
      </c>
      <c r="AA26" s="47" t="s">
        <v>4859</v>
      </c>
      <c r="AB26" s="47" t="s">
        <v>95</v>
      </c>
      <c r="AC26" s="47" t="s">
        <v>95</v>
      </c>
      <c r="AF26" s="306">
        <v>25</v>
      </c>
      <c r="AG26" s="308" t="s">
        <v>4697</v>
      </c>
    </row>
    <row r="27" spans="1:33" s="18" customFormat="1" ht="18" x14ac:dyDescent="0.2">
      <c r="A27" s="76" t="s">
        <v>402</v>
      </c>
      <c r="B27" s="69"/>
      <c r="C27" s="69" t="s">
        <v>2765</v>
      </c>
      <c r="D27" s="69" t="s">
        <v>2765</v>
      </c>
      <c r="E27" s="69" t="s">
        <v>3886</v>
      </c>
      <c r="F27" s="69" t="s">
        <v>3886</v>
      </c>
      <c r="G27" s="69" t="s">
        <v>3998</v>
      </c>
      <c r="H27" s="69" t="s">
        <v>3998</v>
      </c>
      <c r="I27" s="69" t="s">
        <v>3998</v>
      </c>
      <c r="J27" s="69" t="s">
        <v>4241</v>
      </c>
      <c r="K27" s="69" t="s">
        <v>4241</v>
      </c>
      <c r="L27" s="69" t="s">
        <v>4241</v>
      </c>
      <c r="M27" s="69" t="s">
        <v>4241</v>
      </c>
      <c r="N27" s="69" t="s">
        <v>4241</v>
      </c>
      <c r="O27" s="69" t="s">
        <v>4241</v>
      </c>
      <c r="P27" s="69" t="s">
        <v>897</v>
      </c>
      <c r="Q27" s="69" t="s">
        <v>897</v>
      </c>
      <c r="R27" s="69" t="s">
        <v>897</v>
      </c>
      <c r="S27" s="69" t="s">
        <v>4435</v>
      </c>
      <c r="T27" s="69" t="s">
        <v>4949</v>
      </c>
      <c r="U27" s="69" t="s">
        <v>4580</v>
      </c>
      <c r="V27" s="69" t="s">
        <v>4950</v>
      </c>
      <c r="W27" s="69" t="s">
        <v>4951</v>
      </c>
      <c r="X27" s="69" t="s">
        <v>3</v>
      </c>
      <c r="Y27" s="69" t="s">
        <v>897</v>
      </c>
      <c r="Z27" s="69" t="s">
        <v>897</v>
      </c>
      <c r="AA27" s="69" t="s">
        <v>897</v>
      </c>
      <c r="AB27" s="69" t="s">
        <v>4389</v>
      </c>
      <c r="AC27" s="69" t="s">
        <v>4389</v>
      </c>
      <c r="AF27" s="306">
        <v>26</v>
      </c>
      <c r="AG27" s="308" t="s">
        <v>1931</v>
      </c>
    </row>
    <row r="28" spans="1:33" s="18" customFormat="1" ht="77.25" customHeight="1" x14ac:dyDescent="0.2">
      <c r="A28" s="25" t="s">
        <v>3698</v>
      </c>
      <c r="B28" s="284" t="s">
        <v>4168</v>
      </c>
      <c r="C28" s="47" t="s">
        <v>3777</v>
      </c>
      <c r="D28" s="47" t="s">
        <v>3777</v>
      </c>
      <c r="E28" s="47" t="s">
        <v>3806</v>
      </c>
      <c r="F28" s="47" t="s">
        <v>3806</v>
      </c>
      <c r="G28" s="47" t="s">
        <v>3953</v>
      </c>
      <c r="H28" s="47" t="s">
        <v>3953</v>
      </c>
      <c r="I28" s="47" t="s">
        <v>3953</v>
      </c>
      <c r="J28" s="47" t="s">
        <v>4169</v>
      </c>
      <c r="K28" s="47" t="s">
        <v>4169</v>
      </c>
      <c r="L28" s="47" t="s">
        <v>4169</v>
      </c>
      <c r="M28" s="47" t="s">
        <v>4169</v>
      </c>
      <c r="N28" s="47" t="s">
        <v>4169</v>
      </c>
      <c r="O28" s="47" t="s">
        <v>4169</v>
      </c>
      <c r="P28" s="47" t="s">
        <v>95</v>
      </c>
      <c r="Q28" s="47" t="s">
        <v>95</v>
      </c>
      <c r="R28" s="47" t="s">
        <v>95</v>
      </c>
      <c r="S28" s="47" t="s">
        <v>3</v>
      </c>
      <c r="T28" s="47" t="s">
        <v>3</v>
      </c>
      <c r="U28" s="47" t="s">
        <v>3</v>
      </c>
      <c r="V28" s="47" t="s">
        <v>3</v>
      </c>
      <c r="W28" s="47" t="s">
        <v>3</v>
      </c>
      <c r="X28" s="46" t="s">
        <v>3</v>
      </c>
      <c r="Y28" s="47" t="s">
        <v>95</v>
      </c>
      <c r="Z28" s="47" t="s">
        <v>95</v>
      </c>
      <c r="AA28" s="47" t="s">
        <v>95</v>
      </c>
      <c r="AB28" s="47" t="s">
        <v>4908</v>
      </c>
      <c r="AC28" s="47" t="s">
        <v>4908</v>
      </c>
      <c r="AF28" s="306">
        <v>27</v>
      </c>
      <c r="AG28" s="308" t="s">
        <v>1930</v>
      </c>
    </row>
    <row r="29" spans="1:33" s="18" customFormat="1" ht="12" customHeight="1" x14ac:dyDescent="0.2">
      <c r="A29" s="76" t="s">
        <v>402</v>
      </c>
      <c r="B29" s="69"/>
      <c r="C29" s="69" t="s">
        <v>3778</v>
      </c>
      <c r="D29" s="69" t="s">
        <v>3778</v>
      </c>
      <c r="E29" s="69" t="s">
        <v>3807</v>
      </c>
      <c r="F29" s="69" t="s">
        <v>3886</v>
      </c>
      <c r="G29" s="69" t="s">
        <v>3999</v>
      </c>
      <c r="H29" s="69" t="s">
        <v>3999</v>
      </c>
      <c r="I29" s="69" t="s">
        <v>3999</v>
      </c>
      <c r="J29" s="69" t="s">
        <v>4170</v>
      </c>
      <c r="K29" s="69" t="s">
        <v>4170</v>
      </c>
      <c r="L29" s="69" t="s">
        <v>4170</v>
      </c>
      <c r="M29" s="69" t="s">
        <v>4170</v>
      </c>
      <c r="N29" s="69" t="s">
        <v>4170</v>
      </c>
      <c r="O29" s="69" t="s">
        <v>4170</v>
      </c>
      <c r="P29" s="69" t="s">
        <v>897</v>
      </c>
      <c r="Q29" s="69" t="s">
        <v>897</v>
      </c>
      <c r="R29" s="69" t="s">
        <v>897</v>
      </c>
      <c r="S29" s="69" t="s">
        <v>3</v>
      </c>
      <c r="T29" s="69" t="s">
        <v>3</v>
      </c>
      <c r="U29" s="69" t="s">
        <v>3</v>
      </c>
      <c r="V29" s="69" t="s">
        <v>3</v>
      </c>
      <c r="W29" s="69" t="s">
        <v>3</v>
      </c>
      <c r="X29" s="69" t="s">
        <v>3</v>
      </c>
      <c r="Y29" s="69" t="s">
        <v>897</v>
      </c>
      <c r="Z29" s="69" t="s">
        <v>897</v>
      </c>
      <c r="AA29" s="69" t="s">
        <v>897</v>
      </c>
      <c r="AB29" s="69" t="s">
        <v>416</v>
      </c>
      <c r="AC29" s="69" t="s">
        <v>416</v>
      </c>
      <c r="AF29" s="306"/>
      <c r="AG29" s="308"/>
    </row>
    <row r="30" spans="1:33" s="18" customFormat="1" ht="76.5" customHeight="1" x14ac:dyDescent="0.2">
      <c r="A30" s="25" t="s">
        <v>57</v>
      </c>
      <c r="B30" s="284" t="s">
        <v>3644</v>
      </c>
      <c r="C30" s="47" t="s">
        <v>4952</v>
      </c>
      <c r="D30" s="47" t="s">
        <v>4953</v>
      </c>
      <c r="E30" s="47" t="s">
        <v>3817</v>
      </c>
      <c r="F30" s="47" t="s">
        <v>3817</v>
      </c>
      <c r="G30" s="47" t="s">
        <v>4954</v>
      </c>
      <c r="H30" s="47" t="s">
        <v>4954</v>
      </c>
      <c r="I30" s="47" t="s">
        <v>4954</v>
      </c>
      <c r="J30" s="47" t="s">
        <v>4247</v>
      </c>
      <c r="K30" s="47" t="s">
        <v>4247</v>
      </c>
      <c r="L30" s="47" t="s">
        <v>4247</v>
      </c>
      <c r="M30" s="47" t="s">
        <v>4247</v>
      </c>
      <c r="N30" s="47" t="s">
        <v>4247</v>
      </c>
      <c r="O30" s="47" t="s">
        <v>4247</v>
      </c>
      <c r="P30" s="47" t="s">
        <v>3918</v>
      </c>
      <c r="Q30" s="47" t="s">
        <v>4703</v>
      </c>
      <c r="R30" s="47" t="s">
        <v>4703</v>
      </c>
      <c r="S30" s="47" t="s">
        <v>12</v>
      </c>
      <c r="T30" s="47" t="s">
        <v>4247</v>
      </c>
      <c r="U30" s="47" t="s">
        <v>4826</v>
      </c>
      <c r="V30" s="46" t="s">
        <v>95</v>
      </c>
      <c r="W30" s="47" t="s">
        <v>4247</v>
      </c>
      <c r="X30" s="46" t="s">
        <v>3</v>
      </c>
      <c r="Y30" s="47" t="s">
        <v>3918</v>
      </c>
      <c r="Z30" s="47" t="s">
        <v>4703</v>
      </c>
      <c r="AA30" s="47" t="s">
        <v>4703</v>
      </c>
      <c r="AB30" s="47" t="s">
        <v>4393</v>
      </c>
      <c r="AC30" s="47" t="s">
        <v>4393</v>
      </c>
      <c r="AF30" s="307"/>
      <c r="AG30" s="309"/>
    </row>
    <row r="31" spans="1:33" s="18" customFormat="1" ht="12" customHeight="1" x14ac:dyDescent="0.15">
      <c r="A31" s="76" t="s">
        <v>402</v>
      </c>
      <c r="B31" s="69"/>
      <c r="C31" s="69" t="s">
        <v>2765</v>
      </c>
      <c r="D31" s="69" t="s">
        <v>2765</v>
      </c>
      <c r="E31" s="69" t="s">
        <v>3818</v>
      </c>
      <c r="F31" s="69" t="s">
        <v>3818</v>
      </c>
      <c r="G31" s="69" t="s">
        <v>3993</v>
      </c>
      <c r="H31" s="69" t="s">
        <v>3993</v>
      </c>
      <c r="I31" s="69" t="s">
        <v>3993</v>
      </c>
      <c r="J31" s="69" t="s">
        <v>4248</v>
      </c>
      <c r="K31" s="69" t="s">
        <v>4248</v>
      </c>
      <c r="L31" s="69" t="s">
        <v>4248</v>
      </c>
      <c r="M31" s="69" t="s">
        <v>4248</v>
      </c>
      <c r="N31" s="69" t="s">
        <v>4248</v>
      </c>
      <c r="O31" s="69" t="s">
        <v>4248</v>
      </c>
      <c r="P31" s="69" t="s">
        <v>553</v>
      </c>
      <c r="Q31" s="69" t="s">
        <v>886</v>
      </c>
      <c r="R31" s="69" t="s">
        <v>886</v>
      </c>
      <c r="S31" s="69" t="s">
        <v>4407</v>
      </c>
      <c r="T31" s="69" t="s">
        <v>4475</v>
      </c>
      <c r="U31" s="69" t="s">
        <v>4827</v>
      </c>
      <c r="V31" s="69" t="s">
        <v>4578</v>
      </c>
      <c r="W31" s="69" t="s">
        <v>4540</v>
      </c>
      <c r="X31" s="69"/>
      <c r="Y31" s="69" t="s">
        <v>553</v>
      </c>
      <c r="Z31" s="69" t="s">
        <v>886</v>
      </c>
      <c r="AA31" s="69" t="s">
        <v>886</v>
      </c>
      <c r="AB31" s="69" t="s">
        <v>4392</v>
      </c>
      <c r="AC31" s="69" t="s">
        <v>4392</v>
      </c>
      <c r="AG31" s="309"/>
    </row>
    <row r="32" spans="1:33" s="18" customFormat="1" ht="39" customHeight="1" x14ac:dyDescent="0.15">
      <c r="A32" s="25" t="s">
        <v>3649</v>
      </c>
      <c r="B32" s="285"/>
      <c r="C32" s="46" t="s">
        <v>95</v>
      </c>
      <c r="D32" s="46" t="s">
        <v>95</v>
      </c>
      <c r="E32" s="47" t="s">
        <v>4872</v>
      </c>
      <c r="F32" s="47" t="s">
        <v>4872</v>
      </c>
      <c r="G32" s="47" t="s">
        <v>4878</v>
      </c>
      <c r="H32" s="47" t="s">
        <v>4878</v>
      </c>
      <c r="I32" s="47" t="s">
        <v>4878</v>
      </c>
      <c r="J32" s="47" t="s">
        <v>4877</v>
      </c>
      <c r="K32" s="47" t="s">
        <v>4877</v>
      </c>
      <c r="L32" s="47" t="s">
        <v>4877</v>
      </c>
      <c r="M32" s="47" t="s">
        <v>4877</v>
      </c>
      <c r="N32" s="47" t="s">
        <v>4877</v>
      </c>
      <c r="O32" s="47" t="s">
        <v>4877</v>
      </c>
      <c r="P32" s="47" t="s">
        <v>3918</v>
      </c>
      <c r="Q32" s="47" t="s">
        <v>3918</v>
      </c>
      <c r="R32" s="47" t="s">
        <v>3918</v>
      </c>
      <c r="S32" s="46" t="s">
        <v>95</v>
      </c>
      <c r="T32" s="47" t="s">
        <v>4247</v>
      </c>
      <c r="U32" s="46" t="s">
        <v>95</v>
      </c>
      <c r="V32" s="46" t="s">
        <v>95</v>
      </c>
      <c r="W32" s="47" t="s">
        <v>4247</v>
      </c>
      <c r="X32" s="46" t="s">
        <v>3</v>
      </c>
      <c r="Y32" s="47" t="s">
        <v>3918</v>
      </c>
      <c r="Z32" s="47" t="s">
        <v>3918</v>
      </c>
      <c r="AA32" s="47" t="s">
        <v>3918</v>
      </c>
      <c r="AB32" s="46" t="s">
        <v>3918</v>
      </c>
      <c r="AC32" s="46" t="s">
        <v>3918</v>
      </c>
      <c r="AG32" s="309"/>
    </row>
    <row r="33" spans="1:33" s="18" customFormat="1" ht="12" customHeight="1" x14ac:dyDescent="0.15">
      <c r="A33" s="76" t="s">
        <v>402</v>
      </c>
      <c r="B33" s="278"/>
      <c r="C33" s="278" t="s">
        <v>2764</v>
      </c>
      <c r="D33" s="278" t="s">
        <v>2764</v>
      </c>
      <c r="E33" s="278" t="s">
        <v>3885</v>
      </c>
      <c r="F33" s="278" t="s">
        <v>3885</v>
      </c>
      <c r="G33" s="278" t="s">
        <v>3995</v>
      </c>
      <c r="H33" s="278" t="s">
        <v>3995</v>
      </c>
      <c r="I33" s="278" t="s">
        <v>3995</v>
      </c>
      <c r="J33" s="278" t="s">
        <v>4249</v>
      </c>
      <c r="K33" s="278" t="s">
        <v>4238</v>
      </c>
      <c r="L33" s="278" t="s">
        <v>4249</v>
      </c>
      <c r="M33" s="278" t="s">
        <v>4238</v>
      </c>
      <c r="N33" s="278" t="s">
        <v>4249</v>
      </c>
      <c r="O33" s="278" t="s">
        <v>4238</v>
      </c>
      <c r="P33" s="278" t="s">
        <v>553</v>
      </c>
      <c r="Q33" s="278" t="s">
        <v>553</v>
      </c>
      <c r="R33" s="278" t="s">
        <v>553</v>
      </c>
      <c r="S33" s="278" t="s">
        <v>1772</v>
      </c>
      <c r="T33" s="278" t="s">
        <v>4475</v>
      </c>
      <c r="U33" s="278" t="s">
        <v>4578</v>
      </c>
      <c r="V33" s="278" t="s">
        <v>4578</v>
      </c>
      <c r="W33" s="278" t="s">
        <v>4540</v>
      </c>
      <c r="X33" s="278"/>
      <c r="Y33" s="278" t="s">
        <v>553</v>
      </c>
      <c r="Z33" s="278" t="s">
        <v>553</v>
      </c>
      <c r="AA33" s="278" t="s">
        <v>553</v>
      </c>
      <c r="AB33" s="278" t="s">
        <v>4391</v>
      </c>
      <c r="AC33" s="278" t="s">
        <v>4391</v>
      </c>
      <c r="AG33" s="89"/>
    </row>
    <row r="34" spans="1:33" s="18" customFormat="1" ht="44.25" customHeight="1" x14ac:dyDescent="0.15">
      <c r="A34" s="80" t="s">
        <v>4879</v>
      </c>
      <c r="B34" s="283"/>
      <c r="C34" s="283"/>
      <c r="D34" s="283"/>
      <c r="E34" s="283"/>
      <c r="F34" s="283"/>
      <c r="G34" s="283"/>
      <c r="H34" s="283"/>
      <c r="I34" s="283"/>
      <c r="J34" s="283"/>
      <c r="K34" s="283"/>
      <c r="L34" s="283"/>
      <c r="M34" s="283"/>
      <c r="N34" s="283"/>
      <c r="O34" s="283"/>
      <c r="P34" s="283"/>
      <c r="Q34" s="283"/>
      <c r="R34" s="283"/>
      <c r="S34" s="283"/>
      <c r="T34" s="283"/>
      <c r="U34" s="283"/>
      <c r="V34" s="283"/>
      <c r="W34" s="283"/>
      <c r="X34" s="283"/>
      <c r="Y34" s="283"/>
      <c r="Z34" s="283"/>
      <c r="AA34" s="283"/>
      <c r="AB34" s="283"/>
      <c r="AC34" s="121"/>
      <c r="AG34" s="309"/>
    </row>
    <row r="35" spans="1:33" s="18" customFormat="1" ht="43.5" customHeight="1" x14ac:dyDescent="0.15">
      <c r="A35" s="25" t="s">
        <v>4786</v>
      </c>
      <c r="B35" s="284"/>
      <c r="C35" s="47" t="s">
        <v>4955</v>
      </c>
      <c r="D35" s="47" t="s">
        <v>95</v>
      </c>
      <c r="E35" s="47" t="s">
        <v>95</v>
      </c>
      <c r="F35" s="47" t="s">
        <v>95</v>
      </c>
      <c r="G35" s="47" t="s">
        <v>4791</v>
      </c>
      <c r="H35" s="47" t="s">
        <v>4791</v>
      </c>
      <c r="I35" s="47" t="s">
        <v>4791</v>
      </c>
      <c r="J35" s="74" t="s">
        <v>95</v>
      </c>
      <c r="K35" s="74" t="s">
        <v>95</v>
      </c>
      <c r="L35" s="74" t="s">
        <v>95</v>
      </c>
      <c r="M35" s="74" t="s">
        <v>95</v>
      </c>
      <c r="N35" s="74" t="s">
        <v>95</v>
      </c>
      <c r="O35" s="74" t="s">
        <v>95</v>
      </c>
      <c r="P35" s="74" t="s">
        <v>4847</v>
      </c>
      <c r="Q35" s="74" t="s">
        <v>4847</v>
      </c>
      <c r="R35" s="74" t="s">
        <v>4847</v>
      </c>
      <c r="S35" s="47" t="s">
        <v>95</v>
      </c>
      <c r="T35" s="47" t="s">
        <v>95</v>
      </c>
      <c r="U35" s="47" t="s">
        <v>95</v>
      </c>
      <c r="V35" s="47" t="s">
        <v>95</v>
      </c>
      <c r="W35" s="74" t="s">
        <v>95</v>
      </c>
      <c r="X35" s="46" t="s">
        <v>3</v>
      </c>
      <c r="Y35" s="74" t="s">
        <v>4847</v>
      </c>
      <c r="Z35" s="74" t="s">
        <v>4847</v>
      </c>
      <c r="AA35" s="74" t="s">
        <v>4847</v>
      </c>
      <c r="AB35" s="47" t="s">
        <v>95</v>
      </c>
      <c r="AC35" s="47" t="s">
        <v>95</v>
      </c>
      <c r="AF35" s="89"/>
      <c r="AG35" s="309"/>
    </row>
    <row r="36" spans="1:33" s="18" customFormat="1" ht="43.5" customHeight="1" x14ac:dyDescent="0.15">
      <c r="A36" s="25" t="s">
        <v>4881</v>
      </c>
      <c r="B36" s="284"/>
      <c r="C36" s="47" t="s">
        <v>4835</v>
      </c>
      <c r="D36" s="47" t="s">
        <v>4832</v>
      </c>
      <c r="E36" s="47" t="s">
        <v>4874</v>
      </c>
      <c r="F36" s="47" t="s">
        <v>4874</v>
      </c>
      <c r="G36" s="47" t="s">
        <v>3</v>
      </c>
      <c r="H36" s="47" t="s">
        <v>3</v>
      </c>
      <c r="I36" s="47" t="s">
        <v>3</v>
      </c>
      <c r="J36" s="47" t="s">
        <v>4806</v>
      </c>
      <c r="K36" s="47" t="s">
        <v>4806</v>
      </c>
      <c r="L36" s="47" t="s">
        <v>4806</v>
      </c>
      <c r="M36" s="47" t="s">
        <v>4806</v>
      </c>
      <c r="N36" s="47" t="s">
        <v>4806</v>
      </c>
      <c r="O36" s="47" t="s">
        <v>4806</v>
      </c>
      <c r="P36" s="74" t="s">
        <v>4807</v>
      </c>
      <c r="Q36" s="74" t="s">
        <v>4807</v>
      </c>
      <c r="R36" s="74" t="s">
        <v>4807</v>
      </c>
      <c r="S36" s="47" t="s">
        <v>95</v>
      </c>
      <c r="T36" s="47" t="s">
        <v>4956</v>
      </c>
      <c r="U36" s="47" t="s">
        <v>4806</v>
      </c>
      <c r="V36" s="47" t="s">
        <v>95</v>
      </c>
      <c r="W36" s="47" t="s">
        <v>95</v>
      </c>
      <c r="X36" s="46" t="s">
        <v>3</v>
      </c>
      <c r="Y36" s="74" t="s">
        <v>4848</v>
      </c>
      <c r="Z36" s="74" t="s">
        <v>4848</v>
      </c>
      <c r="AA36" s="74" t="s">
        <v>4957</v>
      </c>
      <c r="AB36" s="47" t="s">
        <v>3</v>
      </c>
      <c r="AC36" s="47" t="s">
        <v>3</v>
      </c>
      <c r="AG36" s="89"/>
    </row>
    <row r="37" spans="1:33" s="18" customFormat="1" ht="49.5" customHeight="1" x14ac:dyDescent="0.15">
      <c r="A37" s="25" t="s">
        <v>4958</v>
      </c>
      <c r="B37" s="284"/>
      <c r="C37" s="47" t="s">
        <v>4836</v>
      </c>
      <c r="D37" s="47" t="s">
        <v>95</v>
      </c>
      <c r="E37" s="47" t="s">
        <v>95</v>
      </c>
      <c r="F37" s="47" t="s">
        <v>95</v>
      </c>
      <c r="G37" s="47" t="s">
        <v>95</v>
      </c>
      <c r="H37" s="47" t="s">
        <v>95</v>
      </c>
      <c r="I37" s="47" t="s">
        <v>95</v>
      </c>
      <c r="J37" s="47" t="s">
        <v>4959</v>
      </c>
      <c r="K37" s="47" t="s">
        <v>4959</v>
      </c>
      <c r="L37" s="47" t="s">
        <v>4959</v>
      </c>
      <c r="M37" s="47" t="s">
        <v>4959</v>
      </c>
      <c r="N37" s="47" t="s">
        <v>4959</v>
      </c>
      <c r="O37" s="47" t="s">
        <v>4959</v>
      </c>
      <c r="P37" s="74" t="s">
        <v>0</v>
      </c>
      <c r="Q37" s="74" t="s">
        <v>0</v>
      </c>
      <c r="R37" s="74" t="s">
        <v>4960</v>
      </c>
      <c r="S37" s="47" t="s">
        <v>4961</v>
      </c>
      <c r="T37" s="74" t="s">
        <v>95</v>
      </c>
      <c r="U37" s="47" t="s">
        <v>95</v>
      </c>
      <c r="V37" s="47" t="s">
        <v>95</v>
      </c>
      <c r="W37" s="74" t="s">
        <v>95</v>
      </c>
      <c r="X37" s="46" t="s">
        <v>3</v>
      </c>
      <c r="Y37" s="74" t="s">
        <v>0</v>
      </c>
      <c r="Z37" s="74" t="s">
        <v>0</v>
      </c>
      <c r="AA37" s="47" t="s">
        <v>4798</v>
      </c>
      <c r="AB37" s="47" t="s">
        <v>95</v>
      </c>
      <c r="AC37" s="47" t="s">
        <v>95</v>
      </c>
      <c r="AG37" s="89"/>
    </row>
    <row r="38" spans="1:33" s="18" customFormat="1" ht="49.5" customHeight="1" x14ac:dyDescent="0.15">
      <c r="A38" s="25" t="s">
        <v>4882</v>
      </c>
      <c r="B38" s="284"/>
      <c r="C38" s="47" t="s">
        <v>4836</v>
      </c>
      <c r="D38" s="47" t="s">
        <v>95</v>
      </c>
      <c r="E38" s="47" t="s">
        <v>4795</v>
      </c>
      <c r="F38" s="47" t="s">
        <v>4795</v>
      </c>
      <c r="G38" s="47" t="s">
        <v>95</v>
      </c>
      <c r="H38" s="47" t="s">
        <v>95</v>
      </c>
      <c r="I38" s="47" t="s">
        <v>95</v>
      </c>
      <c r="J38" s="74" t="s">
        <v>95</v>
      </c>
      <c r="K38" s="74" t="s">
        <v>95</v>
      </c>
      <c r="L38" s="74" t="s">
        <v>95</v>
      </c>
      <c r="M38" s="74" t="s">
        <v>95</v>
      </c>
      <c r="N38" s="74" t="s">
        <v>95</v>
      </c>
      <c r="O38" s="74" t="s">
        <v>95</v>
      </c>
      <c r="P38" s="47" t="s">
        <v>4798</v>
      </c>
      <c r="Q38" s="47" t="s">
        <v>4798</v>
      </c>
      <c r="R38" s="47" t="s">
        <v>4798</v>
      </c>
      <c r="S38" s="74" t="s">
        <v>4962</v>
      </c>
      <c r="T38" s="74" t="s">
        <v>4963</v>
      </c>
      <c r="U38" s="47" t="s">
        <v>95</v>
      </c>
      <c r="V38" s="47" t="s">
        <v>95</v>
      </c>
      <c r="W38" s="74" t="s">
        <v>4963</v>
      </c>
      <c r="X38" s="46" t="s">
        <v>3</v>
      </c>
      <c r="Y38" s="47" t="s">
        <v>4798</v>
      </c>
      <c r="Z38" s="47" t="s">
        <v>4798</v>
      </c>
      <c r="AA38" s="47" t="s">
        <v>4798</v>
      </c>
      <c r="AB38" s="47" t="s">
        <v>4795</v>
      </c>
      <c r="AC38" s="47" t="s">
        <v>4795</v>
      </c>
      <c r="AF38" s="89"/>
      <c r="AG38" s="89"/>
    </row>
    <row r="39" spans="1:33" s="18" customFormat="1" ht="49.5" customHeight="1" x14ac:dyDescent="0.15">
      <c r="A39" s="25" t="s">
        <v>4883</v>
      </c>
      <c r="B39" s="284"/>
      <c r="C39" s="47" t="s">
        <v>4836</v>
      </c>
      <c r="D39" s="47" t="s">
        <v>95</v>
      </c>
      <c r="E39" s="47" t="s">
        <v>3</v>
      </c>
      <c r="F39" s="47" t="s">
        <v>3</v>
      </c>
      <c r="G39" s="47" t="s">
        <v>95</v>
      </c>
      <c r="H39" s="47" t="s">
        <v>95</v>
      </c>
      <c r="I39" s="47" t="s">
        <v>95</v>
      </c>
      <c r="J39" s="74" t="s">
        <v>3</v>
      </c>
      <c r="K39" s="74" t="s">
        <v>3</v>
      </c>
      <c r="L39" s="74" t="s">
        <v>3</v>
      </c>
      <c r="M39" s="74" t="s">
        <v>3</v>
      </c>
      <c r="N39" s="74" t="s">
        <v>3</v>
      </c>
      <c r="O39" s="74" t="s">
        <v>3</v>
      </c>
      <c r="P39" s="74" t="s">
        <v>3</v>
      </c>
      <c r="Q39" s="74" t="s">
        <v>3</v>
      </c>
      <c r="R39" s="74" t="s">
        <v>3</v>
      </c>
      <c r="S39" s="47" t="s">
        <v>3</v>
      </c>
      <c r="T39" s="47" t="s">
        <v>3</v>
      </c>
      <c r="U39" s="47" t="s">
        <v>3</v>
      </c>
      <c r="V39" s="47" t="s">
        <v>3</v>
      </c>
      <c r="W39" s="74" t="s">
        <v>3</v>
      </c>
      <c r="X39" s="46" t="s">
        <v>3</v>
      </c>
      <c r="Y39" s="74" t="s">
        <v>3</v>
      </c>
      <c r="Z39" s="74" t="s">
        <v>3</v>
      </c>
      <c r="AA39" s="74" t="s">
        <v>3</v>
      </c>
      <c r="AB39" s="47" t="s">
        <v>3</v>
      </c>
      <c r="AC39" s="47" t="s">
        <v>4860</v>
      </c>
      <c r="AG39" s="89"/>
    </row>
    <row r="40" spans="1:33" s="18" customFormat="1" ht="49.5" customHeight="1" x14ac:dyDescent="0.15">
      <c r="A40" s="25" t="s">
        <v>4884</v>
      </c>
      <c r="B40" s="284"/>
      <c r="C40" s="47" t="s">
        <v>4838</v>
      </c>
      <c r="D40" s="47" t="s">
        <v>4834</v>
      </c>
      <c r="E40" s="47" t="s">
        <v>95</v>
      </c>
      <c r="F40" s="47" t="s">
        <v>95</v>
      </c>
      <c r="G40" s="47" t="s">
        <v>4852</v>
      </c>
      <c r="H40" s="47" t="s">
        <v>4852</v>
      </c>
      <c r="I40" s="47" t="s">
        <v>4852</v>
      </c>
      <c r="J40" s="74" t="s">
        <v>95</v>
      </c>
      <c r="K40" s="74" t="s">
        <v>95</v>
      </c>
      <c r="L40" s="74" t="s">
        <v>95</v>
      </c>
      <c r="M40" s="74" t="s">
        <v>95</v>
      </c>
      <c r="N40" s="74" t="s">
        <v>95</v>
      </c>
      <c r="O40" s="74" t="s">
        <v>95</v>
      </c>
      <c r="P40" s="74" t="s">
        <v>3</v>
      </c>
      <c r="Q40" s="74" t="s">
        <v>3</v>
      </c>
      <c r="R40" s="74" t="s">
        <v>3</v>
      </c>
      <c r="S40" s="47" t="s">
        <v>3</v>
      </c>
      <c r="T40" s="47" t="s">
        <v>3</v>
      </c>
      <c r="U40" s="47" t="s">
        <v>3</v>
      </c>
      <c r="V40" s="47" t="s">
        <v>3</v>
      </c>
      <c r="W40" s="74" t="s">
        <v>3</v>
      </c>
      <c r="X40" s="46" t="s">
        <v>3</v>
      </c>
      <c r="Y40" s="74" t="s">
        <v>3</v>
      </c>
      <c r="Z40" s="74" t="s">
        <v>3</v>
      </c>
      <c r="AA40" s="74" t="s">
        <v>3</v>
      </c>
      <c r="AB40" s="47" t="s">
        <v>3</v>
      </c>
      <c r="AC40" s="47" t="s">
        <v>3</v>
      </c>
      <c r="AG40" s="89"/>
    </row>
    <row r="41" spans="1:33" s="18" customFormat="1" ht="42" customHeight="1" x14ac:dyDescent="0.15">
      <c r="A41" s="25" t="s">
        <v>4885</v>
      </c>
      <c r="B41" s="284"/>
      <c r="C41" s="47" t="s">
        <v>4964</v>
      </c>
      <c r="D41" s="47" t="s">
        <v>4965</v>
      </c>
      <c r="E41" s="74" t="s">
        <v>4797</v>
      </c>
      <c r="F41" s="74" t="s">
        <v>4797</v>
      </c>
      <c r="G41" s="47" t="s">
        <v>4851</v>
      </c>
      <c r="H41" s="47" t="s">
        <v>4851</v>
      </c>
      <c r="I41" s="47" t="s">
        <v>4851</v>
      </c>
      <c r="J41" s="74" t="s">
        <v>4880</v>
      </c>
      <c r="K41" s="74" t="s">
        <v>4880</v>
      </c>
      <c r="L41" s="74" t="s">
        <v>4880</v>
      </c>
      <c r="M41" s="74" t="s">
        <v>4880</v>
      </c>
      <c r="N41" s="74" t="s">
        <v>4880</v>
      </c>
      <c r="O41" s="74" t="s">
        <v>4880</v>
      </c>
      <c r="P41" s="74" t="s">
        <v>4797</v>
      </c>
      <c r="Q41" s="74" t="s">
        <v>4797</v>
      </c>
      <c r="R41" s="74" t="s">
        <v>4797</v>
      </c>
      <c r="S41" s="47" t="s">
        <v>3</v>
      </c>
      <c r="T41" s="47" t="s">
        <v>3</v>
      </c>
      <c r="U41" s="47" t="s">
        <v>4966</v>
      </c>
      <c r="V41" s="47" t="s">
        <v>4966</v>
      </c>
      <c r="W41" s="74" t="s">
        <v>3</v>
      </c>
      <c r="X41" s="46" t="s">
        <v>3</v>
      </c>
      <c r="Y41" s="74" t="s">
        <v>4797</v>
      </c>
      <c r="Z41" s="74" t="s">
        <v>4797</v>
      </c>
      <c r="AA41" s="74" t="s">
        <v>4797</v>
      </c>
      <c r="AB41" s="47" t="s">
        <v>3</v>
      </c>
      <c r="AC41" s="47" t="s">
        <v>3</v>
      </c>
      <c r="AG41" s="89"/>
    </row>
    <row r="42" spans="1:33" s="18" customFormat="1" ht="42" customHeight="1" x14ac:dyDescent="0.15">
      <c r="A42" s="25" t="s">
        <v>4886</v>
      </c>
      <c r="B42" s="284"/>
      <c r="C42" s="47" t="s">
        <v>4793</v>
      </c>
      <c r="D42" s="47" t="s">
        <v>4793</v>
      </c>
      <c r="E42" s="47" t="s">
        <v>4876</v>
      </c>
      <c r="F42" s="47" t="s">
        <v>4876</v>
      </c>
      <c r="G42" s="47" t="s">
        <v>4853</v>
      </c>
      <c r="H42" s="47" t="s">
        <v>4853</v>
      </c>
      <c r="I42" s="47" t="s">
        <v>4853</v>
      </c>
      <c r="J42" s="74" t="s">
        <v>3</v>
      </c>
      <c r="K42" s="74" t="s">
        <v>3</v>
      </c>
      <c r="L42" s="74" t="s">
        <v>3</v>
      </c>
      <c r="M42" s="74" t="s">
        <v>3</v>
      </c>
      <c r="N42" s="74" t="s">
        <v>3</v>
      </c>
      <c r="O42" s="74" t="s">
        <v>3</v>
      </c>
      <c r="P42" s="74" t="s">
        <v>3</v>
      </c>
      <c r="Q42" s="74" t="s">
        <v>3</v>
      </c>
      <c r="R42" s="74" t="s">
        <v>3</v>
      </c>
      <c r="S42" s="47" t="s">
        <v>3</v>
      </c>
      <c r="T42" s="47" t="s">
        <v>3</v>
      </c>
      <c r="U42" s="47" t="s">
        <v>3</v>
      </c>
      <c r="V42" s="47" t="s">
        <v>3</v>
      </c>
      <c r="W42" s="74" t="s">
        <v>3</v>
      </c>
      <c r="X42" s="46" t="s">
        <v>3</v>
      </c>
      <c r="Y42" s="74" t="s">
        <v>3</v>
      </c>
      <c r="Z42" s="74" t="s">
        <v>3</v>
      </c>
      <c r="AA42" s="74" t="s">
        <v>3</v>
      </c>
      <c r="AB42" s="47" t="s">
        <v>4846</v>
      </c>
      <c r="AC42" s="47" t="s">
        <v>4846</v>
      </c>
      <c r="AG42" s="89"/>
    </row>
    <row r="43" spans="1:33" s="18" customFormat="1" ht="50.25" customHeight="1" x14ac:dyDescent="0.15">
      <c r="A43" s="293" t="s">
        <v>4967</v>
      </c>
      <c r="B43" s="294"/>
      <c r="C43" s="294"/>
      <c r="D43" s="294"/>
      <c r="E43" s="294"/>
      <c r="F43" s="294"/>
      <c r="G43" s="187"/>
      <c r="H43" s="187"/>
      <c r="I43" s="187"/>
      <c r="J43" s="294"/>
      <c r="K43" s="294"/>
      <c r="L43" s="294"/>
      <c r="M43" s="294"/>
      <c r="N43" s="294"/>
      <c r="O43" s="294"/>
      <c r="P43" s="294"/>
      <c r="Q43" s="294"/>
      <c r="R43" s="294"/>
      <c r="S43" s="187"/>
      <c r="T43" s="187"/>
      <c r="U43" s="187"/>
      <c r="V43" s="187"/>
      <c r="W43" s="294" t="s">
        <v>3</v>
      </c>
      <c r="X43" s="190"/>
      <c r="Y43" s="294"/>
      <c r="Z43" s="294"/>
      <c r="AA43" s="294"/>
      <c r="AB43" s="187"/>
      <c r="AC43" s="187"/>
      <c r="AG43" s="89"/>
    </row>
    <row r="44" spans="1:33" s="18" customFormat="1" ht="42" customHeight="1" x14ac:dyDescent="0.15">
      <c r="A44" s="25" t="s">
        <v>4887</v>
      </c>
      <c r="B44" s="284"/>
      <c r="C44" s="47" t="s">
        <v>4837</v>
      </c>
      <c r="D44" s="47" t="s">
        <v>4803</v>
      </c>
      <c r="E44" s="47" t="s">
        <v>95</v>
      </c>
      <c r="F44" s="47" t="s">
        <v>95</v>
      </c>
      <c r="G44" s="47" t="s">
        <v>95</v>
      </c>
      <c r="H44" s="47" t="s">
        <v>95</v>
      </c>
      <c r="I44" s="47" t="s">
        <v>95</v>
      </c>
      <c r="J44" s="47" t="s">
        <v>4968</v>
      </c>
      <c r="K44" s="47" t="s">
        <v>4968</v>
      </c>
      <c r="L44" s="47" t="s">
        <v>4968</v>
      </c>
      <c r="M44" s="47" t="s">
        <v>4968</v>
      </c>
      <c r="N44" s="47" t="s">
        <v>4968</v>
      </c>
      <c r="O44" s="47" t="s">
        <v>4968</v>
      </c>
      <c r="P44" s="74" t="s">
        <v>4801</v>
      </c>
      <c r="Q44" s="74" t="s">
        <v>4801</v>
      </c>
      <c r="R44" s="74" t="s">
        <v>4801</v>
      </c>
      <c r="S44" s="47" t="s">
        <v>4804</v>
      </c>
      <c r="T44" s="74" t="s">
        <v>95</v>
      </c>
      <c r="U44" s="47" t="s">
        <v>4802</v>
      </c>
      <c r="V44" s="47" t="s">
        <v>4802</v>
      </c>
      <c r="W44" s="74" t="s">
        <v>95</v>
      </c>
      <c r="X44" s="46" t="s">
        <v>3</v>
      </c>
      <c r="Y44" s="74" t="s">
        <v>4801</v>
      </c>
      <c r="Z44" s="74" t="s">
        <v>4801</v>
      </c>
      <c r="AA44" s="74" t="s">
        <v>4801</v>
      </c>
      <c r="AB44" s="47" t="s">
        <v>95</v>
      </c>
      <c r="AC44" s="47" t="s">
        <v>95</v>
      </c>
      <c r="AG44" s="89"/>
    </row>
    <row r="45" spans="1:33" s="18" customFormat="1" ht="42" customHeight="1" x14ac:dyDescent="0.15">
      <c r="A45" s="293" t="s">
        <v>4967</v>
      </c>
      <c r="B45" s="294"/>
      <c r="C45" s="294"/>
      <c r="D45" s="294"/>
      <c r="E45" s="294"/>
      <c r="F45" s="294"/>
      <c r="G45" s="294"/>
      <c r="H45" s="294"/>
      <c r="I45" s="294"/>
      <c r="J45" s="294"/>
      <c r="K45" s="294"/>
      <c r="L45" s="294"/>
      <c r="M45" s="294"/>
      <c r="N45" s="294"/>
      <c r="O45" s="294"/>
      <c r="P45" s="294"/>
      <c r="Q45" s="294"/>
      <c r="R45" s="294"/>
      <c r="S45" s="294"/>
      <c r="T45" s="294"/>
      <c r="U45" s="294"/>
      <c r="V45" s="294"/>
      <c r="W45" s="294"/>
      <c r="X45" s="294"/>
      <c r="Y45" s="294"/>
      <c r="Z45" s="294"/>
      <c r="AA45" s="294"/>
      <c r="AB45" s="294"/>
      <c r="AC45" s="294"/>
      <c r="AG45" s="89"/>
    </row>
    <row r="46" spans="1:33" s="18" customFormat="1" ht="101.25" customHeight="1" x14ac:dyDescent="0.15">
      <c r="A46" s="25" t="s">
        <v>4799</v>
      </c>
      <c r="B46" s="284"/>
      <c r="C46" s="47" t="s">
        <v>4916</v>
      </c>
      <c r="D46" s="47" t="s">
        <v>4916</v>
      </c>
      <c r="E46" s="47" t="s">
        <v>4875</v>
      </c>
      <c r="F46" s="47" t="s">
        <v>4875</v>
      </c>
      <c r="G46" s="74" t="s">
        <v>4969</v>
      </c>
      <c r="H46" s="74" t="s">
        <v>4969</v>
      </c>
      <c r="I46" s="74" t="s">
        <v>4969</v>
      </c>
      <c r="J46" s="74" t="s">
        <v>4917</v>
      </c>
      <c r="K46" s="74" t="s">
        <v>4917</v>
      </c>
      <c r="L46" s="74" t="s">
        <v>4917</v>
      </c>
      <c r="M46" s="74" t="s">
        <v>4917</v>
      </c>
      <c r="N46" s="74" t="s">
        <v>4917</v>
      </c>
      <c r="O46" s="74" t="s">
        <v>4917</v>
      </c>
      <c r="P46" s="74" t="s">
        <v>4970</v>
      </c>
      <c r="Q46" s="74" t="s">
        <v>4970</v>
      </c>
      <c r="R46" s="74" t="s">
        <v>4971</v>
      </c>
      <c r="S46" s="74" t="s">
        <v>3</v>
      </c>
      <c r="T46" s="74" t="s">
        <v>4918</v>
      </c>
      <c r="U46" s="47" t="s">
        <v>4972</v>
      </c>
      <c r="V46" s="47" t="s">
        <v>4972</v>
      </c>
      <c r="W46" s="74" t="s">
        <v>4918</v>
      </c>
      <c r="X46" s="74" t="s">
        <v>3</v>
      </c>
      <c r="Y46" s="74" t="s">
        <v>4970</v>
      </c>
      <c r="Z46" s="74" t="s">
        <v>4970</v>
      </c>
      <c r="AA46" s="74" t="s">
        <v>4971</v>
      </c>
      <c r="AB46" s="47" t="s">
        <v>4919</v>
      </c>
      <c r="AC46" s="47" t="s">
        <v>4919</v>
      </c>
      <c r="AF46" s="89"/>
      <c r="AG46" s="89"/>
    </row>
    <row r="47" spans="1:33" s="18" customFormat="1" ht="20.100000000000001" customHeight="1" x14ac:dyDescent="0.15">
      <c r="A47" s="76" t="s">
        <v>402</v>
      </c>
      <c r="B47" s="69"/>
      <c r="C47" s="69" t="s">
        <v>3778</v>
      </c>
      <c r="D47" s="69" t="s">
        <v>3778</v>
      </c>
      <c r="E47" s="69" t="s">
        <v>3821</v>
      </c>
      <c r="F47" s="69" t="s">
        <v>3821</v>
      </c>
      <c r="G47" s="69" t="s">
        <v>3996</v>
      </c>
      <c r="H47" s="69" t="s">
        <v>3996</v>
      </c>
      <c r="I47" s="69" t="s">
        <v>3996</v>
      </c>
      <c r="J47" s="69" t="s">
        <v>4229</v>
      </c>
      <c r="K47" s="69" t="s">
        <v>4229</v>
      </c>
      <c r="L47" s="69" t="s">
        <v>4229</v>
      </c>
      <c r="M47" s="69" t="s">
        <v>4229</v>
      </c>
      <c r="N47" s="69" t="s">
        <v>4229</v>
      </c>
      <c r="O47" s="69" t="s">
        <v>4229</v>
      </c>
      <c r="P47" s="69" t="s">
        <v>4704</v>
      </c>
      <c r="Q47" s="69" t="s">
        <v>4704</v>
      </c>
      <c r="R47" s="69" t="s">
        <v>4705</v>
      </c>
      <c r="S47" s="69" t="s">
        <v>4472</v>
      </c>
      <c r="T47" s="69" t="s">
        <v>4813</v>
      </c>
      <c r="U47" s="69" t="s">
        <v>4579</v>
      </c>
      <c r="V47" s="69" t="s">
        <v>4579</v>
      </c>
      <c r="W47" s="69" t="s">
        <v>4814</v>
      </c>
      <c r="X47" s="69" t="s">
        <v>3</v>
      </c>
      <c r="Y47" s="69" t="s">
        <v>4704</v>
      </c>
      <c r="Z47" s="69" t="s">
        <v>4704</v>
      </c>
      <c r="AA47" s="69" t="s">
        <v>4705</v>
      </c>
      <c r="AB47" s="69" t="s">
        <v>4839</v>
      </c>
      <c r="AC47" s="69" t="s">
        <v>4861</v>
      </c>
      <c r="AF47" s="89"/>
      <c r="AG47" s="89"/>
    </row>
    <row r="48" spans="1:33" s="18" customFormat="1" ht="3.95" customHeight="1" x14ac:dyDescent="0.15">
      <c r="A48" s="21"/>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G48" s="89"/>
    </row>
    <row r="49" spans="1:33" s="89" customFormat="1" ht="22.5" customHeight="1" x14ac:dyDescent="0.15">
      <c r="A49" s="177" t="s">
        <v>3653</v>
      </c>
      <c r="B49" s="245"/>
      <c r="C49" s="245" t="str">
        <f t="shared" ref="C49:AC49" si="4">C1</f>
        <v>Allianz</v>
      </c>
      <c r="D49" s="245" t="str">
        <f t="shared" si="4"/>
        <v>Allianz SicherheitPlus</v>
      </c>
      <c r="E49" s="245" t="str">
        <f t="shared" si="4"/>
        <v>AXA BOXflex</v>
      </c>
      <c r="F49" s="245" t="str">
        <f t="shared" si="4"/>
        <v>AXA BOXflex Premium</v>
      </c>
      <c r="G49" s="245" t="str">
        <f t="shared" si="4"/>
        <v>Domcura Komfort</v>
      </c>
      <c r="H49" s="245" t="str">
        <f>H1</f>
        <v>Domcura Standard</v>
      </c>
      <c r="I49" s="245" t="str">
        <f t="shared" si="4"/>
        <v>Domcura Top</v>
      </c>
      <c r="J49" s="245" t="str">
        <f>J1</f>
        <v>Gothaer Basis 1914</v>
      </c>
      <c r="K49" s="245" t="str">
        <f>K1</f>
        <v>Gothaer Basis qm</v>
      </c>
      <c r="L49" s="245" t="str">
        <f>L1</f>
        <v>Gothaer Premium 1914</v>
      </c>
      <c r="M49" s="245" t="str">
        <f>M1</f>
        <v>Gothaer Premium qm</v>
      </c>
      <c r="N49" s="245" t="str">
        <f>N1</f>
        <v>Gothaer Top 1914</v>
      </c>
      <c r="O49" s="245" t="str">
        <f t="shared" si="4"/>
        <v>Gothaer Top qm</v>
      </c>
      <c r="P49" s="245" t="str">
        <f t="shared" si="4"/>
        <v>HFK</v>
      </c>
      <c r="Q49" s="245" t="str">
        <f t="shared" si="4"/>
        <v>HFK Rundumschutz</v>
      </c>
      <c r="R49" s="245" t="str">
        <f t="shared" si="4"/>
        <v>HFK Rundumschutz-Plus</v>
      </c>
      <c r="S49" s="245" t="str">
        <f t="shared" si="4"/>
        <v>ITL afm Eurosecure 2009</v>
      </c>
      <c r="T49" s="245" t="str">
        <f t="shared" si="4"/>
        <v>ITL Classic</v>
      </c>
      <c r="U49" s="245" t="str">
        <f>U1</f>
        <v>ITL Eurosecure Plus</v>
      </c>
      <c r="V49" s="245" t="str">
        <f>V1</f>
        <v>ITL Infinitus</v>
      </c>
      <c r="W49" s="245" t="str">
        <f t="shared" si="4"/>
        <v>ITL Protect Plus</v>
      </c>
      <c r="X49" s="245" t="str">
        <f t="shared" si="4"/>
        <v>Keine</v>
      </c>
      <c r="Y49" s="245" t="str">
        <f t="shared" si="4"/>
        <v>Provinzial</v>
      </c>
      <c r="Z49" s="245" t="str">
        <f t="shared" si="4"/>
        <v>Provinzial Rundumschutz</v>
      </c>
      <c r="AA49" s="245" t="str">
        <f t="shared" si="4"/>
        <v>Provinzial Rundumschutz-Plus</v>
      </c>
      <c r="AB49" s="245" t="str">
        <f t="shared" si="4"/>
        <v>VHV Klassik Garant</v>
      </c>
      <c r="AC49" s="245" t="str">
        <f t="shared" si="4"/>
        <v>VHV Klassik Garant Exklusiv</v>
      </c>
      <c r="AF49" s="18"/>
    </row>
    <row r="50" spans="1:33" s="18" customFormat="1" ht="15" customHeight="1" x14ac:dyDescent="0.15">
      <c r="A50" s="80" t="s">
        <v>4921</v>
      </c>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F50" s="89"/>
      <c r="AG50" s="89"/>
    </row>
    <row r="51" spans="1:33" s="18" customFormat="1" ht="22.5" customHeight="1" x14ac:dyDescent="0.15">
      <c r="A51" s="25" t="s">
        <v>8</v>
      </c>
      <c r="B51" s="285"/>
      <c r="C51" s="46" t="s">
        <v>191</v>
      </c>
      <c r="D51" s="46" t="s">
        <v>191</v>
      </c>
      <c r="E51" s="46" t="s">
        <v>95</v>
      </c>
      <c r="F51" s="46" t="s">
        <v>95</v>
      </c>
      <c r="G51" s="46" t="s">
        <v>95</v>
      </c>
      <c r="H51" s="46" t="s">
        <v>95</v>
      </c>
      <c r="I51" s="46" t="s">
        <v>95</v>
      </c>
      <c r="J51" s="46" t="s">
        <v>95</v>
      </c>
      <c r="K51" s="46" t="s">
        <v>95</v>
      </c>
      <c r="L51" s="46" t="s">
        <v>95</v>
      </c>
      <c r="M51" s="46" t="s">
        <v>95</v>
      </c>
      <c r="N51" s="46" t="s">
        <v>95</v>
      </c>
      <c r="O51" s="46" t="s">
        <v>95</v>
      </c>
      <c r="P51" s="46" t="s">
        <v>95</v>
      </c>
      <c r="Q51" s="46" t="s">
        <v>95</v>
      </c>
      <c r="R51" s="46" t="s">
        <v>95</v>
      </c>
      <c r="S51" s="46" t="s">
        <v>95</v>
      </c>
      <c r="T51" s="46" t="s">
        <v>95</v>
      </c>
      <c r="U51" s="46" t="s">
        <v>95</v>
      </c>
      <c r="V51" s="46" t="s">
        <v>95</v>
      </c>
      <c r="W51" s="46" t="s">
        <v>95</v>
      </c>
      <c r="X51" s="46" t="s">
        <v>3</v>
      </c>
      <c r="Y51" s="46" t="s">
        <v>95</v>
      </c>
      <c r="Z51" s="46" t="s">
        <v>95</v>
      </c>
      <c r="AA51" s="46" t="s">
        <v>95</v>
      </c>
      <c r="AB51" s="46" t="s">
        <v>95</v>
      </c>
      <c r="AC51" s="46" t="s">
        <v>95</v>
      </c>
      <c r="AG51" s="89"/>
    </row>
    <row r="52" spans="1:33" s="18" customFormat="1" ht="12" customHeight="1" x14ac:dyDescent="0.15">
      <c r="A52" s="76" t="s">
        <v>402</v>
      </c>
      <c r="B52" s="69"/>
      <c r="C52" s="69" t="s">
        <v>2779</v>
      </c>
      <c r="D52" s="69" t="s">
        <v>2779</v>
      </c>
      <c r="E52" s="69" t="s">
        <v>3887</v>
      </c>
      <c r="F52" s="69" t="s">
        <v>3887</v>
      </c>
      <c r="G52" s="69" t="s">
        <v>4000</v>
      </c>
      <c r="H52" s="69" t="s">
        <v>4000</v>
      </c>
      <c r="I52" s="69" t="s">
        <v>4000</v>
      </c>
      <c r="J52" s="69" t="s">
        <v>4121</v>
      </c>
      <c r="K52" s="69" t="s">
        <v>4121</v>
      </c>
      <c r="L52" s="69" t="s">
        <v>4121</v>
      </c>
      <c r="M52" s="69" t="s">
        <v>4121</v>
      </c>
      <c r="N52" s="69" t="s">
        <v>4121</v>
      </c>
      <c r="O52" s="69" t="s">
        <v>4121</v>
      </c>
      <c r="P52" s="69" t="s">
        <v>4707</v>
      </c>
      <c r="Q52" s="69" t="s">
        <v>4707</v>
      </c>
      <c r="R52" s="69" t="s">
        <v>4707</v>
      </c>
      <c r="S52" s="69" t="s">
        <v>1812</v>
      </c>
      <c r="T52" s="69" t="s">
        <v>4445</v>
      </c>
      <c r="U52" s="69" t="s">
        <v>4445</v>
      </c>
      <c r="V52" s="69" t="s">
        <v>4445</v>
      </c>
      <c r="W52" s="69" t="s">
        <v>4445</v>
      </c>
      <c r="X52" s="69"/>
      <c r="Y52" s="69" t="s">
        <v>4707</v>
      </c>
      <c r="Z52" s="69" t="s">
        <v>4707</v>
      </c>
      <c r="AA52" s="69" t="s">
        <v>4707</v>
      </c>
      <c r="AB52" s="69" t="s">
        <v>4386</v>
      </c>
      <c r="AC52" s="69" t="s">
        <v>4386</v>
      </c>
      <c r="AF52" s="89"/>
      <c r="AG52" s="89"/>
    </row>
    <row r="53" spans="1:33" s="18" customFormat="1" ht="22.5" customHeight="1" x14ac:dyDescent="0.15">
      <c r="A53" s="26" t="s">
        <v>6</v>
      </c>
      <c r="B53" s="285"/>
      <c r="C53" s="46" t="s">
        <v>191</v>
      </c>
      <c r="D53" s="46" t="s">
        <v>191</v>
      </c>
      <c r="E53" s="46" t="s">
        <v>95</v>
      </c>
      <c r="F53" s="46" t="s">
        <v>95</v>
      </c>
      <c r="G53" s="46" t="s">
        <v>95</v>
      </c>
      <c r="H53" s="46" t="s">
        <v>95</v>
      </c>
      <c r="I53" s="46" t="s">
        <v>95</v>
      </c>
      <c r="J53" s="46" t="s">
        <v>95</v>
      </c>
      <c r="K53" s="46" t="s">
        <v>95</v>
      </c>
      <c r="L53" s="46" t="s">
        <v>95</v>
      </c>
      <c r="M53" s="46" t="s">
        <v>95</v>
      </c>
      <c r="N53" s="46" t="s">
        <v>95</v>
      </c>
      <c r="O53" s="46" t="s">
        <v>95</v>
      </c>
      <c r="P53" s="46" t="s">
        <v>95</v>
      </c>
      <c r="Q53" s="46" t="s">
        <v>95</v>
      </c>
      <c r="R53" s="46" t="s">
        <v>95</v>
      </c>
      <c r="S53" s="46" t="s">
        <v>95</v>
      </c>
      <c r="T53" s="46" t="s">
        <v>3</v>
      </c>
      <c r="U53" s="47" t="s">
        <v>95</v>
      </c>
      <c r="V53" s="47" t="s">
        <v>95</v>
      </c>
      <c r="W53" s="47" t="s">
        <v>95</v>
      </c>
      <c r="X53" s="46" t="s">
        <v>3</v>
      </c>
      <c r="Y53" s="46" t="s">
        <v>95</v>
      </c>
      <c r="Z53" s="46" t="s">
        <v>95</v>
      </c>
      <c r="AA53" s="46" t="s">
        <v>95</v>
      </c>
      <c r="AB53" s="46" t="s">
        <v>95</v>
      </c>
      <c r="AC53" s="46" t="s">
        <v>95</v>
      </c>
      <c r="AG53" s="89"/>
    </row>
    <row r="54" spans="1:33" s="18" customFormat="1" ht="12" customHeight="1" x14ac:dyDescent="0.15">
      <c r="A54" s="76" t="s">
        <v>402</v>
      </c>
      <c r="B54" s="69"/>
      <c r="C54" s="69" t="s">
        <v>2779</v>
      </c>
      <c r="D54" s="69" t="s">
        <v>2779</v>
      </c>
      <c r="E54" s="69" t="s">
        <v>3888</v>
      </c>
      <c r="F54" s="69" t="s">
        <v>3888</v>
      </c>
      <c r="G54" s="69" t="s">
        <v>4001</v>
      </c>
      <c r="H54" s="69" t="s">
        <v>4001</v>
      </c>
      <c r="I54" s="69" t="s">
        <v>4001</v>
      </c>
      <c r="J54" s="69" t="s">
        <v>4122</v>
      </c>
      <c r="K54" s="69" t="s">
        <v>4122</v>
      </c>
      <c r="L54" s="69" t="s">
        <v>4122</v>
      </c>
      <c r="M54" s="69" t="s">
        <v>4122</v>
      </c>
      <c r="N54" s="69" t="s">
        <v>4122</v>
      </c>
      <c r="O54" s="69" t="s">
        <v>4122</v>
      </c>
      <c r="P54" s="69" t="s">
        <v>4708</v>
      </c>
      <c r="Q54" s="69" t="s">
        <v>4708</v>
      </c>
      <c r="R54" s="69" t="s">
        <v>4708</v>
      </c>
      <c r="S54" s="69" t="s">
        <v>1812</v>
      </c>
      <c r="T54" s="69" t="s">
        <v>4446</v>
      </c>
      <c r="U54" s="69" t="s">
        <v>4583</v>
      </c>
      <c r="V54" s="69" t="s">
        <v>4516</v>
      </c>
      <c r="W54" s="69" t="s">
        <v>4516</v>
      </c>
      <c r="X54" s="69"/>
      <c r="Y54" s="69" t="s">
        <v>4708</v>
      </c>
      <c r="Z54" s="69" t="s">
        <v>4708</v>
      </c>
      <c r="AA54" s="69" t="s">
        <v>4708</v>
      </c>
      <c r="AB54" s="69" t="s">
        <v>4385</v>
      </c>
      <c r="AC54" s="69" t="s">
        <v>4385</v>
      </c>
      <c r="AF54" s="89"/>
      <c r="AG54" s="89"/>
    </row>
    <row r="55" spans="1:33" s="18" customFormat="1" ht="62.25" customHeight="1" x14ac:dyDescent="0.15">
      <c r="A55" s="26" t="s">
        <v>4888</v>
      </c>
      <c r="B55" s="284" t="s">
        <v>4973</v>
      </c>
      <c r="C55" s="47" t="s">
        <v>3755</v>
      </c>
      <c r="D55" s="47" t="s">
        <v>3755</v>
      </c>
      <c r="E55" s="47" t="s">
        <v>3</v>
      </c>
      <c r="F55" s="47" t="s">
        <v>95</v>
      </c>
      <c r="G55" s="47" t="s">
        <v>95</v>
      </c>
      <c r="H55" s="47" t="s">
        <v>3</v>
      </c>
      <c r="I55" s="47" t="s">
        <v>95</v>
      </c>
      <c r="J55" s="47" t="s">
        <v>3</v>
      </c>
      <c r="K55" s="47" t="s">
        <v>3</v>
      </c>
      <c r="L55" s="47" t="s">
        <v>4889</v>
      </c>
      <c r="M55" s="47" t="s">
        <v>4890</v>
      </c>
      <c r="N55" s="47" t="s">
        <v>4889</v>
      </c>
      <c r="O55" s="47" t="s">
        <v>4890</v>
      </c>
      <c r="P55" s="47" t="s">
        <v>3</v>
      </c>
      <c r="Q55" s="47" t="s">
        <v>95</v>
      </c>
      <c r="R55" s="47" t="s">
        <v>95</v>
      </c>
      <c r="S55" s="47" t="s">
        <v>47</v>
      </c>
      <c r="T55" s="47" t="s">
        <v>4447</v>
      </c>
      <c r="U55" s="47" t="s">
        <v>95</v>
      </c>
      <c r="V55" s="47" t="s">
        <v>95</v>
      </c>
      <c r="W55" s="47" t="s">
        <v>95</v>
      </c>
      <c r="X55" s="46" t="s">
        <v>3</v>
      </c>
      <c r="Y55" s="47" t="s">
        <v>3</v>
      </c>
      <c r="Z55" s="47" t="s">
        <v>95</v>
      </c>
      <c r="AA55" s="47" t="s">
        <v>95</v>
      </c>
      <c r="AB55" s="47" t="s">
        <v>95</v>
      </c>
      <c r="AC55" s="47" t="s">
        <v>95</v>
      </c>
      <c r="AG55" s="89"/>
    </row>
    <row r="56" spans="1:33" s="18" customFormat="1" ht="18" x14ac:dyDescent="0.15">
      <c r="A56" s="76" t="s">
        <v>402</v>
      </c>
      <c r="B56" s="69"/>
      <c r="C56" s="69" t="s">
        <v>3781</v>
      </c>
      <c r="D56" s="69" t="s">
        <v>3781</v>
      </c>
      <c r="E56" s="69" t="s">
        <v>3</v>
      </c>
      <c r="F56" s="69" t="s">
        <v>3869</v>
      </c>
      <c r="G56" s="69" t="s">
        <v>3975</v>
      </c>
      <c r="H56" s="69" t="s">
        <v>3732</v>
      </c>
      <c r="I56" s="69" t="s">
        <v>4054</v>
      </c>
      <c r="J56" s="69" t="s">
        <v>4129</v>
      </c>
      <c r="K56" s="69" t="s">
        <v>4129</v>
      </c>
      <c r="L56" s="69" t="s">
        <v>4129</v>
      </c>
      <c r="M56" s="69" t="s">
        <v>4129</v>
      </c>
      <c r="N56" s="69" t="s">
        <v>4129</v>
      </c>
      <c r="O56" s="69" t="s">
        <v>4129</v>
      </c>
      <c r="P56" s="69" t="s">
        <v>3</v>
      </c>
      <c r="Q56" s="69" t="s">
        <v>890</v>
      </c>
      <c r="R56" s="69" t="s">
        <v>890</v>
      </c>
      <c r="S56" s="69" t="s">
        <v>4398</v>
      </c>
      <c r="T56" s="69" t="s">
        <v>4448</v>
      </c>
      <c r="U56" s="69" t="s">
        <v>4448</v>
      </c>
      <c r="V56" s="69" t="s">
        <v>4513</v>
      </c>
      <c r="W56" s="69" t="s">
        <v>4513</v>
      </c>
      <c r="X56" s="69" t="s">
        <v>3</v>
      </c>
      <c r="Y56" s="69" t="s">
        <v>3</v>
      </c>
      <c r="Z56" s="69" t="s">
        <v>890</v>
      </c>
      <c r="AA56" s="69" t="s">
        <v>890</v>
      </c>
      <c r="AB56" s="69" t="s">
        <v>4384</v>
      </c>
      <c r="AC56" s="69" t="s">
        <v>4384</v>
      </c>
      <c r="AG56" s="89"/>
    </row>
    <row r="57" spans="1:33" s="18" customFormat="1" ht="22.5" customHeight="1" x14ac:dyDescent="0.15">
      <c r="A57" s="26" t="s">
        <v>3650</v>
      </c>
      <c r="B57" s="284"/>
      <c r="C57" s="47" t="s">
        <v>3</v>
      </c>
      <c r="D57" s="47" t="s">
        <v>4974</v>
      </c>
      <c r="E57" s="47" t="s">
        <v>3847</v>
      </c>
      <c r="F57" s="47" t="s">
        <v>3847</v>
      </c>
      <c r="G57" s="47" t="s">
        <v>95</v>
      </c>
      <c r="H57" s="47" t="s">
        <v>3</v>
      </c>
      <c r="I57" s="47" t="s">
        <v>95</v>
      </c>
      <c r="J57" s="47" t="s">
        <v>3</v>
      </c>
      <c r="K57" s="47" t="s">
        <v>3</v>
      </c>
      <c r="L57" s="47" t="s">
        <v>4131</v>
      </c>
      <c r="M57" s="47" t="s">
        <v>4278</v>
      </c>
      <c r="N57" s="47" t="s">
        <v>4131</v>
      </c>
      <c r="O57" s="47" t="s">
        <v>4278</v>
      </c>
      <c r="P57" s="47" t="s">
        <v>3</v>
      </c>
      <c r="Q57" s="47" t="s">
        <v>4709</v>
      </c>
      <c r="R57" s="47" t="s">
        <v>4709</v>
      </c>
      <c r="S57" s="47" t="s">
        <v>47</v>
      </c>
      <c r="T57" s="47" t="s">
        <v>3</v>
      </c>
      <c r="U57" s="47" t="s">
        <v>95</v>
      </c>
      <c r="V57" s="47" t="s">
        <v>95</v>
      </c>
      <c r="W57" s="47" t="s">
        <v>95</v>
      </c>
      <c r="X57" s="46" t="s">
        <v>3</v>
      </c>
      <c r="Y57" s="47" t="s">
        <v>3</v>
      </c>
      <c r="Z57" s="47" t="s">
        <v>4709</v>
      </c>
      <c r="AA57" s="47" t="s">
        <v>4709</v>
      </c>
      <c r="AB57" s="47" t="s">
        <v>95</v>
      </c>
      <c r="AC57" s="47" t="s">
        <v>95</v>
      </c>
      <c r="AG57" s="89"/>
    </row>
    <row r="58" spans="1:33" s="18" customFormat="1" ht="26.25" customHeight="1" x14ac:dyDescent="0.15">
      <c r="A58" s="76" t="s">
        <v>402</v>
      </c>
      <c r="B58" s="69"/>
      <c r="C58" s="69" t="s">
        <v>3784</v>
      </c>
      <c r="D58" s="69" t="s">
        <v>2779</v>
      </c>
      <c r="E58" s="69" t="s">
        <v>3889</v>
      </c>
      <c r="F58" s="69" t="s">
        <v>3889</v>
      </c>
      <c r="G58" s="69" t="s">
        <v>3976</v>
      </c>
      <c r="H58" s="69" t="s">
        <v>3732</v>
      </c>
      <c r="I58" s="69" t="s">
        <v>4056</v>
      </c>
      <c r="J58" s="69" t="s">
        <v>4130</v>
      </c>
      <c r="K58" s="69" t="s">
        <v>4130</v>
      </c>
      <c r="L58" s="69" t="s">
        <v>4130</v>
      </c>
      <c r="M58" s="69" t="s">
        <v>4130</v>
      </c>
      <c r="N58" s="69" t="s">
        <v>4130</v>
      </c>
      <c r="O58" s="69" t="s">
        <v>4130</v>
      </c>
      <c r="P58" s="69" t="s">
        <v>3</v>
      </c>
      <c r="Q58" s="69" t="s">
        <v>4710</v>
      </c>
      <c r="R58" s="69" t="s">
        <v>4710</v>
      </c>
      <c r="S58" s="69" t="s">
        <v>4442</v>
      </c>
      <c r="T58" s="69" t="s">
        <v>4449</v>
      </c>
      <c r="U58" s="69" t="s">
        <v>4585</v>
      </c>
      <c r="V58" s="69" t="s">
        <v>4642</v>
      </c>
      <c r="W58" s="69" t="s">
        <v>4515</v>
      </c>
      <c r="X58" s="69" t="s">
        <v>3</v>
      </c>
      <c r="Y58" s="69" t="s">
        <v>3</v>
      </c>
      <c r="Z58" s="69" t="s">
        <v>4710</v>
      </c>
      <c r="AA58" s="69" t="s">
        <v>4710</v>
      </c>
      <c r="AB58" s="69" t="s">
        <v>4383</v>
      </c>
      <c r="AC58" s="69" t="s">
        <v>4383</v>
      </c>
      <c r="AG58" s="89"/>
    </row>
    <row r="59" spans="1:33" s="18" customFormat="1" ht="22.5" customHeight="1" x14ac:dyDescent="0.15">
      <c r="A59" s="25" t="s">
        <v>79</v>
      </c>
      <c r="B59" s="285"/>
      <c r="C59" s="46" t="s">
        <v>191</v>
      </c>
      <c r="D59" s="46" t="s">
        <v>191</v>
      </c>
      <c r="E59" s="47" t="s">
        <v>3803</v>
      </c>
      <c r="F59" s="47" t="s">
        <v>3803</v>
      </c>
      <c r="G59" s="47" t="s">
        <v>3803</v>
      </c>
      <c r="H59" s="47" t="s">
        <v>3803</v>
      </c>
      <c r="I59" s="47" t="s">
        <v>3803</v>
      </c>
      <c r="J59" s="47" t="s">
        <v>95</v>
      </c>
      <c r="K59" s="47" t="s">
        <v>95</v>
      </c>
      <c r="L59" s="47" t="s">
        <v>95</v>
      </c>
      <c r="M59" s="47" t="s">
        <v>95</v>
      </c>
      <c r="N59" s="47" t="s">
        <v>95</v>
      </c>
      <c r="O59" s="47" t="s">
        <v>95</v>
      </c>
      <c r="P59" s="47" t="s">
        <v>95</v>
      </c>
      <c r="Q59" s="47" t="s">
        <v>95</v>
      </c>
      <c r="R59" s="47" t="s">
        <v>95</v>
      </c>
      <c r="S59" s="47" t="s">
        <v>3803</v>
      </c>
      <c r="T59" s="47" t="s">
        <v>4450</v>
      </c>
      <c r="U59" s="47" t="s">
        <v>3803</v>
      </c>
      <c r="V59" s="47" t="s">
        <v>3803</v>
      </c>
      <c r="W59" s="47" t="s">
        <v>3803</v>
      </c>
      <c r="X59" s="46" t="s">
        <v>3</v>
      </c>
      <c r="Y59" s="47" t="s">
        <v>95</v>
      </c>
      <c r="Z59" s="47" t="s">
        <v>95</v>
      </c>
      <c r="AA59" s="47" t="s">
        <v>95</v>
      </c>
      <c r="AB59" s="47" t="s">
        <v>95</v>
      </c>
      <c r="AC59" s="47" t="s">
        <v>95</v>
      </c>
      <c r="AG59" s="89"/>
    </row>
    <row r="60" spans="1:33" s="18" customFormat="1" ht="12" customHeight="1" x14ac:dyDescent="0.15">
      <c r="A60" s="76" t="s">
        <v>402</v>
      </c>
      <c r="B60" s="69"/>
      <c r="C60" s="69" t="s">
        <v>3731</v>
      </c>
      <c r="D60" s="69" t="s">
        <v>3731</v>
      </c>
      <c r="E60" s="69" t="s">
        <v>3890</v>
      </c>
      <c r="F60" s="69" t="s">
        <v>3890</v>
      </c>
      <c r="G60" s="69" t="s">
        <v>4002</v>
      </c>
      <c r="H60" s="69" t="s">
        <v>4002</v>
      </c>
      <c r="I60" s="69" t="s">
        <v>4002</v>
      </c>
      <c r="J60" s="69" t="s">
        <v>4124</v>
      </c>
      <c r="K60" s="69" t="s">
        <v>4124</v>
      </c>
      <c r="L60" s="69" t="s">
        <v>4124</v>
      </c>
      <c r="M60" s="69" t="s">
        <v>4124</v>
      </c>
      <c r="N60" s="69" t="s">
        <v>4124</v>
      </c>
      <c r="O60" s="69" t="s">
        <v>4124</v>
      </c>
      <c r="P60" s="69" t="s">
        <v>567</v>
      </c>
      <c r="Q60" s="69" t="s">
        <v>567</v>
      </c>
      <c r="R60" s="69" t="s">
        <v>567</v>
      </c>
      <c r="S60" s="69" t="s">
        <v>1818</v>
      </c>
      <c r="T60" s="69" t="s">
        <v>4448</v>
      </c>
      <c r="U60" s="69" t="s">
        <v>4448</v>
      </c>
      <c r="V60" s="69" t="s">
        <v>4513</v>
      </c>
      <c r="W60" s="69" t="s">
        <v>4513</v>
      </c>
      <c r="X60" s="69" t="s">
        <v>3</v>
      </c>
      <c r="Y60" s="69" t="s">
        <v>567</v>
      </c>
      <c r="Z60" s="69" t="s">
        <v>567</v>
      </c>
      <c r="AA60" s="69" t="s">
        <v>567</v>
      </c>
      <c r="AB60" s="69" t="s">
        <v>4382</v>
      </c>
      <c r="AC60" s="69" t="s">
        <v>4382</v>
      </c>
      <c r="AG60" s="89"/>
    </row>
    <row r="61" spans="1:33" s="18" customFormat="1" ht="44.25" customHeight="1" x14ac:dyDescent="0.15">
      <c r="A61" s="25" t="s">
        <v>4125</v>
      </c>
      <c r="B61" s="284" t="s">
        <v>3782</v>
      </c>
      <c r="C61" s="47" t="s">
        <v>4955</v>
      </c>
      <c r="D61" s="47" t="s">
        <v>3733</v>
      </c>
      <c r="E61" s="47" t="s">
        <v>95</v>
      </c>
      <c r="F61" s="47" t="s">
        <v>95</v>
      </c>
      <c r="G61" s="47" t="s">
        <v>95</v>
      </c>
      <c r="H61" s="47" t="s">
        <v>95</v>
      </c>
      <c r="I61" s="47" t="s">
        <v>95</v>
      </c>
      <c r="J61" s="47" t="s">
        <v>4126</v>
      </c>
      <c r="K61" s="47" t="s">
        <v>3954</v>
      </c>
      <c r="L61" s="47" t="s">
        <v>4127</v>
      </c>
      <c r="M61" s="47" t="s">
        <v>4255</v>
      </c>
      <c r="N61" s="47" t="s">
        <v>4127</v>
      </c>
      <c r="O61" s="47" t="s">
        <v>4255</v>
      </c>
      <c r="P61" s="47" t="s">
        <v>95</v>
      </c>
      <c r="Q61" s="47" t="s">
        <v>95</v>
      </c>
      <c r="R61" s="47" t="s">
        <v>95</v>
      </c>
      <c r="S61" s="47" t="s">
        <v>95</v>
      </c>
      <c r="T61" s="47" t="s">
        <v>4451</v>
      </c>
      <c r="U61" s="47" t="s">
        <v>95</v>
      </c>
      <c r="V61" s="47" t="s">
        <v>95</v>
      </c>
      <c r="W61" s="47" t="s">
        <v>4571</v>
      </c>
      <c r="X61" s="46" t="s">
        <v>3</v>
      </c>
      <c r="Y61" s="47" t="s">
        <v>95</v>
      </c>
      <c r="Z61" s="47" t="s">
        <v>95</v>
      </c>
      <c r="AA61" s="47" t="s">
        <v>95</v>
      </c>
      <c r="AB61" s="47" t="s">
        <v>95</v>
      </c>
      <c r="AC61" s="47" t="s">
        <v>4381</v>
      </c>
      <c r="AG61" s="89"/>
    </row>
    <row r="62" spans="1:33" s="18" customFormat="1" ht="12" customHeight="1" x14ac:dyDescent="0.15">
      <c r="A62" s="76" t="s">
        <v>402</v>
      </c>
      <c r="B62" s="69"/>
      <c r="C62" s="69" t="s">
        <v>3734</v>
      </c>
      <c r="D62" s="69" t="s">
        <v>3734</v>
      </c>
      <c r="E62" s="69" t="s">
        <v>3891</v>
      </c>
      <c r="F62" s="69" t="s">
        <v>3891</v>
      </c>
      <c r="G62" s="69" t="s">
        <v>4003</v>
      </c>
      <c r="H62" s="69" t="s">
        <v>4003</v>
      </c>
      <c r="I62" s="69" t="s">
        <v>4003</v>
      </c>
      <c r="J62" s="69" t="s">
        <v>4128</v>
      </c>
      <c r="K62" s="69" t="s">
        <v>4128</v>
      </c>
      <c r="L62" s="69" t="s">
        <v>4128</v>
      </c>
      <c r="M62" s="69" t="s">
        <v>4128</v>
      </c>
      <c r="N62" s="69" t="s">
        <v>4128</v>
      </c>
      <c r="O62" s="69" t="s">
        <v>4128</v>
      </c>
      <c r="P62" s="69" t="s">
        <v>4711</v>
      </c>
      <c r="Q62" s="69" t="s">
        <v>4711</v>
      </c>
      <c r="R62" s="69" t="s">
        <v>4711</v>
      </c>
      <c r="S62" s="69" t="s">
        <v>1814</v>
      </c>
      <c r="T62" s="69" t="s">
        <v>4452</v>
      </c>
      <c r="U62" s="69" t="s">
        <v>4586</v>
      </c>
      <c r="V62" s="69" t="s">
        <v>4643</v>
      </c>
      <c r="W62" s="69" t="s">
        <v>4572</v>
      </c>
      <c r="X62" s="69" t="s">
        <v>3</v>
      </c>
      <c r="Y62" s="69" t="s">
        <v>4711</v>
      </c>
      <c r="Z62" s="69" t="s">
        <v>4711</v>
      </c>
      <c r="AA62" s="69" t="s">
        <v>4711</v>
      </c>
      <c r="AB62" s="69" t="s">
        <v>4380</v>
      </c>
      <c r="AC62" s="69" t="s">
        <v>4379</v>
      </c>
      <c r="AG62" s="89"/>
    </row>
    <row r="63" spans="1:33" s="18" customFormat="1" ht="22.5" customHeight="1" x14ac:dyDescent="0.15">
      <c r="A63" s="26" t="s">
        <v>3684</v>
      </c>
      <c r="B63" s="284"/>
      <c r="C63" s="47" t="s">
        <v>3772</v>
      </c>
      <c r="D63" s="47" t="s">
        <v>3772</v>
      </c>
      <c r="E63" s="47" t="s">
        <v>3845</v>
      </c>
      <c r="F63" s="47" t="s">
        <v>3845</v>
      </c>
      <c r="G63" s="47" t="s">
        <v>95</v>
      </c>
      <c r="H63" s="47" t="s">
        <v>95</v>
      </c>
      <c r="I63" s="47" t="s">
        <v>95</v>
      </c>
      <c r="J63" s="46" t="s">
        <v>95</v>
      </c>
      <c r="K63" s="46" t="s">
        <v>95</v>
      </c>
      <c r="L63" s="46" t="s">
        <v>95</v>
      </c>
      <c r="M63" s="46" t="s">
        <v>95</v>
      </c>
      <c r="N63" s="46" t="s">
        <v>95</v>
      </c>
      <c r="O63" s="46" t="s">
        <v>95</v>
      </c>
      <c r="P63" s="46" t="s">
        <v>3</v>
      </c>
      <c r="Q63" s="46" t="s">
        <v>95</v>
      </c>
      <c r="R63" s="46" t="s">
        <v>95</v>
      </c>
      <c r="S63" s="46" t="s">
        <v>95</v>
      </c>
      <c r="T63" s="47" t="s">
        <v>3772</v>
      </c>
      <c r="U63" s="47" t="s">
        <v>3772</v>
      </c>
      <c r="V63" s="47" t="s">
        <v>3772</v>
      </c>
      <c r="W63" s="47" t="s">
        <v>3772</v>
      </c>
      <c r="X63" s="46" t="s">
        <v>3</v>
      </c>
      <c r="Y63" s="46" t="s">
        <v>3</v>
      </c>
      <c r="Z63" s="46" t="s">
        <v>95</v>
      </c>
      <c r="AA63" s="46" t="s">
        <v>95</v>
      </c>
      <c r="AB63" s="47" t="s">
        <v>95</v>
      </c>
      <c r="AC63" s="47" t="s">
        <v>95</v>
      </c>
      <c r="AG63" s="89"/>
    </row>
    <row r="64" spans="1:33" s="18" customFormat="1" ht="21" customHeight="1" x14ac:dyDescent="0.15">
      <c r="A64" s="76" t="s">
        <v>402</v>
      </c>
      <c r="B64" s="69"/>
      <c r="C64" s="69" t="s">
        <v>3773</v>
      </c>
      <c r="D64" s="69" t="s">
        <v>3773</v>
      </c>
      <c r="E64" s="69" t="s">
        <v>3846</v>
      </c>
      <c r="F64" s="69" t="s">
        <v>3846</v>
      </c>
      <c r="G64" s="69" t="s">
        <v>4004</v>
      </c>
      <c r="H64" s="69" t="s">
        <v>4004</v>
      </c>
      <c r="I64" s="69" t="s">
        <v>4004</v>
      </c>
      <c r="J64" s="69" t="s">
        <v>4123</v>
      </c>
      <c r="K64" s="69" t="s">
        <v>4123</v>
      </c>
      <c r="L64" s="69" t="s">
        <v>4123</v>
      </c>
      <c r="M64" s="69" t="s">
        <v>4123</v>
      </c>
      <c r="N64" s="69" t="s">
        <v>4123</v>
      </c>
      <c r="O64" s="69" t="s">
        <v>4123</v>
      </c>
      <c r="P64" s="69" t="s">
        <v>3</v>
      </c>
      <c r="Q64" s="69" t="s">
        <v>889</v>
      </c>
      <c r="R64" s="69" t="s">
        <v>889</v>
      </c>
      <c r="S64" s="69" t="s">
        <v>4443</v>
      </c>
      <c r="T64" s="69" t="s">
        <v>4453</v>
      </c>
      <c r="U64" s="69" t="s">
        <v>4453</v>
      </c>
      <c r="V64" s="69" t="s">
        <v>4518</v>
      </c>
      <c r="W64" s="69" t="s">
        <v>4518</v>
      </c>
      <c r="X64" s="69" t="s">
        <v>3</v>
      </c>
      <c r="Y64" s="69" t="s">
        <v>3</v>
      </c>
      <c r="Z64" s="69" t="s">
        <v>889</v>
      </c>
      <c r="AA64" s="69" t="s">
        <v>889</v>
      </c>
      <c r="AB64" s="69" t="s">
        <v>4378</v>
      </c>
      <c r="AC64" s="69" t="s">
        <v>4378</v>
      </c>
      <c r="AG64" s="89"/>
    </row>
    <row r="65" spans="1:37" s="18" customFormat="1" ht="30.75" customHeight="1" x14ac:dyDescent="0.15">
      <c r="A65" s="26" t="s">
        <v>34</v>
      </c>
      <c r="B65" s="284"/>
      <c r="C65" s="47" t="s">
        <v>3755</v>
      </c>
      <c r="D65" s="47" t="s">
        <v>3755</v>
      </c>
      <c r="E65" s="47" t="s">
        <v>3</v>
      </c>
      <c r="F65" s="47" t="s">
        <v>95</v>
      </c>
      <c r="G65" s="47" t="s">
        <v>3944</v>
      </c>
      <c r="H65" s="47" t="s">
        <v>3944</v>
      </c>
      <c r="I65" s="47" t="s">
        <v>3944</v>
      </c>
      <c r="J65" s="47" t="s">
        <v>95</v>
      </c>
      <c r="K65" s="47" t="s">
        <v>95</v>
      </c>
      <c r="L65" s="47" t="s">
        <v>95</v>
      </c>
      <c r="M65" s="47" t="s">
        <v>95</v>
      </c>
      <c r="N65" s="47" t="s">
        <v>95</v>
      </c>
      <c r="O65" s="47" t="s">
        <v>95</v>
      </c>
      <c r="P65" s="47" t="s">
        <v>95</v>
      </c>
      <c r="Q65" s="47" t="s">
        <v>95</v>
      </c>
      <c r="R65" s="47" t="s">
        <v>95</v>
      </c>
      <c r="S65" s="47" t="s">
        <v>95</v>
      </c>
      <c r="T65" s="47" t="s">
        <v>95</v>
      </c>
      <c r="U65" s="47" t="s">
        <v>95</v>
      </c>
      <c r="V65" s="47" t="s">
        <v>95</v>
      </c>
      <c r="W65" s="47" t="s">
        <v>95</v>
      </c>
      <c r="X65" s="46" t="s">
        <v>3</v>
      </c>
      <c r="Y65" s="47" t="s">
        <v>95</v>
      </c>
      <c r="Z65" s="47" t="s">
        <v>95</v>
      </c>
      <c r="AA65" s="47" t="s">
        <v>95</v>
      </c>
      <c r="AB65" s="46" t="s">
        <v>95</v>
      </c>
      <c r="AC65" s="46" t="s">
        <v>95</v>
      </c>
      <c r="AG65" s="89"/>
    </row>
    <row r="66" spans="1:37" s="18" customFormat="1" ht="20.100000000000001" customHeight="1" x14ac:dyDescent="0.15">
      <c r="A66" s="76" t="s">
        <v>402</v>
      </c>
      <c r="B66" s="69"/>
      <c r="C66" s="69" t="s">
        <v>3781</v>
      </c>
      <c r="D66" s="69" t="s">
        <v>3781</v>
      </c>
      <c r="E66" s="69" t="s">
        <v>3</v>
      </c>
      <c r="F66" s="69" t="s">
        <v>3869</v>
      </c>
      <c r="G66" s="69" t="s">
        <v>4005</v>
      </c>
      <c r="H66" s="69" t="s">
        <v>4005</v>
      </c>
      <c r="I66" s="69" t="s">
        <v>4005</v>
      </c>
      <c r="J66" s="69" t="s">
        <v>4132</v>
      </c>
      <c r="K66" s="69" t="s">
        <v>4132</v>
      </c>
      <c r="L66" s="69" t="s">
        <v>4132</v>
      </c>
      <c r="M66" s="69" t="s">
        <v>4132</v>
      </c>
      <c r="N66" s="69" t="s">
        <v>4132</v>
      </c>
      <c r="O66" s="69" t="s">
        <v>4132</v>
      </c>
      <c r="P66" s="69" t="s">
        <v>4712</v>
      </c>
      <c r="Q66" s="69" t="s">
        <v>4712</v>
      </c>
      <c r="R66" s="69" t="s">
        <v>4712</v>
      </c>
      <c r="S66" s="69" t="s">
        <v>1816</v>
      </c>
      <c r="T66" s="69" t="s">
        <v>4454</v>
      </c>
      <c r="U66" s="69" t="s">
        <v>4584</v>
      </c>
      <c r="V66" s="69" t="s">
        <v>4517</v>
      </c>
      <c r="W66" s="69" t="s">
        <v>4517</v>
      </c>
      <c r="X66" s="69" t="s">
        <v>3</v>
      </c>
      <c r="Y66" s="69" t="s">
        <v>4712</v>
      </c>
      <c r="Z66" s="69" t="s">
        <v>4712</v>
      </c>
      <c r="AA66" s="69" t="s">
        <v>4712</v>
      </c>
      <c r="AB66" s="69" t="s">
        <v>4377</v>
      </c>
      <c r="AC66" s="69" t="s">
        <v>4377</v>
      </c>
      <c r="AG66" s="89"/>
    </row>
    <row r="67" spans="1:37" s="18" customFormat="1" ht="78.75" customHeight="1" x14ac:dyDescent="0.15">
      <c r="A67" s="25" t="s">
        <v>4922</v>
      </c>
      <c r="B67" s="284" t="s">
        <v>4975</v>
      </c>
      <c r="C67" s="47" t="s">
        <v>3760</v>
      </c>
      <c r="D67" s="47" t="s">
        <v>3760</v>
      </c>
      <c r="E67" s="47" t="s">
        <v>3848</v>
      </c>
      <c r="F67" s="47" t="s">
        <v>3848</v>
      </c>
      <c r="G67" s="47" t="s">
        <v>3945</v>
      </c>
      <c r="H67" s="47" t="s">
        <v>3945</v>
      </c>
      <c r="I67" s="47" t="s">
        <v>3945</v>
      </c>
      <c r="J67" s="47" t="s">
        <v>4133</v>
      </c>
      <c r="K67" s="47" t="s">
        <v>4133</v>
      </c>
      <c r="L67" s="47" t="s">
        <v>4136</v>
      </c>
      <c r="M67" s="47" t="s">
        <v>4455</v>
      </c>
      <c r="N67" s="47" t="s">
        <v>4136</v>
      </c>
      <c r="O67" s="47" t="s">
        <v>4455</v>
      </c>
      <c r="P67" s="47" t="s">
        <v>4713</v>
      </c>
      <c r="Q67" s="47" t="s">
        <v>4376</v>
      </c>
      <c r="R67" s="47" t="s">
        <v>4376</v>
      </c>
      <c r="S67" s="47" t="s">
        <v>4399</v>
      </c>
      <c r="T67" s="47" t="s">
        <v>4519</v>
      </c>
      <c r="U67" s="47" t="s">
        <v>4520</v>
      </c>
      <c r="V67" s="47" t="s">
        <v>4520</v>
      </c>
      <c r="W67" s="47" t="s">
        <v>4520</v>
      </c>
      <c r="X67" s="46" t="s">
        <v>3</v>
      </c>
      <c r="Y67" s="47" t="s">
        <v>4713</v>
      </c>
      <c r="Z67" s="47" t="s">
        <v>4376</v>
      </c>
      <c r="AA67" s="47" t="s">
        <v>4376</v>
      </c>
      <c r="AB67" s="47" t="s">
        <v>4376</v>
      </c>
      <c r="AC67" s="47" t="s">
        <v>4376</v>
      </c>
      <c r="AG67" s="89"/>
    </row>
    <row r="68" spans="1:37" s="18" customFormat="1" ht="20.100000000000001" customHeight="1" x14ac:dyDescent="0.15">
      <c r="A68" s="76" t="s">
        <v>402</v>
      </c>
      <c r="B68" s="69"/>
      <c r="C68" s="69" t="s">
        <v>3785</v>
      </c>
      <c r="D68" s="69" t="s">
        <v>3785</v>
      </c>
      <c r="E68" s="69" t="s">
        <v>3849</v>
      </c>
      <c r="F68" s="69" t="s">
        <v>3849</v>
      </c>
      <c r="G68" s="69" t="s">
        <v>4006</v>
      </c>
      <c r="H68" s="69" t="s">
        <v>4006</v>
      </c>
      <c r="I68" s="69" t="s">
        <v>4006</v>
      </c>
      <c r="J68" s="69" t="s">
        <v>4134</v>
      </c>
      <c r="K68" s="69" t="s">
        <v>4134</v>
      </c>
      <c r="L68" s="69" t="s">
        <v>4135</v>
      </c>
      <c r="M68" s="69" t="s">
        <v>4135</v>
      </c>
      <c r="N68" s="69" t="s">
        <v>4135</v>
      </c>
      <c r="O68" s="69" t="s">
        <v>4135</v>
      </c>
      <c r="P68" s="69" t="s">
        <v>4712</v>
      </c>
      <c r="Q68" s="69" t="s">
        <v>4714</v>
      </c>
      <c r="R68" s="69" t="s">
        <v>4714</v>
      </c>
      <c r="S68" s="69" t="s">
        <v>1783</v>
      </c>
      <c r="T68" s="69" t="s">
        <v>4456</v>
      </c>
      <c r="U68" s="69" t="s">
        <v>4582</v>
      </c>
      <c r="V68" s="69" t="s">
        <v>4581</v>
      </c>
      <c r="W68" s="69" t="s">
        <v>4581</v>
      </c>
      <c r="X68" s="69" t="s">
        <v>3</v>
      </c>
      <c r="Y68" s="69" t="s">
        <v>4712</v>
      </c>
      <c r="Z68" s="69" t="s">
        <v>4714</v>
      </c>
      <c r="AA68" s="69" t="s">
        <v>4714</v>
      </c>
      <c r="AB68" s="69" t="s">
        <v>4375</v>
      </c>
      <c r="AC68" s="69" t="s">
        <v>4375</v>
      </c>
      <c r="AG68" s="89"/>
    </row>
    <row r="69" spans="1:37" s="18" customFormat="1" ht="22.5" customHeight="1" x14ac:dyDescent="0.15">
      <c r="A69" s="25" t="s">
        <v>42</v>
      </c>
      <c r="B69" s="284"/>
      <c r="C69" s="47" t="s">
        <v>43</v>
      </c>
      <c r="D69" s="47" t="s">
        <v>43</v>
      </c>
      <c r="E69" s="47" t="s">
        <v>43</v>
      </c>
      <c r="F69" s="47" t="s">
        <v>43</v>
      </c>
      <c r="G69" s="187"/>
      <c r="H69" s="187"/>
      <c r="I69" s="187"/>
      <c r="J69" s="187"/>
      <c r="K69" s="187"/>
      <c r="L69" s="187" t="s">
        <v>4976</v>
      </c>
      <c r="M69" s="187" t="s">
        <v>4976</v>
      </c>
      <c r="N69" s="187"/>
      <c r="O69" s="187"/>
      <c r="P69" s="47" t="s">
        <v>3</v>
      </c>
      <c r="Q69" s="47" t="s">
        <v>4715</v>
      </c>
      <c r="R69" s="47" t="s">
        <v>4715</v>
      </c>
      <c r="S69" s="47" t="s">
        <v>43</v>
      </c>
      <c r="T69" s="47" t="s">
        <v>21</v>
      </c>
      <c r="U69" s="47" t="s">
        <v>43</v>
      </c>
      <c r="V69" s="47" t="s">
        <v>43</v>
      </c>
      <c r="W69" s="47" t="s">
        <v>54</v>
      </c>
      <c r="X69" s="46" t="s">
        <v>3</v>
      </c>
      <c r="Y69" s="47" t="s">
        <v>3</v>
      </c>
      <c r="Z69" s="47" t="s">
        <v>4715</v>
      </c>
      <c r="AA69" s="47" t="s">
        <v>4715</v>
      </c>
      <c r="AB69" s="47" t="s">
        <v>4862</v>
      </c>
      <c r="AC69" s="47" t="s">
        <v>4862</v>
      </c>
      <c r="AG69" s="89"/>
    </row>
    <row r="70" spans="1:37" s="18" customFormat="1" ht="12" customHeight="1" x14ac:dyDescent="0.15">
      <c r="A70" s="76" t="s">
        <v>402</v>
      </c>
      <c r="B70" s="69"/>
      <c r="C70" s="69" t="s">
        <v>2806</v>
      </c>
      <c r="D70" s="69" t="s">
        <v>2806</v>
      </c>
      <c r="E70" s="69" t="s">
        <v>2806</v>
      </c>
      <c r="F70" s="69" t="s">
        <v>2806</v>
      </c>
      <c r="G70" s="69"/>
      <c r="H70" s="69"/>
      <c r="I70" s="69"/>
      <c r="J70" s="69"/>
      <c r="K70" s="69"/>
      <c r="L70" s="69" t="s">
        <v>4228</v>
      </c>
      <c r="M70" s="69" t="s">
        <v>4228</v>
      </c>
      <c r="N70" s="69"/>
      <c r="O70" s="69"/>
      <c r="P70" s="69" t="s">
        <v>3</v>
      </c>
      <c r="Q70" s="69" t="s">
        <v>4716</v>
      </c>
      <c r="R70" s="69" t="s">
        <v>4716</v>
      </c>
      <c r="S70" s="69" t="s">
        <v>4432</v>
      </c>
      <c r="T70" s="69" t="s">
        <v>4457</v>
      </c>
      <c r="U70" s="69" t="s">
        <v>4587</v>
      </c>
      <c r="V70" s="69" t="s">
        <v>4644</v>
      </c>
      <c r="W70" s="69" t="s">
        <v>4573</v>
      </c>
      <c r="X70" s="69" t="s">
        <v>3</v>
      </c>
      <c r="Y70" s="69" t="s">
        <v>3</v>
      </c>
      <c r="Z70" s="69" t="s">
        <v>4716</v>
      </c>
      <c r="AA70" s="69" t="s">
        <v>4716</v>
      </c>
      <c r="AB70" s="69" t="s">
        <v>416</v>
      </c>
      <c r="AC70" s="69" t="s">
        <v>416</v>
      </c>
      <c r="AG70" s="89"/>
    </row>
    <row r="71" spans="1:37" s="18" customFormat="1" ht="3.95" customHeight="1" x14ac:dyDescent="0.15">
      <c r="A71" s="28"/>
      <c r="B71" s="48"/>
      <c r="C71" s="48"/>
      <c r="D71" s="48"/>
      <c r="E71" s="48"/>
      <c r="F71" s="48"/>
      <c r="G71" s="48"/>
      <c r="H71" s="48"/>
      <c r="I71" s="48"/>
      <c r="J71" s="48"/>
      <c r="K71" s="48"/>
      <c r="L71" s="48"/>
      <c r="M71" s="48"/>
      <c r="N71" s="48"/>
      <c r="O71" s="48"/>
      <c r="P71" s="48"/>
      <c r="Q71" s="48"/>
      <c r="R71" s="48"/>
      <c r="S71" s="48"/>
      <c r="T71" s="48"/>
      <c r="U71" s="58"/>
      <c r="V71" s="58"/>
      <c r="W71" s="48"/>
      <c r="X71" s="48"/>
      <c r="Y71" s="48"/>
      <c r="Z71" s="48"/>
      <c r="AA71" s="48"/>
      <c r="AB71" s="48"/>
      <c r="AC71" s="48"/>
      <c r="AG71" s="89"/>
    </row>
    <row r="72" spans="1:37" s="89" customFormat="1" ht="22.5" customHeight="1" x14ac:dyDescent="0.15">
      <c r="A72" s="290" t="s">
        <v>3655</v>
      </c>
      <c r="B72" s="246"/>
      <c r="C72" s="246" t="str">
        <f t="shared" ref="C72:AC72" si="5">C1</f>
        <v>Allianz</v>
      </c>
      <c r="D72" s="246" t="str">
        <f t="shared" si="5"/>
        <v>Allianz SicherheitPlus</v>
      </c>
      <c r="E72" s="246" t="str">
        <f t="shared" si="5"/>
        <v>AXA BOXflex</v>
      </c>
      <c r="F72" s="246" t="str">
        <f t="shared" si="5"/>
        <v>AXA BOXflex Premium</v>
      </c>
      <c r="G72" s="246" t="str">
        <f t="shared" si="5"/>
        <v>Domcura Komfort</v>
      </c>
      <c r="H72" s="246" t="str">
        <f>H1</f>
        <v>Domcura Standard</v>
      </c>
      <c r="I72" s="246" t="str">
        <f t="shared" si="5"/>
        <v>Domcura Top</v>
      </c>
      <c r="J72" s="246" t="str">
        <f>J1</f>
        <v>Gothaer Basis 1914</v>
      </c>
      <c r="K72" s="246" t="str">
        <f>K1</f>
        <v>Gothaer Basis qm</v>
      </c>
      <c r="L72" s="246" t="str">
        <f>L1</f>
        <v>Gothaer Premium 1914</v>
      </c>
      <c r="M72" s="246" t="str">
        <f>M1</f>
        <v>Gothaer Premium qm</v>
      </c>
      <c r="N72" s="246" t="str">
        <f>N1</f>
        <v>Gothaer Top 1914</v>
      </c>
      <c r="O72" s="246" t="str">
        <f t="shared" si="5"/>
        <v>Gothaer Top qm</v>
      </c>
      <c r="P72" s="246" t="str">
        <f t="shared" si="5"/>
        <v>HFK</v>
      </c>
      <c r="Q72" s="246" t="str">
        <f t="shared" si="5"/>
        <v>HFK Rundumschutz</v>
      </c>
      <c r="R72" s="246" t="str">
        <f t="shared" si="5"/>
        <v>HFK Rundumschutz-Plus</v>
      </c>
      <c r="S72" s="246" t="str">
        <f t="shared" si="5"/>
        <v>ITL afm Eurosecure 2009</v>
      </c>
      <c r="T72" s="246" t="str">
        <f t="shared" si="5"/>
        <v>ITL Classic</v>
      </c>
      <c r="U72" s="246" t="str">
        <f>U1</f>
        <v>ITL Eurosecure Plus</v>
      </c>
      <c r="V72" s="246" t="str">
        <f>V1</f>
        <v>ITL Infinitus</v>
      </c>
      <c r="W72" s="246" t="str">
        <f t="shared" si="5"/>
        <v>ITL Protect Plus</v>
      </c>
      <c r="X72" s="246" t="str">
        <f t="shared" si="5"/>
        <v>Keine</v>
      </c>
      <c r="Y72" s="246" t="str">
        <f t="shared" si="5"/>
        <v>Provinzial</v>
      </c>
      <c r="Z72" s="246" t="str">
        <f t="shared" si="5"/>
        <v>Provinzial Rundumschutz</v>
      </c>
      <c r="AA72" s="246" t="str">
        <f t="shared" si="5"/>
        <v>Provinzial Rundumschutz-Plus</v>
      </c>
      <c r="AB72" s="246" t="str">
        <f t="shared" si="5"/>
        <v>VHV Klassik Garant</v>
      </c>
      <c r="AC72" s="246" t="str">
        <f t="shared" si="5"/>
        <v>VHV Klassik Garant Exklusiv</v>
      </c>
    </row>
    <row r="73" spans="1:37" s="18" customFormat="1" ht="22.5" customHeight="1" x14ac:dyDescent="0.15">
      <c r="A73" s="289" t="s">
        <v>3685</v>
      </c>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G73" s="89"/>
    </row>
    <row r="74" spans="1:37" s="18" customFormat="1" ht="29.25" customHeight="1" x14ac:dyDescent="0.15">
      <c r="A74" s="25" t="s">
        <v>3687</v>
      </c>
      <c r="B74" s="285"/>
      <c r="C74" s="46" t="s">
        <v>95</v>
      </c>
      <c r="D74" s="46" t="s">
        <v>95</v>
      </c>
      <c r="E74" s="47" t="s">
        <v>4977</v>
      </c>
      <c r="F74" s="47" t="s">
        <v>4977</v>
      </c>
      <c r="G74" s="46" t="s">
        <v>95</v>
      </c>
      <c r="H74" s="46" t="s">
        <v>95</v>
      </c>
      <c r="I74" s="46" t="s">
        <v>95</v>
      </c>
      <c r="J74" s="46" t="s">
        <v>95</v>
      </c>
      <c r="K74" s="46" t="s">
        <v>95</v>
      </c>
      <c r="L74" s="46" t="s">
        <v>95</v>
      </c>
      <c r="M74" s="46" t="s">
        <v>95</v>
      </c>
      <c r="N74" s="46" t="s">
        <v>95</v>
      </c>
      <c r="O74" s="46" t="s">
        <v>95</v>
      </c>
      <c r="P74" s="46" t="s">
        <v>95</v>
      </c>
      <c r="Q74" s="46" t="s">
        <v>95</v>
      </c>
      <c r="R74" s="46" t="s">
        <v>95</v>
      </c>
      <c r="S74" s="46" t="s">
        <v>95</v>
      </c>
      <c r="T74" s="46" t="s">
        <v>95</v>
      </c>
      <c r="U74" s="46" t="s">
        <v>95</v>
      </c>
      <c r="V74" s="46" t="s">
        <v>95</v>
      </c>
      <c r="W74" s="46" t="s">
        <v>95</v>
      </c>
      <c r="X74" s="46" t="s">
        <v>3</v>
      </c>
      <c r="Y74" s="46" t="s">
        <v>95</v>
      </c>
      <c r="Z74" s="46" t="s">
        <v>95</v>
      </c>
      <c r="AA74" s="46" t="s">
        <v>95</v>
      </c>
      <c r="AB74" s="47" t="s">
        <v>95</v>
      </c>
      <c r="AC74" s="47" t="s">
        <v>95</v>
      </c>
      <c r="AG74" s="89"/>
      <c r="AH74" s="89"/>
      <c r="AI74" s="89"/>
      <c r="AJ74" s="89"/>
      <c r="AK74" s="89"/>
    </row>
    <row r="75" spans="1:37" s="18" customFormat="1" ht="12.75" customHeight="1" x14ac:dyDescent="0.15">
      <c r="A75" s="76" t="s">
        <v>402</v>
      </c>
      <c r="B75" s="69"/>
      <c r="C75" s="69" t="s">
        <v>2785</v>
      </c>
      <c r="D75" s="69" t="s">
        <v>2785</v>
      </c>
      <c r="E75" s="69" t="s">
        <v>3892</v>
      </c>
      <c r="F75" s="69" t="s">
        <v>3892</v>
      </c>
      <c r="G75" s="69" t="s">
        <v>4007</v>
      </c>
      <c r="H75" s="69" t="s">
        <v>4007</v>
      </c>
      <c r="I75" s="69" t="s">
        <v>4007</v>
      </c>
      <c r="J75" s="69" t="s">
        <v>4149</v>
      </c>
      <c r="K75" s="69" t="s">
        <v>4149</v>
      </c>
      <c r="L75" s="69" t="s">
        <v>4149</v>
      </c>
      <c r="M75" s="69" t="s">
        <v>4149</v>
      </c>
      <c r="N75" s="69" t="s">
        <v>4149</v>
      </c>
      <c r="O75" s="69" t="s">
        <v>4149</v>
      </c>
      <c r="P75" s="69" t="s">
        <v>4718</v>
      </c>
      <c r="Q75" s="69" t="s">
        <v>4718</v>
      </c>
      <c r="R75" s="69" t="s">
        <v>4718</v>
      </c>
      <c r="S75" s="69" t="s">
        <v>4465</v>
      </c>
      <c r="T75" s="69" t="s">
        <v>4465</v>
      </c>
      <c r="U75" s="69" t="s">
        <v>4465</v>
      </c>
      <c r="V75" s="69" t="s">
        <v>4465</v>
      </c>
      <c r="W75" s="69" t="s">
        <v>4465</v>
      </c>
      <c r="X75" s="69" t="s">
        <v>3</v>
      </c>
      <c r="Y75" s="69" t="s">
        <v>4718</v>
      </c>
      <c r="Z75" s="69" t="s">
        <v>4718</v>
      </c>
      <c r="AA75" s="69" t="s">
        <v>4718</v>
      </c>
      <c r="AB75" s="69" t="s">
        <v>4368</v>
      </c>
      <c r="AC75" s="69" t="s">
        <v>4368</v>
      </c>
      <c r="AG75" s="89"/>
    </row>
    <row r="76" spans="1:37" s="18" customFormat="1" ht="22.5" customHeight="1" x14ac:dyDescent="0.15">
      <c r="A76" s="25" t="s">
        <v>3688</v>
      </c>
      <c r="B76" s="285"/>
      <c r="C76" s="46" t="s">
        <v>95</v>
      </c>
      <c r="D76" s="46" t="s">
        <v>95</v>
      </c>
      <c r="E76" s="46" t="s">
        <v>95</v>
      </c>
      <c r="F76" s="46" t="s">
        <v>95</v>
      </c>
      <c r="G76" s="46" t="s">
        <v>95</v>
      </c>
      <c r="H76" s="46" t="s">
        <v>95</v>
      </c>
      <c r="I76" s="46" t="s">
        <v>95</v>
      </c>
      <c r="J76" s="46" t="s">
        <v>95</v>
      </c>
      <c r="K76" s="46" t="s">
        <v>95</v>
      </c>
      <c r="L76" s="46" t="s">
        <v>95</v>
      </c>
      <c r="M76" s="46" t="s">
        <v>95</v>
      </c>
      <c r="N76" s="46" t="s">
        <v>95</v>
      </c>
      <c r="O76" s="46" t="s">
        <v>95</v>
      </c>
      <c r="P76" s="46" t="s">
        <v>95</v>
      </c>
      <c r="Q76" s="46" t="s">
        <v>95</v>
      </c>
      <c r="R76" s="46" t="s">
        <v>95</v>
      </c>
      <c r="S76" s="47" t="s">
        <v>4466</v>
      </c>
      <c r="T76" s="46" t="s">
        <v>95</v>
      </c>
      <c r="U76" s="46" t="s">
        <v>95</v>
      </c>
      <c r="V76" s="46" t="s">
        <v>95</v>
      </c>
      <c r="W76" s="46" t="s">
        <v>95</v>
      </c>
      <c r="X76" s="46" t="s">
        <v>3</v>
      </c>
      <c r="Y76" s="46" t="s">
        <v>95</v>
      </c>
      <c r="Z76" s="46" t="s">
        <v>95</v>
      </c>
      <c r="AA76" s="46" t="s">
        <v>95</v>
      </c>
      <c r="AB76" s="47" t="s">
        <v>95</v>
      </c>
      <c r="AC76" s="47" t="s">
        <v>95</v>
      </c>
      <c r="AF76" s="89"/>
      <c r="AG76" s="89"/>
      <c r="AH76" s="89"/>
      <c r="AI76" s="89"/>
      <c r="AJ76" s="89"/>
      <c r="AK76" s="89"/>
    </row>
    <row r="77" spans="1:37" s="18" customFormat="1" ht="12" customHeight="1" x14ac:dyDescent="0.15">
      <c r="A77" s="76" t="s">
        <v>402</v>
      </c>
      <c r="B77" s="69"/>
      <c r="C77" s="69" t="s">
        <v>2785</v>
      </c>
      <c r="D77" s="69" t="s">
        <v>2785</v>
      </c>
      <c r="E77" s="69" t="s">
        <v>3804</v>
      </c>
      <c r="F77" s="69" t="s">
        <v>3892</v>
      </c>
      <c r="G77" s="69" t="s">
        <v>4008</v>
      </c>
      <c r="H77" s="69" t="s">
        <v>4008</v>
      </c>
      <c r="I77" s="69" t="s">
        <v>4008</v>
      </c>
      <c r="J77" s="69" t="s">
        <v>4150</v>
      </c>
      <c r="K77" s="69" t="s">
        <v>4150</v>
      </c>
      <c r="L77" s="69" t="s">
        <v>4150</v>
      </c>
      <c r="M77" s="69" t="s">
        <v>4150</v>
      </c>
      <c r="N77" s="69" t="s">
        <v>4150</v>
      </c>
      <c r="O77" s="69" t="s">
        <v>4150</v>
      </c>
      <c r="P77" s="69" t="s">
        <v>4719</v>
      </c>
      <c r="Q77" s="69" t="s">
        <v>4719</v>
      </c>
      <c r="R77" s="69" t="s">
        <v>4719</v>
      </c>
      <c r="S77" s="69" t="s">
        <v>4465</v>
      </c>
      <c r="T77" s="69" t="s">
        <v>4465</v>
      </c>
      <c r="U77" s="69" t="s">
        <v>4465</v>
      </c>
      <c r="V77" s="69" t="s">
        <v>4465</v>
      </c>
      <c r="W77" s="69" t="s">
        <v>4465</v>
      </c>
      <c r="X77" s="69" t="s">
        <v>3</v>
      </c>
      <c r="Y77" s="69" t="s">
        <v>4719</v>
      </c>
      <c r="Z77" s="69" t="s">
        <v>4719</v>
      </c>
      <c r="AA77" s="69" t="s">
        <v>4719</v>
      </c>
      <c r="AB77" s="69" t="s">
        <v>4368</v>
      </c>
      <c r="AC77" s="69" t="s">
        <v>4368</v>
      </c>
      <c r="AG77" s="89"/>
    </row>
    <row r="78" spans="1:37" s="18" customFormat="1" ht="51" customHeight="1" x14ac:dyDescent="0.15">
      <c r="A78" s="25" t="s">
        <v>4923</v>
      </c>
      <c r="B78" s="285"/>
      <c r="C78" s="46" t="s">
        <v>3790</v>
      </c>
      <c r="D78" s="46" t="s">
        <v>3790</v>
      </c>
      <c r="E78" s="46" t="s">
        <v>4978</v>
      </c>
      <c r="F78" s="46" t="s">
        <v>4978</v>
      </c>
      <c r="G78" s="47" t="s">
        <v>5092</v>
      </c>
      <c r="H78" s="47" t="s">
        <v>5092</v>
      </c>
      <c r="I78" s="47" t="s">
        <v>5092</v>
      </c>
      <c r="J78" s="46" t="s">
        <v>3</v>
      </c>
      <c r="K78" s="46" t="s">
        <v>3</v>
      </c>
      <c r="L78" s="47" t="s">
        <v>4206</v>
      </c>
      <c r="M78" s="47" t="s">
        <v>4279</v>
      </c>
      <c r="N78" s="46" t="s">
        <v>3</v>
      </c>
      <c r="O78" s="46" t="s">
        <v>3</v>
      </c>
      <c r="P78" s="47" t="s">
        <v>4978</v>
      </c>
      <c r="Q78" s="47" t="s">
        <v>4978</v>
      </c>
      <c r="R78" s="47" t="s">
        <v>4978</v>
      </c>
      <c r="S78" s="46" t="s">
        <v>3</v>
      </c>
      <c r="T78" s="46" t="s">
        <v>3</v>
      </c>
      <c r="U78" s="47" t="s">
        <v>3</v>
      </c>
      <c r="V78" s="47" t="s">
        <v>4653</v>
      </c>
      <c r="W78" s="47" t="s">
        <v>3</v>
      </c>
      <c r="X78" s="46" t="s">
        <v>3</v>
      </c>
      <c r="Y78" s="47" t="s">
        <v>4978</v>
      </c>
      <c r="Z78" s="47" t="s">
        <v>4978</v>
      </c>
      <c r="AA78" s="47" t="s">
        <v>4978</v>
      </c>
      <c r="AB78" s="47" t="s">
        <v>4372</v>
      </c>
      <c r="AC78" s="47" t="s">
        <v>4372</v>
      </c>
      <c r="AF78" s="89"/>
      <c r="AG78" s="89"/>
      <c r="AH78" s="89"/>
      <c r="AI78" s="89"/>
      <c r="AJ78" s="89"/>
      <c r="AK78" s="89"/>
    </row>
    <row r="79" spans="1:37" s="18" customFormat="1" ht="12" customHeight="1" x14ac:dyDescent="0.15">
      <c r="A79" s="76" t="s">
        <v>402</v>
      </c>
      <c r="B79" s="69"/>
      <c r="C79" s="69"/>
      <c r="D79" s="69"/>
      <c r="E79" s="69"/>
      <c r="F79" s="69"/>
      <c r="G79" s="69" t="s">
        <v>4008</v>
      </c>
      <c r="H79" s="69" t="s">
        <v>4008</v>
      </c>
      <c r="I79" s="69" t="s">
        <v>4008</v>
      </c>
      <c r="J79" s="69" t="s">
        <v>4157</v>
      </c>
      <c r="K79" s="69" t="s">
        <v>4157</v>
      </c>
      <c r="L79" s="69" t="s">
        <v>4156</v>
      </c>
      <c r="M79" s="69" t="s">
        <v>4156</v>
      </c>
      <c r="N79" s="69" t="s">
        <v>4157</v>
      </c>
      <c r="O79" s="69" t="s">
        <v>4157</v>
      </c>
      <c r="P79" s="69" t="s">
        <v>3</v>
      </c>
      <c r="Q79" s="69" t="s">
        <v>3</v>
      </c>
      <c r="R79" s="69" t="s">
        <v>3</v>
      </c>
      <c r="S79" s="69" t="s">
        <v>3</v>
      </c>
      <c r="T79" s="69" t="s">
        <v>3</v>
      </c>
      <c r="U79" s="69" t="s">
        <v>3</v>
      </c>
      <c r="V79" s="69" t="s">
        <v>4654</v>
      </c>
      <c r="W79" s="69" t="s">
        <v>3</v>
      </c>
      <c r="X79" s="69" t="s">
        <v>3</v>
      </c>
      <c r="Y79" s="69" t="s">
        <v>3</v>
      </c>
      <c r="Z79" s="69" t="s">
        <v>3</v>
      </c>
      <c r="AA79" s="69" t="s">
        <v>3</v>
      </c>
      <c r="AB79" s="69" t="s">
        <v>4371</v>
      </c>
      <c r="AC79" s="69" t="s">
        <v>4371</v>
      </c>
      <c r="AG79" s="89"/>
    </row>
    <row r="80" spans="1:37" s="18" customFormat="1" ht="57.75" customHeight="1" x14ac:dyDescent="0.15">
      <c r="A80" s="25" t="s">
        <v>4924</v>
      </c>
      <c r="B80" s="285" t="s">
        <v>3947</v>
      </c>
      <c r="C80" s="46" t="s">
        <v>95</v>
      </c>
      <c r="D80" s="46" t="s">
        <v>95</v>
      </c>
      <c r="E80" s="46" t="s">
        <v>95</v>
      </c>
      <c r="F80" s="46" t="s">
        <v>95</v>
      </c>
      <c r="G80" s="47" t="s">
        <v>4045</v>
      </c>
      <c r="H80" s="47" t="s">
        <v>3946</v>
      </c>
      <c r="I80" s="47" t="s">
        <v>4045</v>
      </c>
      <c r="J80" s="47" t="s">
        <v>95</v>
      </c>
      <c r="K80" s="47" t="s">
        <v>95</v>
      </c>
      <c r="L80" s="47" t="s">
        <v>95</v>
      </c>
      <c r="M80" s="47" t="s">
        <v>95</v>
      </c>
      <c r="N80" s="47" t="s">
        <v>95</v>
      </c>
      <c r="O80" s="47" t="s">
        <v>95</v>
      </c>
      <c r="P80" s="47" t="s">
        <v>95</v>
      </c>
      <c r="Q80" s="47" t="s">
        <v>95</v>
      </c>
      <c r="R80" s="47" t="s">
        <v>95</v>
      </c>
      <c r="S80" s="46" t="s">
        <v>95</v>
      </c>
      <c r="T80" s="46" t="s">
        <v>95</v>
      </c>
      <c r="U80" s="46" t="s">
        <v>4591</v>
      </c>
      <c r="V80" s="46" t="s">
        <v>4591</v>
      </c>
      <c r="W80" s="46" t="s">
        <v>95</v>
      </c>
      <c r="X80" s="46" t="s">
        <v>3</v>
      </c>
      <c r="Y80" s="47" t="s">
        <v>95</v>
      </c>
      <c r="Z80" s="47" t="s">
        <v>95</v>
      </c>
      <c r="AA80" s="47" t="s">
        <v>95</v>
      </c>
      <c r="AB80" s="47" t="s">
        <v>95</v>
      </c>
      <c r="AC80" s="47" t="s">
        <v>95</v>
      </c>
      <c r="AF80" s="89"/>
      <c r="AG80" s="89"/>
      <c r="AH80" s="89"/>
      <c r="AI80" s="89"/>
      <c r="AJ80" s="89"/>
      <c r="AK80" s="89"/>
    </row>
    <row r="81" spans="1:37" s="18" customFormat="1" ht="20.100000000000001" customHeight="1" x14ac:dyDescent="0.15">
      <c r="A81" s="76" t="s">
        <v>402</v>
      </c>
      <c r="B81" s="69"/>
      <c r="C81" s="69" t="s">
        <v>2785</v>
      </c>
      <c r="D81" s="69" t="s">
        <v>2785</v>
      </c>
      <c r="E81" s="69" t="s">
        <v>3892</v>
      </c>
      <c r="F81" s="69" t="s">
        <v>3892</v>
      </c>
      <c r="G81" s="69" t="s">
        <v>4070</v>
      </c>
      <c r="H81" s="69" t="s">
        <v>4009</v>
      </c>
      <c r="I81" s="69" t="s">
        <v>4069</v>
      </c>
      <c r="J81" s="69" t="s">
        <v>4151</v>
      </c>
      <c r="K81" s="69" t="s">
        <v>4151</v>
      </c>
      <c r="L81" s="69" t="s">
        <v>4151</v>
      </c>
      <c r="M81" s="69" t="s">
        <v>4151</v>
      </c>
      <c r="N81" s="69" t="s">
        <v>4151</v>
      </c>
      <c r="O81" s="69" t="s">
        <v>4151</v>
      </c>
      <c r="P81" s="69" t="s">
        <v>4720</v>
      </c>
      <c r="Q81" s="69" t="s">
        <v>4720</v>
      </c>
      <c r="R81" s="69" t="s">
        <v>4720</v>
      </c>
      <c r="S81" s="69" t="s">
        <v>4465</v>
      </c>
      <c r="T81" s="69" t="s">
        <v>4465</v>
      </c>
      <c r="U81" s="69" t="s">
        <v>4589</v>
      </c>
      <c r="V81" s="69" t="s">
        <v>4536</v>
      </c>
      <c r="W81" s="69" t="s">
        <v>4465</v>
      </c>
      <c r="X81" s="69" t="s">
        <v>3</v>
      </c>
      <c r="Y81" s="69" t="s">
        <v>4720</v>
      </c>
      <c r="Z81" s="69" t="s">
        <v>4720</v>
      </c>
      <c r="AA81" s="69" t="s">
        <v>4720</v>
      </c>
      <c r="AB81" s="69" t="s">
        <v>4368</v>
      </c>
      <c r="AC81" s="69" t="s">
        <v>4368</v>
      </c>
      <c r="AG81" s="89"/>
    </row>
    <row r="82" spans="1:37" s="18" customFormat="1" ht="22.5" customHeight="1" x14ac:dyDescent="0.15">
      <c r="A82" s="25" t="s">
        <v>13</v>
      </c>
      <c r="B82" s="284"/>
      <c r="C82" s="47" t="s">
        <v>3789</v>
      </c>
      <c r="D82" s="47" t="s">
        <v>3789</v>
      </c>
      <c r="E82" s="46" t="s">
        <v>95</v>
      </c>
      <c r="F82" s="46" t="s">
        <v>95</v>
      </c>
      <c r="G82" s="46" t="s">
        <v>5093</v>
      </c>
      <c r="H82" s="46" t="s">
        <v>5093</v>
      </c>
      <c r="I82" s="46" t="s">
        <v>5093</v>
      </c>
      <c r="J82" s="46" t="s">
        <v>3918</v>
      </c>
      <c r="K82" s="46" t="s">
        <v>3918</v>
      </c>
      <c r="L82" s="46" t="s">
        <v>3918</v>
      </c>
      <c r="M82" s="46" t="s">
        <v>3918</v>
      </c>
      <c r="N82" s="46" t="s">
        <v>3918</v>
      </c>
      <c r="O82" s="46" t="s">
        <v>3918</v>
      </c>
      <c r="P82" s="46" t="s">
        <v>95</v>
      </c>
      <c r="Q82" s="46" t="s">
        <v>95</v>
      </c>
      <c r="R82" s="46" t="s">
        <v>95</v>
      </c>
      <c r="S82" s="46" t="s">
        <v>95</v>
      </c>
      <c r="T82" s="46" t="s">
        <v>95</v>
      </c>
      <c r="U82" s="46" t="s">
        <v>95</v>
      </c>
      <c r="V82" s="46" t="s">
        <v>95</v>
      </c>
      <c r="W82" s="46" t="s">
        <v>95</v>
      </c>
      <c r="X82" s="46" t="s">
        <v>3</v>
      </c>
      <c r="Y82" s="46" t="s">
        <v>95</v>
      </c>
      <c r="Z82" s="46" t="s">
        <v>95</v>
      </c>
      <c r="AA82" s="46" t="s">
        <v>95</v>
      </c>
      <c r="AB82" s="46" t="s">
        <v>95</v>
      </c>
      <c r="AC82" s="46" t="s">
        <v>95</v>
      </c>
      <c r="AG82" s="89"/>
    </row>
    <row r="83" spans="1:37" s="18" customFormat="1" ht="12" customHeight="1" x14ac:dyDescent="0.15">
      <c r="A83" s="76" t="s">
        <v>402</v>
      </c>
      <c r="B83" s="69"/>
      <c r="C83" s="69" t="s">
        <v>4979</v>
      </c>
      <c r="D83" s="69" t="s">
        <v>4979</v>
      </c>
      <c r="E83" s="69" t="s">
        <v>3851</v>
      </c>
      <c r="F83" s="69" t="s">
        <v>3851</v>
      </c>
      <c r="G83" s="69"/>
      <c r="H83" s="69" t="s">
        <v>3</v>
      </c>
      <c r="I83" s="69"/>
      <c r="J83" s="69" t="s">
        <v>4248</v>
      </c>
      <c r="K83" s="69" t="s">
        <v>4248</v>
      </c>
      <c r="L83" s="69" t="s">
        <v>4248</v>
      </c>
      <c r="M83" s="69" t="s">
        <v>4248</v>
      </c>
      <c r="N83" s="69" t="s">
        <v>4248</v>
      </c>
      <c r="O83" s="69" t="s">
        <v>4248</v>
      </c>
      <c r="P83" s="69" t="s">
        <v>4370</v>
      </c>
      <c r="Q83" s="69" t="s">
        <v>4370</v>
      </c>
      <c r="R83" s="69" t="s">
        <v>4370</v>
      </c>
      <c r="S83" s="69" t="s">
        <v>4465</v>
      </c>
      <c r="T83" s="69" t="s">
        <v>4465</v>
      </c>
      <c r="U83" s="69" t="s">
        <v>4465</v>
      </c>
      <c r="V83" s="69" t="s">
        <v>4465</v>
      </c>
      <c r="W83" s="69" t="s">
        <v>4465</v>
      </c>
      <c r="X83" s="69" t="s">
        <v>3</v>
      </c>
      <c r="Y83" s="69" t="s">
        <v>4370</v>
      </c>
      <c r="Z83" s="69" t="s">
        <v>4370</v>
      </c>
      <c r="AA83" s="69" t="s">
        <v>4370</v>
      </c>
      <c r="AB83" s="69" t="s">
        <v>3732</v>
      </c>
      <c r="AC83" s="69" t="s">
        <v>3732</v>
      </c>
      <c r="AG83" s="89"/>
    </row>
    <row r="84" spans="1:37" s="18" customFormat="1" ht="22.5" customHeight="1" x14ac:dyDescent="0.15">
      <c r="A84" s="25" t="s">
        <v>3659</v>
      </c>
      <c r="B84" s="285"/>
      <c r="C84" s="46" t="s">
        <v>3</v>
      </c>
      <c r="D84" s="46" t="s">
        <v>9</v>
      </c>
      <c r="E84" s="46" t="s">
        <v>95</v>
      </c>
      <c r="F84" s="46" t="s">
        <v>95</v>
      </c>
      <c r="G84" s="46" t="s">
        <v>4043</v>
      </c>
      <c r="H84" s="46" t="s">
        <v>9</v>
      </c>
      <c r="I84" s="46" t="s">
        <v>4043</v>
      </c>
      <c r="J84" s="46" t="s">
        <v>9</v>
      </c>
      <c r="K84" s="46" t="s">
        <v>9</v>
      </c>
      <c r="L84" s="47" t="s">
        <v>4154</v>
      </c>
      <c r="M84" s="47" t="s">
        <v>4280</v>
      </c>
      <c r="N84" s="47" t="s">
        <v>4154</v>
      </c>
      <c r="O84" s="47" t="s">
        <v>4280</v>
      </c>
      <c r="P84" s="47" t="s">
        <v>95</v>
      </c>
      <c r="Q84" s="47" t="s">
        <v>95</v>
      </c>
      <c r="R84" s="47" t="s">
        <v>95</v>
      </c>
      <c r="S84" s="46" t="s">
        <v>9</v>
      </c>
      <c r="T84" s="46" t="s">
        <v>9</v>
      </c>
      <c r="U84" s="47" t="s">
        <v>95</v>
      </c>
      <c r="V84" s="47" t="s">
        <v>95</v>
      </c>
      <c r="W84" s="47" t="s">
        <v>95</v>
      </c>
      <c r="X84" s="46" t="s">
        <v>3</v>
      </c>
      <c r="Y84" s="47" t="s">
        <v>95</v>
      </c>
      <c r="Z84" s="47" t="s">
        <v>95</v>
      </c>
      <c r="AA84" s="47" t="s">
        <v>95</v>
      </c>
      <c r="AB84" s="46" t="s">
        <v>95</v>
      </c>
      <c r="AC84" s="46" t="s">
        <v>95</v>
      </c>
      <c r="AG84" s="89"/>
      <c r="AH84" s="89"/>
      <c r="AI84" s="89"/>
      <c r="AJ84" s="89"/>
      <c r="AK84" s="89"/>
    </row>
    <row r="85" spans="1:37" s="18" customFormat="1" ht="20.100000000000001" customHeight="1" x14ac:dyDescent="0.15">
      <c r="A85" s="76" t="s">
        <v>402</v>
      </c>
      <c r="B85" s="69"/>
      <c r="C85" s="69" t="s">
        <v>2785</v>
      </c>
      <c r="D85" s="69" t="s">
        <v>2785</v>
      </c>
      <c r="E85" s="69" t="s">
        <v>3852</v>
      </c>
      <c r="F85" s="69" t="s">
        <v>3852</v>
      </c>
      <c r="G85" s="69" t="s">
        <v>4066</v>
      </c>
      <c r="H85" s="69" t="s">
        <v>4010</v>
      </c>
      <c r="I85" s="69" t="s">
        <v>4065</v>
      </c>
      <c r="J85" s="69" t="s">
        <v>4152</v>
      </c>
      <c r="K85" s="69" t="s">
        <v>4152</v>
      </c>
      <c r="L85" s="69" t="s">
        <v>4152</v>
      </c>
      <c r="M85" s="69" t="s">
        <v>4152</v>
      </c>
      <c r="N85" s="69" t="s">
        <v>4152</v>
      </c>
      <c r="O85" s="69" t="s">
        <v>4152</v>
      </c>
      <c r="P85" s="69" t="s">
        <v>4721</v>
      </c>
      <c r="Q85" s="69" t="s">
        <v>4721</v>
      </c>
      <c r="R85" s="69" t="s">
        <v>4721</v>
      </c>
      <c r="S85" s="69" t="s">
        <v>4465</v>
      </c>
      <c r="T85" s="69" t="s">
        <v>4465</v>
      </c>
      <c r="U85" s="69" t="s">
        <v>4589</v>
      </c>
      <c r="V85" s="69" t="s">
        <v>4536</v>
      </c>
      <c r="W85" s="69" t="s">
        <v>4536</v>
      </c>
      <c r="X85" s="69" t="s">
        <v>3</v>
      </c>
      <c r="Y85" s="69" t="s">
        <v>4721</v>
      </c>
      <c r="Z85" s="69" t="s">
        <v>4721</v>
      </c>
      <c r="AA85" s="69" t="s">
        <v>4721</v>
      </c>
      <c r="AB85" s="69" t="s">
        <v>4368</v>
      </c>
      <c r="AC85" s="69" t="s">
        <v>4368</v>
      </c>
      <c r="AG85" s="89"/>
    </row>
    <row r="86" spans="1:37" s="18" customFormat="1" ht="22.5" customHeight="1" x14ac:dyDescent="0.15">
      <c r="A86" s="25" t="s">
        <v>4537</v>
      </c>
      <c r="B86" s="284"/>
      <c r="C86" s="47" t="s">
        <v>3790</v>
      </c>
      <c r="D86" s="47" t="s">
        <v>3790</v>
      </c>
      <c r="E86" s="47" t="s">
        <v>95</v>
      </c>
      <c r="F86" s="47"/>
      <c r="G86" s="47" t="s">
        <v>95</v>
      </c>
      <c r="H86" s="47" t="s">
        <v>3</v>
      </c>
      <c r="I86" s="47" t="s">
        <v>95</v>
      </c>
      <c r="J86" s="46" t="s">
        <v>3918</v>
      </c>
      <c r="K86" s="46" t="s">
        <v>3918</v>
      </c>
      <c r="L86" s="46" t="s">
        <v>3918</v>
      </c>
      <c r="M86" s="46" t="s">
        <v>3918</v>
      </c>
      <c r="N86" s="46" t="s">
        <v>3918</v>
      </c>
      <c r="O86" s="46" t="s">
        <v>3918</v>
      </c>
      <c r="P86" s="47" t="s">
        <v>3918</v>
      </c>
      <c r="Q86" s="47" t="s">
        <v>3918</v>
      </c>
      <c r="R86" s="47" t="s">
        <v>3918</v>
      </c>
      <c r="S86" s="46" t="s">
        <v>95</v>
      </c>
      <c r="T86" s="46" t="s">
        <v>3</v>
      </c>
      <c r="U86" s="47" t="s">
        <v>95</v>
      </c>
      <c r="V86" s="47" t="s">
        <v>95</v>
      </c>
      <c r="W86" s="47" t="s">
        <v>95</v>
      </c>
      <c r="X86" s="46" t="s">
        <v>3</v>
      </c>
      <c r="Y86" s="47" t="s">
        <v>3918</v>
      </c>
      <c r="Z86" s="47" t="s">
        <v>3918</v>
      </c>
      <c r="AA86" s="47" t="s">
        <v>3918</v>
      </c>
      <c r="AB86" s="47" t="s">
        <v>3918</v>
      </c>
      <c r="AC86" s="47" t="s">
        <v>3918</v>
      </c>
      <c r="AG86" s="89"/>
      <c r="AH86" s="89"/>
      <c r="AI86" s="89"/>
      <c r="AJ86" s="89"/>
      <c r="AK86" s="89"/>
    </row>
    <row r="87" spans="1:37" s="18" customFormat="1" ht="12" customHeight="1" x14ac:dyDescent="0.15">
      <c r="A87" s="76" t="s">
        <v>402</v>
      </c>
      <c r="B87" s="69"/>
      <c r="C87" s="69"/>
      <c r="D87" s="69"/>
      <c r="E87" s="69"/>
      <c r="F87" s="69"/>
      <c r="G87" s="69" t="s">
        <v>4067</v>
      </c>
      <c r="H87" s="69" t="s">
        <v>3732</v>
      </c>
      <c r="I87" s="69" t="s">
        <v>4068</v>
      </c>
      <c r="J87" s="69" t="s">
        <v>4281</v>
      </c>
      <c r="K87" s="69" t="s">
        <v>4281</v>
      </c>
      <c r="L87" s="69" t="s">
        <v>4281</v>
      </c>
      <c r="M87" s="69" t="s">
        <v>4281</v>
      </c>
      <c r="N87" s="69" t="s">
        <v>4281</v>
      </c>
      <c r="O87" s="69" t="s">
        <v>4281</v>
      </c>
      <c r="P87" s="69" t="s">
        <v>4370</v>
      </c>
      <c r="Q87" s="69" t="s">
        <v>4370</v>
      </c>
      <c r="R87" s="69" t="s">
        <v>4370</v>
      </c>
      <c r="S87" s="69" t="s">
        <v>4438</v>
      </c>
      <c r="T87" s="69" t="s">
        <v>3</v>
      </c>
      <c r="U87" s="69" t="s">
        <v>4590</v>
      </c>
      <c r="V87" s="69" t="s">
        <v>4538</v>
      </c>
      <c r="W87" s="69" t="s">
        <v>4538</v>
      </c>
      <c r="X87" s="69" t="s">
        <v>3</v>
      </c>
      <c r="Y87" s="69" t="s">
        <v>4370</v>
      </c>
      <c r="Z87" s="69" t="s">
        <v>4370</v>
      </c>
      <c r="AA87" s="69" t="s">
        <v>4370</v>
      </c>
      <c r="AB87" s="69" t="s">
        <v>4370</v>
      </c>
      <c r="AC87" s="69" t="s">
        <v>4370</v>
      </c>
      <c r="AG87" s="89"/>
    </row>
    <row r="88" spans="1:37" s="18" customFormat="1" ht="22.5" customHeight="1" x14ac:dyDescent="0.15">
      <c r="A88" s="25" t="s">
        <v>143</v>
      </c>
      <c r="B88" s="285"/>
      <c r="C88" s="46" t="s">
        <v>3</v>
      </c>
      <c r="D88" s="46" t="s">
        <v>3</v>
      </c>
      <c r="E88" s="46" t="s">
        <v>3</v>
      </c>
      <c r="F88" s="46" t="s">
        <v>3</v>
      </c>
      <c r="G88" s="46" t="s">
        <v>3</v>
      </c>
      <c r="H88" s="46" t="s">
        <v>3</v>
      </c>
      <c r="I88" s="46" t="s">
        <v>3</v>
      </c>
      <c r="J88" s="46" t="s">
        <v>3</v>
      </c>
      <c r="K88" s="46" t="s">
        <v>3</v>
      </c>
      <c r="L88" s="46" t="s">
        <v>3</v>
      </c>
      <c r="M88" s="46" t="s">
        <v>3</v>
      </c>
      <c r="N88" s="46" t="s">
        <v>3</v>
      </c>
      <c r="O88" s="46" t="s">
        <v>3</v>
      </c>
      <c r="P88" s="46" t="s">
        <v>3</v>
      </c>
      <c r="Q88" s="46" t="s">
        <v>3</v>
      </c>
      <c r="R88" s="46" t="s">
        <v>3</v>
      </c>
      <c r="S88" s="46" t="s">
        <v>3</v>
      </c>
      <c r="T88" s="46" t="s">
        <v>3</v>
      </c>
      <c r="U88" s="46" t="s">
        <v>3</v>
      </c>
      <c r="V88" s="46" t="s">
        <v>95</v>
      </c>
      <c r="W88" s="46" t="s">
        <v>3</v>
      </c>
      <c r="X88" s="46" t="s">
        <v>3</v>
      </c>
      <c r="Y88" s="46" t="s">
        <v>3</v>
      </c>
      <c r="Z88" s="46" t="s">
        <v>3</v>
      </c>
      <c r="AA88" s="46" t="s">
        <v>3</v>
      </c>
      <c r="AB88" s="46" t="s">
        <v>3</v>
      </c>
      <c r="AC88" s="46" t="s">
        <v>3</v>
      </c>
      <c r="AG88" s="89"/>
      <c r="AH88" s="89"/>
      <c r="AI88" s="89"/>
      <c r="AJ88" s="89"/>
      <c r="AK88" s="89"/>
    </row>
    <row r="89" spans="1:37" s="18" customFormat="1" ht="12" customHeight="1" x14ac:dyDescent="0.15">
      <c r="A89" s="76" t="s">
        <v>402</v>
      </c>
      <c r="B89" s="69"/>
      <c r="C89" s="69" t="s">
        <v>2790</v>
      </c>
      <c r="D89" s="69" t="s">
        <v>2790</v>
      </c>
      <c r="E89" s="69" t="s">
        <v>3893</v>
      </c>
      <c r="F89" s="69" t="s">
        <v>3893</v>
      </c>
      <c r="G89" s="69" t="s">
        <v>4011</v>
      </c>
      <c r="H89" s="69" t="s">
        <v>4011</v>
      </c>
      <c r="I89" s="69" t="s">
        <v>4011</v>
      </c>
      <c r="J89" s="69" t="s">
        <v>4159</v>
      </c>
      <c r="K89" s="69" t="s">
        <v>4159</v>
      </c>
      <c r="L89" s="69" t="s">
        <v>4159</v>
      </c>
      <c r="M89" s="69" t="s">
        <v>4159</v>
      </c>
      <c r="N89" s="69" t="s">
        <v>4159</v>
      </c>
      <c r="O89" s="69" t="s">
        <v>4159</v>
      </c>
      <c r="P89" s="69" t="s">
        <v>4722</v>
      </c>
      <c r="Q89" s="69" t="s">
        <v>4722</v>
      </c>
      <c r="R89" s="69" t="s">
        <v>4722</v>
      </c>
      <c r="S89" s="69" t="s">
        <v>1738</v>
      </c>
      <c r="T89" s="69" t="s">
        <v>4467</v>
      </c>
      <c r="U89" s="69" t="s">
        <v>4467</v>
      </c>
      <c r="V89" s="69" t="s">
        <v>4654</v>
      </c>
      <c r="W89" s="69" t="s">
        <v>4467</v>
      </c>
      <c r="X89" s="69" t="s">
        <v>3</v>
      </c>
      <c r="Y89" s="69" t="s">
        <v>4722</v>
      </c>
      <c r="Z89" s="69" t="s">
        <v>4722</v>
      </c>
      <c r="AA89" s="69" t="s">
        <v>4722</v>
      </c>
      <c r="AB89" s="69" t="s">
        <v>4369</v>
      </c>
      <c r="AC89" s="69" t="s">
        <v>4369</v>
      </c>
      <c r="AG89" s="89"/>
    </row>
    <row r="90" spans="1:37" s="18" customFormat="1" ht="22.5" customHeight="1" x14ac:dyDescent="0.15">
      <c r="A90" s="25" t="s">
        <v>4925</v>
      </c>
      <c r="B90" s="285"/>
      <c r="C90" s="46" t="s">
        <v>95</v>
      </c>
      <c r="D90" s="46" t="s">
        <v>95</v>
      </c>
      <c r="E90" s="46" t="s">
        <v>95</v>
      </c>
      <c r="F90" s="46" t="s">
        <v>95</v>
      </c>
      <c r="G90" s="46" t="s">
        <v>95</v>
      </c>
      <c r="H90" s="46" t="s">
        <v>95</v>
      </c>
      <c r="I90" s="46" t="s">
        <v>95</v>
      </c>
      <c r="J90" s="46" t="s">
        <v>95</v>
      </c>
      <c r="K90" s="46" t="s">
        <v>95</v>
      </c>
      <c r="L90" s="46" t="s">
        <v>95</v>
      </c>
      <c r="M90" s="46" t="s">
        <v>95</v>
      </c>
      <c r="N90" s="46" t="s">
        <v>95</v>
      </c>
      <c r="O90" s="46" t="s">
        <v>95</v>
      </c>
      <c r="P90" s="46" t="s">
        <v>95</v>
      </c>
      <c r="Q90" s="46" t="s">
        <v>95</v>
      </c>
      <c r="R90" s="46" t="s">
        <v>95</v>
      </c>
      <c r="S90" s="46" t="s">
        <v>95</v>
      </c>
      <c r="T90" s="46" t="s">
        <v>95</v>
      </c>
      <c r="U90" s="46" t="s">
        <v>95</v>
      </c>
      <c r="V90" s="46" t="s">
        <v>95</v>
      </c>
      <c r="W90" s="46" t="s">
        <v>95</v>
      </c>
      <c r="X90" s="46" t="s">
        <v>3</v>
      </c>
      <c r="Y90" s="46" t="s">
        <v>95</v>
      </c>
      <c r="Z90" s="46" t="s">
        <v>95</v>
      </c>
      <c r="AA90" s="46" t="s">
        <v>95</v>
      </c>
      <c r="AB90" s="47" t="s">
        <v>95</v>
      </c>
      <c r="AC90" s="47" t="s">
        <v>95</v>
      </c>
      <c r="AG90" s="89"/>
      <c r="AH90" s="89"/>
      <c r="AI90" s="89"/>
      <c r="AJ90" s="89"/>
      <c r="AK90" s="89"/>
    </row>
    <row r="91" spans="1:37" s="18" customFormat="1" ht="12" customHeight="1" x14ac:dyDescent="0.15">
      <c r="A91" s="76" t="s">
        <v>402</v>
      </c>
      <c r="B91" s="69"/>
      <c r="C91" s="69" t="s">
        <v>2785</v>
      </c>
      <c r="D91" s="69" t="s">
        <v>2785</v>
      </c>
      <c r="E91" s="69" t="s">
        <v>3892</v>
      </c>
      <c r="F91" s="69" t="s">
        <v>3892</v>
      </c>
      <c r="G91" s="69" t="s">
        <v>4012</v>
      </c>
      <c r="H91" s="69" t="s">
        <v>4012</v>
      </c>
      <c r="I91" s="69" t="s">
        <v>4012</v>
      </c>
      <c r="J91" s="69" t="s">
        <v>4153</v>
      </c>
      <c r="K91" s="69" t="s">
        <v>4153</v>
      </c>
      <c r="L91" s="69" t="s">
        <v>4153</v>
      </c>
      <c r="M91" s="69" t="s">
        <v>4153</v>
      </c>
      <c r="N91" s="69" t="s">
        <v>4153</v>
      </c>
      <c r="O91" s="69" t="s">
        <v>4153</v>
      </c>
      <c r="P91" s="69" t="s">
        <v>4723</v>
      </c>
      <c r="Q91" s="69" t="s">
        <v>4723</v>
      </c>
      <c r="R91" s="69" t="s">
        <v>4723</v>
      </c>
      <c r="S91" s="69" t="s">
        <v>1737</v>
      </c>
      <c r="T91" s="69" t="s">
        <v>4465</v>
      </c>
      <c r="U91" s="69" t="s">
        <v>4465</v>
      </c>
      <c r="V91" s="69" t="s">
        <v>4465</v>
      </c>
      <c r="W91" s="69" t="s">
        <v>4465</v>
      </c>
      <c r="X91" s="69" t="s">
        <v>3</v>
      </c>
      <c r="Y91" s="69" t="s">
        <v>4723</v>
      </c>
      <c r="Z91" s="69" t="s">
        <v>4723</v>
      </c>
      <c r="AA91" s="69" t="s">
        <v>4723</v>
      </c>
      <c r="AB91" s="69" t="s">
        <v>4368</v>
      </c>
      <c r="AC91" s="69" t="s">
        <v>4368</v>
      </c>
      <c r="AG91" s="89"/>
    </row>
    <row r="92" spans="1:37" s="18" customFormat="1" ht="26.25" customHeight="1" x14ac:dyDescent="0.15">
      <c r="A92" s="25" t="s">
        <v>3690</v>
      </c>
      <c r="B92" s="285"/>
      <c r="C92" s="46" t="s">
        <v>3</v>
      </c>
      <c r="D92" s="46" t="s">
        <v>3</v>
      </c>
      <c r="E92" s="46" t="s">
        <v>3</v>
      </c>
      <c r="F92" s="46" t="s">
        <v>3</v>
      </c>
      <c r="G92" s="47" t="s">
        <v>95</v>
      </c>
      <c r="H92" s="46" t="s">
        <v>3</v>
      </c>
      <c r="I92" s="47" t="s">
        <v>95</v>
      </c>
      <c r="J92" s="46" t="s">
        <v>95</v>
      </c>
      <c r="K92" s="46" t="s">
        <v>95</v>
      </c>
      <c r="L92" s="46" t="s">
        <v>95</v>
      </c>
      <c r="M92" s="46" t="s">
        <v>95</v>
      </c>
      <c r="N92" s="46" t="s">
        <v>95</v>
      </c>
      <c r="O92" s="46" t="s">
        <v>95</v>
      </c>
      <c r="P92" s="46" t="s">
        <v>3</v>
      </c>
      <c r="Q92" s="46" t="s">
        <v>3</v>
      </c>
      <c r="R92" s="46" t="s">
        <v>3</v>
      </c>
      <c r="S92" s="46" t="s">
        <v>3</v>
      </c>
      <c r="T92" s="46" t="s">
        <v>3</v>
      </c>
      <c r="U92" s="47" t="s">
        <v>95</v>
      </c>
      <c r="V92" s="47" t="s">
        <v>95</v>
      </c>
      <c r="W92" s="47" t="s">
        <v>95</v>
      </c>
      <c r="X92" s="46" t="s">
        <v>3</v>
      </c>
      <c r="Y92" s="46" t="s">
        <v>3</v>
      </c>
      <c r="Z92" s="46" t="s">
        <v>3</v>
      </c>
      <c r="AA92" s="46" t="s">
        <v>3</v>
      </c>
      <c r="AB92" s="46" t="s">
        <v>3</v>
      </c>
      <c r="AC92" s="46" t="s">
        <v>3</v>
      </c>
      <c r="AG92" s="89"/>
      <c r="AH92" s="89"/>
      <c r="AI92" s="89"/>
      <c r="AJ92" s="89"/>
      <c r="AK92" s="89"/>
    </row>
    <row r="93" spans="1:37" s="18" customFormat="1" ht="12" customHeight="1" x14ac:dyDescent="0.15">
      <c r="A93" s="76" t="s">
        <v>402</v>
      </c>
      <c r="B93" s="69"/>
      <c r="C93" s="69" t="s">
        <v>3</v>
      </c>
      <c r="D93" s="69" t="s">
        <v>3</v>
      </c>
      <c r="E93" s="69" t="s">
        <v>3</v>
      </c>
      <c r="F93" s="69" t="s">
        <v>3</v>
      </c>
      <c r="G93" s="69" t="s">
        <v>4067</v>
      </c>
      <c r="H93" s="69" t="s">
        <v>3732</v>
      </c>
      <c r="I93" s="69" t="s">
        <v>4068</v>
      </c>
      <c r="J93" s="69" t="s">
        <v>4155</v>
      </c>
      <c r="K93" s="69" t="s">
        <v>4155</v>
      </c>
      <c r="L93" s="69" t="s">
        <v>4155</v>
      </c>
      <c r="M93" s="69" t="s">
        <v>4155</v>
      </c>
      <c r="N93" s="69" t="s">
        <v>4155</v>
      </c>
      <c r="O93" s="69" t="s">
        <v>4155</v>
      </c>
      <c r="P93" s="69" t="s">
        <v>3</v>
      </c>
      <c r="Q93" s="69" t="s">
        <v>3</v>
      </c>
      <c r="R93" s="69" t="s">
        <v>3</v>
      </c>
      <c r="S93" s="69" t="s">
        <v>3</v>
      </c>
      <c r="T93" s="69" t="s">
        <v>3</v>
      </c>
      <c r="U93" s="69" t="s">
        <v>4590</v>
      </c>
      <c r="V93" s="69" t="s">
        <v>4538</v>
      </c>
      <c r="W93" s="69" t="s">
        <v>4538</v>
      </c>
      <c r="X93" s="69" t="s">
        <v>3</v>
      </c>
      <c r="Y93" s="69" t="s">
        <v>3</v>
      </c>
      <c r="Z93" s="69" t="s">
        <v>3</v>
      </c>
      <c r="AA93" s="69" t="s">
        <v>3</v>
      </c>
      <c r="AB93" s="69" t="s">
        <v>3</v>
      </c>
      <c r="AC93" s="69" t="s">
        <v>3</v>
      </c>
      <c r="AG93" s="89"/>
    </row>
    <row r="94" spans="1:37" s="18" customFormat="1" ht="22.5" customHeight="1" x14ac:dyDescent="0.15">
      <c r="A94" s="25" t="s">
        <v>78</v>
      </c>
      <c r="B94" s="285"/>
      <c r="C94" s="46" t="s">
        <v>3</v>
      </c>
      <c r="D94" s="46" t="s">
        <v>95</v>
      </c>
      <c r="E94" s="46" t="s">
        <v>95</v>
      </c>
      <c r="F94" s="46" t="s">
        <v>95</v>
      </c>
      <c r="G94" s="47" t="s">
        <v>4044</v>
      </c>
      <c r="H94" s="46" t="s">
        <v>3</v>
      </c>
      <c r="I94" s="47" t="s">
        <v>4044</v>
      </c>
      <c r="J94" s="47" t="s">
        <v>3</v>
      </c>
      <c r="K94" s="47" t="s">
        <v>3</v>
      </c>
      <c r="L94" s="47" t="s">
        <v>4127</v>
      </c>
      <c r="M94" s="47" t="s">
        <v>4255</v>
      </c>
      <c r="N94" s="47" t="s">
        <v>4127</v>
      </c>
      <c r="O94" s="47" t="s">
        <v>4255</v>
      </c>
      <c r="P94" s="47" t="s">
        <v>3</v>
      </c>
      <c r="Q94" s="47" t="s">
        <v>3</v>
      </c>
      <c r="R94" s="47" t="s">
        <v>3</v>
      </c>
      <c r="S94" s="46" t="s">
        <v>95</v>
      </c>
      <c r="T94" s="46" t="s">
        <v>3</v>
      </c>
      <c r="U94" s="47" t="s">
        <v>4980</v>
      </c>
      <c r="V94" s="47" t="s">
        <v>4980</v>
      </c>
      <c r="W94" s="47" t="s">
        <v>95</v>
      </c>
      <c r="X94" s="46" t="s">
        <v>3</v>
      </c>
      <c r="Y94" s="47" t="s">
        <v>3</v>
      </c>
      <c r="Z94" s="47" t="s">
        <v>3</v>
      </c>
      <c r="AA94" s="47" t="s">
        <v>3</v>
      </c>
      <c r="AB94" s="46" t="s">
        <v>3</v>
      </c>
      <c r="AC94" s="46" t="s">
        <v>95</v>
      </c>
      <c r="AG94" s="89"/>
      <c r="AH94" s="89"/>
      <c r="AI94" s="89"/>
      <c r="AJ94" s="89"/>
      <c r="AK94" s="89"/>
    </row>
    <row r="95" spans="1:37" s="18" customFormat="1" ht="12" customHeight="1" x14ac:dyDescent="0.15">
      <c r="A95" s="76" t="s">
        <v>402</v>
      </c>
      <c r="B95" s="69"/>
      <c r="C95" s="69" t="s">
        <v>2785</v>
      </c>
      <c r="D95" s="69" t="s">
        <v>2785</v>
      </c>
      <c r="E95" s="69" t="s">
        <v>3853</v>
      </c>
      <c r="F95" s="69" t="s">
        <v>3853</v>
      </c>
      <c r="G95" s="69" t="s">
        <v>4067</v>
      </c>
      <c r="H95" s="69" t="s">
        <v>3732</v>
      </c>
      <c r="I95" s="69" t="s">
        <v>4067</v>
      </c>
      <c r="J95" s="69" t="s">
        <v>4158</v>
      </c>
      <c r="K95" s="69" t="s">
        <v>4158</v>
      </c>
      <c r="L95" s="69" t="s">
        <v>4160</v>
      </c>
      <c r="M95" s="69" t="s">
        <v>4160</v>
      </c>
      <c r="N95" s="69" t="s">
        <v>4160</v>
      </c>
      <c r="O95" s="69" t="s">
        <v>4160</v>
      </c>
      <c r="P95" s="69" t="s">
        <v>4724</v>
      </c>
      <c r="Q95" s="69" t="s">
        <v>4724</v>
      </c>
      <c r="R95" s="69" t="s">
        <v>4724</v>
      </c>
      <c r="S95" s="69" t="s">
        <v>1737</v>
      </c>
      <c r="T95" s="69" t="s">
        <v>4468</v>
      </c>
      <c r="U95" s="69" t="s">
        <v>4590</v>
      </c>
      <c r="V95" s="69" t="s">
        <v>4538</v>
      </c>
      <c r="W95" s="69" t="s">
        <v>4538</v>
      </c>
      <c r="X95" s="69"/>
      <c r="Y95" s="69" t="s">
        <v>4724</v>
      </c>
      <c r="Z95" s="69" t="s">
        <v>4724</v>
      </c>
      <c r="AA95" s="69" t="s">
        <v>4724</v>
      </c>
      <c r="AB95" s="69" t="s">
        <v>4367</v>
      </c>
      <c r="AC95" s="69" t="s">
        <v>4356</v>
      </c>
      <c r="AG95" s="89"/>
    </row>
    <row r="96" spans="1:37" s="18" customFormat="1" ht="4.5" customHeight="1" x14ac:dyDescent="0.15">
      <c r="A96" s="28"/>
      <c r="B96" s="31"/>
      <c r="C96" s="31"/>
      <c r="D96" s="31"/>
      <c r="E96" s="31"/>
      <c r="F96" s="31"/>
      <c r="G96" s="31"/>
      <c r="H96" s="31"/>
      <c r="I96" s="31"/>
      <c r="J96" s="31"/>
      <c r="K96" s="31"/>
      <c r="L96" s="31"/>
      <c r="M96" s="31"/>
      <c r="N96" s="31"/>
      <c r="O96" s="31"/>
      <c r="P96" s="31"/>
      <c r="Q96" s="31"/>
      <c r="R96" s="31"/>
      <c r="S96" s="31"/>
      <c r="T96" s="31"/>
      <c r="U96" s="32"/>
      <c r="V96" s="32"/>
      <c r="W96" s="31"/>
      <c r="X96" s="32"/>
      <c r="Y96" s="31"/>
      <c r="Z96" s="31"/>
      <c r="AA96" s="31"/>
      <c r="AB96" s="31"/>
      <c r="AC96" s="31"/>
      <c r="AG96" s="89"/>
      <c r="AH96" s="89"/>
      <c r="AI96" s="89"/>
      <c r="AJ96" s="89"/>
      <c r="AK96" s="89"/>
    </row>
    <row r="97" spans="1:37" s="18" customFormat="1" ht="22.5" customHeight="1" x14ac:dyDescent="0.15">
      <c r="A97" s="90" t="s">
        <v>3894</v>
      </c>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G97" s="89"/>
      <c r="AH97" s="89"/>
      <c r="AI97" s="89"/>
      <c r="AJ97" s="89"/>
      <c r="AK97" s="89"/>
    </row>
    <row r="98" spans="1:37" s="18" customFormat="1" ht="22.5" customHeight="1" x14ac:dyDescent="0.15">
      <c r="A98" s="25" t="s">
        <v>3692</v>
      </c>
      <c r="B98" s="284"/>
      <c r="C98" s="47" t="s">
        <v>191</v>
      </c>
      <c r="D98" s="47" t="s">
        <v>191</v>
      </c>
      <c r="E98" s="47" t="s">
        <v>95</v>
      </c>
      <c r="F98" s="47" t="s">
        <v>95</v>
      </c>
      <c r="G98" s="46" t="s">
        <v>95</v>
      </c>
      <c r="H98" s="46" t="s">
        <v>95</v>
      </c>
      <c r="I98" s="46" t="s">
        <v>95</v>
      </c>
      <c r="J98" s="46" t="s">
        <v>95</v>
      </c>
      <c r="K98" s="46" t="s">
        <v>95</v>
      </c>
      <c r="L98" s="46" t="s">
        <v>95</v>
      </c>
      <c r="M98" s="46" t="s">
        <v>95</v>
      </c>
      <c r="N98" s="46" t="s">
        <v>95</v>
      </c>
      <c r="O98" s="46" t="s">
        <v>95</v>
      </c>
      <c r="P98" s="46" t="s">
        <v>95</v>
      </c>
      <c r="Q98" s="46" t="s">
        <v>95</v>
      </c>
      <c r="R98" s="46" t="s">
        <v>95</v>
      </c>
      <c r="S98" s="47" t="s">
        <v>95</v>
      </c>
      <c r="T98" s="46" t="s">
        <v>95</v>
      </c>
      <c r="U98" s="46" t="s">
        <v>95</v>
      </c>
      <c r="V98" s="46" t="s">
        <v>95</v>
      </c>
      <c r="W98" s="46" t="s">
        <v>95</v>
      </c>
      <c r="X98" s="46" t="s">
        <v>3</v>
      </c>
      <c r="Y98" s="46" t="s">
        <v>95</v>
      </c>
      <c r="Z98" s="46" t="s">
        <v>95</v>
      </c>
      <c r="AA98" s="46" t="s">
        <v>95</v>
      </c>
      <c r="AB98" s="47" t="s">
        <v>95</v>
      </c>
      <c r="AC98" s="47" t="s">
        <v>95</v>
      </c>
      <c r="AG98" s="89"/>
      <c r="AH98" s="89"/>
      <c r="AI98" s="89"/>
      <c r="AJ98" s="89"/>
      <c r="AK98" s="89"/>
    </row>
    <row r="99" spans="1:37" s="18" customFormat="1" ht="12" customHeight="1" x14ac:dyDescent="0.15">
      <c r="A99" s="76" t="s">
        <v>402</v>
      </c>
      <c r="B99" s="69"/>
      <c r="C99" s="69" t="s">
        <v>3740</v>
      </c>
      <c r="D99" s="69" t="s">
        <v>3740</v>
      </c>
      <c r="E99" s="69" t="s">
        <v>3895</v>
      </c>
      <c r="F99" s="69" t="s">
        <v>3895</v>
      </c>
      <c r="G99" s="69" t="s">
        <v>4013</v>
      </c>
      <c r="H99" s="69" t="s">
        <v>4013</v>
      </c>
      <c r="I99" s="69" t="s">
        <v>4013</v>
      </c>
      <c r="J99" s="69" t="s">
        <v>4137</v>
      </c>
      <c r="K99" s="69" t="s">
        <v>4137</v>
      </c>
      <c r="L99" s="69" t="s">
        <v>4137</v>
      </c>
      <c r="M99" s="69" t="s">
        <v>4137</v>
      </c>
      <c r="N99" s="69" t="s">
        <v>4137</v>
      </c>
      <c r="O99" s="69" t="s">
        <v>4137</v>
      </c>
      <c r="P99" s="69" t="s">
        <v>4725</v>
      </c>
      <c r="Q99" s="69" t="s">
        <v>4725</v>
      </c>
      <c r="R99" s="69" t="s">
        <v>4725</v>
      </c>
      <c r="S99" s="69" t="s">
        <v>1788</v>
      </c>
      <c r="T99" s="69" t="s">
        <v>4459</v>
      </c>
      <c r="U99" s="69" t="s">
        <v>4459</v>
      </c>
      <c r="V99" s="69" t="s">
        <v>4459</v>
      </c>
      <c r="W99" s="69" t="s">
        <v>4459</v>
      </c>
      <c r="X99" s="69" t="s">
        <v>3</v>
      </c>
      <c r="Y99" s="69" t="s">
        <v>4725</v>
      </c>
      <c r="Z99" s="69" t="s">
        <v>4725</v>
      </c>
      <c r="AA99" s="69" t="s">
        <v>4725</v>
      </c>
      <c r="AB99" s="69" t="s">
        <v>4366</v>
      </c>
      <c r="AC99" s="69" t="s">
        <v>4366</v>
      </c>
      <c r="AG99" s="89"/>
    </row>
    <row r="100" spans="1:37" s="18" customFormat="1" ht="30.75" customHeight="1" x14ac:dyDescent="0.15">
      <c r="A100" s="25" t="s">
        <v>40</v>
      </c>
      <c r="B100" s="285"/>
      <c r="C100" s="46" t="s">
        <v>3</v>
      </c>
      <c r="D100" s="46" t="s">
        <v>3</v>
      </c>
      <c r="E100" s="47" t="s">
        <v>4981</v>
      </c>
      <c r="F100" s="47" t="s">
        <v>4981</v>
      </c>
      <c r="G100" s="46" t="s">
        <v>95</v>
      </c>
      <c r="H100" s="46" t="s">
        <v>95</v>
      </c>
      <c r="I100" s="46" t="s">
        <v>95</v>
      </c>
      <c r="J100" s="46" t="s">
        <v>95</v>
      </c>
      <c r="K100" s="46" t="s">
        <v>95</v>
      </c>
      <c r="L100" s="46" t="s">
        <v>95</v>
      </c>
      <c r="M100" s="46" t="s">
        <v>95</v>
      </c>
      <c r="N100" s="46" t="s">
        <v>95</v>
      </c>
      <c r="O100" s="46" t="s">
        <v>95</v>
      </c>
      <c r="P100" s="46" t="s">
        <v>3</v>
      </c>
      <c r="Q100" s="46" t="s">
        <v>3</v>
      </c>
      <c r="R100" s="46" t="s">
        <v>3</v>
      </c>
      <c r="S100" s="47" t="s">
        <v>95</v>
      </c>
      <c r="T100" s="46" t="s">
        <v>95</v>
      </c>
      <c r="U100" s="46" t="s">
        <v>95</v>
      </c>
      <c r="V100" s="46" t="s">
        <v>95</v>
      </c>
      <c r="W100" s="46" t="s">
        <v>95</v>
      </c>
      <c r="X100" s="46" t="s">
        <v>3</v>
      </c>
      <c r="Y100" s="46" t="s">
        <v>3</v>
      </c>
      <c r="Z100" s="46" t="s">
        <v>3</v>
      </c>
      <c r="AA100" s="46" t="s">
        <v>3</v>
      </c>
      <c r="AB100" s="47" t="s">
        <v>4981</v>
      </c>
      <c r="AC100" s="47" t="s">
        <v>4981</v>
      </c>
      <c r="AG100" s="89"/>
      <c r="AH100" s="89"/>
      <c r="AI100" s="89"/>
      <c r="AJ100" s="89"/>
      <c r="AK100" s="89"/>
    </row>
    <row r="101" spans="1:37" s="18" customFormat="1" ht="12" customHeight="1" x14ac:dyDescent="0.15">
      <c r="A101" s="76" t="s">
        <v>402</v>
      </c>
      <c r="B101" s="69"/>
      <c r="C101" s="69" t="s">
        <v>2792</v>
      </c>
      <c r="D101" s="69" t="s">
        <v>2792</v>
      </c>
      <c r="E101" s="69" t="s">
        <v>3895</v>
      </c>
      <c r="F101" s="69" t="s">
        <v>3895</v>
      </c>
      <c r="G101" s="69" t="s">
        <v>4013</v>
      </c>
      <c r="H101" s="69" t="s">
        <v>4013</v>
      </c>
      <c r="I101" s="69" t="s">
        <v>4013</v>
      </c>
      <c r="J101" s="69" t="s">
        <v>4137</v>
      </c>
      <c r="K101" s="69" t="s">
        <v>4137</v>
      </c>
      <c r="L101" s="69" t="s">
        <v>4137</v>
      </c>
      <c r="M101" s="69" t="s">
        <v>4137</v>
      </c>
      <c r="N101" s="69" t="s">
        <v>4137</v>
      </c>
      <c r="O101" s="69" t="s">
        <v>4137</v>
      </c>
      <c r="P101" s="69" t="s">
        <v>3</v>
      </c>
      <c r="Q101" s="69" t="s">
        <v>3</v>
      </c>
      <c r="R101" s="69" t="s">
        <v>3</v>
      </c>
      <c r="S101" s="69" t="s">
        <v>1788</v>
      </c>
      <c r="T101" s="69" t="s">
        <v>4459</v>
      </c>
      <c r="U101" s="69" t="s">
        <v>4459</v>
      </c>
      <c r="V101" s="69" t="s">
        <v>4459</v>
      </c>
      <c r="W101" s="69" t="s">
        <v>4459</v>
      </c>
      <c r="X101" s="69" t="s">
        <v>3</v>
      </c>
      <c r="Y101" s="69" t="s">
        <v>3</v>
      </c>
      <c r="Z101" s="69" t="s">
        <v>3</v>
      </c>
      <c r="AA101" s="69" t="s">
        <v>3</v>
      </c>
      <c r="AB101" s="69" t="s">
        <v>4365</v>
      </c>
      <c r="AC101" s="69" t="s">
        <v>4365</v>
      </c>
      <c r="AG101" s="89"/>
    </row>
    <row r="102" spans="1:37" s="18" customFormat="1" ht="121.5" customHeight="1" x14ac:dyDescent="0.15">
      <c r="A102" s="25" t="s">
        <v>39</v>
      </c>
      <c r="B102" s="284"/>
      <c r="C102" s="47" t="s">
        <v>4982</v>
      </c>
      <c r="D102" s="47" t="s">
        <v>4982</v>
      </c>
      <c r="E102" s="47" t="s">
        <v>4983</v>
      </c>
      <c r="F102" s="47" t="s">
        <v>4983</v>
      </c>
      <c r="G102" s="47" t="s">
        <v>4984</v>
      </c>
      <c r="H102" s="47" t="s">
        <v>4983</v>
      </c>
      <c r="I102" s="47" t="s">
        <v>4985</v>
      </c>
      <c r="J102" s="47" t="s">
        <v>4986</v>
      </c>
      <c r="K102" s="47" t="s">
        <v>4986</v>
      </c>
      <c r="L102" s="47" t="s">
        <v>4986</v>
      </c>
      <c r="M102" s="47" t="s">
        <v>4986</v>
      </c>
      <c r="N102" s="47" t="s">
        <v>4986</v>
      </c>
      <c r="O102" s="47" t="s">
        <v>4986</v>
      </c>
      <c r="P102" s="47" t="s">
        <v>4726</v>
      </c>
      <c r="Q102" s="47" t="s">
        <v>4726</v>
      </c>
      <c r="R102" s="47" t="s">
        <v>4726</v>
      </c>
      <c r="S102" s="47" t="s">
        <v>4987</v>
      </c>
      <c r="T102" s="47" t="s">
        <v>4986</v>
      </c>
      <c r="U102" s="47" t="s">
        <v>4988</v>
      </c>
      <c r="V102" s="47" t="s">
        <v>4988</v>
      </c>
      <c r="W102" s="47" t="s">
        <v>4989</v>
      </c>
      <c r="X102" s="46" t="s">
        <v>3</v>
      </c>
      <c r="Y102" s="47" t="s">
        <v>4726</v>
      </c>
      <c r="Z102" s="47" t="s">
        <v>4726</v>
      </c>
      <c r="AA102" s="47" t="s">
        <v>4726</v>
      </c>
      <c r="AB102" s="47" t="s">
        <v>4990</v>
      </c>
      <c r="AC102" s="47" t="s">
        <v>4990</v>
      </c>
      <c r="AG102" s="89"/>
      <c r="AH102" s="89"/>
      <c r="AI102" s="89"/>
      <c r="AJ102" s="89"/>
      <c r="AK102" s="89"/>
    </row>
    <row r="103" spans="1:37" s="18" customFormat="1" ht="12" customHeight="1" x14ac:dyDescent="0.15">
      <c r="A103" s="76" t="s">
        <v>402</v>
      </c>
      <c r="B103" s="69"/>
      <c r="C103" s="69" t="s">
        <v>3787</v>
      </c>
      <c r="D103" s="69" t="s">
        <v>3787</v>
      </c>
      <c r="E103" s="69" t="s">
        <v>3896</v>
      </c>
      <c r="F103" s="69" t="s">
        <v>3896</v>
      </c>
      <c r="G103" s="69" t="s">
        <v>3976</v>
      </c>
      <c r="H103" s="69" t="s">
        <v>4014</v>
      </c>
      <c r="I103" s="69" t="s">
        <v>4060</v>
      </c>
      <c r="J103" s="69" t="s">
        <v>4140</v>
      </c>
      <c r="K103" s="69" t="s">
        <v>4140</v>
      </c>
      <c r="L103" s="69" t="s">
        <v>4140</v>
      </c>
      <c r="M103" s="69" t="s">
        <v>4140</v>
      </c>
      <c r="N103" s="69" t="s">
        <v>4140</v>
      </c>
      <c r="O103" s="69" t="s">
        <v>4140</v>
      </c>
      <c r="P103" s="69" t="s">
        <v>4727</v>
      </c>
      <c r="Q103" s="69" t="s">
        <v>4727</v>
      </c>
      <c r="R103" s="69" t="s">
        <v>4727</v>
      </c>
      <c r="S103" s="69" t="s">
        <v>1732</v>
      </c>
      <c r="T103" s="69" t="s">
        <v>4462</v>
      </c>
      <c r="U103" s="69" t="s">
        <v>4592</v>
      </c>
      <c r="V103" s="69" t="s">
        <v>4531</v>
      </c>
      <c r="W103" s="69" t="s">
        <v>4531</v>
      </c>
      <c r="X103" s="69" t="s">
        <v>3</v>
      </c>
      <c r="Y103" s="69" t="s">
        <v>4727</v>
      </c>
      <c r="Z103" s="69" t="s">
        <v>4727</v>
      </c>
      <c r="AA103" s="69" t="s">
        <v>4727</v>
      </c>
      <c r="AB103" s="69" t="s">
        <v>4364</v>
      </c>
      <c r="AC103" s="69" t="s">
        <v>4364</v>
      </c>
      <c r="AG103" s="89"/>
    </row>
    <row r="104" spans="1:37" s="18" customFormat="1" ht="43.5" customHeight="1" x14ac:dyDescent="0.15">
      <c r="A104" s="25" t="s">
        <v>77</v>
      </c>
      <c r="B104" s="284"/>
      <c r="C104" s="47" t="s">
        <v>4991</v>
      </c>
      <c r="D104" s="47" t="s">
        <v>191</v>
      </c>
      <c r="E104" s="47" t="s">
        <v>95</v>
      </c>
      <c r="F104" s="47" t="s">
        <v>95</v>
      </c>
      <c r="G104" s="47" t="s">
        <v>4086</v>
      </c>
      <c r="H104" s="47" t="s">
        <v>4085</v>
      </c>
      <c r="I104" s="47" t="s">
        <v>95</v>
      </c>
      <c r="J104" s="47" t="s">
        <v>4085</v>
      </c>
      <c r="K104" s="47" t="s">
        <v>4085</v>
      </c>
      <c r="L104" s="47" t="s">
        <v>4509</v>
      </c>
      <c r="M104" s="47" t="s">
        <v>4510</v>
      </c>
      <c r="N104" s="47" t="s">
        <v>4509</v>
      </c>
      <c r="O104" s="47" t="s">
        <v>4510</v>
      </c>
      <c r="P104" s="47" t="s">
        <v>4728</v>
      </c>
      <c r="Q104" s="47" t="s">
        <v>95</v>
      </c>
      <c r="R104" s="47" t="s">
        <v>95</v>
      </c>
      <c r="S104" s="47" t="s">
        <v>4595</v>
      </c>
      <c r="T104" s="47" t="s">
        <v>4085</v>
      </c>
      <c r="U104" s="47" t="s">
        <v>4593</v>
      </c>
      <c r="V104" s="47" t="s">
        <v>4593</v>
      </c>
      <c r="W104" s="47" t="s">
        <v>4594</v>
      </c>
      <c r="X104" s="46" t="s">
        <v>3</v>
      </c>
      <c r="Y104" s="47" t="s">
        <v>4728</v>
      </c>
      <c r="Z104" s="47" t="s">
        <v>95</v>
      </c>
      <c r="AA104" s="47" t="s">
        <v>95</v>
      </c>
      <c r="AB104" s="47" t="s">
        <v>3</v>
      </c>
      <c r="AC104" s="47" t="s">
        <v>14</v>
      </c>
      <c r="AG104" s="89"/>
      <c r="AH104" s="89"/>
      <c r="AI104" s="89"/>
      <c r="AJ104" s="89"/>
      <c r="AK104" s="89"/>
    </row>
    <row r="105" spans="1:37" s="18" customFormat="1" ht="12" customHeight="1" x14ac:dyDescent="0.15">
      <c r="A105" s="76" t="s">
        <v>402</v>
      </c>
      <c r="B105" s="69"/>
      <c r="C105" s="69" t="s">
        <v>2769</v>
      </c>
      <c r="D105" s="69" t="s">
        <v>2769</v>
      </c>
      <c r="E105" s="69" t="s">
        <v>3857</v>
      </c>
      <c r="F105" s="69" t="s">
        <v>3857</v>
      </c>
      <c r="G105" s="69" t="s">
        <v>3976</v>
      </c>
      <c r="H105" s="69" t="s">
        <v>4014</v>
      </c>
      <c r="I105" s="69" t="s">
        <v>4060</v>
      </c>
      <c r="J105" s="69" t="s">
        <v>4143</v>
      </c>
      <c r="K105" s="69" t="s">
        <v>4143</v>
      </c>
      <c r="L105" s="69" t="s">
        <v>4143</v>
      </c>
      <c r="M105" s="69" t="s">
        <v>4143</v>
      </c>
      <c r="N105" s="69" t="s">
        <v>4143</v>
      </c>
      <c r="O105" s="69" t="s">
        <v>4143</v>
      </c>
      <c r="P105" s="69" t="s">
        <v>4727</v>
      </c>
      <c r="Q105" s="69" t="s">
        <v>4729</v>
      </c>
      <c r="R105" s="69" t="s">
        <v>4729</v>
      </c>
      <c r="S105" s="69" t="s">
        <v>1732</v>
      </c>
      <c r="T105" s="69" t="s">
        <v>4462</v>
      </c>
      <c r="U105" s="69" t="s">
        <v>4592</v>
      </c>
      <c r="V105" s="69" t="s">
        <v>4531</v>
      </c>
      <c r="W105" s="69" t="s">
        <v>4531</v>
      </c>
      <c r="X105" s="69" t="s">
        <v>3</v>
      </c>
      <c r="Y105" s="69" t="s">
        <v>4727</v>
      </c>
      <c r="Z105" s="69" t="s">
        <v>4729</v>
      </c>
      <c r="AA105" s="69" t="s">
        <v>4729</v>
      </c>
      <c r="AB105" s="69" t="s">
        <v>3</v>
      </c>
      <c r="AC105" s="69" t="s">
        <v>4363</v>
      </c>
      <c r="AG105" s="89"/>
    </row>
    <row r="106" spans="1:37" s="18" customFormat="1" ht="43.5" customHeight="1" x14ac:dyDescent="0.15">
      <c r="A106" s="25" t="s">
        <v>4084</v>
      </c>
      <c r="B106" s="284"/>
      <c r="C106" s="47" t="s">
        <v>4991</v>
      </c>
      <c r="D106" s="47" t="s">
        <v>191</v>
      </c>
      <c r="E106" s="47" t="s">
        <v>95</v>
      </c>
      <c r="F106" s="47" t="s">
        <v>95</v>
      </c>
      <c r="G106" s="47" t="s">
        <v>378</v>
      </c>
      <c r="H106" s="47" t="s">
        <v>3</v>
      </c>
      <c r="I106" s="47" t="s">
        <v>378</v>
      </c>
      <c r="J106" s="47" t="s">
        <v>3</v>
      </c>
      <c r="K106" s="47" t="s">
        <v>3</v>
      </c>
      <c r="L106" s="47" t="s">
        <v>4144</v>
      </c>
      <c r="M106" s="47" t="s">
        <v>3973</v>
      </c>
      <c r="N106" s="47" t="s">
        <v>4144</v>
      </c>
      <c r="O106" s="47" t="s">
        <v>3973</v>
      </c>
      <c r="P106" s="47" t="s">
        <v>3</v>
      </c>
      <c r="Q106" s="47" t="s">
        <v>95</v>
      </c>
      <c r="R106" s="47" t="s">
        <v>95</v>
      </c>
      <c r="S106" s="47" t="s">
        <v>3</v>
      </c>
      <c r="T106" s="47" t="s">
        <v>3</v>
      </c>
      <c r="U106" s="46" t="s">
        <v>3</v>
      </c>
      <c r="V106" s="46" t="s">
        <v>3</v>
      </c>
      <c r="W106" s="47" t="s">
        <v>3</v>
      </c>
      <c r="X106" s="46" t="s">
        <v>3</v>
      </c>
      <c r="Y106" s="47" t="s">
        <v>3</v>
      </c>
      <c r="Z106" s="47" t="s">
        <v>95</v>
      </c>
      <c r="AA106" s="47" t="s">
        <v>95</v>
      </c>
      <c r="AB106" s="47" t="s">
        <v>3</v>
      </c>
      <c r="AC106" s="47" t="s">
        <v>14</v>
      </c>
      <c r="AF106" s="89"/>
      <c r="AG106" s="89"/>
      <c r="AH106" s="89"/>
      <c r="AI106" s="89"/>
      <c r="AJ106" s="89"/>
      <c r="AK106" s="89"/>
    </row>
    <row r="107" spans="1:37" s="18" customFormat="1" ht="12" customHeight="1" x14ac:dyDescent="0.15">
      <c r="A107" s="76" t="s">
        <v>402</v>
      </c>
      <c r="B107" s="69"/>
      <c r="C107" s="69" t="s">
        <v>2769</v>
      </c>
      <c r="D107" s="69" t="s">
        <v>2769</v>
      </c>
      <c r="E107" s="69" t="s">
        <v>3857</v>
      </c>
      <c r="F107" s="69" t="s">
        <v>3857</v>
      </c>
      <c r="G107" s="69" t="s">
        <v>3976</v>
      </c>
      <c r="H107" s="69" t="s">
        <v>4014</v>
      </c>
      <c r="I107" s="69" t="s">
        <v>4087</v>
      </c>
      <c r="J107" s="69" t="s">
        <v>4143</v>
      </c>
      <c r="K107" s="69" t="s">
        <v>4143</v>
      </c>
      <c r="L107" s="69" t="s">
        <v>4143</v>
      </c>
      <c r="M107" s="69" t="s">
        <v>4143</v>
      </c>
      <c r="N107" s="69" t="s">
        <v>4143</v>
      </c>
      <c r="O107" s="69" t="s">
        <v>4143</v>
      </c>
      <c r="P107" s="69" t="s">
        <v>3</v>
      </c>
      <c r="Q107" s="69" t="s">
        <v>4730</v>
      </c>
      <c r="R107" s="69" t="s">
        <v>4730</v>
      </c>
      <c r="S107" s="69" t="s">
        <v>1732</v>
      </c>
      <c r="T107" s="69" t="s">
        <v>4462</v>
      </c>
      <c r="U107" s="69" t="s">
        <v>4462</v>
      </c>
      <c r="V107" s="69" t="s">
        <v>4462</v>
      </c>
      <c r="W107" s="69" t="s">
        <v>4462</v>
      </c>
      <c r="X107" s="69" t="s">
        <v>3</v>
      </c>
      <c r="Y107" s="69" t="s">
        <v>3</v>
      </c>
      <c r="Z107" s="69" t="s">
        <v>4730</v>
      </c>
      <c r="AA107" s="69" t="s">
        <v>4730</v>
      </c>
      <c r="AB107" s="69" t="s">
        <v>3</v>
      </c>
      <c r="AC107" s="69" t="s">
        <v>4362</v>
      </c>
      <c r="AG107" s="89"/>
    </row>
    <row r="108" spans="1:37" s="18" customFormat="1" ht="36" customHeight="1" x14ac:dyDescent="0.15">
      <c r="A108" s="25" t="s">
        <v>3739</v>
      </c>
      <c r="B108" s="284"/>
      <c r="C108" s="47" t="s">
        <v>191</v>
      </c>
      <c r="D108" s="47" t="s">
        <v>191</v>
      </c>
      <c r="E108" s="47" t="s">
        <v>95</v>
      </c>
      <c r="F108" s="47" t="s">
        <v>95</v>
      </c>
      <c r="G108" s="47" t="s">
        <v>95</v>
      </c>
      <c r="H108" s="47" t="s">
        <v>95</v>
      </c>
      <c r="I108" s="47" t="s">
        <v>95</v>
      </c>
      <c r="J108" s="46" t="s">
        <v>95</v>
      </c>
      <c r="K108" s="46" t="s">
        <v>95</v>
      </c>
      <c r="L108" s="46" t="s">
        <v>95</v>
      </c>
      <c r="M108" s="46" t="s">
        <v>95</v>
      </c>
      <c r="N108" s="46" t="s">
        <v>95</v>
      </c>
      <c r="O108" s="46" t="s">
        <v>95</v>
      </c>
      <c r="P108" s="47" t="s">
        <v>3949</v>
      </c>
      <c r="Q108" s="47" t="s">
        <v>3949</v>
      </c>
      <c r="R108" s="47" t="s">
        <v>3949</v>
      </c>
      <c r="S108" s="47" t="s">
        <v>95</v>
      </c>
      <c r="T108" s="46" t="s">
        <v>95</v>
      </c>
      <c r="U108" s="46" t="s">
        <v>95</v>
      </c>
      <c r="V108" s="46" t="s">
        <v>95</v>
      </c>
      <c r="W108" s="46" t="s">
        <v>95</v>
      </c>
      <c r="X108" s="46" t="s">
        <v>3</v>
      </c>
      <c r="Y108" s="47" t="s">
        <v>3949</v>
      </c>
      <c r="Z108" s="47" t="s">
        <v>3949</v>
      </c>
      <c r="AA108" s="47" t="s">
        <v>3949</v>
      </c>
      <c r="AB108" s="47" t="s">
        <v>95</v>
      </c>
      <c r="AC108" s="47" t="s">
        <v>95</v>
      </c>
      <c r="AG108" s="89"/>
      <c r="AH108" s="89"/>
      <c r="AI108" s="89"/>
      <c r="AJ108" s="89"/>
      <c r="AK108" s="89"/>
    </row>
    <row r="109" spans="1:37" s="18" customFormat="1" ht="12" customHeight="1" x14ac:dyDescent="0.15">
      <c r="A109" s="76" t="s">
        <v>402</v>
      </c>
      <c r="B109" s="69"/>
      <c r="C109" s="69" t="s">
        <v>3740</v>
      </c>
      <c r="D109" s="69" t="s">
        <v>3740</v>
      </c>
      <c r="E109" s="69" t="s">
        <v>3897</v>
      </c>
      <c r="F109" s="69" t="s">
        <v>3897</v>
      </c>
      <c r="G109" s="69" t="s">
        <v>3948</v>
      </c>
      <c r="H109" s="69" t="s">
        <v>4015</v>
      </c>
      <c r="I109" s="69" t="s">
        <v>3948</v>
      </c>
      <c r="J109" s="69" t="s">
        <v>4138</v>
      </c>
      <c r="K109" s="69" t="s">
        <v>4138</v>
      </c>
      <c r="L109" s="69" t="s">
        <v>4138</v>
      </c>
      <c r="M109" s="69" t="s">
        <v>4138</v>
      </c>
      <c r="N109" s="69" t="s">
        <v>4138</v>
      </c>
      <c r="O109" s="69" t="s">
        <v>4138</v>
      </c>
      <c r="P109" s="69" t="s">
        <v>4731</v>
      </c>
      <c r="Q109" s="69" t="s">
        <v>4731</v>
      </c>
      <c r="R109" s="69" t="s">
        <v>4731</v>
      </c>
      <c r="S109" s="69" t="s">
        <v>1729</v>
      </c>
      <c r="T109" s="69" t="s">
        <v>4460</v>
      </c>
      <c r="U109" s="69" t="s">
        <v>4460</v>
      </c>
      <c r="V109" s="69" t="s">
        <v>4460</v>
      </c>
      <c r="W109" s="69" t="s">
        <v>4460</v>
      </c>
      <c r="X109" s="69" t="s">
        <v>3</v>
      </c>
      <c r="Y109" s="69" t="s">
        <v>4731</v>
      </c>
      <c r="Z109" s="69" t="s">
        <v>4731</v>
      </c>
      <c r="AA109" s="69" t="s">
        <v>4731</v>
      </c>
      <c r="AB109" s="69" t="s">
        <v>4361</v>
      </c>
      <c r="AC109" s="69" t="s">
        <v>4361</v>
      </c>
      <c r="AG109" s="89"/>
    </row>
    <row r="110" spans="1:37" s="18" customFormat="1" ht="117" customHeight="1" x14ac:dyDescent="0.15">
      <c r="A110" s="25" t="s">
        <v>41</v>
      </c>
      <c r="B110" s="284"/>
      <c r="C110" s="47" t="s">
        <v>4992</v>
      </c>
      <c r="D110" s="47" t="s">
        <v>4992</v>
      </c>
      <c r="E110" s="47" t="s">
        <v>4993</v>
      </c>
      <c r="F110" s="47" t="s">
        <v>4993</v>
      </c>
      <c r="G110" s="47" t="s">
        <v>3983</v>
      </c>
      <c r="H110" s="47" t="s">
        <v>3984</v>
      </c>
      <c r="I110" s="47" t="s">
        <v>4901</v>
      </c>
      <c r="J110" s="47" t="s">
        <v>4992</v>
      </c>
      <c r="K110" s="47" t="s">
        <v>4992</v>
      </c>
      <c r="L110" s="47" t="s">
        <v>4992</v>
      </c>
      <c r="M110" s="47" t="s">
        <v>4992</v>
      </c>
      <c r="N110" s="47" t="s">
        <v>4992</v>
      </c>
      <c r="O110" s="47" t="s">
        <v>4992</v>
      </c>
      <c r="P110" s="47" t="s">
        <v>4732</v>
      </c>
      <c r="Q110" s="47" t="s">
        <v>4733</v>
      </c>
      <c r="R110" s="47" t="s">
        <v>4734</v>
      </c>
      <c r="S110" s="47" t="s">
        <v>4994</v>
      </c>
      <c r="T110" s="47" t="s">
        <v>4992</v>
      </c>
      <c r="U110" s="47" t="s">
        <v>4995</v>
      </c>
      <c r="V110" s="47" t="s">
        <v>4995</v>
      </c>
      <c r="W110" s="47" t="s">
        <v>4994</v>
      </c>
      <c r="X110" s="46" t="s">
        <v>3</v>
      </c>
      <c r="Y110" s="47" t="s">
        <v>4732</v>
      </c>
      <c r="Z110" s="47" t="s">
        <v>4733</v>
      </c>
      <c r="AA110" s="47" t="s">
        <v>4734</v>
      </c>
      <c r="AB110" s="47" t="s">
        <v>4992</v>
      </c>
      <c r="AC110" s="47" t="s">
        <v>4992</v>
      </c>
      <c r="AG110" s="89"/>
      <c r="AH110" s="89"/>
      <c r="AI110" s="89"/>
      <c r="AJ110" s="89"/>
      <c r="AK110" s="89"/>
    </row>
    <row r="111" spans="1:37" s="18" customFormat="1" ht="20.100000000000001" customHeight="1" x14ac:dyDescent="0.15">
      <c r="A111" s="76" t="s">
        <v>402</v>
      </c>
      <c r="B111" s="69"/>
      <c r="C111" s="69" t="s">
        <v>2793</v>
      </c>
      <c r="D111" s="69" t="s">
        <v>2793</v>
      </c>
      <c r="E111" s="69" t="s">
        <v>3902</v>
      </c>
      <c r="F111" s="69" t="s">
        <v>3902</v>
      </c>
      <c r="G111" s="69" t="s">
        <v>4061</v>
      </c>
      <c r="H111" s="69" t="s">
        <v>4016</v>
      </c>
      <c r="I111" s="69" t="s">
        <v>4062</v>
      </c>
      <c r="J111" s="69" t="s">
        <v>4141</v>
      </c>
      <c r="K111" s="69" t="s">
        <v>4141</v>
      </c>
      <c r="L111" s="69" t="s">
        <v>4141</v>
      </c>
      <c r="M111" s="69" t="s">
        <v>4141</v>
      </c>
      <c r="N111" s="69" t="s">
        <v>4141</v>
      </c>
      <c r="O111" s="69" t="s">
        <v>4141</v>
      </c>
      <c r="P111" s="69" t="s">
        <v>4735</v>
      </c>
      <c r="Q111" s="69" t="s">
        <v>4736</v>
      </c>
      <c r="R111" s="69" t="s">
        <v>4737</v>
      </c>
      <c r="S111" s="69" t="s">
        <v>1733</v>
      </c>
      <c r="T111" s="69" t="s">
        <v>4463</v>
      </c>
      <c r="U111" s="69" t="s">
        <v>4596</v>
      </c>
      <c r="V111" s="69" t="s">
        <v>4530</v>
      </c>
      <c r="W111" s="69" t="s">
        <v>4530</v>
      </c>
      <c r="X111" s="69" t="s">
        <v>3</v>
      </c>
      <c r="Y111" s="69" t="s">
        <v>4735</v>
      </c>
      <c r="Z111" s="69" t="s">
        <v>4736</v>
      </c>
      <c r="AA111" s="69" t="s">
        <v>4737</v>
      </c>
      <c r="AB111" s="69" t="s">
        <v>4360</v>
      </c>
      <c r="AC111" s="69" t="s">
        <v>4360</v>
      </c>
      <c r="AG111" s="89"/>
    </row>
    <row r="112" spans="1:37" s="18" customFormat="1" ht="27" customHeight="1" x14ac:dyDescent="0.15">
      <c r="A112" s="25" t="s">
        <v>3691</v>
      </c>
      <c r="B112" s="284"/>
      <c r="C112" s="47" t="s">
        <v>3898</v>
      </c>
      <c r="D112" s="47" t="s">
        <v>3898</v>
      </c>
      <c r="E112" s="47" t="s">
        <v>95</v>
      </c>
      <c r="F112" s="47" t="s">
        <v>95</v>
      </c>
      <c r="G112" s="47" t="s">
        <v>3949</v>
      </c>
      <c r="H112" s="47" t="s">
        <v>3949</v>
      </c>
      <c r="I112" s="47" t="s">
        <v>3949</v>
      </c>
      <c r="J112" s="47" t="s">
        <v>3949</v>
      </c>
      <c r="K112" s="47" t="s">
        <v>3949</v>
      </c>
      <c r="L112" s="47" t="s">
        <v>3949</v>
      </c>
      <c r="M112" s="47" t="s">
        <v>3949</v>
      </c>
      <c r="N112" s="47" t="s">
        <v>3949</v>
      </c>
      <c r="O112" s="47" t="s">
        <v>3949</v>
      </c>
      <c r="P112" s="47" t="s">
        <v>3949</v>
      </c>
      <c r="Q112" s="47" t="s">
        <v>3949</v>
      </c>
      <c r="R112" s="47" t="s">
        <v>3949</v>
      </c>
      <c r="S112" s="47" t="s">
        <v>4400</v>
      </c>
      <c r="T112" s="46" t="s">
        <v>95</v>
      </c>
      <c r="U112" s="46" t="s">
        <v>95</v>
      </c>
      <c r="V112" s="46" t="s">
        <v>95</v>
      </c>
      <c r="W112" s="46" t="s">
        <v>95</v>
      </c>
      <c r="X112" s="46" t="s">
        <v>3</v>
      </c>
      <c r="Y112" s="47" t="s">
        <v>3949</v>
      </c>
      <c r="Z112" s="47" t="s">
        <v>3949</v>
      </c>
      <c r="AA112" s="47" t="s">
        <v>3949</v>
      </c>
      <c r="AB112" s="47" t="s">
        <v>95</v>
      </c>
      <c r="AC112" s="47" t="s">
        <v>95</v>
      </c>
      <c r="AF112" s="89"/>
      <c r="AG112" s="89"/>
      <c r="AH112" s="89"/>
      <c r="AI112" s="89"/>
      <c r="AJ112" s="89"/>
      <c r="AK112" s="89"/>
    </row>
    <row r="113" spans="1:37" s="18" customFormat="1" ht="12" customHeight="1" x14ac:dyDescent="0.15">
      <c r="A113" s="76" t="s">
        <v>402</v>
      </c>
      <c r="B113" s="69"/>
      <c r="C113" s="69" t="s">
        <v>3741</v>
      </c>
      <c r="D113" s="69" t="s">
        <v>3741</v>
      </c>
      <c r="E113" s="69" t="s">
        <v>3899</v>
      </c>
      <c r="F113" s="69" t="s">
        <v>3899</v>
      </c>
      <c r="G113" s="69" t="s">
        <v>4017</v>
      </c>
      <c r="H113" s="69" t="s">
        <v>4017</v>
      </c>
      <c r="I113" s="69" t="s">
        <v>4017</v>
      </c>
      <c r="J113" s="69" t="s">
        <v>4142</v>
      </c>
      <c r="K113" s="69" t="s">
        <v>4142</v>
      </c>
      <c r="L113" s="69" t="s">
        <v>4142</v>
      </c>
      <c r="M113" s="69" t="s">
        <v>4142</v>
      </c>
      <c r="N113" s="69" t="s">
        <v>4142</v>
      </c>
      <c r="O113" s="69" t="s">
        <v>4142</v>
      </c>
      <c r="P113" s="69" t="s">
        <v>4738</v>
      </c>
      <c r="Q113" s="69" t="s">
        <v>4738</v>
      </c>
      <c r="R113" s="69" t="s">
        <v>4738</v>
      </c>
      <c r="S113" s="69" t="s">
        <v>1786</v>
      </c>
      <c r="T113" s="69" t="s">
        <v>4461</v>
      </c>
      <c r="U113" s="69" t="s">
        <v>4461</v>
      </c>
      <c r="V113" s="69" t="s">
        <v>4461</v>
      </c>
      <c r="W113" s="69" t="s">
        <v>4461</v>
      </c>
      <c r="X113" s="69" t="s">
        <v>3</v>
      </c>
      <c r="Y113" s="69" t="s">
        <v>4738</v>
      </c>
      <c r="Z113" s="69" t="s">
        <v>4738</v>
      </c>
      <c r="AA113" s="69" t="s">
        <v>4738</v>
      </c>
      <c r="AB113" s="69" t="s">
        <v>4359</v>
      </c>
      <c r="AC113" s="69" t="s">
        <v>4359</v>
      </c>
      <c r="AG113" s="89"/>
    </row>
    <row r="114" spans="1:37" s="18" customFormat="1" ht="66" customHeight="1" x14ac:dyDescent="0.15">
      <c r="A114" s="25" t="s">
        <v>3982</v>
      </c>
      <c r="B114" s="284"/>
      <c r="C114" s="183"/>
      <c r="D114" s="183"/>
      <c r="E114" s="183"/>
      <c r="F114" s="183"/>
      <c r="G114" s="47" t="s">
        <v>4900</v>
      </c>
      <c r="H114" s="47" t="s">
        <v>3985</v>
      </c>
      <c r="I114" s="47" t="s">
        <v>4900</v>
      </c>
      <c r="J114" s="47" t="s">
        <v>3</v>
      </c>
      <c r="K114" s="47" t="s">
        <v>3</v>
      </c>
      <c r="L114" s="47" t="s">
        <v>3</v>
      </c>
      <c r="M114" s="47" t="s">
        <v>3</v>
      </c>
      <c r="N114" s="47" t="s">
        <v>3</v>
      </c>
      <c r="O114" s="47" t="s">
        <v>3</v>
      </c>
      <c r="P114" s="47" t="s">
        <v>3</v>
      </c>
      <c r="Q114" s="47" t="s">
        <v>3</v>
      </c>
      <c r="R114" s="47" t="s">
        <v>3</v>
      </c>
      <c r="S114" s="47" t="s">
        <v>3</v>
      </c>
      <c r="T114" s="47" t="s">
        <v>3</v>
      </c>
      <c r="U114" s="47" t="s">
        <v>4527</v>
      </c>
      <c r="V114" s="47" t="s">
        <v>4527</v>
      </c>
      <c r="W114" s="47" t="s">
        <v>4527</v>
      </c>
      <c r="X114" s="46" t="s">
        <v>3</v>
      </c>
      <c r="Y114" s="47" t="s">
        <v>3</v>
      </c>
      <c r="Z114" s="47" t="s">
        <v>3</v>
      </c>
      <c r="AA114" s="47" t="s">
        <v>3</v>
      </c>
      <c r="AB114" s="47" t="s">
        <v>3</v>
      </c>
      <c r="AC114" s="47" t="s">
        <v>3</v>
      </c>
      <c r="AG114" s="89"/>
      <c r="AH114" s="89"/>
      <c r="AI114" s="89"/>
      <c r="AJ114" s="89"/>
      <c r="AK114" s="89"/>
    </row>
    <row r="115" spans="1:37" s="18" customFormat="1" ht="20.25" customHeight="1" x14ac:dyDescent="0.15">
      <c r="A115" s="76" t="s">
        <v>402</v>
      </c>
      <c r="B115" s="69"/>
      <c r="C115" s="69"/>
      <c r="D115" s="69"/>
      <c r="E115" s="69"/>
      <c r="F115" s="69"/>
      <c r="G115" s="69" t="s">
        <v>4018</v>
      </c>
      <c r="H115" s="69" t="s">
        <v>4015</v>
      </c>
      <c r="I115" s="69" t="s">
        <v>4018</v>
      </c>
      <c r="J115" s="69" t="s">
        <v>3</v>
      </c>
      <c r="K115" s="69" t="s">
        <v>3</v>
      </c>
      <c r="L115" s="69" t="s">
        <v>3</v>
      </c>
      <c r="M115" s="69" t="s">
        <v>3</v>
      </c>
      <c r="N115" s="69" t="s">
        <v>3</v>
      </c>
      <c r="O115" s="69" t="s">
        <v>3</v>
      </c>
      <c r="P115" s="69" t="s">
        <v>3</v>
      </c>
      <c r="Q115" s="69" t="s">
        <v>3</v>
      </c>
      <c r="R115" s="69" t="s">
        <v>3</v>
      </c>
      <c r="S115" s="69" t="s">
        <v>3</v>
      </c>
      <c r="T115" s="69" t="s">
        <v>3</v>
      </c>
      <c r="U115" s="69" t="s">
        <v>4597</v>
      </c>
      <c r="V115" s="69" t="s">
        <v>4526</v>
      </c>
      <c r="W115" s="69" t="s">
        <v>4526</v>
      </c>
      <c r="X115" s="69" t="s">
        <v>3</v>
      </c>
      <c r="Y115" s="69" t="s">
        <v>3</v>
      </c>
      <c r="Z115" s="69" t="s">
        <v>3</v>
      </c>
      <c r="AA115" s="69" t="s">
        <v>3</v>
      </c>
      <c r="AB115" s="69" t="s">
        <v>3</v>
      </c>
      <c r="AC115" s="69" t="s">
        <v>3</v>
      </c>
      <c r="AG115" s="89"/>
    </row>
    <row r="116" spans="1:37" s="18" customFormat="1" ht="22.5" customHeight="1" x14ac:dyDescent="0.15">
      <c r="A116" s="25" t="s">
        <v>13</v>
      </c>
      <c r="B116" s="285"/>
      <c r="C116" s="46" t="s">
        <v>3</v>
      </c>
      <c r="D116" s="46" t="s">
        <v>3</v>
      </c>
      <c r="E116" s="46" t="s">
        <v>95</v>
      </c>
      <c r="F116" s="46" t="s">
        <v>95</v>
      </c>
      <c r="G116" s="46" t="s">
        <v>3</v>
      </c>
      <c r="H116" s="46" t="s">
        <v>3</v>
      </c>
      <c r="I116" s="46" t="s">
        <v>3</v>
      </c>
      <c r="J116" s="46" t="s">
        <v>3918</v>
      </c>
      <c r="K116" s="46" t="s">
        <v>3918</v>
      </c>
      <c r="L116" s="46" t="s">
        <v>3918</v>
      </c>
      <c r="M116" s="46" t="s">
        <v>3918</v>
      </c>
      <c r="N116" s="46" t="s">
        <v>3918</v>
      </c>
      <c r="O116" s="46" t="s">
        <v>3918</v>
      </c>
      <c r="P116" s="46" t="s">
        <v>95</v>
      </c>
      <c r="Q116" s="46" t="s">
        <v>95</v>
      </c>
      <c r="R116" s="46" t="s">
        <v>95</v>
      </c>
      <c r="S116" s="47" t="s">
        <v>95</v>
      </c>
      <c r="T116" s="46" t="s">
        <v>95</v>
      </c>
      <c r="U116" s="46" t="s">
        <v>95</v>
      </c>
      <c r="V116" s="46" t="s">
        <v>95</v>
      </c>
      <c r="W116" s="46" t="s">
        <v>95</v>
      </c>
      <c r="X116" s="46" t="s">
        <v>3</v>
      </c>
      <c r="Y116" s="46" t="s">
        <v>95</v>
      </c>
      <c r="Z116" s="46" t="s">
        <v>95</v>
      </c>
      <c r="AA116" s="46" t="s">
        <v>95</v>
      </c>
      <c r="AB116" s="46" t="s">
        <v>95</v>
      </c>
      <c r="AC116" s="46" t="s">
        <v>95</v>
      </c>
      <c r="AG116" s="89"/>
    </row>
    <row r="117" spans="1:37" s="18" customFormat="1" ht="12" customHeight="1" x14ac:dyDescent="0.15">
      <c r="A117" s="76" t="s">
        <v>402</v>
      </c>
      <c r="B117" s="69"/>
      <c r="C117" s="69" t="s">
        <v>3</v>
      </c>
      <c r="D117" s="69" t="s">
        <v>3</v>
      </c>
      <c r="E117" s="69" t="s">
        <v>3851</v>
      </c>
      <c r="F117" s="69" t="s">
        <v>3851</v>
      </c>
      <c r="G117" s="69" t="s">
        <v>3</v>
      </c>
      <c r="H117" s="69" t="s">
        <v>3</v>
      </c>
      <c r="I117" s="69" t="s">
        <v>3</v>
      </c>
      <c r="J117" s="69" t="s">
        <v>4248</v>
      </c>
      <c r="K117" s="69" t="s">
        <v>4248</v>
      </c>
      <c r="L117" s="69" t="s">
        <v>4248</v>
      </c>
      <c r="M117" s="69" t="s">
        <v>4248</v>
      </c>
      <c r="N117" s="69" t="s">
        <v>4248</v>
      </c>
      <c r="O117" s="69" t="s">
        <v>4248</v>
      </c>
      <c r="P117" s="69" t="s">
        <v>4370</v>
      </c>
      <c r="Q117" s="69" t="s">
        <v>4370</v>
      </c>
      <c r="R117" s="69" t="s">
        <v>4370</v>
      </c>
      <c r="S117" s="69" t="s">
        <v>1729</v>
      </c>
      <c r="T117" s="69" t="s">
        <v>4460</v>
      </c>
      <c r="U117" s="69" t="s">
        <v>4460</v>
      </c>
      <c r="V117" s="69" t="s">
        <v>4460</v>
      </c>
      <c r="W117" s="69" t="s">
        <v>4460</v>
      </c>
      <c r="X117" s="69" t="s">
        <v>3</v>
      </c>
      <c r="Y117" s="69" t="s">
        <v>4370</v>
      </c>
      <c r="Z117" s="69" t="s">
        <v>4370</v>
      </c>
      <c r="AA117" s="69" t="s">
        <v>4370</v>
      </c>
      <c r="AB117" s="69" t="s">
        <v>3732</v>
      </c>
      <c r="AC117" s="69" t="s">
        <v>3732</v>
      </c>
      <c r="AG117" s="89"/>
    </row>
    <row r="118" spans="1:37" s="18" customFormat="1" ht="22.5" customHeight="1" x14ac:dyDescent="0.15">
      <c r="A118" s="25" t="s">
        <v>3659</v>
      </c>
      <c r="B118" s="285"/>
      <c r="C118" s="46" t="s">
        <v>3</v>
      </c>
      <c r="D118" s="46" t="s">
        <v>3</v>
      </c>
      <c r="E118" s="46" t="s">
        <v>3</v>
      </c>
      <c r="F118" s="46" t="s">
        <v>3</v>
      </c>
      <c r="G118" s="46" t="s">
        <v>3</v>
      </c>
      <c r="H118" s="46" t="s">
        <v>3</v>
      </c>
      <c r="I118" s="46" t="s">
        <v>3</v>
      </c>
      <c r="J118" s="46" t="s">
        <v>3</v>
      </c>
      <c r="K118" s="46" t="s">
        <v>3</v>
      </c>
      <c r="L118" s="46" t="s">
        <v>3</v>
      </c>
      <c r="M118" s="46" t="s">
        <v>3</v>
      </c>
      <c r="N118" s="46" t="s">
        <v>3</v>
      </c>
      <c r="O118" s="46" t="s">
        <v>3</v>
      </c>
      <c r="P118" s="46" t="s">
        <v>3</v>
      </c>
      <c r="Q118" s="46" t="s">
        <v>3</v>
      </c>
      <c r="R118" s="46" t="s">
        <v>3</v>
      </c>
      <c r="S118" s="46" t="s">
        <v>3</v>
      </c>
      <c r="T118" s="46" t="s">
        <v>3</v>
      </c>
      <c r="U118" s="46" t="s">
        <v>3</v>
      </c>
      <c r="V118" s="46" t="s">
        <v>3</v>
      </c>
      <c r="W118" s="46" t="s">
        <v>3</v>
      </c>
      <c r="X118" s="46" t="s">
        <v>3</v>
      </c>
      <c r="Y118" s="46" t="s">
        <v>3</v>
      </c>
      <c r="Z118" s="46" t="s">
        <v>3</v>
      </c>
      <c r="AA118" s="46" t="s">
        <v>3</v>
      </c>
      <c r="AB118" s="46" t="s">
        <v>3</v>
      </c>
      <c r="AC118" s="46" t="s">
        <v>3</v>
      </c>
      <c r="AG118" s="89"/>
      <c r="AH118" s="89"/>
      <c r="AI118" s="89"/>
      <c r="AJ118" s="89"/>
      <c r="AK118" s="89"/>
    </row>
    <row r="119" spans="1:37" s="18" customFormat="1" ht="12" customHeight="1" x14ac:dyDescent="0.15">
      <c r="A119" s="76" t="s">
        <v>402</v>
      </c>
      <c r="B119" s="69"/>
      <c r="C119" s="69" t="s">
        <v>3788</v>
      </c>
      <c r="D119" s="69" t="s">
        <v>3788</v>
      </c>
      <c r="E119" s="69" t="s">
        <v>3</v>
      </c>
      <c r="F119" s="69" t="s">
        <v>3</v>
      </c>
      <c r="G119" s="69" t="s">
        <v>3</v>
      </c>
      <c r="H119" s="69" t="s">
        <v>3</v>
      </c>
      <c r="I119" s="69" t="s">
        <v>3</v>
      </c>
      <c r="J119" s="69" t="s">
        <v>3</v>
      </c>
      <c r="K119" s="69" t="s">
        <v>3</v>
      </c>
      <c r="L119" s="69" t="s">
        <v>3</v>
      </c>
      <c r="M119" s="69" t="s">
        <v>3</v>
      </c>
      <c r="N119" s="69" t="s">
        <v>3</v>
      </c>
      <c r="O119" s="69" t="s">
        <v>3</v>
      </c>
      <c r="P119" s="69" t="s">
        <v>3</v>
      </c>
      <c r="Q119" s="69" t="s">
        <v>3</v>
      </c>
      <c r="R119" s="69" t="s">
        <v>3</v>
      </c>
      <c r="S119" s="69" t="s">
        <v>3</v>
      </c>
      <c r="T119" s="69" t="s">
        <v>3</v>
      </c>
      <c r="U119" s="69" t="s">
        <v>3</v>
      </c>
      <c r="V119" s="69" t="s">
        <v>3</v>
      </c>
      <c r="W119" s="69" t="s">
        <v>3</v>
      </c>
      <c r="X119" s="69" t="s">
        <v>3</v>
      </c>
      <c r="Y119" s="69" t="s">
        <v>3</v>
      </c>
      <c r="Z119" s="69" t="s">
        <v>3</v>
      </c>
      <c r="AA119" s="69" t="s">
        <v>3</v>
      </c>
      <c r="AB119" s="69" t="s">
        <v>3</v>
      </c>
      <c r="AC119" s="69" t="s">
        <v>3</v>
      </c>
      <c r="AG119" s="89"/>
    </row>
    <row r="120" spans="1:37" s="18" customFormat="1" ht="22.5" customHeight="1" x14ac:dyDescent="0.15">
      <c r="A120" s="25" t="s">
        <v>3977</v>
      </c>
      <c r="B120" s="285"/>
      <c r="C120" s="46" t="s">
        <v>4978</v>
      </c>
      <c r="D120" s="46" t="s">
        <v>4978</v>
      </c>
      <c r="E120" s="46" t="s">
        <v>3</v>
      </c>
      <c r="F120" s="46" t="s">
        <v>3</v>
      </c>
      <c r="G120" s="46" t="s">
        <v>3978</v>
      </c>
      <c r="H120" s="46" t="s">
        <v>3</v>
      </c>
      <c r="I120" s="46" t="s">
        <v>3978</v>
      </c>
      <c r="J120" s="46" t="s">
        <v>3</v>
      </c>
      <c r="K120" s="46" t="s">
        <v>3</v>
      </c>
      <c r="L120" s="46" t="s">
        <v>3</v>
      </c>
      <c r="M120" s="46" t="s">
        <v>3</v>
      </c>
      <c r="N120" s="46" t="s">
        <v>3</v>
      </c>
      <c r="O120" s="46" t="s">
        <v>3</v>
      </c>
      <c r="P120" s="47" t="s">
        <v>3918</v>
      </c>
      <c r="Q120" s="47" t="s">
        <v>3918</v>
      </c>
      <c r="R120" s="47" t="s">
        <v>3918</v>
      </c>
      <c r="S120" s="46" t="s">
        <v>3</v>
      </c>
      <c r="T120" s="46" t="s">
        <v>3</v>
      </c>
      <c r="U120" s="46" t="s">
        <v>3</v>
      </c>
      <c r="V120" s="46" t="s">
        <v>3</v>
      </c>
      <c r="W120" s="46" t="s">
        <v>3</v>
      </c>
      <c r="X120" s="46" t="s">
        <v>3</v>
      </c>
      <c r="Y120" s="47" t="s">
        <v>3918</v>
      </c>
      <c r="Z120" s="47" t="s">
        <v>3918</v>
      </c>
      <c r="AA120" s="47" t="s">
        <v>3918</v>
      </c>
      <c r="AB120" s="46" t="s">
        <v>3918</v>
      </c>
      <c r="AC120" s="46" t="s">
        <v>3918</v>
      </c>
      <c r="AG120" s="89"/>
      <c r="AH120" s="89"/>
      <c r="AI120" s="89"/>
      <c r="AJ120" s="89"/>
      <c r="AK120" s="89"/>
    </row>
    <row r="121" spans="1:37" s="18" customFormat="1" ht="12" customHeight="1" x14ac:dyDescent="0.15">
      <c r="A121" s="76" t="s">
        <v>402</v>
      </c>
      <c r="B121" s="69"/>
      <c r="C121" s="69"/>
      <c r="D121" s="69"/>
      <c r="E121" s="69" t="s">
        <v>3900</v>
      </c>
      <c r="F121" s="69" t="s">
        <v>3900</v>
      </c>
      <c r="G121" s="69" t="s">
        <v>4058</v>
      </c>
      <c r="H121" s="69" t="s">
        <v>3</v>
      </c>
      <c r="I121" s="69" t="s">
        <v>4057</v>
      </c>
      <c r="J121" s="69" t="s">
        <v>3</v>
      </c>
      <c r="K121" s="69" t="s">
        <v>3</v>
      </c>
      <c r="L121" s="69" t="s">
        <v>3</v>
      </c>
      <c r="M121" s="69" t="s">
        <v>3</v>
      </c>
      <c r="N121" s="69" t="s">
        <v>3</v>
      </c>
      <c r="O121" s="69" t="s">
        <v>3</v>
      </c>
      <c r="P121" s="69" t="s">
        <v>4370</v>
      </c>
      <c r="Q121" s="69" t="s">
        <v>4370</v>
      </c>
      <c r="R121" s="69" t="s">
        <v>4370</v>
      </c>
      <c r="S121" s="69" t="s">
        <v>3</v>
      </c>
      <c r="T121" s="69" t="s">
        <v>3</v>
      </c>
      <c r="U121" s="69" t="s">
        <v>3</v>
      </c>
      <c r="V121" s="69" t="s">
        <v>3</v>
      </c>
      <c r="W121" s="69" t="s">
        <v>3</v>
      </c>
      <c r="X121" s="69" t="s">
        <v>3</v>
      </c>
      <c r="Y121" s="69" t="s">
        <v>4370</v>
      </c>
      <c r="Z121" s="69" t="s">
        <v>4370</v>
      </c>
      <c r="AA121" s="69" t="s">
        <v>4370</v>
      </c>
      <c r="AB121" s="69" t="s">
        <v>4358</v>
      </c>
      <c r="AC121" s="69" t="s">
        <v>4358</v>
      </c>
      <c r="AG121" s="89"/>
    </row>
    <row r="122" spans="1:37" s="18" customFormat="1" ht="22.5" customHeight="1" x14ac:dyDescent="0.15">
      <c r="A122" s="25" t="s">
        <v>78</v>
      </c>
      <c r="B122" s="285"/>
      <c r="C122" s="46" t="s">
        <v>3</v>
      </c>
      <c r="D122" s="47" t="s">
        <v>191</v>
      </c>
      <c r="E122" s="47" t="s">
        <v>95</v>
      </c>
      <c r="F122" s="47" t="s">
        <v>95</v>
      </c>
      <c r="G122" s="47" t="s">
        <v>95</v>
      </c>
      <c r="H122" s="47" t="s">
        <v>3</v>
      </c>
      <c r="I122" s="47" t="s">
        <v>95</v>
      </c>
      <c r="J122" s="47" t="s">
        <v>3</v>
      </c>
      <c r="K122" s="47" t="s">
        <v>3</v>
      </c>
      <c r="L122" s="47" t="s">
        <v>4127</v>
      </c>
      <c r="M122" s="47" t="s">
        <v>4255</v>
      </c>
      <c r="N122" s="47" t="s">
        <v>4127</v>
      </c>
      <c r="O122" s="47" t="s">
        <v>4255</v>
      </c>
      <c r="P122" s="47" t="s">
        <v>3</v>
      </c>
      <c r="Q122" s="47" t="s">
        <v>95</v>
      </c>
      <c r="R122" s="47" t="s">
        <v>95</v>
      </c>
      <c r="S122" s="47" t="s">
        <v>95</v>
      </c>
      <c r="T122" s="47" t="s">
        <v>3</v>
      </c>
      <c r="U122" s="47" t="s">
        <v>95</v>
      </c>
      <c r="V122" s="47" t="s">
        <v>95</v>
      </c>
      <c r="W122" s="47" t="s">
        <v>95</v>
      </c>
      <c r="X122" s="46" t="s">
        <v>3</v>
      </c>
      <c r="Y122" s="47" t="s">
        <v>3</v>
      </c>
      <c r="Z122" s="47" t="s">
        <v>95</v>
      </c>
      <c r="AA122" s="47" t="s">
        <v>95</v>
      </c>
      <c r="AB122" s="47" t="s">
        <v>12</v>
      </c>
      <c r="AC122" s="47" t="s">
        <v>95</v>
      </c>
      <c r="AG122" s="89"/>
      <c r="AH122" s="89"/>
      <c r="AI122" s="89"/>
      <c r="AJ122" s="89"/>
      <c r="AK122" s="89"/>
    </row>
    <row r="123" spans="1:37" s="18" customFormat="1" ht="12" customHeight="1" x14ac:dyDescent="0.15">
      <c r="A123" s="76" t="s">
        <v>402</v>
      </c>
      <c r="B123" s="69"/>
      <c r="C123" s="69" t="s">
        <v>3732</v>
      </c>
      <c r="D123" s="69" t="s">
        <v>3740</v>
      </c>
      <c r="E123" s="69" t="s">
        <v>3854</v>
      </c>
      <c r="F123" s="69" t="s">
        <v>3854</v>
      </c>
      <c r="G123" s="69" t="s">
        <v>3979</v>
      </c>
      <c r="H123" s="69" t="s">
        <v>3</v>
      </c>
      <c r="I123" s="69" t="s">
        <v>3979</v>
      </c>
      <c r="J123" s="69" t="s">
        <v>4162</v>
      </c>
      <c r="K123" s="69" t="s">
        <v>4162</v>
      </c>
      <c r="L123" s="69" t="s">
        <v>4161</v>
      </c>
      <c r="M123" s="69" t="s">
        <v>4161</v>
      </c>
      <c r="N123" s="69" t="s">
        <v>4161</v>
      </c>
      <c r="O123" s="69" t="s">
        <v>4161</v>
      </c>
      <c r="P123" s="69" t="s">
        <v>3</v>
      </c>
      <c r="Q123" s="69" t="s">
        <v>4739</v>
      </c>
      <c r="R123" s="69" t="s">
        <v>4739</v>
      </c>
      <c r="S123" s="69" t="s">
        <v>1731</v>
      </c>
      <c r="T123" s="69" t="s">
        <v>3</v>
      </c>
      <c r="U123" s="69" t="s">
        <v>4598</v>
      </c>
      <c r="V123" s="69" t="s">
        <v>4528</v>
      </c>
      <c r="W123" s="69" t="s">
        <v>4528</v>
      </c>
      <c r="X123" s="69" t="s">
        <v>3</v>
      </c>
      <c r="Y123" s="69" t="s">
        <v>3</v>
      </c>
      <c r="Z123" s="69" t="s">
        <v>4739</v>
      </c>
      <c r="AA123" s="69" t="s">
        <v>4739</v>
      </c>
      <c r="AB123" s="69" t="s">
        <v>4357</v>
      </c>
      <c r="AC123" s="69" t="s">
        <v>4356</v>
      </c>
      <c r="AG123" s="89"/>
    </row>
    <row r="124" spans="1:37" s="18" customFormat="1" ht="20.100000000000001" customHeight="1" x14ac:dyDescent="0.15">
      <c r="A124" s="25" t="s">
        <v>4926</v>
      </c>
      <c r="B124" s="284"/>
      <c r="C124" s="47" t="s">
        <v>4996</v>
      </c>
      <c r="D124" s="47" t="s">
        <v>4996</v>
      </c>
      <c r="E124" s="47" t="s">
        <v>3</v>
      </c>
      <c r="F124" s="47" t="s">
        <v>3</v>
      </c>
      <c r="G124" s="47" t="s">
        <v>3981</v>
      </c>
      <c r="H124" s="47" t="s">
        <v>3</v>
      </c>
      <c r="I124" s="47" t="s">
        <v>3981</v>
      </c>
      <c r="J124" s="47" t="s">
        <v>3981</v>
      </c>
      <c r="K124" s="47" t="s">
        <v>3981</v>
      </c>
      <c r="L124" s="47" t="s">
        <v>3981</v>
      </c>
      <c r="M124" s="47" t="s">
        <v>3981</v>
      </c>
      <c r="N124" s="47" t="s">
        <v>3981</v>
      </c>
      <c r="O124" s="47" t="s">
        <v>3981</v>
      </c>
      <c r="P124" s="47" t="s">
        <v>3</v>
      </c>
      <c r="Q124" s="47" t="s">
        <v>3</v>
      </c>
      <c r="R124" s="47" t="s">
        <v>3</v>
      </c>
      <c r="S124" s="47" t="s">
        <v>3</v>
      </c>
      <c r="T124" s="47" t="s">
        <v>3</v>
      </c>
      <c r="U124" s="47" t="s">
        <v>95</v>
      </c>
      <c r="V124" s="47" t="s">
        <v>95</v>
      </c>
      <c r="W124" s="47" t="s">
        <v>95</v>
      </c>
      <c r="X124" s="46" t="s">
        <v>3</v>
      </c>
      <c r="Y124" s="47" t="s">
        <v>3</v>
      </c>
      <c r="Z124" s="47" t="s">
        <v>3</v>
      </c>
      <c r="AA124" s="47" t="s">
        <v>3</v>
      </c>
      <c r="AB124" s="47" t="s">
        <v>3</v>
      </c>
      <c r="AC124" s="47" t="s">
        <v>95</v>
      </c>
      <c r="AG124" s="89"/>
      <c r="AH124" s="89"/>
      <c r="AI124" s="89"/>
      <c r="AJ124" s="89"/>
      <c r="AK124" s="89"/>
    </row>
    <row r="125" spans="1:37" s="18" customFormat="1" ht="12" customHeight="1" x14ac:dyDescent="0.15">
      <c r="A125" s="76" t="s">
        <v>402</v>
      </c>
      <c r="B125" s="69"/>
      <c r="C125" s="69" t="s">
        <v>3738</v>
      </c>
      <c r="D125" s="69" t="s">
        <v>3738</v>
      </c>
      <c r="E125" s="69" t="s">
        <v>3</v>
      </c>
      <c r="F125" s="69" t="s">
        <v>3</v>
      </c>
      <c r="G125" s="69" t="s">
        <v>3980</v>
      </c>
      <c r="H125" s="69" t="s">
        <v>3</v>
      </c>
      <c r="I125" s="69" t="s">
        <v>4059</v>
      </c>
      <c r="J125" s="69" t="s">
        <v>4139</v>
      </c>
      <c r="K125" s="69" t="s">
        <v>4139</v>
      </c>
      <c r="L125" s="69" t="s">
        <v>4139</v>
      </c>
      <c r="M125" s="69" t="s">
        <v>4139</v>
      </c>
      <c r="N125" s="69" t="s">
        <v>4139</v>
      </c>
      <c r="O125" s="69" t="s">
        <v>4139</v>
      </c>
      <c r="P125" s="69" t="s">
        <v>3</v>
      </c>
      <c r="Q125" s="69" t="s">
        <v>3</v>
      </c>
      <c r="R125" s="69" t="s">
        <v>3</v>
      </c>
      <c r="S125" s="69" t="s">
        <v>3</v>
      </c>
      <c r="T125" s="69" t="s">
        <v>3</v>
      </c>
      <c r="U125" s="69" t="s">
        <v>4599</v>
      </c>
      <c r="V125" s="69" t="s">
        <v>4529</v>
      </c>
      <c r="W125" s="69" t="s">
        <v>4529</v>
      </c>
      <c r="X125" s="69" t="s">
        <v>3</v>
      </c>
      <c r="Y125" s="69" t="s">
        <v>3</v>
      </c>
      <c r="Z125" s="69" t="s">
        <v>3</v>
      </c>
      <c r="AA125" s="69" t="s">
        <v>3</v>
      </c>
      <c r="AB125" s="69" t="s">
        <v>3</v>
      </c>
      <c r="AC125" s="69" t="s">
        <v>4350</v>
      </c>
      <c r="AG125" s="89"/>
    </row>
    <row r="126" spans="1:37" s="18" customFormat="1" ht="22.5" customHeight="1" x14ac:dyDescent="0.15">
      <c r="A126" s="25" t="s">
        <v>26</v>
      </c>
      <c r="B126" s="284"/>
      <c r="C126" s="47" t="s">
        <v>191</v>
      </c>
      <c r="D126" s="47" t="s">
        <v>191</v>
      </c>
      <c r="E126" s="47" t="s">
        <v>95</v>
      </c>
      <c r="F126" s="47" t="s">
        <v>95</v>
      </c>
      <c r="G126" s="47" t="s">
        <v>95</v>
      </c>
      <c r="H126" s="47" t="s">
        <v>95</v>
      </c>
      <c r="I126" s="47" t="s">
        <v>95</v>
      </c>
      <c r="J126" s="47" t="s">
        <v>3</v>
      </c>
      <c r="K126" s="47" t="s">
        <v>3</v>
      </c>
      <c r="L126" s="47" t="s">
        <v>4127</v>
      </c>
      <c r="M126" s="47" t="s">
        <v>4255</v>
      </c>
      <c r="N126" s="47" t="s">
        <v>4127</v>
      </c>
      <c r="O126" s="47" t="s">
        <v>4255</v>
      </c>
      <c r="P126" s="47" t="s">
        <v>3</v>
      </c>
      <c r="Q126" s="47" t="s">
        <v>95</v>
      </c>
      <c r="R126" s="47" t="s">
        <v>95</v>
      </c>
      <c r="S126" s="47" t="s">
        <v>95</v>
      </c>
      <c r="T126" s="47" t="s">
        <v>3</v>
      </c>
      <c r="U126" s="47" t="s">
        <v>95</v>
      </c>
      <c r="V126" s="47" t="s">
        <v>95</v>
      </c>
      <c r="W126" s="47" t="s">
        <v>95</v>
      </c>
      <c r="X126" s="46" t="s">
        <v>3</v>
      </c>
      <c r="Y126" s="47" t="s">
        <v>3</v>
      </c>
      <c r="Z126" s="47" t="s">
        <v>95</v>
      </c>
      <c r="AA126" s="47" t="s">
        <v>95</v>
      </c>
      <c r="AB126" s="47" t="s">
        <v>3</v>
      </c>
      <c r="AC126" s="47" t="s">
        <v>95</v>
      </c>
      <c r="AG126" s="89"/>
      <c r="AH126" s="89"/>
      <c r="AI126" s="89"/>
      <c r="AJ126" s="89"/>
      <c r="AK126" s="89"/>
    </row>
    <row r="127" spans="1:37" s="18" customFormat="1" ht="12" customHeight="1" x14ac:dyDescent="0.15">
      <c r="A127" s="76" t="s">
        <v>402</v>
      </c>
      <c r="B127" s="69"/>
      <c r="C127" s="69" t="s">
        <v>3740</v>
      </c>
      <c r="D127" s="69" t="s">
        <v>3740</v>
      </c>
      <c r="E127" s="69" t="s">
        <v>3901</v>
      </c>
      <c r="F127" s="69" t="s">
        <v>3901</v>
      </c>
      <c r="G127" s="69" t="s">
        <v>3987</v>
      </c>
      <c r="H127" s="69" t="s">
        <v>3987</v>
      </c>
      <c r="I127" s="69" t="s">
        <v>3987</v>
      </c>
      <c r="J127" s="69" t="s">
        <v>4148</v>
      </c>
      <c r="K127" s="69" t="s">
        <v>4148</v>
      </c>
      <c r="L127" s="69" t="s">
        <v>4148</v>
      </c>
      <c r="M127" s="69" t="s">
        <v>4148</v>
      </c>
      <c r="N127" s="69" t="s">
        <v>4148</v>
      </c>
      <c r="O127" s="69" t="s">
        <v>4148</v>
      </c>
      <c r="P127" s="69" t="s">
        <v>3</v>
      </c>
      <c r="Q127" s="69" t="s">
        <v>894</v>
      </c>
      <c r="R127" s="69" t="s">
        <v>894</v>
      </c>
      <c r="S127" s="69" t="s">
        <v>1730</v>
      </c>
      <c r="T127" s="69" t="s">
        <v>3</v>
      </c>
      <c r="U127" s="69" t="s">
        <v>4597</v>
      </c>
      <c r="V127" s="69" t="s">
        <v>4526</v>
      </c>
      <c r="W127" s="69" t="s">
        <v>4526</v>
      </c>
      <c r="X127" s="69" t="s">
        <v>3</v>
      </c>
      <c r="Y127" s="69" t="s">
        <v>3</v>
      </c>
      <c r="Z127" s="69" t="s">
        <v>894</v>
      </c>
      <c r="AA127" s="69" t="s">
        <v>894</v>
      </c>
      <c r="AB127" s="69" t="s">
        <v>3</v>
      </c>
      <c r="AC127" s="69" t="s">
        <v>4355</v>
      </c>
      <c r="AG127" s="89"/>
    </row>
    <row r="128" spans="1:37" s="18" customFormat="1" ht="5.25" customHeight="1" x14ac:dyDescent="0.15">
      <c r="A128" s="28"/>
      <c r="B128" s="58"/>
      <c r="C128" s="58"/>
      <c r="D128" s="58"/>
      <c r="E128" s="58"/>
      <c r="F128" s="58"/>
      <c r="G128" s="58"/>
      <c r="H128" s="58"/>
      <c r="I128" s="58"/>
      <c r="J128" s="58"/>
      <c r="K128" s="58"/>
      <c r="L128" s="58"/>
      <c r="M128" s="58"/>
      <c r="N128" s="58"/>
      <c r="O128" s="58"/>
      <c r="P128" s="58"/>
      <c r="Q128" s="58"/>
      <c r="R128" s="58"/>
      <c r="S128" s="58"/>
      <c r="T128" s="58"/>
      <c r="U128" s="48"/>
      <c r="V128" s="48"/>
      <c r="W128" s="58"/>
      <c r="X128" s="48"/>
      <c r="Y128" s="58"/>
      <c r="Z128" s="58"/>
      <c r="AA128" s="58"/>
      <c r="AB128" s="58"/>
      <c r="AC128" s="58"/>
      <c r="AG128" s="89"/>
      <c r="AH128" s="89"/>
      <c r="AI128" s="89"/>
      <c r="AJ128" s="89"/>
      <c r="AK128" s="89"/>
    </row>
    <row r="129" spans="1:33" s="18" customFormat="1" ht="22.5" customHeight="1" x14ac:dyDescent="0.15">
      <c r="A129" s="90" t="s">
        <v>3660</v>
      </c>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G129" s="89"/>
    </row>
    <row r="130" spans="1:33" s="18" customFormat="1" ht="111" customHeight="1" x14ac:dyDescent="0.15">
      <c r="A130" s="272" t="s">
        <v>4402</v>
      </c>
      <c r="B130" s="284"/>
      <c r="C130" s="47" t="s">
        <v>95</v>
      </c>
      <c r="D130" s="47" t="s">
        <v>95</v>
      </c>
      <c r="E130" s="47" t="s">
        <v>95</v>
      </c>
      <c r="F130" s="47" t="s">
        <v>95</v>
      </c>
      <c r="G130" s="47" t="s">
        <v>4041</v>
      </c>
      <c r="H130" s="47" t="s">
        <v>4040</v>
      </c>
      <c r="I130" s="47" t="s">
        <v>4041</v>
      </c>
      <c r="J130" s="47" t="s">
        <v>4997</v>
      </c>
      <c r="K130" s="47" t="s">
        <v>4997</v>
      </c>
      <c r="L130" s="47" t="s">
        <v>4998</v>
      </c>
      <c r="M130" s="47" t="s">
        <v>4999</v>
      </c>
      <c r="N130" s="47" t="s">
        <v>4998</v>
      </c>
      <c r="O130" s="47" t="s">
        <v>4999</v>
      </c>
      <c r="P130" s="47" t="s">
        <v>4740</v>
      </c>
      <c r="Q130" s="47" t="s">
        <v>4740</v>
      </c>
      <c r="R130" s="47" t="s">
        <v>4740</v>
      </c>
      <c r="S130" s="47" t="s">
        <v>4401</v>
      </c>
      <c r="T130" s="47" t="s">
        <v>4401</v>
      </c>
      <c r="U130" s="47" t="s">
        <v>5000</v>
      </c>
      <c r="V130" s="47" t="s">
        <v>5000</v>
      </c>
      <c r="W130" s="47" t="s">
        <v>5000</v>
      </c>
      <c r="X130" s="46" t="s">
        <v>3</v>
      </c>
      <c r="Y130" s="47" t="s">
        <v>4740</v>
      </c>
      <c r="Z130" s="47" t="s">
        <v>4740</v>
      </c>
      <c r="AA130" s="47" t="s">
        <v>4740</v>
      </c>
      <c r="AB130" s="47" t="s">
        <v>4354</v>
      </c>
      <c r="AC130" s="47" t="s">
        <v>95</v>
      </c>
      <c r="AG130" s="89"/>
    </row>
    <row r="131" spans="1:33" s="18" customFormat="1" ht="30.75" customHeight="1" x14ac:dyDescent="0.15">
      <c r="A131" s="76" t="s">
        <v>402</v>
      </c>
      <c r="B131" s="69"/>
      <c r="C131" s="69" t="s">
        <v>2794</v>
      </c>
      <c r="D131" s="69" t="s">
        <v>2794</v>
      </c>
      <c r="E131" s="69" t="s">
        <v>3858</v>
      </c>
      <c r="F131" s="69" t="s">
        <v>3858</v>
      </c>
      <c r="G131" s="69" t="s">
        <v>4039</v>
      </c>
      <c r="H131" s="69" t="s">
        <v>3986</v>
      </c>
      <c r="I131" s="69" t="s">
        <v>4063</v>
      </c>
      <c r="J131" s="69" t="s">
        <v>4146</v>
      </c>
      <c r="K131" s="69" t="s">
        <v>4146</v>
      </c>
      <c r="L131" s="69" t="s">
        <v>4147</v>
      </c>
      <c r="M131" s="69" t="s">
        <v>4147</v>
      </c>
      <c r="N131" s="69" t="s">
        <v>4147</v>
      </c>
      <c r="O131" s="69" t="s">
        <v>4147</v>
      </c>
      <c r="P131" s="69" t="s">
        <v>4741</v>
      </c>
      <c r="Q131" s="69" t="s">
        <v>4741</v>
      </c>
      <c r="R131" s="69" t="s">
        <v>4741</v>
      </c>
      <c r="S131" s="69" t="s">
        <v>1734</v>
      </c>
      <c r="T131" s="69" t="s">
        <v>4464</v>
      </c>
      <c r="U131" s="69" t="s">
        <v>4600</v>
      </c>
      <c r="V131" s="69" t="s">
        <v>4600</v>
      </c>
      <c r="W131" s="69" t="s">
        <v>4532</v>
      </c>
      <c r="X131" s="69" t="s">
        <v>3</v>
      </c>
      <c r="Y131" s="69" t="s">
        <v>4741</v>
      </c>
      <c r="Z131" s="69" t="s">
        <v>4741</v>
      </c>
      <c r="AA131" s="69" t="s">
        <v>4741</v>
      </c>
      <c r="AB131" s="69" t="s">
        <v>4353</v>
      </c>
      <c r="AC131" s="69" t="s">
        <v>4352</v>
      </c>
      <c r="AF131" s="18">
        <v>33</v>
      </c>
      <c r="AG131" s="309"/>
    </row>
    <row r="132" spans="1:33" s="18" customFormat="1" ht="73.5" customHeight="1" x14ac:dyDescent="0.15">
      <c r="A132" s="25" t="s">
        <v>3743</v>
      </c>
      <c r="B132" s="284" t="s">
        <v>5001</v>
      </c>
      <c r="C132" s="47" t="s">
        <v>3792</v>
      </c>
      <c r="D132" s="47" t="s">
        <v>3753</v>
      </c>
      <c r="E132" s="47" t="s">
        <v>3862</v>
      </c>
      <c r="F132" s="47" t="s">
        <v>3903</v>
      </c>
      <c r="G132" s="47" t="s">
        <v>5002</v>
      </c>
      <c r="H132" s="47" t="s">
        <v>3</v>
      </c>
      <c r="I132" s="47" t="s">
        <v>5003</v>
      </c>
      <c r="J132" s="47" t="s">
        <v>5004</v>
      </c>
      <c r="K132" s="47" t="s">
        <v>4239</v>
      </c>
      <c r="L132" s="47" t="s">
        <v>5004</v>
      </c>
      <c r="M132" s="47" t="s">
        <v>4239</v>
      </c>
      <c r="N132" s="47" t="s">
        <v>5004</v>
      </c>
      <c r="O132" s="47" t="s">
        <v>4239</v>
      </c>
      <c r="P132" s="47" t="s">
        <v>3</v>
      </c>
      <c r="Q132" s="47" t="s">
        <v>4742</v>
      </c>
      <c r="R132" s="47" t="s">
        <v>4742</v>
      </c>
      <c r="S132" s="47" t="s">
        <v>4405</v>
      </c>
      <c r="T132" s="47" t="s">
        <v>3</v>
      </c>
      <c r="U132" s="47" t="s">
        <v>5005</v>
      </c>
      <c r="V132" s="47" t="s">
        <v>5006</v>
      </c>
      <c r="W132" s="47" t="s">
        <v>5007</v>
      </c>
      <c r="X132" s="46" t="s">
        <v>3</v>
      </c>
      <c r="Y132" s="47" t="s">
        <v>3</v>
      </c>
      <c r="Z132" s="47" t="s">
        <v>4742</v>
      </c>
      <c r="AA132" s="47" t="s">
        <v>4742</v>
      </c>
      <c r="AB132" s="47" t="s">
        <v>3</v>
      </c>
      <c r="AC132" s="47" t="s">
        <v>12</v>
      </c>
      <c r="AF132" s="18">
        <v>34</v>
      </c>
      <c r="AG132" s="309"/>
    </row>
    <row r="133" spans="1:33" s="18" customFormat="1" ht="20.100000000000001" customHeight="1" x14ac:dyDescent="0.15">
      <c r="A133" s="76" t="s">
        <v>402</v>
      </c>
      <c r="B133" s="69"/>
      <c r="C133" s="69" t="s">
        <v>3791</v>
      </c>
      <c r="D133" s="69" t="s">
        <v>3767</v>
      </c>
      <c r="E133" s="69" t="s">
        <v>3861</v>
      </c>
      <c r="F133" s="69" t="s">
        <v>3904</v>
      </c>
      <c r="G133" s="69" t="s">
        <v>4042</v>
      </c>
      <c r="H133" s="69" t="s">
        <v>3732</v>
      </c>
      <c r="I133" s="69" t="s">
        <v>4064</v>
      </c>
      <c r="J133" s="69" t="s">
        <v>4240</v>
      </c>
      <c r="K133" s="69" t="s">
        <v>4240</v>
      </c>
      <c r="L133" s="69" t="s">
        <v>4240</v>
      </c>
      <c r="M133" s="69" t="s">
        <v>4240</v>
      </c>
      <c r="N133" s="69" t="s">
        <v>4240</v>
      </c>
      <c r="O133" s="69" t="s">
        <v>4240</v>
      </c>
      <c r="P133" s="69" t="s">
        <v>3</v>
      </c>
      <c r="Q133" s="69" t="s">
        <v>4743</v>
      </c>
      <c r="R133" s="69" t="s">
        <v>4743</v>
      </c>
      <c r="S133" s="69" t="s">
        <v>4403</v>
      </c>
      <c r="T133" s="69" t="s">
        <v>3</v>
      </c>
      <c r="U133" s="69" t="s">
        <v>4601</v>
      </c>
      <c r="V133" s="69" t="s">
        <v>4533</v>
      </c>
      <c r="W133" s="69" t="s">
        <v>4533</v>
      </c>
      <c r="X133" s="69" t="s">
        <v>3</v>
      </c>
      <c r="Y133" s="69" t="s">
        <v>3</v>
      </c>
      <c r="Z133" s="69" t="s">
        <v>4743</v>
      </c>
      <c r="AA133" s="69" t="s">
        <v>4743</v>
      </c>
      <c r="AB133" s="69" t="s">
        <v>3</v>
      </c>
      <c r="AC133" s="69" t="s">
        <v>4351</v>
      </c>
      <c r="AF133" s="18">
        <v>35</v>
      </c>
      <c r="AG133" s="309"/>
    </row>
    <row r="134" spans="1:33" s="18" customFormat="1" ht="73.5" customHeight="1" x14ac:dyDescent="0.15">
      <c r="A134" s="293" t="s">
        <v>4894</v>
      </c>
      <c r="B134" s="187"/>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90"/>
      <c r="Y134" s="187"/>
      <c r="Z134" s="187"/>
      <c r="AA134" s="187"/>
      <c r="AB134" s="187"/>
      <c r="AC134" s="187"/>
      <c r="AF134" s="18">
        <v>36</v>
      </c>
      <c r="AG134" s="309"/>
    </row>
    <row r="135" spans="1:33" s="18" customFormat="1" ht="12" customHeight="1" x14ac:dyDescent="0.15">
      <c r="A135" s="76" t="s">
        <v>402</v>
      </c>
      <c r="B135" s="69"/>
      <c r="C135" s="69" t="s">
        <v>3</v>
      </c>
      <c r="D135" s="69" t="s">
        <v>3</v>
      </c>
      <c r="E135" s="69" t="s">
        <v>3864</v>
      </c>
      <c r="F135" s="69" t="s">
        <v>3864</v>
      </c>
      <c r="G135" s="69" t="s">
        <v>3</v>
      </c>
      <c r="H135" s="69" t="s">
        <v>3</v>
      </c>
      <c r="I135" s="69" t="s">
        <v>3</v>
      </c>
      <c r="J135" s="69" t="s">
        <v>3</v>
      </c>
      <c r="K135" s="69" t="s">
        <v>3</v>
      </c>
      <c r="L135" s="69" t="s">
        <v>3</v>
      </c>
      <c r="M135" s="69" t="s">
        <v>3</v>
      </c>
      <c r="N135" s="69" t="s">
        <v>3</v>
      </c>
      <c r="O135" s="69" t="s">
        <v>3</v>
      </c>
      <c r="P135" s="69" t="s">
        <v>3</v>
      </c>
      <c r="Q135" s="69" t="s">
        <v>3</v>
      </c>
      <c r="R135" s="69" t="s">
        <v>3</v>
      </c>
      <c r="S135" s="69" t="s">
        <v>3</v>
      </c>
      <c r="T135" s="69" t="s">
        <v>3</v>
      </c>
      <c r="U135" s="69" t="s">
        <v>3</v>
      </c>
      <c r="V135" s="69" t="s">
        <v>3</v>
      </c>
      <c r="W135" s="69" t="s">
        <v>4535</v>
      </c>
      <c r="X135" s="69" t="s">
        <v>3</v>
      </c>
      <c r="Y135" s="69" t="s">
        <v>3</v>
      </c>
      <c r="Z135" s="69" t="s">
        <v>3</v>
      </c>
      <c r="AA135" s="69" t="s">
        <v>3</v>
      </c>
      <c r="AB135" s="69" t="s">
        <v>3</v>
      </c>
      <c r="AC135" s="69" t="s">
        <v>4350</v>
      </c>
      <c r="AG135" s="89"/>
    </row>
    <row r="136" spans="1:33" s="18" customFormat="1" ht="3.75" customHeight="1" x14ac:dyDescent="0.15">
      <c r="A136" s="28"/>
      <c r="B136" s="58"/>
      <c r="C136" s="58"/>
      <c r="D136" s="58"/>
      <c r="E136" s="58"/>
      <c r="F136" s="58"/>
      <c r="G136" s="58"/>
      <c r="H136" s="58"/>
      <c r="I136" s="58"/>
      <c r="J136" s="58"/>
      <c r="K136" s="58"/>
      <c r="L136" s="58"/>
      <c r="M136" s="58"/>
      <c r="N136" s="58"/>
      <c r="O136" s="58"/>
      <c r="P136" s="58"/>
      <c r="Q136" s="58"/>
      <c r="R136" s="58"/>
      <c r="S136" s="58"/>
      <c r="T136" s="58"/>
      <c r="U136" s="58"/>
      <c r="V136" s="58"/>
      <c r="W136" s="58"/>
      <c r="X136" s="48"/>
      <c r="Y136" s="58"/>
      <c r="Z136" s="58"/>
      <c r="AA136" s="58"/>
      <c r="AB136" s="58"/>
      <c r="AC136" s="58"/>
      <c r="AG136" s="89"/>
    </row>
    <row r="137" spans="1:33" s="18" customFormat="1" ht="22.5" customHeight="1" x14ac:dyDescent="0.15">
      <c r="A137" s="80" t="s">
        <v>3661</v>
      </c>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G137" s="89"/>
    </row>
    <row r="138" spans="1:33" s="18" customFormat="1" ht="126.75" customHeight="1" x14ac:dyDescent="0.15">
      <c r="A138" s="25" t="s">
        <v>4145</v>
      </c>
      <c r="B138" s="284" t="s">
        <v>3860</v>
      </c>
      <c r="C138" s="47" t="s">
        <v>95</v>
      </c>
      <c r="D138" s="47" t="s">
        <v>95</v>
      </c>
      <c r="E138" s="47" t="s">
        <v>3859</v>
      </c>
      <c r="F138" s="47" t="s">
        <v>3859</v>
      </c>
      <c r="G138" s="47" t="s">
        <v>4041</v>
      </c>
      <c r="H138" s="47" t="s">
        <v>3</v>
      </c>
      <c r="I138" s="47" t="s">
        <v>4041</v>
      </c>
      <c r="J138" s="47" t="s">
        <v>4997</v>
      </c>
      <c r="K138" s="47" t="s">
        <v>4997</v>
      </c>
      <c r="L138" s="47" t="s">
        <v>4998</v>
      </c>
      <c r="M138" s="47" t="s">
        <v>4999</v>
      </c>
      <c r="N138" s="47" t="s">
        <v>4998</v>
      </c>
      <c r="O138" s="47" t="s">
        <v>4999</v>
      </c>
      <c r="P138" s="47" t="s">
        <v>4348</v>
      </c>
      <c r="Q138" s="47" t="s">
        <v>4348</v>
      </c>
      <c r="R138" s="47" t="s">
        <v>4348</v>
      </c>
      <c r="S138" s="47" t="s">
        <v>4401</v>
      </c>
      <c r="T138" s="47" t="s">
        <v>3</v>
      </c>
      <c r="U138" s="47" t="s">
        <v>95</v>
      </c>
      <c r="V138" s="47" t="s">
        <v>5000</v>
      </c>
      <c r="W138" s="47" t="s">
        <v>95</v>
      </c>
      <c r="X138" s="46" t="s">
        <v>3</v>
      </c>
      <c r="Y138" s="47" t="s">
        <v>4348</v>
      </c>
      <c r="Z138" s="47" t="s">
        <v>4348</v>
      </c>
      <c r="AA138" s="47" t="s">
        <v>4348</v>
      </c>
      <c r="AB138" s="47" t="s">
        <v>4349</v>
      </c>
      <c r="AC138" s="47" t="s">
        <v>4348</v>
      </c>
      <c r="AF138" s="89"/>
      <c r="AG138" s="89"/>
    </row>
    <row r="139" spans="1:33" s="18" customFormat="1" ht="33" customHeight="1" x14ac:dyDescent="0.15">
      <c r="A139" s="76" t="s">
        <v>402</v>
      </c>
      <c r="B139" s="69"/>
      <c r="C139" s="69" t="s">
        <v>2794</v>
      </c>
      <c r="D139" s="69" t="s">
        <v>2794</v>
      </c>
      <c r="E139" s="69" t="s">
        <v>3858</v>
      </c>
      <c r="F139" s="69" t="s">
        <v>3858</v>
      </c>
      <c r="G139" s="69" t="s">
        <v>4039</v>
      </c>
      <c r="H139" s="69" t="s">
        <v>4019</v>
      </c>
      <c r="I139" s="69" t="s">
        <v>4063</v>
      </c>
      <c r="J139" s="69" t="s">
        <v>4146</v>
      </c>
      <c r="K139" s="69" t="s">
        <v>4146</v>
      </c>
      <c r="L139" s="69" t="s">
        <v>4147</v>
      </c>
      <c r="M139" s="69" t="s">
        <v>4147</v>
      </c>
      <c r="N139" s="69" t="s">
        <v>4147</v>
      </c>
      <c r="O139" s="69" t="s">
        <v>4147</v>
      </c>
      <c r="P139" s="69" t="s">
        <v>4744</v>
      </c>
      <c r="Q139" s="69" t="s">
        <v>4744</v>
      </c>
      <c r="R139" s="69" t="s">
        <v>4744</v>
      </c>
      <c r="S139" s="69" t="s">
        <v>1734</v>
      </c>
      <c r="T139" s="69" t="s">
        <v>3</v>
      </c>
      <c r="U139" s="69" t="s">
        <v>4650</v>
      </c>
      <c r="V139" s="69" t="s">
        <v>4534</v>
      </c>
      <c r="W139" s="69" t="s">
        <v>4534</v>
      </c>
      <c r="X139" s="69" t="s">
        <v>3</v>
      </c>
      <c r="Y139" s="69" t="s">
        <v>4744</v>
      </c>
      <c r="Z139" s="69" t="s">
        <v>4744</v>
      </c>
      <c r="AA139" s="69" t="s">
        <v>4744</v>
      </c>
      <c r="AB139" s="69" t="s">
        <v>4347</v>
      </c>
      <c r="AC139" s="69" t="s">
        <v>4346</v>
      </c>
      <c r="AG139" s="89"/>
    </row>
    <row r="140" spans="1:33" s="18" customFormat="1" ht="73.5" customHeight="1" x14ac:dyDescent="0.15">
      <c r="A140" s="25" t="s">
        <v>3743</v>
      </c>
      <c r="B140" s="284" t="s">
        <v>5001</v>
      </c>
      <c r="C140" s="47" t="s">
        <v>3</v>
      </c>
      <c r="D140" s="47" t="s">
        <v>3753</v>
      </c>
      <c r="E140" s="47" t="s">
        <v>3862</v>
      </c>
      <c r="F140" s="47" t="s">
        <v>3903</v>
      </c>
      <c r="G140" s="47" t="s">
        <v>5002</v>
      </c>
      <c r="H140" s="47" t="s">
        <v>3</v>
      </c>
      <c r="I140" s="47" t="s">
        <v>5003</v>
      </c>
      <c r="J140" s="47" t="s">
        <v>5004</v>
      </c>
      <c r="K140" s="47" t="s">
        <v>4239</v>
      </c>
      <c r="L140" s="47" t="s">
        <v>5004</v>
      </c>
      <c r="M140" s="47" t="s">
        <v>4239</v>
      </c>
      <c r="N140" s="47" t="s">
        <v>5004</v>
      </c>
      <c r="O140" s="47" t="s">
        <v>4239</v>
      </c>
      <c r="P140" s="47" t="s">
        <v>3</v>
      </c>
      <c r="Q140" s="47" t="s">
        <v>3</v>
      </c>
      <c r="R140" s="47" t="s">
        <v>3</v>
      </c>
      <c r="S140" s="47" t="s">
        <v>4405</v>
      </c>
      <c r="T140" s="47" t="s">
        <v>3</v>
      </c>
      <c r="U140" s="47" t="s">
        <v>5005</v>
      </c>
      <c r="V140" s="47" t="s">
        <v>5006</v>
      </c>
      <c r="W140" s="47" t="s">
        <v>5007</v>
      </c>
      <c r="X140" s="46" t="s">
        <v>3</v>
      </c>
      <c r="Y140" s="47" t="s">
        <v>3</v>
      </c>
      <c r="Z140" s="47" t="s">
        <v>3</v>
      </c>
      <c r="AA140" s="47" t="s">
        <v>3</v>
      </c>
      <c r="AB140" s="47" t="s">
        <v>3</v>
      </c>
      <c r="AC140" s="47" t="s">
        <v>12</v>
      </c>
      <c r="AG140" s="89"/>
    </row>
    <row r="141" spans="1:33" s="18" customFormat="1" ht="30.75" customHeight="1" x14ac:dyDescent="0.15">
      <c r="A141" s="76" t="s">
        <v>402</v>
      </c>
      <c r="B141" s="69"/>
      <c r="C141" s="69" t="s">
        <v>3</v>
      </c>
      <c r="D141" s="69" t="s">
        <v>3768</v>
      </c>
      <c r="E141" s="69" t="s">
        <v>3863</v>
      </c>
      <c r="F141" s="69" t="s">
        <v>3905</v>
      </c>
      <c r="G141" s="69" t="s">
        <v>4042</v>
      </c>
      <c r="H141" s="69" t="s">
        <v>4019</v>
      </c>
      <c r="I141" s="69" t="s">
        <v>4064</v>
      </c>
      <c r="J141" s="69" t="s">
        <v>4240</v>
      </c>
      <c r="K141" s="69" t="s">
        <v>4240</v>
      </c>
      <c r="L141" s="69" t="s">
        <v>4240</v>
      </c>
      <c r="M141" s="69" t="s">
        <v>4240</v>
      </c>
      <c r="N141" s="69" t="s">
        <v>4240</v>
      </c>
      <c r="O141" s="69" t="s">
        <v>4240</v>
      </c>
      <c r="P141" s="69" t="s">
        <v>3</v>
      </c>
      <c r="Q141" s="69" t="s">
        <v>3</v>
      </c>
      <c r="R141" s="69" t="s">
        <v>3</v>
      </c>
      <c r="S141" s="69" t="s">
        <v>4403</v>
      </c>
      <c r="T141" s="69" t="s">
        <v>3</v>
      </c>
      <c r="U141" s="69" t="s">
        <v>4601</v>
      </c>
      <c r="V141" s="69" t="s">
        <v>4533</v>
      </c>
      <c r="W141" s="69" t="s">
        <v>4533</v>
      </c>
      <c r="X141" s="69" t="s">
        <v>3</v>
      </c>
      <c r="Y141" s="69" t="s">
        <v>3</v>
      </c>
      <c r="Z141" s="69" t="s">
        <v>3</v>
      </c>
      <c r="AA141" s="69" t="s">
        <v>3</v>
      </c>
      <c r="AB141" s="69" t="s">
        <v>3</v>
      </c>
      <c r="AC141" s="69" t="s">
        <v>4345</v>
      </c>
      <c r="AG141" s="89"/>
    </row>
    <row r="142" spans="1:33" s="18" customFormat="1" ht="3.95" customHeight="1" x14ac:dyDescent="0.15">
      <c r="A142" s="28"/>
      <c r="B142" s="48"/>
      <c r="C142" s="48"/>
      <c r="D142" s="48"/>
      <c r="E142" s="48"/>
      <c r="F142" s="48"/>
      <c r="G142" s="48"/>
      <c r="H142" s="48"/>
      <c r="I142" s="48"/>
      <c r="J142" s="48"/>
      <c r="K142" s="48"/>
      <c r="L142" s="48"/>
      <c r="M142" s="48"/>
      <c r="N142" s="48"/>
      <c r="O142" s="48"/>
      <c r="P142" s="48"/>
      <c r="Q142" s="48"/>
      <c r="R142" s="48"/>
      <c r="S142" s="48"/>
      <c r="T142" s="48"/>
      <c r="U142" s="58"/>
      <c r="V142" s="58"/>
      <c r="W142" s="48"/>
      <c r="X142" s="48"/>
      <c r="Y142" s="48"/>
      <c r="Z142" s="48"/>
      <c r="AA142" s="48"/>
      <c r="AB142" s="48"/>
      <c r="AC142" s="48"/>
      <c r="AG142" s="89"/>
    </row>
    <row r="143" spans="1:33" s="89" customFormat="1" ht="22.5" customHeight="1" x14ac:dyDescent="0.15">
      <c r="A143" s="177" t="s">
        <v>3656</v>
      </c>
      <c r="B143" s="245"/>
      <c r="C143" s="245" t="str">
        <f t="shared" ref="C143:AC143" si="6">C1</f>
        <v>Allianz</v>
      </c>
      <c r="D143" s="245" t="str">
        <f t="shared" si="6"/>
        <v>Allianz SicherheitPlus</v>
      </c>
      <c r="E143" s="245" t="str">
        <f t="shared" si="6"/>
        <v>AXA BOXflex</v>
      </c>
      <c r="F143" s="245" t="str">
        <f t="shared" si="6"/>
        <v>AXA BOXflex Premium</v>
      </c>
      <c r="G143" s="245" t="str">
        <f t="shared" si="6"/>
        <v>Domcura Komfort</v>
      </c>
      <c r="H143" s="245" t="str">
        <f>H1</f>
        <v>Domcura Standard</v>
      </c>
      <c r="I143" s="245" t="str">
        <f t="shared" si="6"/>
        <v>Domcura Top</v>
      </c>
      <c r="J143" s="245" t="str">
        <f>J1</f>
        <v>Gothaer Basis 1914</v>
      </c>
      <c r="K143" s="245" t="str">
        <f>K1</f>
        <v>Gothaer Basis qm</v>
      </c>
      <c r="L143" s="245" t="str">
        <f>L1</f>
        <v>Gothaer Premium 1914</v>
      </c>
      <c r="M143" s="245" t="str">
        <f>M1</f>
        <v>Gothaer Premium qm</v>
      </c>
      <c r="N143" s="245" t="str">
        <f>N1</f>
        <v>Gothaer Top 1914</v>
      </c>
      <c r="O143" s="245" t="str">
        <f t="shared" si="6"/>
        <v>Gothaer Top qm</v>
      </c>
      <c r="P143" s="245" t="str">
        <f t="shared" si="6"/>
        <v>HFK</v>
      </c>
      <c r="Q143" s="245" t="str">
        <f t="shared" si="6"/>
        <v>HFK Rundumschutz</v>
      </c>
      <c r="R143" s="245" t="str">
        <f t="shared" si="6"/>
        <v>HFK Rundumschutz-Plus</v>
      </c>
      <c r="S143" s="245" t="str">
        <f t="shared" si="6"/>
        <v>ITL afm Eurosecure 2009</v>
      </c>
      <c r="T143" s="245" t="str">
        <f t="shared" si="6"/>
        <v>ITL Classic</v>
      </c>
      <c r="U143" s="245" t="str">
        <f>U1</f>
        <v>ITL Eurosecure Plus</v>
      </c>
      <c r="V143" s="245" t="str">
        <f>V1</f>
        <v>ITL Infinitus</v>
      </c>
      <c r="W143" s="245" t="str">
        <f t="shared" si="6"/>
        <v>ITL Protect Plus</v>
      </c>
      <c r="X143" s="245" t="str">
        <f t="shared" si="6"/>
        <v>Keine</v>
      </c>
      <c r="Y143" s="245" t="str">
        <f t="shared" si="6"/>
        <v>Provinzial</v>
      </c>
      <c r="Z143" s="245" t="str">
        <f t="shared" si="6"/>
        <v>Provinzial Rundumschutz</v>
      </c>
      <c r="AA143" s="245" t="str">
        <f t="shared" si="6"/>
        <v>Provinzial Rundumschutz-Plus</v>
      </c>
      <c r="AB143" s="245" t="str">
        <f t="shared" si="6"/>
        <v>VHV Klassik Garant</v>
      </c>
      <c r="AC143" s="245" t="str">
        <f t="shared" si="6"/>
        <v>VHV Klassik Garant Exklusiv</v>
      </c>
      <c r="AF143" s="18"/>
    </row>
    <row r="144" spans="1:33" s="18" customFormat="1" ht="21.95" customHeight="1" x14ac:dyDescent="0.15">
      <c r="A144" s="25" t="s">
        <v>3657</v>
      </c>
      <c r="B144" s="284"/>
      <c r="C144" s="47" t="s">
        <v>3745</v>
      </c>
      <c r="D144" s="47" t="s">
        <v>3745</v>
      </c>
      <c r="E144" s="47" t="s">
        <v>3745</v>
      </c>
      <c r="F144" s="47" t="s">
        <v>3745</v>
      </c>
      <c r="G144" s="47" t="s">
        <v>3745</v>
      </c>
      <c r="H144" s="47" t="s">
        <v>3745</v>
      </c>
      <c r="I144" s="47" t="s">
        <v>3745</v>
      </c>
      <c r="J144" s="47" t="s">
        <v>3745</v>
      </c>
      <c r="K144" s="47" t="s">
        <v>3745</v>
      </c>
      <c r="L144" s="47" t="s">
        <v>3745</v>
      </c>
      <c r="M144" s="47" t="s">
        <v>3745</v>
      </c>
      <c r="N144" s="47" t="s">
        <v>3745</v>
      </c>
      <c r="O144" s="47" t="s">
        <v>3745</v>
      </c>
      <c r="P144" s="47" t="s">
        <v>3745</v>
      </c>
      <c r="Q144" s="47" t="s">
        <v>3745</v>
      </c>
      <c r="R144" s="47" t="s">
        <v>3745</v>
      </c>
      <c r="S144" s="47" t="s">
        <v>3745</v>
      </c>
      <c r="T144" s="47" t="s">
        <v>3745</v>
      </c>
      <c r="U144" s="47" t="s">
        <v>4602</v>
      </c>
      <c r="V144" s="47" t="s">
        <v>4602</v>
      </c>
      <c r="W144" s="47" t="s">
        <v>3745</v>
      </c>
      <c r="X144" s="46" t="s">
        <v>3</v>
      </c>
      <c r="Y144" s="47" t="s">
        <v>3745</v>
      </c>
      <c r="Z144" s="47" t="s">
        <v>3745</v>
      </c>
      <c r="AA144" s="47" t="s">
        <v>3745</v>
      </c>
      <c r="AB144" s="47" t="s">
        <v>3745</v>
      </c>
      <c r="AC144" s="47" t="s">
        <v>3745</v>
      </c>
      <c r="AG144" s="89"/>
    </row>
    <row r="145" spans="1:33" s="18" customFormat="1" ht="12" customHeight="1" x14ac:dyDescent="0.15">
      <c r="A145" s="76" t="s">
        <v>402</v>
      </c>
      <c r="B145" s="69"/>
      <c r="C145" s="69" t="s">
        <v>3746</v>
      </c>
      <c r="D145" s="69" t="s">
        <v>3746</v>
      </c>
      <c r="E145" s="69" t="s">
        <v>3878</v>
      </c>
      <c r="F145" s="69" t="s">
        <v>3878</v>
      </c>
      <c r="G145" s="69" t="s">
        <v>4020</v>
      </c>
      <c r="H145" s="69" t="s">
        <v>4020</v>
      </c>
      <c r="I145" s="69" t="s">
        <v>4020</v>
      </c>
      <c r="J145" s="69" t="s">
        <v>4163</v>
      </c>
      <c r="K145" s="69" t="s">
        <v>4163</v>
      </c>
      <c r="L145" s="69" t="s">
        <v>4163</v>
      </c>
      <c r="M145" s="69" t="s">
        <v>4163</v>
      </c>
      <c r="N145" s="69" t="s">
        <v>4163</v>
      </c>
      <c r="O145" s="69" t="s">
        <v>4163</v>
      </c>
      <c r="P145" s="69" t="s">
        <v>1571</v>
      </c>
      <c r="Q145" s="69" t="s">
        <v>1571</v>
      </c>
      <c r="R145" s="69" t="s">
        <v>1571</v>
      </c>
      <c r="S145" s="69" t="s">
        <v>4469</v>
      </c>
      <c r="T145" s="69" t="s">
        <v>4469</v>
      </c>
      <c r="U145" s="69" t="s">
        <v>4603</v>
      </c>
      <c r="V145" s="69" t="s">
        <v>4651</v>
      </c>
      <c r="W145" s="69" t="s">
        <v>4469</v>
      </c>
      <c r="X145" s="69" t="s">
        <v>3</v>
      </c>
      <c r="Y145" s="69" t="s">
        <v>1571</v>
      </c>
      <c r="Z145" s="69" t="s">
        <v>1571</v>
      </c>
      <c r="AA145" s="69" t="s">
        <v>1571</v>
      </c>
      <c r="AB145" s="69" t="s">
        <v>4344</v>
      </c>
      <c r="AC145" s="69" t="s">
        <v>4344</v>
      </c>
      <c r="AG145" s="89"/>
    </row>
    <row r="146" spans="1:33" s="18" customFormat="1" ht="21.95" customHeight="1" x14ac:dyDescent="0.15">
      <c r="A146" s="25" t="s">
        <v>4893</v>
      </c>
      <c r="B146" s="284"/>
      <c r="C146" s="47" t="s">
        <v>3</v>
      </c>
      <c r="D146" s="47" t="s">
        <v>3</v>
      </c>
      <c r="E146" s="47" t="s">
        <v>3</v>
      </c>
      <c r="F146" s="47" t="s">
        <v>3</v>
      </c>
      <c r="G146" s="47" t="s">
        <v>3</v>
      </c>
      <c r="H146" s="47" t="s">
        <v>3</v>
      </c>
      <c r="I146" s="47" t="s">
        <v>3973</v>
      </c>
      <c r="J146" s="47" t="s">
        <v>3</v>
      </c>
      <c r="K146" s="47" t="s">
        <v>3</v>
      </c>
      <c r="L146" s="47" t="s">
        <v>3</v>
      </c>
      <c r="M146" s="47" t="s">
        <v>3</v>
      </c>
      <c r="N146" s="47" t="s">
        <v>3</v>
      </c>
      <c r="O146" s="47" t="s">
        <v>3</v>
      </c>
      <c r="P146" s="47" t="s">
        <v>3</v>
      </c>
      <c r="Q146" s="47" t="s">
        <v>3</v>
      </c>
      <c r="R146" s="47" t="s">
        <v>3</v>
      </c>
      <c r="S146" s="47" t="s">
        <v>3</v>
      </c>
      <c r="T146" s="47" t="s">
        <v>3</v>
      </c>
      <c r="U146" s="47" t="s">
        <v>1</v>
      </c>
      <c r="V146" s="47" t="s">
        <v>1</v>
      </c>
      <c r="W146" s="47" t="s">
        <v>3</v>
      </c>
      <c r="X146" s="46" t="s">
        <v>3</v>
      </c>
      <c r="Y146" s="47" t="s">
        <v>3</v>
      </c>
      <c r="Z146" s="47" t="s">
        <v>3</v>
      </c>
      <c r="AA146" s="47" t="s">
        <v>3</v>
      </c>
      <c r="AB146" s="47" t="s">
        <v>3</v>
      </c>
      <c r="AC146" s="47" t="s">
        <v>3</v>
      </c>
      <c r="AG146" s="89"/>
    </row>
    <row r="147" spans="1:33" s="18" customFormat="1" ht="12" customHeight="1" x14ac:dyDescent="0.15">
      <c r="A147" s="76" t="s">
        <v>402</v>
      </c>
      <c r="B147" s="69"/>
      <c r="C147" s="69" t="s">
        <v>3774</v>
      </c>
      <c r="D147" s="69" t="s">
        <v>3774</v>
      </c>
      <c r="E147" s="69" t="s">
        <v>3924</v>
      </c>
      <c r="F147" s="69" t="s">
        <v>3924</v>
      </c>
      <c r="G147" s="69" t="s">
        <v>4021</v>
      </c>
      <c r="H147" s="69" t="s">
        <v>4021</v>
      </c>
      <c r="I147" s="69" t="s">
        <v>4071</v>
      </c>
      <c r="J147" s="69" t="s">
        <v>4164</v>
      </c>
      <c r="K147" s="69" t="s">
        <v>4164</v>
      </c>
      <c r="L147" s="69" t="s">
        <v>4164</v>
      </c>
      <c r="M147" s="69" t="s">
        <v>4164</v>
      </c>
      <c r="N147" s="69" t="s">
        <v>4164</v>
      </c>
      <c r="O147" s="69" t="s">
        <v>4164</v>
      </c>
      <c r="P147" s="69" t="s">
        <v>4745</v>
      </c>
      <c r="Q147" s="69" t="s">
        <v>4745</v>
      </c>
      <c r="R147" s="69" t="s">
        <v>4745</v>
      </c>
      <c r="S147" s="69" t="s">
        <v>4470</v>
      </c>
      <c r="T147" s="69" t="s">
        <v>4470</v>
      </c>
      <c r="U147" s="69" t="s">
        <v>4604</v>
      </c>
      <c r="V147" s="69" t="s">
        <v>4652</v>
      </c>
      <c r="W147" s="69" t="s">
        <v>4470</v>
      </c>
      <c r="X147" s="69" t="s">
        <v>3</v>
      </c>
      <c r="Y147" s="69" t="s">
        <v>4745</v>
      </c>
      <c r="Z147" s="69" t="s">
        <v>4745</v>
      </c>
      <c r="AA147" s="69" t="s">
        <v>4745</v>
      </c>
      <c r="AB147" s="69" t="s">
        <v>4343</v>
      </c>
      <c r="AC147" s="69" t="s">
        <v>4343</v>
      </c>
      <c r="AG147" s="89"/>
    </row>
    <row r="148" spans="1:33" s="18" customFormat="1" ht="3.95" customHeight="1" x14ac:dyDescent="0.15">
      <c r="A148" s="28"/>
      <c r="B148" s="48"/>
      <c r="C148" s="48"/>
      <c r="D148" s="48"/>
      <c r="E148" s="48"/>
      <c r="F148" s="48"/>
      <c r="G148" s="48"/>
      <c r="H148" s="48"/>
      <c r="I148" s="48"/>
      <c r="J148" s="48"/>
      <c r="K148" s="48"/>
      <c r="L148" s="48"/>
      <c r="M148" s="48"/>
      <c r="N148" s="48"/>
      <c r="O148" s="48"/>
      <c r="P148" s="48"/>
      <c r="Q148" s="48"/>
      <c r="R148" s="48"/>
      <c r="S148" s="48"/>
      <c r="T148" s="48"/>
      <c r="U148" s="58"/>
      <c r="V148" s="58"/>
      <c r="W148" s="48"/>
      <c r="X148" s="48"/>
      <c r="Y148" s="48"/>
      <c r="Z148" s="48"/>
      <c r="AA148" s="48"/>
      <c r="AB148" s="48"/>
      <c r="AC148" s="48"/>
      <c r="AG148" s="89"/>
    </row>
    <row r="149" spans="1:33" s="89" customFormat="1" ht="22.5" customHeight="1" x14ac:dyDescent="0.15">
      <c r="A149" s="177" t="s">
        <v>5008</v>
      </c>
      <c r="B149" s="245"/>
      <c r="C149" s="245" t="str">
        <f t="shared" ref="C149:O149" si="7">C1</f>
        <v>Allianz</v>
      </c>
      <c r="D149" s="245" t="str">
        <f t="shared" si="7"/>
        <v>Allianz SicherheitPlus</v>
      </c>
      <c r="E149" s="245" t="str">
        <f t="shared" si="7"/>
        <v>AXA BOXflex</v>
      </c>
      <c r="F149" s="245" t="str">
        <f t="shared" si="7"/>
        <v>AXA BOXflex Premium</v>
      </c>
      <c r="G149" s="245" t="str">
        <f t="shared" si="7"/>
        <v>Domcura Komfort</v>
      </c>
      <c r="H149" s="245" t="str">
        <f>H1</f>
        <v>Domcura Standard</v>
      </c>
      <c r="I149" s="245" t="str">
        <f t="shared" si="7"/>
        <v>Domcura Top</v>
      </c>
      <c r="J149" s="245" t="str">
        <f>J1</f>
        <v>Gothaer Basis 1914</v>
      </c>
      <c r="K149" s="245" t="str">
        <f>K1</f>
        <v>Gothaer Basis qm</v>
      </c>
      <c r="L149" s="245" t="str">
        <f>L1</f>
        <v>Gothaer Premium 1914</v>
      </c>
      <c r="M149" s="245" t="str">
        <f>M1</f>
        <v>Gothaer Premium qm</v>
      </c>
      <c r="N149" s="245" t="str">
        <f>N1</f>
        <v>Gothaer Top 1914</v>
      </c>
      <c r="O149" s="245" t="str">
        <f t="shared" si="7"/>
        <v>Gothaer Top qm</v>
      </c>
      <c r="P149" s="245" t="str">
        <f t="shared" ref="P149:R149" si="8">P49</f>
        <v>HFK</v>
      </c>
      <c r="Q149" s="245" t="str">
        <f t="shared" si="8"/>
        <v>HFK Rundumschutz</v>
      </c>
      <c r="R149" s="245" t="str">
        <f t="shared" si="8"/>
        <v>HFK Rundumschutz-Plus</v>
      </c>
      <c r="S149" s="245" t="str">
        <f>S1</f>
        <v>ITL afm Eurosecure 2009</v>
      </c>
      <c r="T149" s="245" t="str">
        <f>T1</f>
        <v>ITL Classic</v>
      </c>
      <c r="U149" s="245" t="str">
        <f>U1</f>
        <v>ITL Eurosecure Plus</v>
      </c>
      <c r="V149" s="245" t="str">
        <f>V1</f>
        <v>ITL Infinitus</v>
      </c>
      <c r="W149" s="245" t="str">
        <f>W1</f>
        <v>ITL Protect Plus</v>
      </c>
      <c r="X149" s="245" t="str">
        <f>X49</f>
        <v>Keine</v>
      </c>
      <c r="Y149" s="245" t="str">
        <f t="shared" ref="Y149:AA149" si="9">Y49</f>
        <v>Provinzial</v>
      </c>
      <c r="Z149" s="245" t="str">
        <f t="shared" si="9"/>
        <v>Provinzial Rundumschutz</v>
      </c>
      <c r="AA149" s="245" t="str">
        <f t="shared" si="9"/>
        <v>Provinzial Rundumschutz-Plus</v>
      </c>
      <c r="AB149" s="245" t="str">
        <f>AB49</f>
        <v>VHV Klassik Garant</v>
      </c>
      <c r="AC149" s="245" t="str">
        <f>AC49</f>
        <v>VHV Klassik Garant Exklusiv</v>
      </c>
      <c r="AF149" s="18"/>
    </row>
    <row r="150" spans="1:33" s="18" customFormat="1" ht="93" customHeight="1" x14ac:dyDescent="0.15">
      <c r="A150" s="25" t="s">
        <v>4865</v>
      </c>
      <c r="B150" s="284" t="s">
        <v>3730</v>
      </c>
      <c r="C150" s="46" t="s">
        <v>3</v>
      </c>
      <c r="D150" s="47" t="s">
        <v>4955</v>
      </c>
      <c r="E150" s="47" t="s">
        <v>3823</v>
      </c>
      <c r="F150" s="47" t="s">
        <v>3880</v>
      </c>
      <c r="G150" s="47" t="s">
        <v>3</v>
      </c>
      <c r="H150" s="47" t="s">
        <v>3</v>
      </c>
      <c r="I150" s="47" t="s">
        <v>3973</v>
      </c>
      <c r="J150" s="47" t="s">
        <v>3</v>
      </c>
      <c r="K150" s="47" t="s">
        <v>3</v>
      </c>
      <c r="L150" s="47" t="s">
        <v>4197</v>
      </c>
      <c r="M150" s="47" t="s">
        <v>4275</v>
      </c>
      <c r="N150" s="47" t="s">
        <v>3</v>
      </c>
      <c r="O150" s="47" t="s">
        <v>3</v>
      </c>
      <c r="P150" s="47" t="s">
        <v>3</v>
      </c>
      <c r="Q150" s="47" t="s">
        <v>4746</v>
      </c>
      <c r="R150" s="47" t="s">
        <v>4746</v>
      </c>
      <c r="S150" s="47" t="s">
        <v>4645</v>
      </c>
      <c r="T150" s="47" t="s">
        <v>3</v>
      </c>
      <c r="U150" s="47" t="s">
        <v>4524</v>
      </c>
      <c r="V150" s="47" t="s">
        <v>4646</v>
      </c>
      <c r="W150" s="47" t="s">
        <v>4524</v>
      </c>
      <c r="X150" s="46" t="s">
        <v>3</v>
      </c>
      <c r="Y150" s="47" t="s">
        <v>3</v>
      </c>
      <c r="Z150" s="47" t="s">
        <v>4746</v>
      </c>
      <c r="AA150" s="47" t="s">
        <v>4746</v>
      </c>
      <c r="AB150" s="47" t="s">
        <v>3</v>
      </c>
      <c r="AC150" s="47" t="s">
        <v>4342</v>
      </c>
      <c r="AG150" s="89"/>
    </row>
    <row r="151" spans="1:33" s="18" customFormat="1" ht="12" customHeight="1" x14ac:dyDescent="0.15">
      <c r="A151" s="76" t="s">
        <v>402</v>
      </c>
      <c r="B151" s="69"/>
      <c r="C151" s="69" t="s">
        <v>2787</v>
      </c>
      <c r="D151" s="69" t="s">
        <v>2787</v>
      </c>
      <c r="E151" s="69" t="s">
        <v>3822</v>
      </c>
      <c r="F151" s="69" t="s">
        <v>3881</v>
      </c>
      <c r="G151" s="69" t="s">
        <v>3732</v>
      </c>
      <c r="H151" s="69" t="s">
        <v>3732</v>
      </c>
      <c r="I151" s="69" t="s">
        <v>4054</v>
      </c>
      <c r="J151" s="69" t="s">
        <v>4198</v>
      </c>
      <c r="K151" s="69" t="s">
        <v>4198</v>
      </c>
      <c r="L151" s="69" t="s">
        <v>4198</v>
      </c>
      <c r="M151" s="69" t="s">
        <v>4198</v>
      </c>
      <c r="N151" s="69" t="s">
        <v>4198</v>
      </c>
      <c r="O151" s="69" t="s">
        <v>4198</v>
      </c>
      <c r="P151" s="69" t="s">
        <v>3</v>
      </c>
      <c r="Q151" s="69" t="s">
        <v>891</v>
      </c>
      <c r="R151" s="69" t="s">
        <v>891</v>
      </c>
      <c r="S151" s="69" t="s">
        <v>1782</v>
      </c>
      <c r="T151" s="69" t="s">
        <v>3</v>
      </c>
      <c r="U151" s="69" t="s">
        <v>4605</v>
      </c>
      <c r="V151" s="69" t="s">
        <v>4605</v>
      </c>
      <c r="W151" s="69" t="s">
        <v>4525</v>
      </c>
      <c r="X151" s="69" t="s">
        <v>3</v>
      </c>
      <c r="Y151" s="69" t="s">
        <v>3</v>
      </c>
      <c r="Z151" s="69" t="s">
        <v>891</v>
      </c>
      <c r="AA151" s="69" t="s">
        <v>891</v>
      </c>
      <c r="AB151" s="69" t="s">
        <v>3</v>
      </c>
      <c r="AC151" s="69" t="s">
        <v>4341</v>
      </c>
      <c r="AG151" s="89"/>
    </row>
    <row r="152" spans="1:33" s="18" customFormat="1" ht="31.5" customHeight="1" x14ac:dyDescent="0.15">
      <c r="A152" s="25" t="s">
        <v>4895</v>
      </c>
      <c r="B152" s="284" t="s">
        <v>5009</v>
      </c>
      <c r="C152" s="47" t="s">
        <v>191</v>
      </c>
      <c r="D152" s="47" t="s">
        <v>191</v>
      </c>
      <c r="E152" s="47" t="s">
        <v>3840</v>
      </c>
      <c r="F152" s="47" t="s">
        <v>3874</v>
      </c>
      <c r="G152" s="47" t="s">
        <v>5010</v>
      </c>
      <c r="H152" s="47" t="s">
        <v>3</v>
      </c>
      <c r="I152" s="47" t="s">
        <v>5011</v>
      </c>
      <c r="J152" s="47" t="s">
        <v>3</v>
      </c>
      <c r="K152" s="47" t="s">
        <v>3</v>
      </c>
      <c r="L152" s="47" t="s">
        <v>4187</v>
      </c>
      <c r="M152" s="47" t="s">
        <v>4277</v>
      </c>
      <c r="N152" s="47" t="s">
        <v>4187</v>
      </c>
      <c r="O152" s="47" t="s">
        <v>4277</v>
      </c>
      <c r="P152" s="47" t="s">
        <v>3</v>
      </c>
      <c r="Q152" s="47" t="s">
        <v>3</v>
      </c>
      <c r="R152" s="47" t="s">
        <v>95</v>
      </c>
      <c r="S152" s="47" t="s">
        <v>5012</v>
      </c>
      <c r="T152" s="47" t="s">
        <v>3</v>
      </c>
      <c r="U152" s="47" t="s">
        <v>95</v>
      </c>
      <c r="V152" s="47" t="s">
        <v>95</v>
      </c>
      <c r="W152" s="47" t="s">
        <v>5012</v>
      </c>
      <c r="X152" s="46" t="s">
        <v>3</v>
      </c>
      <c r="Y152" s="47" t="s">
        <v>3</v>
      </c>
      <c r="Z152" s="47" t="s">
        <v>3</v>
      </c>
      <c r="AA152" s="47" t="s">
        <v>95</v>
      </c>
      <c r="AB152" s="47" t="s">
        <v>3</v>
      </c>
      <c r="AC152" s="47" t="s">
        <v>95</v>
      </c>
      <c r="AG152" s="89"/>
    </row>
    <row r="153" spans="1:33" s="18" customFormat="1" ht="20.100000000000001" customHeight="1" x14ac:dyDescent="0.15">
      <c r="A153" s="76" t="s">
        <v>402</v>
      </c>
      <c r="B153" s="69"/>
      <c r="C153" s="69" t="s">
        <v>3735</v>
      </c>
      <c r="D153" s="69" t="s">
        <v>3735</v>
      </c>
      <c r="E153" s="69" t="s">
        <v>3839</v>
      </c>
      <c r="F153" s="69" t="s">
        <v>3875</v>
      </c>
      <c r="G153" s="69" t="s">
        <v>4046</v>
      </c>
      <c r="H153" s="69" t="s">
        <v>3970</v>
      </c>
      <c r="I153" s="69" t="s">
        <v>4075</v>
      </c>
      <c r="J153" s="69" t="s">
        <v>4186</v>
      </c>
      <c r="K153" s="69" t="s">
        <v>4186</v>
      </c>
      <c r="L153" s="69" t="s">
        <v>4186</v>
      </c>
      <c r="M153" s="69" t="s">
        <v>4186</v>
      </c>
      <c r="N153" s="69" t="s">
        <v>4186</v>
      </c>
      <c r="O153" s="69" t="s">
        <v>4186</v>
      </c>
      <c r="P153" s="69" t="s">
        <v>3</v>
      </c>
      <c r="Q153" s="69" t="s">
        <v>3</v>
      </c>
      <c r="R153" s="69" t="s">
        <v>4747</v>
      </c>
      <c r="S153" s="69" t="s">
        <v>1823</v>
      </c>
      <c r="T153" s="69" t="s">
        <v>3</v>
      </c>
      <c r="U153" s="69" t="s">
        <v>4606</v>
      </c>
      <c r="V153" s="69" t="s">
        <v>4669</v>
      </c>
      <c r="W153" s="69" t="s">
        <v>4544</v>
      </c>
      <c r="X153" s="69" t="s">
        <v>3</v>
      </c>
      <c r="Y153" s="69" t="s">
        <v>3</v>
      </c>
      <c r="Z153" s="69" t="s">
        <v>3</v>
      </c>
      <c r="AA153" s="69" t="s">
        <v>4747</v>
      </c>
      <c r="AB153" s="69" t="s">
        <v>3</v>
      </c>
      <c r="AC153" s="69" t="s">
        <v>4340</v>
      </c>
      <c r="AG153" s="89"/>
    </row>
    <row r="154" spans="1:33" s="18" customFormat="1" ht="39" customHeight="1" x14ac:dyDescent="0.15">
      <c r="A154" s="25" t="s">
        <v>4097</v>
      </c>
      <c r="B154" s="284" t="s">
        <v>5013</v>
      </c>
      <c r="C154" s="47"/>
      <c r="D154" s="47"/>
      <c r="E154" s="47"/>
      <c r="F154" s="47"/>
      <c r="G154" s="47" t="s">
        <v>3</v>
      </c>
      <c r="H154" s="47" t="s">
        <v>3</v>
      </c>
      <c r="I154" s="47" t="s">
        <v>4082</v>
      </c>
      <c r="J154" s="47" t="s">
        <v>3</v>
      </c>
      <c r="K154" s="47" t="s">
        <v>3</v>
      </c>
      <c r="L154" s="47" t="s">
        <v>3</v>
      </c>
      <c r="M154" s="47" t="s">
        <v>3</v>
      </c>
      <c r="N154" s="47" t="s">
        <v>3</v>
      </c>
      <c r="O154" s="47" t="s">
        <v>3</v>
      </c>
      <c r="P154" s="47" t="s">
        <v>3</v>
      </c>
      <c r="Q154" s="47" t="s">
        <v>4897</v>
      </c>
      <c r="R154" s="47" t="s">
        <v>4897</v>
      </c>
      <c r="S154" s="47" t="s">
        <v>3</v>
      </c>
      <c r="T154" s="47" t="s">
        <v>3</v>
      </c>
      <c r="U154" s="47" t="s">
        <v>95</v>
      </c>
      <c r="V154" s="47" t="s">
        <v>95</v>
      </c>
      <c r="W154" s="47" t="s">
        <v>3</v>
      </c>
      <c r="X154" s="46" t="s">
        <v>3</v>
      </c>
      <c r="Y154" s="47" t="s">
        <v>3</v>
      </c>
      <c r="Z154" s="47" t="s">
        <v>4897</v>
      </c>
      <c r="AA154" s="47" t="s">
        <v>4897</v>
      </c>
      <c r="AB154" s="47" t="s">
        <v>3</v>
      </c>
      <c r="AC154" s="47" t="s">
        <v>3</v>
      </c>
      <c r="AG154" s="89"/>
    </row>
    <row r="155" spans="1:33" s="18" customFormat="1" ht="20.100000000000001" customHeight="1" x14ac:dyDescent="0.15">
      <c r="A155" s="76" t="s">
        <v>402</v>
      </c>
      <c r="B155" s="69"/>
      <c r="C155" s="69"/>
      <c r="D155" s="69"/>
      <c r="E155" s="69"/>
      <c r="F155" s="69"/>
      <c r="G155" s="69" t="s">
        <v>3</v>
      </c>
      <c r="H155" s="69" t="s">
        <v>3</v>
      </c>
      <c r="I155" s="69" t="s">
        <v>4098</v>
      </c>
      <c r="J155" s="69" t="s">
        <v>3</v>
      </c>
      <c r="K155" s="69" t="s">
        <v>3</v>
      </c>
      <c r="L155" s="69" t="s">
        <v>3</v>
      </c>
      <c r="M155" s="69" t="s">
        <v>3</v>
      </c>
      <c r="N155" s="69" t="s">
        <v>3</v>
      </c>
      <c r="O155" s="69" t="s">
        <v>3</v>
      </c>
      <c r="P155" s="69" t="s">
        <v>3</v>
      </c>
      <c r="Q155" s="69" t="s">
        <v>4748</v>
      </c>
      <c r="R155" s="69" t="s">
        <v>4748</v>
      </c>
      <c r="S155" s="69" t="s">
        <v>3</v>
      </c>
      <c r="T155" s="69" t="s">
        <v>3</v>
      </c>
      <c r="U155" s="69" t="s">
        <v>4606</v>
      </c>
      <c r="V155" s="69" t="s">
        <v>4669</v>
      </c>
      <c r="W155" s="69" t="s">
        <v>3</v>
      </c>
      <c r="X155" s="69" t="s">
        <v>3</v>
      </c>
      <c r="Y155" s="69" t="s">
        <v>3</v>
      </c>
      <c r="Z155" s="69" t="s">
        <v>4748</v>
      </c>
      <c r="AA155" s="69" t="s">
        <v>4748</v>
      </c>
      <c r="AB155" s="69" t="s">
        <v>3</v>
      </c>
      <c r="AC155" s="69" t="s">
        <v>3</v>
      </c>
      <c r="AG155" s="89"/>
    </row>
    <row r="156" spans="1:33" s="18" customFormat="1" ht="54" customHeight="1" x14ac:dyDescent="0.15">
      <c r="A156" s="25" t="s">
        <v>18</v>
      </c>
      <c r="B156" s="284"/>
      <c r="C156" s="47" t="s">
        <v>3754</v>
      </c>
      <c r="D156" s="47" t="s">
        <v>3754</v>
      </c>
      <c r="E156" s="47" t="s">
        <v>3834</v>
      </c>
      <c r="F156" s="47" t="s">
        <v>3877</v>
      </c>
      <c r="G156" s="47" t="s">
        <v>3974</v>
      </c>
      <c r="H156" s="47" t="s">
        <v>3</v>
      </c>
      <c r="I156" s="47" t="s">
        <v>4055</v>
      </c>
      <c r="J156" s="47" t="s">
        <v>3</v>
      </c>
      <c r="K156" s="47" t="s">
        <v>3</v>
      </c>
      <c r="L156" s="47" t="s">
        <v>4190</v>
      </c>
      <c r="M156" s="47" t="s">
        <v>4276</v>
      </c>
      <c r="N156" s="47" t="s">
        <v>3</v>
      </c>
      <c r="O156" s="47" t="s">
        <v>3</v>
      </c>
      <c r="P156" s="47" t="s">
        <v>3</v>
      </c>
      <c r="Q156" s="47" t="s">
        <v>4898</v>
      </c>
      <c r="R156" s="47" t="s">
        <v>4899</v>
      </c>
      <c r="S156" s="47" t="s">
        <v>119</v>
      </c>
      <c r="T156" s="47" t="s">
        <v>3</v>
      </c>
      <c r="U156" s="47" t="s">
        <v>95</v>
      </c>
      <c r="V156" s="47" t="s">
        <v>95</v>
      </c>
      <c r="W156" s="47" t="s">
        <v>119</v>
      </c>
      <c r="X156" s="46" t="s">
        <v>3</v>
      </c>
      <c r="Y156" s="47" t="s">
        <v>3</v>
      </c>
      <c r="Z156" s="47" t="s">
        <v>4898</v>
      </c>
      <c r="AA156" s="47" t="s">
        <v>4899</v>
      </c>
      <c r="AB156" s="47" t="s">
        <v>3</v>
      </c>
      <c r="AC156" s="47" t="s">
        <v>115</v>
      </c>
      <c r="AG156" s="89"/>
    </row>
    <row r="157" spans="1:33" s="18" customFormat="1" ht="20.100000000000001" customHeight="1" x14ac:dyDescent="0.15">
      <c r="A157" s="76" t="s">
        <v>402</v>
      </c>
      <c r="B157" s="69"/>
      <c r="C157" s="69" t="s">
        <v>5097</v>
      </c>
      <c r="D157" s="69" t="s">
        <v>5097</v>
      </c>
      <c r="E157" s="69" t="s">
        <v>3833</v>
      </c>
      <c r="F157" s="69" t="s">
        <v>3876</v>
      </c>
      <c r="G157" s="69" t="s">
        <v>3975</v>
      </c>
      <c r="H157" s="69" t="s">
        <v>3970</v>
      </c>
      <c r="I157" s="69" t="s">
        <v>4054</v>
      </c>
      <c r="J157" s="69" t="s">
        <v>4199</v>
      </c>
      <c r="K157" s="69" t="s">
        <v>4199</v>
      </c>
      <c r="L157" s="69" t="s">
        <v>4199</v>
      </c>
      <c r="M157" s="69" t="s">
        <v>4199</v>
      </c>
      <c r="N157" s="69" t="s">
        <v>4199</v>
      </c>
      <c r="O157" s="69" t="s">
        <v>4199</v>
      </c>
      <c r="P157" s="69" t="s">
        <v>3</v>
      </c>
      <c r="Q157" s="69" t="s">
        <v>4749</v>
      </c>
      <c r="R157" s="69" t="s">
        <v>4750</v>
      </c>
      <c r="S157" s="69" t="s">
        <v>1824</v>
      </c>
      <c r="T157" s="69" t="s">
        <v>3</v>
      </c>
      <c r="U157" s="69" t="s">
        <v>4606</v>
      </c>
      <c r="V157" s="69" t="s">
        <v>4666</v>
      </c>
      <c r="W157" s="69" t="s">
        <v>4545</v>
      </c>
      <c r="X157" s="69" t="s">
        <v>3</v>
      </c>
      <c r="Y157" s="69" t="s">
        <v>3</v>
      </c>
      <c r="Z157" s="69" t="s">
        <v>4749</v>
      </c>
      <c r="AA157" s="69" t="s">
        <v>4750</v>
      </c>
      <c r="AB157" s="69" t="s">
        <v>3</v>
      </c>
      <c r="AC157" s="69" t="s">
        <v>4339</v>
      </c>
      <c r="AG157" s="89"/>
    </row>
    <row r="158" spans="1:33" s="18" customFormat="1" ht="52.5" customHeight="1" x14ac:dyDescent="0.15">
      <c r="A158" s="25" t="s">
        <v>37</v>
      </c>
      <c r="B158" s="284"/>
      <c r="C158" s="47" t="s">
        <v>3754</v>
      </c>
      <c r="D158" s="47" t="s">
        <v>3754</v>
      </c>
      <c r="E158" s="47" t="s">
        <v>3834</v>
      </c>
      <c r="F158" s="47" t="s">
        <v>3877</v>
      </c>
      <c r="G158" s="47" t="s">
        <v>3974</v>
      </c>
      <c r="H158" s="47" t="s">
        <v>3</v>
      </c>
      <c r="I158" s="47" t="s">
        <v>4055</v>
      </c>
      <c r="J158" s="47" t="s">
        <v>3</v>
      </c>
      <c r="K158" s="47" t="s">
        <v>3</v>
      </c>
      <c r="L158" s="47" t="s">
        <v>4190</v>
      </c>
      <c r="M158" s="47" t="s">
        <v>4274</v>
      </c>
      <c r="N158" s="47" t="s">
        <v>4189</v>
      </c>
      <c r="O158" s="47" t="s">
        <v>4273</v>
      </c>
      <c r="P158" s="47" t="s">
        <v>3</v>
      </c>
      <c r="Q158" s="47" t="s">
        <v>3</v>
      </c>
      <c r="R158" s="47" t="s">
        <v>12</v>
      </c>
      <c r="S158" s="47" t="s">
        <v>4494</v>
      </c>
      <c r="T158" s="47" t="s">
        <v>3</v>
      </c>
      <c r="U158" s="47" t="s">
        <v>95</v>
      </c>
      <c r="V158" s="47" t="s">
        <v>95</v>
      </c>
      <c r="W158" s="47" t="s">
        <v>4546</v>
      </c>
      <c r="X158" s="46" t="s">
        <v>3</v>
      </c>
      <c r="Y158" s="47" t="s">
        <v>3</v>
      </c>
      <c r="Z158" s="47" t="s">
        <v>3</v>
      </c>
      <c r="AA158" s="47" t="s">
        <v>12</v>
      </c>
      <c r="AB158" s="47" t="s">
        <v>3</v>
      </c>
      <c r="AC158" s="47" t="s">
        <v>4338</v>
      </c>
      <c r="AG158" s="89"/>
    </row>
    <row r="159" spans="1:33" s="18" customFormat="1" ht="20.100000000000001" customHeight="1" x14ac:dyDescent="0.15">
      <c r="A159" s="76" t="s">
        <v>402</v>
      </c>
      <c r="B159" s="69"/>
      <c r="C159" s="69" t="s">
        <v>5097</v>
      </c>
      <c r="D159" s="69" t="s">
        <v>5097</v>
      </c>
      <c r="E159" s="69" t="s">
        <v>3833</v>
      </c>
      <c r="F159" s="69" t="s">
        <v>3876</v>
      </c>
      <c r="G159" s="69" t="s">
        <v>3975</v>
      </c>
      <c r="H159" s="69" t="s">
        <v>3970</v>
      </c>
      <c r="I159" s="69" t="s">
        <v>4054</v>
      </c>
      <c r="J159" s="69" t="s">
        <v>4188</v>
      </c>
      <c r="K159" s="69" t="s">
        <v>4188</v>
      </c>
      <c r="L159" s="69" t="s">
        <v>4188</v>
      </c>
      <c r="M159" s="69" t="s">
        <v>4188</v>
      </c>
      <c r="N159" s="69" t="s">
        <v>4188</v>
      </c>
      <c r="O159" s="69" t="s">
        <v>4188</v>
      </c>
      <c r="P159" s="69" t="s">
        <v>3</v>
      </c>
      <c r="Q159" s="69" t="s">
        <v>3</v>
      </c>
      <c r="R159" s="69" t="s">
        <v>903</v>
      </c>
      <c r="S159" s="69" t="s">
        <v>4495</v>
      </c>
      <c r="T159" s="69" t="s">
        <v>3</v>
      </c>
      <c r="U159" s="69" t="s">
        <v>4606</v>
      </c>
      <c r="V159" s="69" t="s">
        <v>4666</v>
      </c>
      <c r="W159" s="69" t="s">
        <v>4545</v>
      </c>
      <c r="X159" s="69" t="s">
        <v>3</v>
      </c>
      <c r="Y159" s="69" t="s">
        <v>3</v>
      </c>
      <c r="Z159" s="69" t="s">
        <v>3</v>
      </c>
      <c r="AA159" s="69" t="s">
        <v>903</v>
      </c>
      <c r="AB159" s="69" t="s">
        <v>3</v>
      </c>
      <c r="AC159" s="69" t="s">
        <v>4337</v>
      </c>
      <c r="AG159" s="89"/>
    </row>
    <row r="160" spans="1:33" s="18" customFormat="1" ht="41.25" customHeight="1" x14ac:dyDescent="0.15">
      <c r="A160" s="26" t="s">
        <v>4500</v>
      </c>
      <c r="B160" s="284"/>
      <c r="C160" s="47" t="s">
        <v>3758</v>
      </c>
      <c r="D160" s="47" t="s">
        <v>3758</v>
      </c>
      <c r="E160" s="47" t="s">
        <v>3</v>
      </c>
      <c r="F160" s="47" t="s">
        <v>95</v>
      </c>
      <c r="G160" s="47" t="s">
        <v>95</v>
      </c>
      <c r="H160" s="47" t="s">
        <v>3</v>
      </c>
      <c r="I160" s="47" t="s">
        <v>95</v>
      </c>
      <c r="J160" s="47" t="s">
        <v>3</v>
      </c>
      <c r="K160" s="47" t="s">
        <v>3</v>
      </c>
      <c r="L160" s="47" t="s">
        <v>4127</v>
      </c>
      <c r="M160" s="47" t="s">
        <v>4255</v>
      </c>
      <c r="N160" s="47" t="s">
        <v>4127</v>
      </c>
      <c r="O160" s="47" t="s">
        <v>4255</v>
      </c>
      <c r="P160" s="47" t="s">
        <v>3</v>
      </c>
      <c r="Q160" s="47" t="s">
        <v>3</v>
      </c>
      <c r="R160" s="47" t="s">
        <v>3</v>
      </c>
      <c r="S160" s="47" t="s">
        <v>47</v>
      </c>
      <c r="T160" s="47" t="s">
        <v>95</v>
      </c>
      <c r="U160" s="47" t="s">
        <v>95</v>
      </c>
      <c r="V160" s="47" t="s">
        <v>95</v>
      </c>
      <c r="W160" s="47" t="s">
        <v>95</v>
      </c>
      <c r="X160" s="46" t="s">
        <v>3</v>
      </c>
      <c r="Y160" s="47" t="s">
        <v>3</v>
      </c>
      <c r="Z160" s="47" t="s">
        <v>3</v>
      </c>
      <c r="AA160" s="47" t="s">
        <v>3</v>
      </c>
      <c r="AB160" s="47" t="s">
        <v>4336</v>
      </c>
      <c r="AC160" s="47" t="s">
        <v>4336</v>
      </c>
      <c r="AG160" s="89"/>
    </row>
    <row r="161" spans="1:33" s="18" customFormat="1" ht="20.100000000000001" customHeight="1" x14ac:dyDescent="0.15">
      <c r="A161" s="76" t="s">
        <v>402</v>
      </c>
      <c r="B161" s="69"/>
      <c r="C161" s="69" t="s">
        <v>5097</v>
      </c>
      <c r="D161" s="69" t="s">
        <v>5097</v>
      </c>
      <c r="E161" s="69" t="s">
        <v>3879</v>
      </c>
      <c r="F161" s="69" t="s">
        <v>3868</v>
      </c>
      <c r="G161" s="69" t="s">
        <v>3975</v>
      </c>
      <c r="H161" s="69" t="s">
        <v>3970</v>
      </c>
      <c r="I161" s="69" t="s">
        <v>4054</v>
      </c>
      <c r="J161" s="69" t="s">
        <v>4227</v>
      </c>
      <c r="K161" s="69" t="s">
        <v>4227</v>
      </c>
      <c r="L161" s="69" t="s">
        <v>4227</v>
      </c>
      <c r="M161" s="69" t="s">
        <v>4227</v>
      </c>
      <c r="N161" s="69" t="s">
        <v>4227</v>
      </c>
      <c r="O161" s="69" t="s">
        <v>4227</v>
      </c>
      <c r="P161" s="69" t="s">
        <v>3</v>
      </c>
      <c r="Q161" s="69" t="s">
        <v>3</v>
      </c>
      <c r="R161" s="69" t="s">
        <v>3</v>
      </c>
      <c r="S161" s="69" t="s">
        <v>1817</v>
      </c>
      <c r="T161" s="69" t="s">
        <v>4499</v>
      </c>
      <c r="U161" s="69" t="s">
        <v>4607</v>
      </c>
      <c r="V161" s="69" t="s">
        <v>4523</v>
      </c>
      <c r="W161" s="69" t="s">
        <v>4523</v>
      </c>
      <c r="X161" s="69" t="s">
        <v>3</v>
      </c>
      <c r="Y161" s="69" t="s">
        <v>3</v>
      </c>
      <c r="Z161" s="69" t="s">
        <v>3</v>
      </c>
      <c r="AA161" s="69" t="s">
        <v>3</v>
      </c>
      <c r="AB161" s="69" t="s">
        <v>4335</v>
      </c>
      <c r="AC161" s="69" t="s">
        <v>4335</v>
      </c>
      <c r="AG161" s="89"/>
    </row>
    <row r="162" spans="1:33" s="18" customFormat="1" ht="59.25" customHeight="1" x14ac:dyDescent="0.15">
      <c r="A162" s="25" t="s">
        <v>3680</v>
      </c>
      <c r="B162" s="284" t="s">
        <v>3756</v>
      </c>
      <c r="C162" s="47" t="s">
        <v>4902</v>
      </c>
      <c r="D162" s="47" t="s">
        <v>4902</v>
      </c>
      <c r="E162" s="47" t="s">
        <v>3824</v>
      </c>
      <c r="F162" s="47" t="s">
        <v>3824</v>
      </c>
      <c r="G162" s="47" t="s">
        <v>3</v>
      </c>
      <c r="H162" s="47" t="s">
        <v>3</v>
      </c>
      <c r="I162" s="47" t="s">
        <v>5014</v>
      </c>
      <c r="J162" s="47" t="s">
        <v>3</v>
      </c>
      <c r="K162" s="47" t="s">
        <v>3</v>
      </c>
      <c r="L162" s="47" t="s">
        <v>5015</v>
      </c>
      <c r="M162" s="47" t="s">
        <v>5016</v>
      </c>
      <c r="N162" s="47" t="s">
        <v>3</v>
      </c>
      <c r="O162" s="47" t="s">
        <v>3</v>
      </c>
      <c r="P162" s="47" t="s">
        <v>3</v>
      </c>
      <c r="Q162" s="47" t="s">
        <v>3</v>
      </c>
      <c r="R162" s="47" t="s">
        <v>5017</v>
      </c>
      <c r="S162" s="47" t="s">
        <v>3</v>
      </c>
      <c r="T162" s="47" t="s">
        <v>3</v>
      </c>
      <c r="U162" s="47" t="s">
        <v>4521</v>
      </c>
      <c r="V162" s="47" t="s">
        <v>4521</v>
      </c>
      <c r="W162" s="47" t="s">
        <v>4521</v>
      </c>
      <c r="X162" s="46" t="s">
        <v>3</v>
      </c>
      <c r="Y162" s="47" t="s">
        <v>3</v>
      </c>
      <c r="Z162" s="47" t="s">
        <v>3</v>
      </c>
      <c r="AA162" s="47" t="s">
        <v>5017</v>
      </c>
      <c r="AB162" s="47" t="s">
        <v>3</v>
      </c>
      <c r="AC162" s="47" t="s">
        <v>4334</v>
      </c>
      <c r="AG162" s="89"/>
    </row>
    <row r="163" spans="1:33" s="18" customFormat="1" ht="12" customHeight="1" x14ac:dyDescent="0.15">
      <c r="A163" s="76" t="s">
        <v>402</v>
      </c>
      <c r="B163" s="69"/>
      <c r="C163" s="69" t="s">
        <v>3757</v>
      </c>
      <c r="D163" s="69" t="s">
        <v>3757</v>
      </c>
      <c r="E163" s="69" t="s">
        <v>3825</v>
      </c>
      <c r="F163" s="69" t="s">
        <v>3825</v>
      </c>
      <c r="G163" s="69" t="s">
        <v>3</v>
      </c>
      <c r="H163" s="69" t="s">
        <v>3</v>
      </c>
      <c r="I163" s="69" t="s">
        <v>4094</v>
      </c>
      <c r="J163" s="69" t="s">
        <v>4194</v>
      </c>
      <c r="K163" s="69" t="s">
        <v>4194</v>
      </c>
      <c r="L163" s="69" t="s">
        <v>4194</v>
      </c>
      <c r="M163" s="69" t="s">
        <v>4194</v>
      </c>
      <c r="N163" s="69" t="s">
        <v>4194</v>
      </c>
      <c r="O163" s="69" t="s">
        <v>4194</v>
      </c>
      <c r="P163" s="69" t="s">
        <v>3</v>
      </c>
      <c r="Q163" s="69" t="s">
        <v>3</v>
      </c>
      <c r="R163" s="69" t="s">
        <v>905</v>
      </c>
      <c r="S163" s="69" t="s">
        <v>3</v>
      </c>
      <c r="T163" s="69" t="s">
        <v>3</v>
      </c>
      <c r="U163" s="69" t="s">
        <v>4608</v>
      </c>
      <c r="V163" s="69" t="s">
        <v>4522</v>
      </c>
      <c r="W163" s="69" t="s">
        <v>4522</v>
      </c>
      <c r="X163" s="69" t="s">
        <v>3</v>
      </c>
      <c r="Y163" s="69" t="s">
        <v>3</v>
      </c>
      <c r="Z163" s="69" t="s">
        <v>3</v>
      </c>
      <c r="AA163" s="69" t="s">
        <v>905</v>
      </c>
      <c r="AB163" s="69" t="s">
        <v>3</v>
      </c>
      <c r="AC163" s="69" t="s">
        <v>4333</v>
      </c>
      <c r="AG163" s="89"/>
    </row>
    <row r="164" spans="1:33" s="18" customFormat="1" ht="37.5" customHeight="1" x14ac:dyDescent="0.15">
      <c r="A164" s="25" t="s">
        <v>3728</v>
      </c>
      <c r="B164" s="284" t="s">
        <v>3729</v>
      </c>
      <c r="C164" s="47" t="s">
        <v>3</v>
      </c>
      <c r="D164" s="155" t="s">
        <v>3736</v>
      </c>
      <c r="E164" s="155" t="s">
        <v>3824</v>
      </c>
      <c r="F164" s="155" t="s">
        <v>3824</v>
      </c>
      <c r="G164" s="155" t="s">
        <v>3</v>
      </c>
      <c r="H164" s="155" t="s">
        <v>3</v>
      </c>
      <c r="I164" s="155" t="s">
        <v>4096</v>
      </c>
      <c r="J164" s="155" t="s">
        <v>3</v>
      </c>
      <c r="K164" s="155" t="s">
        <v>3</v>
      </c>
      <c r="L164" s="155" t="s">
        <v>4195</v>
      </c>
      <c r="M164" s="155" t="s">
        <v>4272</v>
      </c>
      <c r="N164" s="155" t="s">
        <v>3</v>
      </c>
      <c r="O164" s="155" t="s">
        <v>3</v>
      </c>
      <c r="P164" s="155" t="s">
        <v>3</v>
      </c>
      <c r="Q164" s="155" t="s">
        <v>3</v>
      </c>
      <c r="R164" s="155" t="s">
        <v>3</v>
      </c>
      <c r="S164" s="155" t="s">
        <v>3</v>
      </c>
      <c r="T164" s="155" t="s">
        <v>3</v>
      </c>
      <c r="U164" s="155" t="s">
        <v>3</v>
      </c>
      <c r="V164" s="155" t="s">
        <v>3</v>
      </c>
      <c r="W164" s="155" t="s">
        <v>3</v>
      </c>
      <c r="X164" s="46" t="s">
        <v>3</v>
      </c>
      <c r="Y164" s="155" t="s">
        <v>3</v>
      </c>
      <c r="Z164" s="155" t="s">
        <v>3</v>
      </c>
      <c r="AA164" s="155" t="s">
        <v>3</v>
      </c>
      <c r="AB164" s="155" t="s">
        <v>3</v>
      </c>
      <c r="AC164" s="155" t="s">
        <v>3</v>
      </c>
      <c r="AG164" s="89"/>
    </row>
    <row r="165" spans="1:33" s="18" customFormat="1" ht="12" customHeight="1" x14ac:dyDescent="0.15">
      <c r="A165" s="76" t="s">
        <v>402</v>
      </c>
      <c r="B165" s="69"/>
      <c r="C165" s="69" t="s">
        <v>3737</v>
      </c>
      <c r="D165" s="69" t="s">
        <v>3737</v>
      </c>
      <c r="E165" s="69" t="s">
        <v>3825</v>
      </c>
      <c r="F165" s="69" t="s">
        <v>3825</v>
      </c>
      <c r="G165" s="69" t="s">
        <v>3</v>
      </c>
      <c r="H165" s="69" t="s">
        <v>3</v>
      </c>
      <c r="I165" s="69" t="s">
        <v>4095</v>
      </c>
      <c r="J165" s="69" t="s">
        <v>4196</v>
      </c>
      <c r="K165" s="69" t="s">
        <v>4196</v>
      </c>
      <c r="L165" s="69" t="s">
        <v>4196</v>
      </c>
      <c r="M165" s="69" t="s">
        <v>4196</v>
      </c>
      <c r="N165" s="69" t="s">
        <v>4196</v>
      </c>
      <c r="O165" s="69" t="s">
        <v>4196</v>
      </c>
      <c r="P165" s="69" t="s">
        <v>3</v>
      </c>
      <c r="Q165" s="69" t="s">
        <v>3</v>
      </c>
      <c r="R165" s="69" t="s">
        <v>3</v>
      </c>
      <c r="S165" s="69" t="s">
        <v>3</v>
      </c>
      <c r="T165" s="69" t="s">
        <v>3</v>
      </c>
      <c r="U165" s="69" t="s">
        <v>3</v>
      </c>
      <c r="V165" s="69" t="s">
        <v>3</v>
      </c>
      <c r="W165" s="69" t="s">
        <v>3</v>
      </c>
      <c r="X165" s="69" t="s">
        <v>3</v>
      </c>
      <c r="Y165" s="69" t="s">
        <v>3</v>
      </c>
      <c r="Z165" s="69" t="s">
        <v>3</v>
      </c>
      <c r="AA165" s="69" t="s">
        <v>3</v>
      </c>
      <c r="AB165" s="69" t="s">
        <v>3</v>
      </c>
      <c r="AC165" s="69" t="s">
        <v>3</v>
      </c>
      <c r="AG165" s="89"/>
    </row>
    <row r="166" spans="1:33" s="18" customFormat="1" ht="42.75" customHeight="1" x14ac:dyDescent="0.15">
      <c r="A166" s="25" t="s">
        <v>3908</v>
      </c>
      <c r="B166" s="284"/>
      <c r="C166" s="47" t="s">
        <v>3</v>
      </c>
      <c r="D166" s="47" t="s">
        <v>3</v>
      </c>
      <c r="E166" s="47" t="s">
        <v>3906</v>
      </c>
      <c r="F166" s="47" t="s">
        <v>3906</v>
      </c>
      <c r="G166" s="47" t="s">
        <v>3</v>
      </c>
      <c r="H166" s="47" t="s">
        <v>3</v>
      </c>
      <c r="I166" s="47" t="s">
        <v>4271</v>
      </c>
      <c r="J166" s="47" t="s">
        <v>3</v>
      </c>
      <c r="K166" s="47" t="s">
        <v>3</v>
      </c>
      <c r="L166" s="47" t="s">
        <v>3</v>
      </c>
      <c r="M166" s="47" t="s">
        <v>3</v>
      </c>
      <c r="N166" s="47" t="s">
        <v>3</v>
      </c>
      <c r="O166" s="47" t="s">
        <v>3</v>
      </c>
      <c r="P166" s="47" t="s">
        <v>3</v>
      </c>
      <c r="Q166" s="47" t="s">
        <v>3</v>
      </c>
      <c r="R166" s="47" t="s">
        <v>3</v>
      </c>
      <c r="S166" s="47" t="s">
        <v>3</v>
      </c>
      <c r="T166" s="47" t="s">
        <v>5018</v>
      </c>
      <c r="U166" s="47" t="s">
        <v>5018</v>
      </c>
      <c r="V166" s="47" t="s">
        <v>5019</v>
      </c>
      <c r="W166" s="47" t="s">
        <v>5018</v>
      </c>
      <c r="X166" s="46" t="s">
        <v>3</v>
      </c>
      <c r="Y166" s="47" t="s">
        <v>3</v>
      </c>
      <c r="Z166" s="47" t="s">
        <v>3</v>
      </c>
      <c r="AA166" s="47" t="s">
        <v>3</v>
      </c>
      <c r="AB166" s="47" t="s">
        <v>3</v>
      </c>
      <c r="AC166" s="47" t="s">
        <v>3</v>
      </c>
      <c r="AG166" s="89"/>
    </row>
    <row r="167" spans="1:33" s="18" customFormat="1" ht="12" customHeight="1" x14ac:dyDescent="0.15">
      <c r="A167" s="76" t="s">
        <v>402</v>
      </c>
      <c r="B167" s="69"/>
      <c r="C167" s="69" t="s">
        <v>3</v>
      </c>
      <c r="D167" s="69" t="s">
        <v>3</v>
      </c>
      <c r="E167" s="69" t="s">
        <v>3907</v>
      </c>
      <c r="F167" s="69" t="s">
        <v>3907</v>
      </c>
      <c r="G167" s="69" t="s">
        <v>3</v>
      </c>
      <c r="H167" s="69" t="s">
        <v>3</v>
      </c>
      <c r="I167" s="69" t="s">
        <v>4117</v>
      </c>
      <c r="J167" s="69" t="s">
        <v>3</v>
      </c>
      <c r="K167" s="69" t="s">
        <v>3</v>
      </c>
      <c r="L167" s="69" t="s">
        <v>3</v>
      </c>
      <c r="M167" s="69" t="s">
        <v>3</v>
      </c>
      <c r="N167" s="69" t="s">
        <v>3</v>
      </c>
      <c r="O167" s="69" t="s">
        <v>3</v>
      </c>
      <c r="P167" s="69" t="s">
        <v>3</v>
      </c>
      <c r="Q167" s="69" t="s">
        <v>3</v>
      </c>
      <c r="R167" s="69" t="s">
        <v>3</v>
      </c>
      <c r="S167" s="69" t="s">
        <v>3</v>
      </c>
      <c r="T167" s="69" t="s">
        <v>4514</v>
      </c>
      <c r="U167" s="69" t="s">
        <v>4609</v>
      </c>
      <c r="V167" s="69" t="s">
        <v>4683</v>
      </c>
      <c r="W167" s="69" t="s">
        <v>4574</v>
      </c>
      <c r="X167" s="69" t="s">
        <v>3</v>
      </c>
      <c r="Y167" s="69" t="s">
        <v>3</v>
      </c>
      <c r="Z167" s="69" t="s">
        <v>3</v>
      </c>
      <c r="AA167" s="69" t="s">
        <v>3</v>
      </c>
      <c r="AB167" s="69" t="s">
        <v>3</v>
      </c>
      <c r="AC167" s="69" t="s">
        <v>3</v>
      </c>
      <c r="AG167" s="89"/>
    </row>
    <row r="168" spans="1:33" s="18" customFormat="1" ht="206.25" customHeight="1" x14ac:dyDescent="0.15">
      <c r="A168" s="25" t="s">
        <v>3762</v>
      </c>
      <c r="B168" s="284"/>
      <c r="C168" s="47" t="s">
        <v>5020</v>
      </c>
      <c r="D168" s="47" t="s">
        <v>5020</v>
      </c>
      <c r="E168" s="47" t="s">
        <v>5021</v>
      </c>
      <c r="F168" s="47" t="s">
        <v>5021</v>
      </c>
      <c r="G168" s="47" t="s">
        <v>3971</v>
      </c>
      <c r="H168" s="47" t="s">
        <v>3971</v>
      </c>
      <c r="I168" s="47" t="s">
        <v>3971</v>
      </c>
      <c r="J168" s="47" t="s">
        <v>5022</v>
      </c>
      <c r="K168" s="47" t="s">
        <v>5022</v>
      </c>
      <c r="L168" s="47" t="s">
        <v>5022</v>
      </c>
      <c r="M168" s="47" t="s">
        <v>5022</v>
      </c>
      <c r="N168" s="47" t="s">
        <v>5022</v>
      </c>
      <c r="O168" s="47" t="s">
        <v>5022</v>
      </c>
      <c r="P168" s="47" t="s">
        <v>3</v>
      </c>
      <c r="Q168" s="47" t="s">
        <v>5023</v>
      </c>
      <c r="R168" s="47" t="s">
        <v>5023</v>
      </c>
      <c r="S168" s="47" t="s">
        <v>3</v>
      </c>
      <c r="T168" s="47" t="s">
        <v>4444</v>
      </c>
      <c r="U168" s="47" t="s">
        <v>4444</v>
      </c>
      <c r="V168" s="47" t="s">
        <v>4444</v>
      </c>
      <c r="W168" s="47" t="s">
        <v>4444</v>
      </c>
      <c r="X168" s="46" t="s">
        <v>3</v>
      </c>
      <c r="Y168" s="47" t="s">
        <v>3</v>
      </c>
      <c r="Z168" s="47" t="s">
        <v>5023</v>
      </c>
      <c r="AA168" s="47" t="s">
        <v>5023</v>
      </c>
      <c r="AB168" s="47" t="s">
        <v>5024</v>
      </c>
      <c r="AC168" s="47" t="s">
        <v>5024</v>
      </c>
      <c r="AG168" s="89"/>
    </row>
    <row r="169" spans="1:33" s="18" customFormat="1" ht="20.100000000000001" customHeight="1" x14ac:dyDescent="0.15">
      <c r="A169" s="76" t="s">
        <v>402</v>
      </c>
      <c r="B169" s="69"/>
      <c r="C169" s="69" t="s">
        <v>3763</v>
      </c>
      <c r="D169" s="69" t="s">
        <v>3763</v>
      </c>
      <c r="E169" s="69" t="s">
        <v>3919</v>
      </c>
      <c r="F169" s="69" t="s">
        <v>3919</v>
      </c>
      <c r="G169" s="69" t="s">
        <v>3972</v>
      </c>
      <c r="H169" s="69" t="s">
        <v>3972</v>
      </c>
      <c r="I169" s="69" t="s">
        <v>3972</v>
      </c>
      <c r="J169" s="69" t="s">
        <v>4269</v>
      </c>
      <c r="K169" s="69" t="s">
        <v>4269</v>
      </c>
      <c r="L169" s="69" t="s">
        <v>4269</v>
      </c>
      <c r="M169" s="69" t="s">
        <v>4269</v>
      </c>
      <c r="N169" s="69" t="s">
        <v>4269</v>
      </c>
      <c r="O169" s="69" t="s">
        <v>4269</v>
      </c>
      <c r="P169" s="69" t="s">
        <v>3</v>
      </c>
      <c r="Q169" s="69" t="s">
        <v>4706</v>
      </c>
      <c r="R169" s="69" t="s">
        <v>4706</v>
      </c>
      <c r="S169" s="69" t="s">
        <v>4458</v>
      </c>
      <c r="T169" s="69" t="s">
        <v>4511</v>
      </c>
      <c r="U169" s="69" t="s">
        <v>4588</v>
      </c>
      <c r="V169" s="69" t="s">
        <v>4658</v>
      </c>
      <c r="W169" s="69" t="s">
        <v>4570</v>
      </c>
      <c r="X169" s="69" t="s">
        <v>3</v>
      </c>
      <c r="Y169" s="69" t="s">
        <v>3</v>
      </c>
      <c r="Z169" s="69" t="s">
        <v>4706</v>
      </c>
      <c r="AA169" s="69" t="s">
        <v>4706</v>
      </c>
      <c r="AB169" s="69" t="s">
        <v>4307</v>
      </c>
      <c r="AC169" s="69" t="s">
        <v>4307</v>
      </c>
      <c r="AG169" s="89"/>
    </row>
    <row r="170" spans="1:33" s="18" customFormat="1" ht="95.25" customHeight="1" x14ac:dyDescent="0.15">
      <c r="A170" s="25" t="s">
        <v>3697</v>
      </c>
      <c r="B170" s="284"/>
      <c r="C170" s="47" t="s">
        <v>5025</v>
      </c>
      <c r="D170" s="47" t="s">
        <v>5025</v>
      </c>
      <c r="E170" s="47" t="s">
        <v>3918</v>
      </c>
      <c r="F170" s="47" t="s">
        <v>3918</v>
      </c>
      <c r="G170" s="47" t="s">
        <v>4116</v>
      </c>
      <c r="H170" s="47" t="s">
        <v>4116</v>
      </c>
      <c r="I170" s="47" t="s">
        <v>4116</v>
      </c>
      <c r="J170" s="47" t="s">
        <v>5026</v>
      </c>
      <c r="K170" s="47" t="s">
        <v>5026</v>
      </c>
      <c r="L170" s="47" t="s">
        <v>5026</v>
      </c>
      <c r="M170" s="47" t="s">
        <v>5026</v>
      </c>
      <c r="N170" s="47" t="s">
        <v>5026</v>
      </c>
      <c r="O170" s="47" t="s">
        <v>5026</v>
      </c>
      <c r="P170" s="47" t="s">
        <v>4388</v>
      </c>
      <c r="Q170" s="47" t="s">
        <v>4388</v>
      </c>
      <c r="R170" s="47" t="s">
        <v>4388</v>
      </c>
      <c r="S170" s="47" t="s">
        <v>5027</v>
      </c>
      <c r="T170" s="47" t="s">
        <v>4693</v>
      </c>
      <c r="U170" s="47" t="s">
        <v>5028</v>
      </c>
      <c r="V170" s="47" t="s">
        <v>5029</v>
      </c>
      <c r="W170" s="47" t="s">
        <v>4693</v>
      </c>
      <c r="X170" s="46" t="s">
        <v>3</v>
      </c>
      <c r="Y170" s="47" t="s">
        <v>4388</v>
      </c>
      <c r="Z170" s="47" t="s">
        <v>4388</v>
      </c>
      <c r="AA170" s="47" t="s">
        <v>4388</v>
      </c>
      <c r="AB170" s="47" t="s">
        <v>4388</v>
      </c>
      <c r="AC170" s="47" t="s">
        <v>4388</v>
      </c>
      <c r="AG170" s="89"/>
    </row>
    <row r="171" spans="1:33" s="18" customFormat="1" ht="20.100000000000001" customHeight="1" x14ac:dyDescent="0.15">
      <c r="A171" s="76" t="s">
        <v>402</v>
      </c>
      <c r="B171" s="69"/>
      <c r="C171" s="69" t="s">
        <v>3761</v>
      </c>
      <c r="D171" s="69" t="s">
        <v>3761</v>
      </c>
      <c r="E171" s="69" t="s">
        <v>3920</v>
      </c>
      <c r="F171" s="69" t="s">
        <v>3920</v>
      </c>
      <c r="G171" s="69" t="s">
        <v>4115</v>
      </c>
      <c r="H171" s="69" t="s">
        <v>4115</v>
      </c>
      <c r="I171" s="69" t="s">
        <v>4115</v>
      </c>
      <c r="J171" s="69" t="s">
        <v>4171</v>
      </c>
      <c r="K171" s="69" t="s">
        <v>4171</v>
      </c>
      <c r="L171" s="69" t="s">
        <v>4171</v>
      </c>
      <c r="M171" s="69" t="s">
        <v>4171</v>
      </c>
      <c r="N171" s="69" t="s">
        <v>4171</v>
      </c>
      <c r="O171" s="69" t="s">
        <v>4171</v>
      </c>
      <c r="P171" s="69" t="s">
        <v>4370</v>
      </c>
      <c r="Q171" s="69" t="s">
        <v>4370</v>
      </c>
      <c r="R171" s="69" t="s">
        <v>4370</v>
      </c>
      <c r="S171" s="69" t="s">
        <v>4406</v>
      </c>
      <c r="T171" s="69" t="s">
        <v>4694</v>
      </c>
      <c r="U171" s="69" t="s">
        <v>4406</v>
      </c>
      <c r="V171" s="69" t="s">
        <v>4655</v>
      </c>
      <c r="W171" s="69" t="s">
        <v>4694</v>
      </c>
      <c r="X171" s="69" t="s">
        <v>3</v>
      </c>
      <c r="Y171" s="69" t="s">
        <v>4370</v>
      </c>
      <c r="Z171" s="69" t="s">
        <v>4370</v>
      </c>
      <c r="AA171" s="69" t="s">
        <v>4370</v>
      </c>
      <c r="AB171" s="69" t="s">
        <v>4387</v>
      </c>
      <c r="AC171" s="69" t="s">
        <v>4387</v>
      </c>
      <c r="AG171" s="89"/>
    </row>
    <row r="172" spans="1:33" s="18" customFormat="1" ht="201" customHeight="1" x14ac:dyDescent="0.15">
      <c r="A172" s="25" t="s">
        <v>3911</v>
      </c>
      <c r="B172" s="284" t="s">
        <v>5030</v>
      </c>
      <c r="C172" s="47" t="s">
        <v>3931</v>
      </c>
      <c r="D172" s="47" t="s">
        <v>3931</v>
      </c>
      <c r="E172" s="47" t="s">
        <v>3929</v>
      </c>
      <c r="F172" s="47" t="s">
        <v>3929</v>
      </c>
      <c r="G172" s="47" t="s">
        <v>3</v>
      </c>
      <c r="H172" s="47" t="s">
        <v>3</v>
      </c>
      <c r="I172" s="47" t="s">
        <v>4100</v>
      </c>
      <c r="J172" s="47" t="s">
        <v>3</v>
      </c>
      <c r="K172" s="47" t="s">
        <v>3</v>
      </c>
      <c r="L172" s="47" t="s">
        <v>3</v>
      </c>
      <c r="M172" s="47" t="s">
        <v>3</v>
      </c>
      <c r="N172" s="47" t="s">
        <v>3</v>
      </c>
      <c r="O172" s="47" t="s">
        <v>3</v>
      </c>
      <c r="P172" s="47" t="s">
        <v>3</v>
      </c>
      <c r="Q172" s="47" t="s">
        <v>3</v>
      </c>
      <c r="R172" s="47" t="s">
        <v>4751</v>
      </c>
      <c r="S172" s="47" t="s">
        <v>3</v>
      </c>
      <c r="T172" s="47" t="s">
        <v>3929</v>
      </c>
      <c r="U172" s="47" t="s">
        <v>3929</v>
      </c>
      <c r="V172" s="47" t="s">
        <v>3929</v>
      </c>
      <c r="W172" s="47" t="s">
        <v>3929</v>
      </c>
      <c r="X172" s="46" t="s">
        <v>3</v>
      </c>
      <c r="Y172" s="47" t="s">
        <v>3</v>
      </c>
      <c r="Z172" s="47" t="s">
        <v>3</v>
      </c>
      <c r="AA172" s="47" t="s">
        <v>4751</v>
      </c>
      <c r="AB172" s="47" t="s">
        <v>3</v>
      </c>
      <c r="AC172" s="47" t="s">
        <v>4332</v>
      </c>
      <c r="AG172" s="89"/>
    </row>
    <row r="173" spans="1:33" s="18" customFormat="1" ht="12" customHeight="1" x14ac:dyDescent="0.15">
      <c r="A173" s="76" t="s">
        <v>402</v>
      </c>
      <c r="B173" s="69"/>
      <c r="C173" s="69" t="s">
        <v>3770</v>
      </c>
      <c r="D173" s="69" t="s">
        <v>3770</v>
      </c>
      <c r="E173" s="69" t="s">
        <v>3930</v>
      </c>
      <c r="F173" s="69" t="s">
        <v>3930</v>
      </c>
      <c r="G173" s="69" t="s">
        <v>3</v>
      </c>
      <c r="H173" s="69" t="s">
        <v>3</v>
      </c>
      <c r="I173" s="69" t="s">
        <v>4101</v>
      </c>
      <c r="J173" s="69" t="s">
        <v>3</v>
      </c>
      <c r="K173" s="69" t="s">
        <v>3</v>
      </c>
      <c r="L173" s="69" t="s">
        <v>3</v>
      </c>
      <c r="M173" s="69" t="s">
        <v>3</v>
      </c>
      <c r="N173" s="69" t="s">
        <v>3</v>
      </c>
      <c r="O173" s="69" t="s">
        <v>3</v>
      </c>
      <c r="P173" s="69" t="s">
        <v>3</v>
      </c>
      <c r="Q173" s="69" t="s">
        <v>3</v>
      </c>
      <c r="R173" s="69"/>
      <c r="S173" s="69" t="s">
        <v>3</v>
      </c>
      <c r="T173" s="69" t="s">
        <v>4695</v>
      </c>
      <c r="U173" s="69" t="s">
        <v>4695</v>
      </c>
      <c r="V173" s="69" t="s">
        <v>4695</v>
      </c>
      <c r="W173" s="69" t="s">
        <v>4695</v>
      </c>
      <c r="X173" s="69" t="s">
        <v>3</v>
      </c>
      <c r="Y173" s="69" t="s">
        <v>3</v>
      </c>
      <c r="Z173" s="69" t="s">
        <v>3</v>
      </c>
      <c r="AA173" s="69"/>
      <c r="AB173" s="69" t="s">
        <v>3</v>
      </c>
      <c r="AC173" s="69" t="s">
        <v>4331</v>
      </c>
      <c r="AG173" s="89"/>
    </row>
    <row r="174" spans="1:33" s="18" customFormat="1" ht="3.95" customHeight="1" x14ac:dyDescent="0.15">
      <c r="A174" s="28"/>
      <c r="B174" s="48"/>
      <c r="C174" s="48"/>
      <c r="D174" s="48"/>
      <c r="E174" s="48"/>
      <c r="F174" s="48"/>
      <c r="G174" s="48"/>
      <c r="H174" s="48"/>
      <c r="I174" s="48"/>
      <c r="J174" s="48"/>
      <c r="K174" s="48"/>
      <c r="L174" s="48"/>
      <c r="M174" s="48"/>
      <c r="N174" s="48"/>
      <c r="O174" s="48"/>
      <c r="P174" s="48"/>
      <c r="Q174" s="48"/>
      <c r="R174" s="48"/>
      <c r="S174" s="48"/>
      <c r="T174" s="48"/>
      <c r="U174" s="58"/>
      <c r="V174" s="58"/>
      <c r="W174" s="48"/>
      <c r="X174" s="48"/>
      <c r="Y174" s="48"/>
      <c r="Z174" s="48"/>
      <c r="AA174" s="48"/>
      <c r="AB174" s="48"/>
      <c r="AC174" s="48"/>
      <c r="AF174" s="83"/>
      <c r="AG174" s="89"/>
    </row>
    <row r="175" spans="1:33" s="89" customFormat="1" ht="22.5" customHeight="1" x14ac:dyDescent="0.15">
      <c r="A175" s="242" t="s">
        <v>27</v>
      </c>
      <c r="B175" s="241"/>
      <c r="C175" s="241" t="str">
        <f t="shared" ref="C175:O175" si="10">C1</f>
        <v>Allianz</v>
      </c>
      <c r="D175" s="241" t="str">
        <f t="shared" si="10"/>
        <v>Allianz SicherheitPlus</v>
      </c>
      <c r="E175" s="241" t="str">
        <f t="shared" si="10"/>
        <v>AXA BOXflex</v>
      </c>
      <c r="F175" s="241" t="str">
        <f t="shared" si="10"/>
        <v>AXA BOXflex Premium</v>
      </c>
      <c r="G175" s="241" t="str">
        <f t="shared" si="10"/>
        <v>Domcura Komfort</v>
      </c>
      <c r="H175" s="241" t="str">
        <f>H1</f>
        <v>Domcura Standard</v>
      </c>
      <c r="I175" s="241" t="str">
        <f t="shared" si="10"/>
        <v>Domcura Top</v>
      </c>
      <c r="J175" s="241" t="str">
        <f>J1</f>
        <v>Gothaer Basis 1914</v>
      </c>
      <c r="K175" s="241" t="str">
        <f>K1</f>
        <v>Gothaer Basis qm</v>
      </c>
      <c r="L175" s="241" t="str">
        <f>L1</f>
        <v>Gothaer Premium 1914</v>
      </c>
      <c r="M175" s="241" t="str">
        <f>M1</f>
        <v>Gothaer Premium qm</v>
      </c>
      <c r="N175" s="241" t="str">
        <f>N1</f>
        <v>Gothaer Top 1914</v>
      </c>
      <c r="O175" s="241" t="str">
        <f t="shared" si="10"/>
        <v>Gothaer Top qm</v>
      </c>
      <c r="P175" s="241" t="str">
        <f t="shared" ref="P175:R175" si="11">P1</f>
        <v>HFK</v>
      </c>
      <c r="Q175" s="241" t="str">
        <f t="shared" si="11"/>
        <v>HFK Rundumschutz</v>
      </c>
      <c r="R175" s="241" t="str">
        <f t="shared" si="11"/>
        <v>HFK Rundumschutz-Plus</v>
      </c>
      <c r="S175" s="241" t="str">
        <f t="shared" ref="S175:X175" si="12">S1</f>
        <v>ITL afm Eurosecure 2009</v>
      </c>
      <c r="T175" s="241" t="str">
        <f t="shared" si="12"/>
        <v>ITL Classic</v>
      </c>
      <c r="U175" s="241" t="str">
        <f>U1</f>
        <v>ITL Eurosecure Plus</v>
      </c>
      <c r="V175" s="241" t="str">
        <f>V1</f>
        <v>ITL Infinitus</v>
      </c>
      <c r="W175" s="241" t="str">
        <f t="shared" si="12"/>
        <v>ITL Protect Plus</v>
      </c>
      <c r="X175" s="241" t="str">
        <f t="shared" si="12"/>
        <v>Keine</v>
      </c>
      <c r="Y175" s="241" t="str">
        <f t="shared" ref="Y175:AC175" si="13">Y1</f>
        <v>Provinzial</v>
      </c>
      <c r="Z175" s="241" t="str">
        <f t="shared" si="13"/>
        <v>Provinzial Rundumschutz</v>
      </c>
      <c r="AA175" s="241" t="str">
        <f t="shared" si="13"/>
        <v>Provinzial Rundumschutz-Plus</v>
      </c>
      <c r="AB175" s="241" t="str">
        <f t="shared" si="13"/>
        <v>VHV Klassik Garant</v>
      </c>
      <c r="AC175" s="241" t="str">
        <f t="shared" si="13"/>
        <v>VHV Klassik Garant Exklusiv</v>
      </c>
      <c r="AF175" s="18"/>
    </row>
    <row r="176" spans="1:33" s="18" customFormat="1" ht="42.75" customHeight="1" x14ac:dyDescent="0.15">
      <c r="A176" s="25" t="s">
        <v>3675</v>
      </c>
      <c r="B176" s="284"/>
      <c r="C176" s="47" t="s">
        <v>3726</v>
      </c>
      <c r="D176" s="47" t="s">
        <v>3726</v>
      </c>
      <c r="E176" s="47" t="s">
        <v>3926</v>
      </c>
      <c r="F176" s="47" t="s">
        <v>3926</v>
      </c>
      <c r="G176" s="47" t="s">
        <v>4933</v>
      </c>
      <c r="H176" s="47" t="s">
        <v>5031</v>
      </c>
      <c r="I176" s="47" t="s">
        <v>191</v>
      </c>
      <c r="J176" s="47" t="s">
        <v>4172</v>
      </c>
      <c r="K176" s="47" t="s">
        <v>4253</v>
      </c>
      <c r="L176" s="47" t="s">
        <v>4172</v>
      </c>
      <c r="M176" s="47" t="s">
        <v>4253</v>
      </c>
      <c r="N176" s="47" t="s">
        <v>4172</v>
      </c>
      <c r="O176" s="47" t="s">
        <v>4253</v>
      </c>
      <c r="P176" s="47" t="s">
        <v>95</v>
      </c>
      <c r="Q176" s="47" t="s">
        <v>95</v>
      </c>
      <c r="R176" s="47" t="s">
        <v>95</v>
      </c>
      <c r="S176" s="47" t="s">
        <v>95</v>
      </c>
      <c r="T176" s="47" t="s">
        <v>4504</v>
      </c>
      <c r="U176" s="47" t="s">
        <v>4504</v>
      </c>
      <c r="V176" s="47" t="s">
        <v>4504</v>
      </c>
      <c r="W176" s="47" t="s">
        <v>4504</v>
      </c>
      <c r="X176" s="46" t="s">
        <v>3</v>
      </c>
      <c r="Y176" s="47" t="s">
        <v>95</v>
      </c>
      <c r="Z176" s="47" t="s">
        <v>95</v>
      </c>
      <c r="AA176" s="47" t="s">
        <v>95</v>
      </c>
      <c r="AB176" s="47" t="s">
        <v>95</v>
      </c>
      <c r="AC176" s="47" t="s">
        <v>95</v>
      </c>
      <c r="AG176" s="89"/>
    </row>
    <row r="177" spans="1:33" s="18" customFormat="1" ht="12" customHeight="1" x14ac:dyDescent="0.15">
      <c r="A177" s="76" t="s">
        <v>402</v>
      </c>
      <c r="B177" s="69"/>
      <c r="C177" s="69" t="s">
        <v>3727</v>
      </c>
      <c r="D177" s="69" t="s">
        <v>3727</v>
      </c>
      <c r="E177" s="69" t="s">
        <v>3912</v>
      </c>
      <c r="F177" s="69" t="s">
        <v>3912</v>
      </c>
      <c r="G177" s="69" t="s">
        <v>4079</v>
      </c>
      <c r="H177" s="69" t="s">
        <v>4022</v>
      </c>
      <c r="I177" s="69" t="s">
        <v>4263</v>
      </c>
      <c r="J177" s="69" t="s">
        <v>4174</v>
      </c>
      <c r="K177" s="69" t="s">
        <v>4174</v>
      </c>
      <c r="L177" s="69" t="s">
        <v>4174</v>
      </c>
      <c r="M177" s="69" t="s">
        <v>4174</v>
      </c>
      <c r="N177" s="69" t="s">
        <v>4174</v>
      </c>
      <c r="O177" s="69" t="s">
        <v>4174</v>
      </c>
      <c r="P177" s="69" t="s">
        <v>4752</v>
      </c>
      <c r="Q177" s="69" t="s">
        <v>4752</v>
      </c>
      <c r="R177" s="69" t="s">
        <v>4752</v>
      </c>
      <c r="S177" s="69" t="s">
        <v>4426</v>
      </c>
      <c r="T177" s="69" t="s">
        <v>4505</v>
      </c>
      <c r="U177" s="69" t="s">
        <v>4610</v>
      </c>
      <c r="V177" s="69" t="s">
        <v>4670</v>
      </c>
      <c r="W177" s="69" t="s">
        <v>4543</v>
      </c>
      <c r="X177" s="69" t="s">
        <v>3</v>
      </c>
      <c r="Y177" s="69" t="s">
        <v>4752</v>
      </c>
      <c r="Z177" s="69" t="s">
        <v>4752</v>
      </c>
      <c r="AA177" s="69" t="s">
        <v>4752</v>
      </c>
      <c r="AB177" s="69" t="s">
        <v>4330</v>
      </c>
      <c r="AC177" s="69" t="s">
        <v>4330</v>
      </c>
      <c r="AG177" s="89"/>
    </row>
    <row r="178" spans="1:33" s="18" customFormat="1" ht="72" customHeight="1" x14ac:dyDescent="0.15">
      <c r="A178" s="25" t="s">
        <v>75</v>
      </c>
      <c r="B178" s="284"/>
      <c r="C178" s="47" t="s">
        <v>5032</v>
      </c>
      <c r="D178" s="47" t="s">
        <v>5033</v>
      </c>
      <c r="E178" s="117" t="s">
        <v>5034</v>
      </c>
      <c r="F178" s="117" t="s">
        <v>5034</v>
      </c>
      <c r="G178" s="47" t="s">
        <v>5035</v>
      </c>
      <c r="H178" s="47" t="s">
        <v>5036</v>
      </c>
      <c r="I178" s="47" t="s">
        <v>5037</v>
      </c>
      <c r="J178" s="47" t="s">
        <v>4176</v>
      </c>
      <c r="K178" s="47" t="s">
        <v>3954</v>
      </c>
      <c r="L178" s="47" t="s">
        <v>4127</v>
      </c>
      <c r="M178" s="47" t="s">
        <v>4255</v>
      </c>
      <c r="N178" s="47" t="s">
        <v>4177</v>
      </c>
      <c r="O178" s="47" t="s">
        <v>4254</v>
      </c>
      <c r="P178" s="47" t="s">
        <v>345</v>
      </c>
      <c r="Q178" s="47" t="s">
        <v>95</v>
      </c>
      <c r="R178" s="47" t="s">
        <v>95</v>
      </c>
      <c r="S178" s="47" t="s">
        <v>95</v>
      </c>
      <c r="T178" s="47" t="s">
        <v>4501</v>
      </c>
      <c r="U178" s="47" t="s">
        <v>4555</v>
      </c>
      <c r="V178" s="47" t="s">
        <v>4555</v>
      </c>
      <c r="W178" s="47" t="s">
        <v>4555</v>
      </c>
      <c r="X178" s="46" t="s">
        <v>3</v>
      </c>
      <c r="Y178" s="47" t="s">
        <v>345</v>
      </c>
      <c r="Z178" s="47" t="s">
        <v>95</v>
      </c>
      <c r="AA178" s="47" t="s">
        <v>95</v>
      </c>
      <c r="AB178" s="47" t="s">
        <v>169</v>
      </c>
      <c r="AC178" s="47" t="s">
        <v>95</v>
      </c>
      <c r="AG178" s="89"/>
    </row>
    <row r="179" spans="1:33" s="18" customFormat="1" ht="24" customHeight="1" x14ac:dyDescent="0.15">
      <c r="A179" s="76" t="s">
        <v>402</v>
      </c>
      <c r="B179" s="69"/>
      <c r="C179" s="69" t="s">
        <v>3715</v>
      </c>
      <c r="D179" s="69" t="s">
        <v>3795</v>
      </c>
      <c r="E179" s="69" t="s">
        <v>4261</v>
      </c>
      <c r="F179" s="69" t="s">
        <v>4261</v>
      </c>
      <c r="G179" s="69" t="s">
        <v>4553</v>
      </c>
      <c r="H179" s="69" t="s">
        <v>4023</v>
      </c>
      <c r="I179" s="69" t="s">
        <v>4554</v>
      </c>
      <c r="J179" s="69" t="s">
        <v>4173</v>
      </c>
      <c r="K179" s="69" t="s">
        <v>4173</v>
      </c>
      <c r="L179" s="69" t="s">
        <v>4183</v>
      </c>
      <c r="M179" s="69" t="s">
        <v>4183</v>
      </c>
      <c r="N179" s="69" t="s">
        <v>4173</v>
      </c>
      <c r="O179" s="69" t="s">
        <v>4173</v>
      </c>
      <c r="P179" s="69" t="s">
        <v>4753</v>
      </c>
      <c r="Q179" s="69" t="s">
        <v>4754</v>
      </c>
      <c r="R179" s="69" t="s">
        <v>4754</v>
      </c>
      <c r="S179" s="69" t="s">
        <v>4478</v>
      </c>
      <c r="T179" s="69" t="s">
        <v>4502</v>
      </c>
      <c r="U179" s="69" t="s">
        <v>4648</v>
      </c>
      <c r="V179" s="69" t="s">
        <v>4647</v>
      </c>
      <c r="W179" s="69" t="s">
        <v>4552</v>
      </c>
      <c r="X179" s="69" t="s">
        <v>3</v>
      </c>
      <c r="Y179" s="69" t="s">
        <v>4753</v>
      </c>
      <c r="Z179" s="69" t="s">
        <v>4754</v>
      </c>
      <c r="AA179" s="69" t="s">
        <v>4754</v>
      </c>
      <c r="AB179" s="69" t="s">
        <v>4329</v>
      </c>
      <c r="AC179" s="69" t="s">
        <v>4844</v>
      </c>
      <c r="AG179" s="89"/>
    </row>
    <row r="180" spans="1:33" s="18" customFormat="1" ht="33.75" customHeight="1" x14ac:dyDescent="0.15">
      <c r="A180" s="25" t="s">
        <v>4928</v>
      </c>
      <c r="B180" s="284"/>
      <c r="C180" s="47" t="s">
        <v>5032</v>
      </c>
      <c r="D180" s="47" t="s">
        <v>191</v>
      </c>
      <c r="E180" s="117" t="s">
        <v>5034</v>
      </c>
      <c r="F180" s="117" t="s">
        <v>5034</v>
      </c>
      <c r="G180" s="117" t="s">
        <v>3</v>
      </c>
      <c r="H180" s="47" t="s">
        <v>3</v>
      </c>
      <c r="I180" s="117" t="s">
        <v>191</v>
      </c>
      <c r="J180" s="47" t="s">
        <v>3</v>
      </c>
      <c r="K180" s="47" t="s">
        <v>3</v>
      </c>
      <c r="L180" s="47" t="s">
        <v>4127</v>
      </c>
      <c r="M180" s="47" t="s">
        <v>4255</v>
      </c>
      <c r="N180" s="47" t="s">
        <v>3</v>
      </c>
      <c r="O180" s="47" t="s">
        <v>3</v>
      </c>
      <c r="P180" s="47" t="s">
        <v>3</v>
      </c>
      <c r="Q180" s="47" t="s">
        <v>95</v>
      </c>
      <c r="R180" s="117" t="s">
        <v>95</v>
      </c>
      <c r="S180" s="117" t="s">
        <v>3</v>
      </c>
      <c r="T180" s="117" t="s">
        <v>95</v>
      </c>
      <c r="U180" s="117" t="s">
        <v>95</v>
      </c>
      <c r="V180" s="117" t="s">
        <v>95</v>
      </c>
      <c r="W180" s="117" t="s">
        <v>95</v>
      </c>
      <c r="X180" s="46" t="s">
        <v>3</v>
      </c>
      <c r="Y180" s="47" t="s">
        <v>3</v>
      </c>
      <c r="Z180" s="47" t="s">
        <v>95</v>
      </c>
      <c r="AA180" s="117" t="s">
        <v>95</v>
      </c>
      <c r="AB180" s="47" t="s">
        <v>1415</v>
      </c>
      <c r="AC180" s="47" t="s">
        <v>95</v>
      </c>
      <c r="AG180" s="89"/>
    </row>
    <row r="181" spans="1:33" s="18" customFormat="1" ht="12" customHeight="1" x14ac:dyDescent="0.15">
      <c r="A181" s="76" t="s">
        <v>402</v>
      </c>
      <c r="B181" s="69"/>
      <c r="C181" s="69" t="s">
        <v>4833</v>
      </c>
      <c r="D181" s="69" t="s">
        <v>4833</v>
      </c>
      <c r="E181" s="69" t="s">
        <v>4260</v>
      </c>
      <c r="F181" s="69" t="s">
        <v>4260</v>
      </c>
      <c r="G181" s="69" t="s">
        <v>3</v>
      </c>
      <c r="H181" s="69" t="s">
        <v>3</v>
      </c>
      <c r="I181" s="69" t="s">
        <v>4262</v>
      </c>
      <c r="J181" s="69" t="s">
        <v>3</v>
      </c>
      <c r="K181" s="69" t="s">
        <v>3</v>
      </c>
      <c r="L181" s="69" t="s">
        <v>4264</v>
      </c>
      <c r="M181" s="69" t="s">
        <v>4264</v>
      </c>
      <c r="N181" s="69" t="s">
        <v>3</v>
      </c>
      <c r="O181" s="69" t="s">
        <v>3</v>
      </c>
      <c r="P181" s="69" t="s">
        <v>3</v>
      </c>
      <c r="Q181" s="69" t="s">
        <v>887</v>
      </c>
      <c r="R181" s="69" t="s">
        <v>887</v>
      </c>
      <c r="S181" s="69" t="s">
        <v>3</v>
      </c>
      <c r="T181" s="69" t="s">
        <v>4479</v>
      </c>
      <c r="U181" s="69" t="s">
        <v>4612</v>
      </c>
      <c r="V181" s="69" t="s">
        <v>4649</v>
      </c>
      <c r="W181" s="69" t="s">
        <v>4479</v>
      </c>
      <c r="X181" s="69" t="s">
        <v>3</v>
      </c>
      <c r="Y181" s="69" t="s">
        <v>3</v>
      </c>
      <c r="Z181" s="69" t="s">
        <v>887</v>
      </c>
      <c r="AA181" s="69" t="s">
        <v>887</v>
      </c>
      <c r="AB181" s="69" t="s">
        <v>4843</v>
      </c>
      <c r="AC181" s="69" t="s">
        <v>4397</v>
      </c>
      <c r="AG181" s="89"/>
    </row>
    <row r="182" spans="1:33" s="18" customFormat="1" ht="33.75" customHeight="1" x14ac:dyDescent="0.15">
      <c r="A182" s="25" t="s">
        <v>74</v>
      </c>
      <c r="B182" s="284"/>
      <c r="C182" s="47" t="s">
        <v>5032</v>
      </c>
      <c r="D182" s="47" t="s">
        <v>3718</v>
      </c>
      <c r="E182" s="117" t="s">
        <v>173</v>
      </c>
      <c r="F182" s="117" t="s">
        <v>173</v>
      </c>
      <c r="G182" s="117" t="s">
        <v>4933</v>
      </c>
      <c r="H182" s="47" t="s">
        <v>3954</v>
      </c>
      <c r="I182" s="117" t="s">
        <v>191</v>
      </c>
      <c r="J182" s="47"/>
      <c r="K182" s="47"/>
      <c r="L182" s="47" t="s">
        <v>4127</v>
      </c>
      <c r="M182" s="47" t="s">
        <v>4255</v>
      </c>
      <c r="N182" s="47" t="s">
        <v>4177</v>
      </c>
      <c r="O182" s="47" t="s">
        <v>4254</v>
      </c>
      <c r="P182" s="47" t="s">
        <v>3</v>
      </c>
      <c r="Q182" s="46" t="s">
        <v>95</v>
      </c>
      <c r="R182" s="46" t="s">
        <v>95</v>
      </c>
      <c r="S182" s="46" t="s">
        <v>95</v>
      </c>
      <c r="T182" s="46" t="s">
        <v>3</v>
      </c>
      <c r="U182" s="117" t="s">
        <v>95</v>
      </c>
      <c r="V182" s="46" t="s">
        <v>95</v>
      </c>
      <c r="W182" s="47" t="s">
        <v>95</v>
      </c>
      <c r="X182" s="46" t="s">
        <v>3</v>
      </c>
      <c r="Y182" s="47" t="s">
        <v>3</v>
      </c>
      <c r="Z182" s="46" t="s">
        <v>95</v>
      </c>
      <c r="AA182" s="46" t="s">
        <v>95</v>
      </c>
      <c r="AB182" s="117" t="s">
        <v>3</v>
      </c>
      <c r="AC182" s="117" t="s">
        <v>4328</v>
      </c>
      <c r="AG182" s="89"/>
    </row>
    <row r="183" spans="1:33" s="18" customFormat="1" ht="12" customHeight="1" x14ac:dyDescent="0.15">
      <c r="A183" s="76" t="s">
        <v>402</v>
      </c>
      <c r="B183" s="69"/>
      <c r="C183" s="69" t="s">
        <v>2773</v>
      </c>
      <c r="D183" s="69" t="s">
        <v>2773</v>
      </c>
      <c r="E183" s="69" t="s">
        <v>3850</v>
      </c>
      <c r="F183" s="69" t="s">
        <v>3850</v>
      </c>
      <c r="G183" s="69" t="s">
        <v>4080</v>
      </c>
      <c r="H183" s="69" t="s">
        <v>4024</v>
      </c>
      <c r="I183" s="69" t="s">
        <v>4080</v>
      </c>
      <c r="J183" s="69" t="s">
        <v>4175</v>
      </c>
      <c r="K183" s="69" t="s">
        <v>4175</v>
      </c>
      <c r="L183" s="69" t="s">
        <v>4175</v>
      </c>
      <c r="M183" s="69" t="s">
        <v>4175</v>
      </c>
      <c r="N183" s="69" t="s">
        <v>4175</v>
      </c>
      <c r="O183" s="69" t="s">
        <v>4175</v>
      </c>
      <c r="P183" s="69" t="s">
        <v>3</v>
      </c>
      <c r="Q183" s="69" t="s">
        <v>879</v>
      </c>
      <c r="R183" s="69" t="s">
        <v>879</v>
      </c>
      <c r="S183" s="69" t="s">
        <v>1821</v>
      </c>
      <c r="T183" s="69" t="s">
        <v>3</v>
      </c>
      <c r="U183" s="69" t="s">
        <v>4613</v>
      </c>
      <c r="V183" s="69" t="s">
        <v>4667</v>
      </c>
      <c r="W183" s="69" t="s">
        <v>4542</v>
      </c>
      <c r="X183" s="69" t="s">
        <v>3</v>
      </c>
      <c r="Y183" s="69" t="s">
        <v>3</v>
      </c>
      <c r="Z183" s="69" t="s">
        <v>879</v>
      </c>
      <c r="AA183" s="69" t="s">
        <v>879</v>
      </c>
      <c r="AB183" s="69" t="s">
        <v>3</v>
      </c>
      <c r="AC183" s="69" t="s">
        <v>4327</v>
      </c>
      <c r="AG183" s="89"/>
    </row>
    <row r="184" spans="1:33" s="18" customFormat="1" ht="36" customHeight="1" x14ac:dyDescent="0.15">
      <c r="A184" s="25" t="s">
        <v>72</v>
      </c>
      <c r="B184" s="284" t="s">
        <v>3748</v>
      </c>
      <c r="C184" s="47" t="s">
        <v>5032</v>
      </c>
      <c r="D184" s="47" t="s">
        <v>191</v>
      </c>
      <c r="E184" s="47" t="s">
        <v>5034</v>
      </c>
      <c r="F184" s="47" t="s">
        <v>5034</v>
      </c>
      <c r="G184" s="117" t="s">
        <v>4933</v>
      </c>
      <c r="H184" s="47" t="s">
        <v>3954</v>
      </c>
      <c r="I184" s="117" t="s">
        <v>4933</v>
      </c>
      <c r="J184" s="117" t="s">
        <v>4200</v>
      </c>
      <c r="K184" s="47" t="s">
        <v>3954</v>
      </c>
      <c r="L184" s="117" t="s">
        <v>4203</v>
      </c>
      <c r="M184" s="47" t="s">
        <v>4255</v>
      </c>
      <c r="N184" s="117" t="s">
        <v>4202</v>
      </c>
      <c r="O184" s="47" t="s">
        <v>4254</v>
      </c>
      <c r="P184" s="47" t="s">
        <v>95</v>
      </c>
      <c r="Q184" s="47" t="s">
        <v>95</v>
      </c>
      <c r="R184" s="47" t="s">
        <v>95</v>
      </c>
      <c r="S184" s="47" t="s">
        <v>95</v>
      </c>
      <c r="T184" s="47" t="s">
        <v>95</v>
      </c>
      <c r="U184" s="47" t="s">
        <v>95</v>
      </c>
      <c r="V184" s="47" t="s">
        <v>95</v>
      </c>
      <c r="W184" s="47" t="s">
        <v>95</v>
      </c>
      <c r="X184" s="46" t="s">
        <v>3</v>
      </c>
      <c r="Y184" s="47" t="s">
        <v>95</v>
      </c>
      <c r="Z184" s="47" t="s">
        <v>95</v>
      </c>
      <c r="AA184" s="47" t="s">
        <v>95</v>
      </c>
      <c r="AB184" s="47" t="s">
        <v>95</v>
      </c>
      <c r="AC184" s="47" t="s">
        <v>95</v>
      </c>
      <c r="AG184" s="89"/>
    </row>
    <row r="185" spans="1:33" s="18" customFormat="1" ht="20.100000000000001" customHeight="1" x14ac:dyDescent="0.15">
      <c r="A185" s="76" t="s">
        <v>402</v>
      </c>
      <c r="B185" s="69"/>
      <c r="C185" s="69" t="s">
        <v>2813</v>
      </c>
      <c r="D185" s="69" t="s">
        <v>2813</v>
      </c>
      <c r="E185" s="69" t="s">
        <v>3913</v>
      </c>
      <c r="F185" s="69" t="s">
        <v>3913</v>
      </c>
      <c r="G185" s="69" t="s">
        <v>4102</v>
      </c>
      <c r="H185" s="69" t="s">
        <v>4025</v>
      </c>
      <c r="I185" s="69" t="s">
        <v>4102</v>
      </c>
      <c r="J185" s="69" t="s">
        <v>4201</v>
      </c>
      <c r="K185" s="69" t="s">
        <v>4201</v>
      </c>
      <c r="L185" s="69" t="s">
        <v>4201</v>
      </c>
      <c r="M185" s="69" t="s">
        <v>4201</v>
      </c>
      <c r="N185" s="69" t="s">
        <v>4201</v>
      </c>
      <c r="O185" s="69" t="s">
        <v>4201</v>
      </c>
      <c r="P185" s="69" t="s">
        <v>937</v>
      </c>
      <c r="Q185" s="69" t="s">
        <v>937</v>
      </c>
      <c r="R185" s="69" t="s">
        <v>937</v>
      </c>
      <c r="S185" s="69" t="s">
        <v>2682</v>
      </c>
      <c r="T185" s="69" t="s">
        <v>4483</v>
      </c>
      <c r="U185" s="69" t="s">
        <v>4614</v>
      </c>
      <c r="V185" s="69" t="s">
        <v>4614</v>
      </c>
      <c r="W185" s="69" t="s">
        <v>4483</v>
      </c>
      <c r="X185" s="69" t="s">
        <v>3</v>
      </c>
      <c r="Y185" s="69" t="s">
        <v>937</v>
      </c>
      <c r="Z185" s="69" t="s">
        <v>937</v>
      </c>
      <c r="AA185" s="69" t="s">
        <v>937</v>
      </c>
      <c r="AB185" s="69" t="s">
        <v>4326</v>
      </c>
      <c r="AC185" s="69" t="s">
        <v>4326</v>
      </c>
      <c r="AG185" s="89"/>
    </row>
    <row r="186" spans="1:33" s="18" customFormat="1" ht="69.75" customHeight="1" x14ac:dyDescent="0.15">
      <c r="A186" s="25" t="s">
        <v>4845</v>
      </c>
      <c r="B186" s="285" t="s">
        <v>3955</v>
      </c>
      <c r="C186" s="46" t="s">
        <v>3</v>
      </c>
      <c r="D186" s="46" t="s">
        <v>3</v>
      </c>
      <c r="E186" s="46" t="s">
        <v>3</v>
      </c>
      <c r="F186" s="46" t="s">
        <v>3</v>
      </c>
      <c r="G186" s="47" t="s">
        <v>4933</v>
      </c>
      <c r="H186" s="47" t="s">
        <v>3954</v>
      </c>
      <c r="I186" s="47" t="s">
        <v>4933</v>
      </c>
      <c r="J186" s="47" t="s">
        <v>95</v>
      </c>
      <c r="K186" s="47" t="s">
        <v>95</v>
      </c>
      <c r="L186" s="47" t="s">
        <v>95</v>
      </c>
      <c r="M186" s="47" t="s">
        <v>95</v>
      </c>
      <c r="N186" s="47" t="s">
        <v>95</v>
      </c>
      <c r="O186" s="47" t="s">
        <v>95</v>
      </c>
      <c r="P186" s="47" t="s">
        <v>3</v>
      </c>
      <c r="Q186" s="47" t="s">
        <v>3</v>
      </c>
      <c r="R186" s="47" t="s">
        <v>3</v>
      </c>
      <c r="S186" s="46" t="s">
        <v>3</v>
      </c>
      <c r="T186" s="46" t="s">
        <v>3</v>
      </c>
      <c r="U186" s="46" t="s">
        <v>3</v>
      </c>
      <c r="V186" s="46" t="s">
        <v>3</v>
      </c>
      <c r="W186" s="46" t="s">
        <v>3</v>
      </c>
      <c r="X186" s="46" t="s">
        <v>3</v>
      </c>
      <c r="Y186" s="47" t="s">
        <v>3</v>
      </c>
      <c r="Z186" s="47" t="s">
        <v>3</v>
      </c>
      <c r="AA186" s="47" t="s">
        <v>3</v>
      </c>
      <c r="AB186" s="47" t="s">
        <v>95</v>
      </c>
      <c r="AC186" s="47" t="s">
        <v>95</v>
      </c>
      <c r="AF186" s="89"/>
      <c r="AG186" s="89"/>
    </row>
    <row r="187" spans="1:33" s="18" customFormat="1" ht="20.100000000000001" customHeight="1" x14ac:dyDescent="0.15">
      <c r="A187" s="76" t="s">
        <v>402</v>
      </c>
      <c r="B187" s="69"/>
      <c r="C187" s="69" t="s">
        <v>2813</v>
      </c>
      <c r="D187" s="69" t="s">
        <v>2813</v>
      </c>
      <c r="E187" s="69" t="s">
        <v>3</v>
      </c>
      <c r="F187" s="69" t="s">
        <v>3</v>
      </c>
      <c r="G187" s="69" t="s">
        <v>4103</v>
      </c>
      <c r="H187" s="69" t="s">
        <v>4026</v>
      </c>
      <c r="I187" s="69" t="s">
        <v>4104</v>
      </c>
      <c r="J187" s="69" t="s">
        <v>4204</v>
      </c>
      <c r="K187" s="69" t="s">
        <v>4256</v>
      </c>
      <c r="L187" s="69" t="s">
        <v>4204</v>
      </c>
      <c r="M187" s="69" t="s">
        <v>4256</v>
      </c>
      <c r="N187" s="69" t="s">
        <v>4204</v>
      </c>
      <c r="O187" s="69" t="s">
        <v>4256</v>
      </c>
      <c r="P187" s="69" t="s">
        <v>4755</v>
      </c>
      <c r="Q187" s="69" t="s">
        <v>4755</v>
      </c>
      <c r="R187" s="69" t="s">
        <v>4755</v>
      </c>
      <c r="S187" s="69" t="s">
        <v>4411</v>
      </c>
      <c r="T187" s="69" t="s">
        <v>4483</v>
      </c>
      <c r="U187" s="69" t="s">
        <v>4614</v>
      </c>
      <c r="V187" s="69" t="s">
        <v>4614</v>
      </c>
      <c r="W187" s="69" t="s">
        <v>4483</v>
      </c>
      <c r="X187" s="69" t="s">
        <v>3</v>
      </c>
      <c r="Y187" s="69" t="s">
        <v>4755</v>
      </c>
      <c r="Z187" s="69" t="s">
        <v>4755</v>
      </c>
      <c r="AA187" s="69" t="s">
        <v>4755</v>
      </c>
      <c r="AB187" s="69" t="s">
        <v>4325</v>
      </c>
      <c r="AC187" s="69" t="s">
        <v>4325</v>
      </c>
      <c r="AG187" s="89"/>
    </row>
    <row r="188" spans="1:33" s="18" customFormat="1" ht="33.75" customHeight="1" x14ac:dyDescent="0.15">
      <c r="A188" s="25" t="s">
        <v>3699</v>
      </c>
      <c r="B188" s="284" t="s">
        <v>3747</v>
      </c>
      <c r="C188" s="47" t="s">
        <v>191</v>
      </c>
      <c r="D188" s="47" t="s">
        <v>191</v>
      </c>
      <c r="E188" s="47" t="s">
        <v>191</v>
      </c>
      <c r="F188" s="47" t="s">
        <v>191</v>
      </c>
      <c r="G188" s="117" t="s">
        <v>4933</v>
      </c>
      <c r="H188" s="47" t="s">
        <v>3954</v>
      </c>
      <c r="I188" s="117" t="s">
        <v>4933</v>
      </c>
      <c r="J188" s="117" t="s">
        <v>95</v>
      </c>
      <c r="K188" s="117" t="s">
        <v>95</v>
      </c>
      <c r="L188" s="117" t="s">
        <v>95</v>
      </c>
      <c r="M188" s="117" t="s">
        <v>95</v>
      </c>
      <c r="N188" s="117" t="s">
        <v>95</v>
      </c>
      <c r="O188" s="117" t="s">
        <v>95</v>
      </c>
      <c r="P188" s="117" t="s">
        <v>95</v>
      </c>
      <c r="Q188" s="117" t="s">
        <v>95</v>
      </c>
      <c r="R188" s="117" t="s">
        <v>95</v>
      </c>
      <c r="S188" s="47" t="s">
        <v>95</v>
      </c>
      <c r="T188" s="47" t="s">
        <v>95</v>
      </c>
      <c r="U188" s="47" t="s">
        <v>95</v>
      </c>
      <c r="V188" s="47" t="s">
        <v>95</v>
      </c>
      <c r="W188" s="47" t="s">
        <v>95</v>
      </c>
      <c r="X188" s="46" t="s">
        <v>3</v>
      </c>
      <c r="Y188" s="117" t="s">
        <v>95</v>
      </c>
      <c r="Z188" s="117" t="s">
        <v>95</v>
      </c>
      <c r="AA188" s="117" t="s">
        <v>95</v>
      </c>
      <c r="AB188" s="47" t="s">
        <v>95</v>
      </c>
      <c r="AC188" s="47" t="s">
        <v>95</v>
      </c>
      <c r="AG188" s="89"/>
    </row>
    <row r="189" spans="1:33" s="18" customFormat="1" ht="20.100000000000001" customHeight="1" x14ac:dyDescent="0.15">
      <c r="A189" s="76" t="s">
        <v>402</v>
      </c>
      <c r="B189" s="69"/>
      <c r="C189" s="69" t="s">
        <v>2812</v>
      </c>
      <c r="D189" s="69" t="s">
        <v>2812</v>
      </c>
      <c r="E189" s="69" t="s">
        <v>3916</v>
      </c>
      <c r="F189" s="69" t="s">
        <v>3916</v>
      </c>
      <c r="G189" s="69" t="s">
        <v>4105</v>
      </c>
      <c r="H189" s="69" t="s">
        <v>4027</v>
      </c>
      <c r="I189" s="69" t="s">
        <v>4106</v>
      </c>
      <c r="J189" s="69" t="s">
        <v>4205</v>
      </c>
      <c r="K189" s="69" t="s">
        <v>4205</v>
      </c>
      <c r="L189" s="69" t="s">
        <v>4205</v>
      </c>
      <c r="M189" s="69" t="s">
        <v>4205</v>
      </c>
      <c r="N189" s="69" t="s">
        <v>4205</v>
      </c>
      <c r="O189" s="69" t="s">
        <v>4205</v>
      </c>
      <c r="P189" s="69" t="s">
        <v>4756</v>
      </c>
      <c r="Q189" s="69" t="s">
        <v>4756</v>
      </c>
      <c r="R189" s="69" t="s">
        <v>4756</v>
      </c>
      <c r="S189" s="69" t="s">
        <v>4412</v>
      </c>
      <c r="T189" s="69" t="s">
        <v>4484</v>
      </c>
      <c r="U189" s="69" t="s">
        <v>4615</v>
      </c>
      <c r="V189" s="69" t="s">
        <v>4615</v>
      </c>
      <c r="W189" s="69" t="s">
        <v>4484</v>
      </c>
      <c r="X189" s="69" t="s">
        <v>3</v>
      </c>
      <c r="Y189" s="69" t="s">
        <v>4756</v>
      </c>
      <c r="Z189" s="69" t="s">
        <v>4756</v>
      </c>
      <c r="AA189" s="69" t="s">
        <v>4756</v>
      </c>
      <c r="AB189" s="69" t="s">
        <v>4324</v>
      </c>
      <c r="AC189" s="69" t="s">
        <v>4324</v>
      </c>
      <c r="AG189" s="89"/>
    </row>
    <row r="190" spans="1:33" s="18" customFormat="1" ht="81.75" customHeight="1" x14ac:dyDescent="0.15">
      <c r="A190" s="25" t="s">
        <v>4257</v>
      </c>
      <c r="B190" s="284" t="s">
        <v>3955</v>
      </c>
      <c r="C190" s="47" t="s">
        <v>3775</v>
      </c>
      <c r="D190" s="47" t="s">
        <v>3775</v>
      </c>
      <c r="E190" s="47" t="s">
        <v>3829</v>
      </c>
      <c r="F190" s="47" t="s">
        <v>3829</v>
      </c>
      <c r="G190" s="117" t="s">
        <v>4933</v>
      </c>
      <c r="H190" s="47" t="s">
        <v>3954</v>
      </c>
      <c r="I190" s="117" t="s">
        <v>4933</v>
      </c>
      <c r="J190" s="117" t="s">
        <v>95</v>
      </c>
      <c r="K190" s="117" t="s">
        <v>95</v>
      </c>
      <c r="L190" s="117" t="s">
        <v>95</v>
      </c>
      <c r="M190" s="117" t="s">
        <v>95</v>
      </c>
      <c r="N190" s="117" t="s">
        <v>95</v>
      </c>
      <c r="O190" s="117" t="s">
        <v>95</v>
      </c>
      <c r="P190" s="117" t="s">
        <v>3</v>
      </c>
      <c r="Q190" s="117" t="s">
        <v>3</v>
      </c>
      <c r="R190" s="117" t="s">
        <v>3</v>
      </c>
      <c r="S190" s="47" t="s">
        <v>3</v>
      </c>
      <c r="T190" s="47" t="s">
        <v>95</v>
      </c>
      <c r="U190" s="47" t="s">
        <v>5038</v>
      </c>
      <c r="V190" s="47" t="s">
        <v>5039</v>
      </c>
      <c r="W190" s="47" t="s">
        <v>95</v>
      </c>
      <c r="X190" s="46" t="s">
        <v>3</v>
      </c>
      <c r="Y190" s="117" t="s">
        <v>3</v>
      </c>
      <c r="Z190" s="117" t="s">
        <v>3</v>
      </c>
      <c r="AA190" s="117" t="s">
        <v>3</v>
      </c>
      <c r="AB190" s="47" t="s">
        <v>4863</v>
      </c>
      <c r="AC190" s="47" t="s">
        <v>4863</v>
      </c>
      <c r="AG190" s="89"/>
    </row>
    <row r="191" spans="1:33" s="18" customFormat="1" ht="20.100000000000001" customHeight="1" x14ac:dyDescent="0.15">
      <c r="A191" s="76" t="s">
        <v>402</v>
      </c>
      <c r="B191" s="69"/>
      <c r="C191" s="69" t="s">
        <v>3776</v>
      </c>
      <c r="D191" s="69" t="s">
        <v>3776</v>
      </c>
      <c r="E191" s="69" t="s">
        <v>3828</v>
      </c>
      <c r="F191" s="69" t="s">
        <v>3828</v>
      </c>
      <c r="G191" s="69" t="s">
        <v>4107</v>
      </c>
      <c r="H191" s="69" t="s">
        <v>4049</v>
      </c>
      <c r="I191" s="69" t="s">
        <v>4108</v>
      </c>
      <c r="J191" s="69" t="s">
        <v>4258</v>
      </c>
      <c r="K191" s="69" t="s">
        <v>4258</v>
      </c>
      <c r="L191" s="69" t="s">
        <v>4258</v>
      </c>
      <c r="M191" s="69" t="s">
        <v>4258</v>
      </c>
      <c r="N191" s="69" t="s">
        <v>4258</v>
      </c>
      <c r="O191" s="69" t="s">
        <v>4258</v>
      </c>
      <c r="P191" s="69" t="s">
        <v>3</v>
      </c>
      <c r="Q191" s="69" t="s">
        <v>3</v>
      </c>
      <c r="R191" s="69" t="s">
        <v>3</v>
      </c>
      <c r="S191" s="69" t="s">
        <v>3</v>
      </c>
      <c r="T191" s="69" t="s">
        <v>4485</v>
      </c>
      <c r="U191" s="69" t="s">
        <v>4617</v>
      </c>
      <c r="V191" s="69" t="s">
        <v>4673</v>
      </c>
      <c r="W191" s="69" t="s">
        <v>4575</v>
      </c>
      <c r="X191" s="69" t="s">
        <v>3</v>
      </c>
      <c r="Y191" s="69" t="s">
        <v>3</v>
      </c>
      <c r="Z191" s="69" t="s">
        <v>3</v>
      </c>
      <c r="AA191" s="69" t="s">
        <v>3</v>
      </c>
      <c r="AB191" s="69" t="s">
        <v>4864</v>
      </c>
      <c r="AC191" s="69" t="s">
        <v>4864</v>
      </c>
      <c r="AG191" s="89"/>
    </row>
    <row r="192" spans="1:33" s="18" customFormat="1" ht="81.75" customHeight="1" x14ac:dyDescent="0.15">
      <c r="A192" s="25" t="s">
        <v>3647</v>
      </c>
      <c r="B192" s="284"/>
      <c r="C192" s="47" t="s">
        <v>3775</v>
      </c>
      <c r="D192" s="47" t="s">
        <v>3775</v>
      </c>
      <c r="E192" s="47" t="s">
        <v>5040</v>
      </c>
      <c r="F192" s="47" t="s">
        <v>5040</v>
      </c>
      <c r="G192" s="47" t="s">
        <v>3</v>
      </c>
      <c r="H192" s="47" t="s">
        <v>3</v>
      </c>
      <c r="I192" s="47" t="s">
        <v>3</v>
      </c>
      <c r="J192" s="47" t="s">
        <v>3</v>
      </c>
      <c r="K192" s="47" t="s">
        <v>3</v>
      </c>
      <c r="L192" s="47" t="s">
        <v>3</v>
      </c>
      <c r="M192" s="47" t="s">
        <v>3</v>
      </c>
      <c r="N192" s="47" t="s">
        <v>3</v>
      </c>
      <c r="O192" s="47" t="s">
        <v>3</v>
      </c>
      <c r="P192" s="117" t="s">
        <v>3</v>
      </c>
      <c r="Q192" s="117" t="s">
        <v>3</v>
      </c>
      <c r="R192" s="117" t="s">
        <v>3</v>
      </c>
      <c r="S192" s="47" t="s">
        <v>3</v>
      </c>
      <c r="T192" s="47" t="s">
        <v>3</v>
      </c>
      <c r="U192" s="47" t="s">
        <v>3</v>
      </c>
      <c r="V192" s="47" t="s">
        <v>4671</v>
      </c>
      <c r="W192" s="47" t="s">
        <v>3</v>
      </c>
      <c r="X192" s="46" t="s">
        <v>3</v>
      </c>
      <c r="Y192" s="117" t="s">
        <v>3</v>
      </c>
      <c r="Z192" s="117" t="s">
        <v>3</v>
      </c>
      <c r="AA192" s="117" t="s">
        <v>3</v>
      </c>
      <c r="AB192" s="47" t="s">
        <v>3</v>
      </c>
      <c r="AC192" s="47" t="s">
        <v>4323</v>
      </c>
      <c r="AG192" s="89"/>
    </row>
    <row r="193" spans="1:33" s="18" customFormat="1" ht="12" customHeight="1" x14ac:dyDescent="0.15">
      <c r="A193" s="76" t="s">
        <v>402</v>
      </c>
      <c r="B193" s="69"/>
      <c r="C193" s="69" t="s">
        <v>3776</v>
      </c>
      <c r="D193" s="69" t="s">
        <v>3776</v>
      </c>
      <c r="E193" s="69" t="s">
        <v>3827</v>
      </c>
      <c r="F193" s="69" t="s">
        <v>3827</v>
      </c>
      <c r="G193" s="69" t="s">
        <v>3</v>
      </c>
      <c r="H193" s="69" t="s">
        <v>3</v>
      </c>
      <c r="I193" s="69" t="s">
        <v>3</v>
      </c>
      <c r="J193" s="69" t="s">
        <v>3</v>
      </c>
      <c r="K193" s="69" t="s">
        <v>3</v>
      </c>
      <c r="L193" s="69" t="s">
        <v>3</v>
      </c>
      <c r="M193" s="69" t="s">
        <v>3</v>
      </c>
      <c r="N193" s="69" t="s">
        <v>3</v>
      </c>
      <c r="O193" s="69" t="s">
        <v>3</v>
      </c>
      <c r="P193" s="69" t="s">
        <v>3</v>
      </c>
      <c r="Q193" s="69" t="s">
        <v>3</v>
      </c>
      <c r="R193" s="69" t="s">
        <v>3</v>
      </c>
      <c r="S193" s="69" t="s">
        <v>3</v>
      </c>
      <c r="T193" s="69" t="s">
        <v>4486</v>
      </c>
      <c r="U193" s="69" t="s">
        <v>4616</v>
      </c>
      <c r="V193" s="69" t="s">
        <v>4672</v>
      </c>
      <c r="W193" s="69" t="s">
        <v>4486</v>
      </c>
      <c r="X193" s="69" t="s">
        <v>3</v>
      </c>
      <c r="Y193" s="69" t="s">
        <v>3</v>
      </c>
      <c r="Z193" s="69" t="s">
        <v>3</v>
      </c>
      <c r="AA193" s="69" t="s">
        <v>3</v>
      </c>
      <c r="AB193" s="69" t="s">
        <v>3</v>
      </c>
      <c r="AC193" s="69" t="s">
        <v>4322</v>
      </c>
      <c r="AG193" s="89"/>
    </row>
    <row r="194" spans="1:33" s="18" customFormat="1" ht="56.25" customHeight="1" x14ac:dyDescent="0.15">
      <c r="A194" s="25" t="s">
        <v>4903</v>
      </c>
      <c r="B194" s="284"/>
      <c r="C194" s="47" t="s">
        <v>4904</v>
      </c>
      <c r="D194" s="47" t="s">
        <v>4904</v>
      </c>
      <c r="E194" s="47" t="s">
        <v>4905</v>
      </c>
      <c r="F194" s="47" t="s">
        <v>4905</v>
      </c>
      <c r="G194" s="47" t="s">
        <v>4905</v>
      </c>
      <c r="H194" s="47" t="s">
        <v>4905</v>
      </c>
      <c r="I194" s="47" t="s">
        <v>4905</v>
      </c>
      <c r="J194" s="47" t="s">
        <v>4906</v>
      </c>
      <c r="K194" s="47" t="s">
        <v>4906</v>
      </c>
      <c r="L194" s="47" t="s">
        <v>4906</v>
      </c>
      <c r="M194" s="47" t="s">
        <v>4906</v>
      </c>
      <c r="N194" s="47" t="s">
        <v>4906</v>
      </c>
      <c r="O194" s="47" t="s">
        <v>4906</v>
      </c>
      <c r="P194" s="47" t="s">
        <v>4906</v>
      </c>
      <c r="Q194" s="47" t="s">
        <v>4906</v>
      </c>
      <c r="R194" s="47" t="s">
        <v>4906</v>
      </c>
      <c r="S194" s="47" t="s">
        <v>59</v>
      </c>
      <c r="T194" s="47" t="s">
        <v>4906</v>
      </c>
      <c r="U194" s="47" t="s">
        <v>4907</v>
      </c>
      <c r="V194" s="47" t="s">
        <v>4907</v>
      </c>
      <c r="W194" s="47" t="s">
        <v>59</v>
      </c>
      <c r="X194" s="46" t="s">
        <v>3</v>
      </c>
      <c r="Y194" s="47" t="s">
        <v>4906</v>
      </c>
      <c r="Z194" s="47" t="s">
        <v>4906</v>
      </c>
      <c r="AA194" s="47" t="s">
        <v>4906</v>
      </c>
      <c r="AB194" s="47" t="s">
        <v>3</v>
      </c>
      <c r="AC194" s="47" t="s">
        <v>3</v>
      </c>
      <c r="AF194" s="89"/>
      <c r="AG194" s="89"/>
    </row>
    <row r="195" spans="1:33" s="18" customFormat="1" ht="12" customHeight="1" x14ac:dyDescent="0.15">
      <c r="A195" s="76" t="s">
        <v>402</v>
      </c>
      <c r="B195" s="69"/>
      <c r="C195" s="69" t="s">
        <v>3393</v>
      </c>
      <c r="D195" s="69" t="s">
        <v>3393</v>
      </c>
      <c r="E195" s="69" t="s">
        <v>3934</v>
      </c>
      <c r="F195" s="69" t="s">
        <v>3934</v>
      </c>
      <c r="G195" s="69" t="s">
        <v>4028</v>
      </c>
      <c r="H195" s="69" t="s">
        <v>4028</v>
      </c>
      <c r="I195" s="69" t="s">
        <v>4028</v>
      </c>
      <c r="J195" s="69" t="s">
        <v>4210</v>
      </c>
      <c r="K195" s="69" t="s">
        <v>4243</v>
      </c>
      <c r="L195" s="69" t="s">
        <v>4210</v>
      </c>
      <c r="M195" s="69" t="s">
        <v>4243</v>
      </c>
      <c r="N195" s="69" t="s">
        <v>4210</v>
      </c>
      <c r="O195" s="69" t="s">
        <v>4243</v>
      </c>
      <c r="P195" s="69" t="s">
        <v>4757</v>
      </c>
      <c r="Q195" s="69" t="s">
        <v>4757</v>
      </c>
      <c r="R195" s="69" t="s">
        <v>4757</v>
      </c>
      <c r="S195" s="69" t="s">
        <v>1794</v>
      </c>
      <c r="T195" s="69" t="s">
        <v>4636</v>
      </c>
      <c r="U195" s="69" t="s">
        <v>3934</v>
      </c>
      <c r="V195" s="69" t="s">
        <v>3934</v>
      </c>
      <c r="W195" s="69" t="s">
        <v>4545</v>
      </c>
      <c r="X195" s="69" t="s">
        <v>3</v>
      </c>
      <c r="Y195" s="69" t="s">
        <v>4757</v>
      </c>
      <c r="Z195" s="69" t="s">
        <v>4757</v>
      </c>
      <c r="AA195" s="69" t="s">
        <v>4757</v>
      </c>
      <c r="AB195" s="69" t="s">
        <v>3</v>
      </c>
      <c r="AC195" s="69" t="s">
        <v>3</v>
      </c>
      <c r="AG195" s="89"/>
    </row>
    <row r="196" spans="1:33" s="18" customFormat="1" ht="20.100000000000001" customHeight="1" x14ac:dyDescent="0.15">
      <c r="A196" s="25" t="s">
        <v>58</v>
      </c>
      <c r="B196" s="284" t="s">
        <v>3749</v>
      </c>
      <c r="C196" s="47" t="s">
        <v>3750</v>
      </c>
      <c r="D196" s="47" t="s">
        <v>3750</v>
      </c>
      <c r="E196" s="47" t="s">
        <v>3841</v>
      </c>
      <c r="F196" s="47" t="s">
        <v>3841</v>
      </c>
      <c r="G196" s="47" t="s">
        <v>5041</v>
      </c>
      <c r="H196" s="47" t="s">
        <v>5042</v>
      </c>
      <c r="I196" s="47" t="s">
        <v>4076</v>
      </c>
      <c r="J196" s="47" t="s">
        <v>3</v>
      </c>
      <c r="K196" s="47" t="s">
        <v>3</v>
      </c>
      <c r="L196" s="47" t="s">
        <v>4223</v>
      </c>
      <c r="M196" s="47" t="s">
        <v>4244</v>
      </c>
      <c r="N196" s="47" t="s">
        <v>4223</v>
      </c>
      <c r="O196" s="47" t="s">
        <v>4244</v>
      </c>
      <c r="P196" s="46" t="s">
        <v>3</v>
      </c>
      <c r="Q196" s="47" t="s">
        <v>333</v>
      </c>
      <c r="R196" s="47" t="s">
        <v>333</v>
      </c>
      <c r="S196" s="47" t="s">
        <v>59</v>
      </c>
      <c r="T196" s="47" t="s">
        <v>59</v>
      </c>
      <c r="U196" s="47" t="s">
        <v>145</v>
      </c>
      <c r="V196" s="47" t="s">
        <v>145</v>
      </c>
      <c r="W196" s="47" t="s">
        <v>59</v>
      </c>
      <c r="X196" s="46" t="s">
        <v>3</v>
      </c>
      <c r="Y196" s="46" t="s">
        <v>3</v>
      </c>
      <c r="Z196" s="47" t="s">
        <v>333</v>
      </c>
      <c r="AA196" s="47" t="s">
        <v>333</v>
      </c>
      <c r="AB196" s="47" t="s">
        <v>3</v>
      </c>
      <c r="AC196" s="47" t="s">
        <v>333</v>
      </c>
      <c r="AG196" s="89"/>
    </row>
    <row r="197" spans="1:33" s="18" customFormat="1" ht="12" customHeight="1" x14ac:dyDescent="0.15">
      <c r="A197" s="76" t="s">
        <v>402</v>
      </c>
      <c r="B197" s="69"/>
      <c r="C197" s="69" t="s">
        <v>3793</v>
      </c>
      <c r="D197" s="69" t="s">
        <v>3793</v>
      </c>
      <c r="E197" s="69" t="s">
        <v>3935</v>
      </c>
      <c r="F197" s="69" t="s">
        <v>3935</v>
      </c>
      <c r="G197" s="69" t="s">
        <v>4077</v>
      </c>
      <c r="H197" s="69" t="s">
        <v>4029</v>
      </c>
      <c r="I197" s="69" t="s">
        <v>4078</v>
      </c>
      <c r="J197" s="69" t="s">
        <v>4222</v>
      </c>
      <c r="K197" s="69" t="s">
        <v>4222</v>
      </c>
      <c r="L197" s="69" t="s">
        <v>4224</v>
      </c>
      <c r="M197" s="69" t="s">
        <v>4224</v>
      </c>
      <c r="N197" s="69" t="s">
        <v>4224</v>
      </c>
      <c r="O197" s="69" t="s">
        <v>4224</v>
      </c>
      <c r="P197" s="69" t="s">
        <v>936</v>
      </c>
      <c r="Q197" s="69" t="s">
        <v>4758</v>
      </c>
      <c r="R197" s="69" t="s">
        <v>4758</v>
      </c>
      <c r="S197" s="69" t="s">
        <v>1828</v>
      </c>
      <c r="T197" s="69" t="s">
        <v>4497</v>
      </c>
      <c r="U197" s="69" t="s">
        <v>4618</v>
      </c>
      <c r="V197" s="69" t="s">
        <v>4674</v>
      </c>
      <c r="W197" s="69" t="s">
        <v>4556</v>
      </c>
      <c r="X197" s="69" t="s">
        <v>3</v>
      </c>
      <c r="Y197" s="69" t="s">
        <v>936</v>
      </c>
      <c r="Z197" s="69" t="s">
        <v>4758</v>
      </c>
      <c r="AA197" s="69" t="s">
        <v>4758</v>
      </c>
      <c r="AB197" s="69" t="s">
        <v>4321</v>
      </c>
      <c r="AC197" s="69" t="s">
        <v>4320</v>
      </c>
      <c r="AG197" s="309"/>
    </row>
    <row r="198" spans="1:33" s="18" customFormat="1" ht="51.95" customHeight="1" x14ac:dyDescent="0.15">
      <c r="A198" s="25" t="s">
        <v>3673</v>
      </c>
      <c r="B198" s="285"/>
      <c r="C198" s="46" t="s">
        <v>3725</v>
      </c>
      <c r="D198" s="47" t="s">
        <v>5043</v>
      </c>
      <c r="E198" s="47" t="s">
        <v>5044</v>
      </c>
      <c r="F198" s="47" t="s">
        <v>5044</v>
      </c>
      <c r="G198" s="47" t="s">
        <v>3</v>
      </c>
      <c r="H198" s="47" t="s">
        <v>3</v>
      </c>
      <c r="I198" s="47" t="s">
        <v>5045</v>
      </c>
      <c r="J198" s="47" t="s">
        <v>3</v>
      </c>
      <c r="K198" s="47" t="s">
        <v>3</v>
      </c>
      <c r="L198" s="47" t="s">
        <v>5046</v>
      </c>
      <c r="M198" s="47" t="s">
        <v>5047</v>
      </c>
      <c r="N198" s="47" t="s">
        <v>5046</v>
      </c>
      <c r="O198" s="47" t="s">
        <v>5047</v>
      </c>
      <c r="P198" s="47" t="s">
        <v>3</v>
      </c>
      <c r="Q198" s="47" t="s">
        <v>5091</v>
      </c>
      <c r="R198" s="47" t="s">
        <v>5091</v>
      </c>
      <c r="S198" s="47" t="s">
        <v>5048</v>
      </c>
      <c r="T198" s="47" t="s">
        <v>3</v>
      </c>
      <c r="U198" s="47" t="s">
        <v>4637</v>
      </c>
      <c r="V198" s="47" t="s">
        <v>4637</v>
      </c>
      <c r="W198" s="47" t="s">
        <v>5048</v>
      </c>
      <c r="X198" s="46" t="s">
        <v>3</v>
      </c>
      <c r="Y198" s="47" t="s">
        <v>3</v>
      </c>
      <c r="Z198" s="47" t="s">
        <v>5091</v>
      </c>
      <c r="AA198" s="47" t="s">
        <v>5091</v>
      </c>
      <c r="AB198" s="47" t="s">
        <v>3</v>
      </c>
      <c r="AC198" s="47" t="s">
        <v>5049</v>
      </c>
      <c r="AG198" s="89"/>
    </row>
    <row r="199" spans="1:33" s="18" customFormat="1" ht="20.100000000000001" customHeight="1" x14ac:dyDescent="0.15">
      <c r="A199" s="76" t="s">
        <v>402</v>
      </c>
      <c r="B199" s="69"/>
      <c r="C199" s="69" t="s">
        <v>3723</v>
      </c>
      <c r="D199" s="69" t="s">
        <v>3723</v>
      </c>
      <c r="E199" s="69" t="s">
        <v>3865</v>
      </c>
      <c r="F199" s="69" t="s">
        <v>3865</v>
      </c>
      <c r="G199" s="69" t="s">
        <v>3732</v>
      </c>
      <c r="H199" s="69" t="s">
        <v>3732</v>
      </c>
      <c r="I199" s="69" t="s">
        <v>4091</v>
      </c>
      <c r="J199" s="69" t="s">
        <v>4185</v>
      </c>
      <c r="K199" s="69" t="s">
        <v>4185</v>
      </c>
      <c r="L199" s="69" t="s">
        <v>4185</v>
      </c>
      <c r="M199" s="69" t="s">
        <v>4185</v>
      </c>
      <c r="N199" s="69" t="s">
        <v>4185</v>
      </c>
      <c r="O199" s="69" t="s">
        <v>4185</v>
      </c>
      <c r="P199" s="69" t="s">
        <v>3</v>
      </c>
      <c r="Q199" s="69" t="s">
        <v>5090</v>
      </c>
      <c r="R199" s="69" t="s">
        <v>5090</v>
      </c>
      <c r="S199" s="69" t="s">
        <v>1827</v>
      </c>
      <c r="T199" s="69" t="s">
        <v>3</v>
      </c>
      <c r="U199" s="69" t="s">
        <v>4619</v>
      </c>
      <c r="V199" s="69" t="s">
        <v>4662</v>
      </c>
      <c r="W199" s="69" t="s">
        <v>4547</v>
      </c>
      <c r="X199" s="69" t="s">
        <v>3</v>
      </c>
      <c r="Y199" s="69" t="s">
        <v>3</v>
      </c>
      <c r="Z199" s="69" t="s">
        <v>5090</v>
      </c>
      <c r="AA199" s="69" t="s">
        <v>5090</v>
      </c>
      <c r="AB199" s="69" t="s">
        <v>3</v>
      </c>
      <c r="AC199" s="69" t="s">
        <v>4319</v>
      </c>
      <c r="AG199" s="89"/>
    </row>
    <row r="200" spans="1:33" s="18" customFormat="1" ht="60" customHeight="1" x14ac:dyDescent="0.15">
      <c r="A200" s="25" t="s">
        <v>3672</v>
      </c>
      <c r="B200" s="285"/>
      <c r="C200" s="46" t="s">
        <v>3725</v>
      </c>
      <c r="D200" s="47" t="s">
        <v>3722</v>
      </c>
      <c r="E200" s="47" t="s">
        <v>3909</v>
      </c>
      <c r="F200" s="47" t="s">
        <v>3910</v>
      </c>
      <c r="G200" s="47" t="s">
        <v>3</v>
      </c>
      <c r="H200" s="47" t="s">
        <v>3</v>
      </c>
      <c r="I200" s="47" t="s">
        <v>4082</v>
      </c>
      <c r="J200" s="47" t="s">
        <v>3</v>
      </c>
      <c r="K200" s="47" t="s">
        <v>3</v>
      </c>
      <c r="L200" s="47" t="s">
        <v>4178</v>
      </c>
      <c r="M200" s="47" t="s">
        <v>4265</v>
      </c>
      <c r="N200" s="47" t="s">
        <v>4178</v>
      </c>
      <c r="O200" s="47" t="s">
        <v>4265</v>
      </c>
      <c r="P200" s="47" t="s">
        <v>3</v>
      </c>
      <c r="Q200" s="47" t="s">
        <v>5089</v>
      </c>
      <c r="R200" s="47" t="s">
        <v>5089</v>
      </c>
      <c r="S200" s="47" t="s">
        <v>4409</v>
      </c>
      <c r="T200" s="47" t="s">
        <v>3</v>
      </c>
      <c r="U200" s="47" t="s">
        <v>5050</v>
      </c>
      <c r="V200" s="47" t="s">
        <v>5050</v>
      </c>
      <c r="W200" s="47" t="s">
        <v>4409</v>
      </c>
      <c r="X200" s="46" t="s">
        <v>3</v>
      </c>
      <c r="Y200" s="47" t="s">
        <v>3</v>
      </c>
      <c r="Z200" s="47" t="s">
        <v>5089</v>
      </c>
      <c r="AA200" s="47" t="s">
        <v>5089</v>
      </c>
      <c r="AB200" s="47" t="s">
        <v>3</v>
      </c>
      <c r="AC200" s="47" t="s">
        <v>4318</v>
      </c>
      <c r="AG200" s="89"/>
    </row>
    <row r="201" spans="1:33" s="18" customFormat="1" ht="12" customHeight="1" x14ac:dyDescent="0.15">
      <c r="A201" s="76" t="s">
        <v>402</v>
      </c>
      <c r="B201" s="69"/>
      <c r="C201" s="69" t="s">
        <v>3724</v>
      </c>
      <c r="D201" s="69" t="s">
        <v>3724</v>
      </c>
      <c r="E201" s="69" t="s">
        <v>3866</v>
      </c>
      <c r="F201" s="69" t="s">
        <v>3882</v>
      </c>
      <c r="G201" s="69" t="s">
        <v>3732</v>
      </c>
      <c r="H201" s="69" t="s">
        <v>3732</v>
      </c>
      <c r="I201" s="69" t="s">
        <v>4090</v>
      </c>
      <c r="J201" s="69" t="s">
        <v>4179</v>
      </c>
      <c r="K201" s="69" t="s">
        <v>4179</v>
      </c>
      <c r="L201" s="69" t="s">
        <v>4179</v>
      </c>
      <c r="M201" s="69" t="s">
        <v>4179</v>
      </c>
      <c r="N201" s="69" t="s">
        <v>4179</v>
      </c>
      <c r="O201" s="69" t="s">
        <v>4179</v>
      </c>
      <c r="P201" s="69" t="s">
        <v>3</v>
      </c>
      <c r="Q201" s="69" t="s">
        <v>4759</v>
      </c>
      <c r="R201" s="69" t="s">
        <v>4759</v>
      </c>
      <c r="S201" s="69" t="s">
        <v>1797</v>
      </c>
      <c r="T201" s="69" t="s">
        <v>3</v>
      </c>
      <c r="U201" s="69" t="s">
        <v>4619</v>
      </c>
      <c r="V201" s="69" t="s">
        <v>4662</v>
      </c>
      <c r="W201" s="69" t="s">
        <v>4548</v>
      </c>
      <c r="X201" s="69" t="s">
        <v>3</v>
      </c>
      <c r="Y201" s="69" t="s">
        <v>3</v>
      </c>
      <c r="Z201" s="69" t="s">
        <v>4759</v>
      </c>
      <c r="AA201" s="69" t="s">
        <v>4759</v>
      </c>
      <c r="AB201" s="69" t="s">
        <v>3</v>
      </c>
      <c r="AC201" s="69" t="s">
        <v>4317</v>
      </c>
      <c r="AG201" s="89"/>
    </row>
    <row r="202" spans="1:33" s="18" customFormat="1" ht="20.100000000000001" customHeight="1" x14ac:dyDescent="0.15">
      <c r="A202" s="25" t="s">
        <v>70</v>
      </c>
      <c r="B202" s="284"/>
      <c r="C202" s="47" t="s">
        <v>3716</v>
      </c>
      <c r="D202" s="47" t="s">
        <v>3716</v>
      </c>
      <c r="E202" s="47" t="s">
        <v>3855</v>
      </c>
      <c r="F202" s="47" t="s">
        <v>3855</v>
      </c>
      <c r="G202" s="47" t="s">
        <v>3</v>
      </c>
      <c r="H202" s="47" t="s">
        <v>3</v>
      </c>
      <c r="I202" s="47" t="s">
        <v>95</v>
      </c>
      <c r="J202" s="47" t="s">
        <v>3</v>
      </c>
      <c r="K202" s="47" t="s">
        <v>3</v>
      </c>
      <c r="L202" s="47" t="s">
        <v>4144</v>
      </c>
      <c r="M202" s="47" t="s">
        <v>3973</v>
      </c>
      <c r="N202" s="47" t="s">
        <v>4144</v>
      </c>
      <c r="O202" s="47" t="s">
        <v>3973</v>
      </c>
      <c r="P202" s="47" t="s">
        <v>3</v>
      </c>
      <c r="Q202" s="47" t="s">
        <v>95</v>
      </c>
      <c r="R202" s="47" t="s">
        <v>95</v>
      </c>
      <c r="S202" s="46" t="s">
        <v>95</v>
      </c>
      <c r="T202" s="46" t="s">
        <v>4549</v>
      </c>
      <c r="U202" s="46" t="s">
        <v>95</v>
      </c>
      <c r="V202" s="46" t="s">
        <v>95</v>
      </c>
      <c r="W202" s="46" t="s">
        <v>4549</v>
      </c>
      <c r="X202" s="46" t="s">
        <v>3</v>
      </c>
      <c r="Y202" s="47" t="s">
        <v>3</v>
      </c>
      <c r="Z202" s="47" t="s">
        <v>95</v>
      </c>
      <c r="AA202" s="47" t="s">
        <v>95</v>
      </c>
      <c r="AB202" s="47" t="s">
        <v>12</v>
      </c>
      <c r="AC202" s="47" t="s">
        <v>95</v>
      </c>
      <c r="AG202" s="89"/>
    </row>
    <row r="203" spans="1:33" s="18" customFormat="1" ht="12" customHeight="1" x14ac:dyDescent="0.15">
      <c r="A203" s="76" t="s">
        <v>402</v>
      </c>
      <c r="B203" s="69"/>
      <c r="C203" s="69" t="s">
        <v>2770</v>
      </c>
      <c r="D203" s="69" t="s">
        <v>2770</v>
      </c>
      <c r="E203" s="69" t="s">
        <v>3856</v>
      </c>
      <c r="F203" s="69" t="s">
        <v>3856</v>
      </c>
      <c r="G203" s="69" t="s">
        <v>3732</v>
      </c>
      <c r="H203" s="69" t="s">
        <v>3732</v>
      </c>
      <c r="I203" s="69" t="s">
        <v>4088</v>
      </c>
      <c r="J203" s="69" t="s">
        <v>4180</v>
      </c>
      <c r="K203" s="69" t="s">
        <v>4180</v>
      </c>
      <c r="L203" s="69" t="s">
        <v>4180</v>
      </c>
      <c r="M203" s="69" t="s">
        <v>4180</v>
      </c>
      <c r="N203" s="69" t="s">
        <v>4180</v>
      </c>
      <c r="O203" s="69" t="s">
        <v>4180</v>
      </c>
      <c r="P203" s="69" t="s">
        <v>3</v>
      </c>
      <c r="Q203" s="69" t="s">
        <v>4760</v>
      </c>
      <c r="R203" s="69" t="s">
        <v>4760</v>
      </c>
      <c r="S203" s="69" t="s">
        <v>1822</v>
      </c>
      <c r="T203" s="69" t="s">
        <v>4506</v>
      </c>
      <c r="U203" s="69" t="s">
        <v>4620</v>
      </c>
      <c r="V203" s="69" t="s">
        <v>4665</v>
      </c>
      <c r="W203" s="69" t="s">
        <v>4550</v>
      </c>
      <c r="X203" s="69" t="s">
        <v>3</v>
      </c>
      <c r="Y203" s="69" t="s">
        <v>3</v>
      </c>
      <c r="Z203" s="69" t="s">
        <v>4760</v>
      </c>
      <c r="AA203" s="69" t="s">
        <v>4760</v>
      </c>
      <c r="AB203" s="69" t="s">
        <v>4316</v>
      </c>
      <c r="AC203" s="69" t="s">
        <v>4314</v>
      </c>
      <c r="AG203" s="89"/>
    </row>
    <row r="204" spans="1:33" s="18" customFormat="1" ht="20.100000000000001" customHeight="1" x14ac:dyDescent="0.15">
      <c r="A204" s="25" t="s">
        <v>69</v>
      </c>
      <c r="B204" s="284"/>
      <c r="C204" s="47" t="s">
        <v>3716</v>
      </c>
      <c r="D204" s="47" t="s">
        <v>3716</v>
      </c>
      <c r="E204" s="47" t="s">
        <v>3855</v>
      </c>
      <c r="F204" s="47" t="s">
        <v>3855</v>
      </c>
      <c r="G204" s="47" t="s">
        <v>3</v>
      </c>
      <c r="H204" s="47" t="s">
        <v>3</v>
      </c>
      <c r="I204" s="47" t="s">
        <v>95</v>
      </c>
      <c r="J204" s="47" t="s">
        <v>3</v>
      </c>
      <c r="K204" s="47" t="s">
        <v>3</v>
      </c>
      <c r="L204" s="47" t="s">
        <v>4144</v>
      </c>
      <c r="M204" s="47" t="s">
        <v>3973</v>
      </c>
      <c r="N204" s="47" t="s">
        <v>4144</v>
      </c>
      <c r="O204" s="47" t="s">
        <v>3973</v>
      </c>
      <c r="P204" s="47" t="s">
        <v>3</v>
      </c>
      <c r="Q204" s="47" t="s">
        <v>95</v>
      </c>
      <c r="R204" s="47" t="s">
        <v>95</v>
      </c>
      <c r="S204" s="46" t="s">
        <v>95</v>
      </c>
      <c r="T204" s="46" t="s">
        <v>4549</v>
      </c>
      <c r="U204" s="46" t="s">
        <v>95</v>
      </c>
      <c r="V204" s="46" t="s">
        <v>95</v>
      </c>
      <c r="W204" s="46" t="s">
        <v>4549</v>
      </c>
      <c r="X204" s="46" t="s">
        <v>3</v>
      </c>
      <c r="Y204" s="47" t="s">
        <v>3</v>
      </c>
      <c r="Z204" s="47" t="s">
        <v>95</v>
      </c>
      <c r="AA204" s="47" t="s">
        <v>95</v>
      </c>
      <c r="AB204" s="47" t="s">
        <v>12</v>
      </c>
      <c r="AC204" s="47" t="s">
        <v>95</v>
      </c>
      <c r="AF204" s="89"/>
      <c r="AG204" s="89"/>
    </row>
    <row r="205" spans="1:33" s="18" customFormat="1" ht="12" customHeight="1" x14ac:dyDescent="0.15">
      <c r="A205" s="76" t="s">
        <v>402</v>
      </c>
      <c r="B205" s="69"/>
      <c r="C205" s="69" t="s">
        <v>2770</v>
      </c>
      <c r="D205" s="69" t="s">
        <v>2770</v>
      </c>
      <c r="E205" s="69" t="s">
        <v>3856</v>
      </c>
      <c r="F205" s="69" t="s">
        <v>3856</v>
      </c>
      <c r="G205" s="69" t="s">
        <v>3732</v>
      </c>
      <c r="H205" s="69" t="s">
        <v>3732</v>
      </c>
      <c r="I205" s="69" t="s">
        <v>4088</v>
      </c>
      <c r="J205" s="69" t="s">
        <v>4180</v>
      </c>
      <c r="K205" s="69" t="s">
        <v>4180</v>
      </c>
      <c r="L205" s="69" t="s">
        <v>4180</v>
      </c>
      <c r="M205" s="69" t="s">
        <v>4180</v>
      </c>
      <c r="N205" s="69" t="s">
        <v>4180</v>
      </c>
      <c r="O205" s="69" t="s">
        <v>4180</v>
      </c>
      <c r="P205" s="69" t="s">
        <v>3</v>
      </c>
      <c r="Q205" s="69" t="s">
        <v>4760</v>
      </c>
      <c r="R205" s="69" t="s">
        <v>4760</v>
      </c>
      <c r="S205" s="69" t="s">
        <v>1822</v>
      </c>
      <c r="T205" s="69" t="s">
        <v>4506</v>
      </c>
      <c r="U205" s="69" t="s">
        <v>4620</v>
      </c>
      <c r="V205" s="69" t="s">
        <v>4665</v>
      </c>
      <c r="W205" s="69" t="s">
        <v>4550</v>
      </c>
      <c r="X205" s="69" t="s">
        <v>3</v>
      </c>
      <c r="Y205" s="69" t="s">
        <v>3</v>
      </c>
      <c r="Z205" s="69" t="s">
        <v>4760</v>
      </c>
      <c r="AA205" s="69" t="s">
        <v>4760</v>
      </c>
      <c r="AB205" s="69" t="s">
        <v>4315</v>
      </c>
      <c r="AC205" s="69" t="s">
        <v>4314</v>
      </c>
      <c r="AG205" s="89"/>
    </row>
    <row r="206" spans="1:33" s="18" customFormat="1" ht="20.100000000000001" customHeight="1" x14ac:dyDescent="0.15">
      <c r="A206" s="25" t="s">
        <v>3967</v>
      </c>
      <c r="B206" s="284"/>
      <c r="C206" s="47" t="s">
        <v>3</v>
      </c>
      <c r="D206" s="47" t="s">
        <v>3</v>
      </c>
      <c r="E206" s="47" t="s">
        <v>3</v>
      </c>
      <c r="F206" s="47" t="s">
        <v>3968</v>
      </c>
      <c r="G206" s="47" t="s">
        <v>3</v>
      </c>
      <c r="H206" s="47" t="s">
        <v>3</v>
      </c>
      <c r="I206" s="47" t="s">
        <v>3973</v>
      </c>
      <c r="J206" s="47" t="s">
        <v>3</v>
      </c>
      <c r="K206" s="47" t="s">
        <v>3</v>
      </c>
      <c r="L206" s="47" t="s">
        <v>4192</v>
      </c>
      <c r="M206" s="47" t="s">
        <v>4192</v>
      </c>
      <c r="N206" s="47" t="s">
        <v>3</v>
      </c>
      <c r="O206" s="47" t="s">
        <v>3</v>
      </c>
      <c r="P206" s="47" t="s">
        <v>3</v>
      </c>
      <c r="Q206" s="47" t="s">
        <v>3</v>
      </c>
      <c r="R206" s="47" t="s">
        <v>3</v>
      </c>
      <c r="S206" s="47" t="s">
        <v>3</v>
      </c>
      <c r="T206" s="47" t="s">
        <v>3</v>
      </c>
      <c r="U206" s="47" t="s">
        <v>3</v>
      </c>
      <c r="V206" s="47" t="s">
        <v>3</v>
      </c>
      <c r="W206" s="47" t="s">
        <v>3</v>
      </c>
      <c r="X206" s="46" t="s">
        <v>3</v>
      </c>
      <c r="Y206" s="47" t="s">
        <v>3</v>
      </c>
      <c r="Z206" s="47" t="s">
        <v>3</v>
      </c>
      <c r="AA206" s="47" t="s">
        <v>3</v>
      </c>
      <c r="AB206" s="47" t="s">
        <v>3</v>
      </c>
      <c r="AC206" s="47" t="s">
        <v>3</v>
      </c>
      <c r="AG206" s="89"/>
    </row>
    <row r="207" spans="1:33" s="18" customFormat="1" ht="12" customHeight="1" x14ac:dyDescent="0.15">
      <c r="A207" s="76" t="s">
        <v>402</v>
      </c>
      <c r="B207" s="69"/>
      <c r="C207" s="69" t="s">
        <v>3</v>
      </c>
      <c r="D207" s="69" t="s">
        <v>3</v>
      </c>
      <c r="E207" s="69" t="s">
        <v>3</v>
      </c>
      <c r="F207" s="69" t="s">
        <v>3969</v>
      </c>
      <c r="G207" s="69" t="s">
        <v>3732</v>
      </c>
      <c r="H207" s="69" t="s">
        <v>3732</v>
      </c>
      <c r="I207" s="69" t="s">
        <v>4093</v>
      </c>
      <c r="J207" s="69" t="s">
        <v>4193</v>
      </c>
      <c r="K207" s="69" t="s">
        <v>4193</v>
      </c>
      <c r="L207" s="69" t="s">
        <v>4193</v>
      </c>
      <c r="M207" s="69" t="s">
        <v>4193</v>
      </c>
      <c r="N207" s="69" t="s">
        <v>4193</v>
      </c>
      <c r="O207" s="69" t="s">
        <v>4193</v>
      </c>
      <c r="P207" s="69" t="s">
        <v>3</v>
      </c>
      <c r="Q207" s="69" t="s">
        <v>3</v>
      </c>
      <c r="R207" s="69" t="s">
        <v>3</v>
      </c>
      <c r="S207" s="69" t="s">
        <v>3</v>
      </c>
      <c r="T207" s="69" t="s">
        <v>3</v>
      </c>
      <c r="U207" s="69" t="s">
        <v>3</v>
      </c>
      <c r="V207" s="69" t="s">
        <v>3</v>
      </c>
      <c r="W207" s="69" t="s">
        <v>3</v>
      </c>
      <c r="X207" s="69" t="s">
        <v>3</v>
      </c>
      <c r="Y207" s="69" t="s">
        <v>3</v>
      </c>
      <c r="Z207" s="69" t="s">
        <v>3</v>
      </c>
      <c r="AA207" s="69" t="s">
        <v>3</v>
      </c>
      <c r="AB207" s="69" t="s">
        <v>3</v>
      </c>
      <c r="AC207" s="69" t="s">
        <v>3</v>
      </c>
      <c r="AG207" s="89"/>
    </row>
    <row r="208" spans="1:33" s="18" customFormat="1" ht="30" customHeight="1" x14ac:dyDescent="0.15">
      <c r="A208" s="25" t="s">
        <v>68</v>
      </c>
      <c r="B208" s="284" t="s">
        <v>5051</v>
      </c>
      <c r="C208" s="47" t="s">
        <v>3719</v>
      </c>
      <c r="D208" s="47" t="s">
        <v>3720</v>
      </c>
      <c r="E208" s="47" t="s">
        <v>51</v>
      </c>
      <c r="F208" s="47" t="s">
        <v>51</v>
      </c>
      <c r="G208" s="47" t="s">
        <v>3973</v>
      </c>
      <c r="H208" s="47" t="s">
        <v>3</v>
      </c>
      <c r="I208" s="47" t="s">
        <v>4082</v>
      </c>
      <c r="J208" s="47" t="s">
        <v>3</v>
      </c>
      <c r="K208" s="47" t="s">
        <v>3</v>
      </c>
      <c r="L208" s="47" t="s">
        <v>4268</v>
      </c>
      <c r="M208" s="47" t="s">
        <v>4267</v>
      </c>
      <c r="N208" s="47" t="s">
        <v>4184</v>
      </c>
      <c r="O208" s="47" t="s">
        <v>4266</v>
      </c>
      <c r="P208" s="47" t="s">
        <v>3</v>
      </c>
      <c r="Q208" s="47" t="s">
        <v>4761</v>
      </c>
      <c r="R208" s="47" t="s">
        <v>4761</v>
      </c>
      <c r="S208" s="47" t="s">
        <v>5052</v>
      </c>
      <c r="T208" s="47" t="s">
        <v>3</v>
      </c>
      <c r="U208" s="47" t="s">
        <v>5053</v>
      </c>
      <c r="V208" s="47" t="s">
        <v>5053</v>
      </c>
      <c r="W208" s="47" t="s">
        <v>5052</v>
      </c>
      <c r="X208" s="46" t="s">
        <v>3</v>
      </c>
      <c r="Y208" s="47" t="s">
        <v>3</v>
      </c>
      <c r="Z208" s="47" t="s">
        <v>4761</v>
      </c>
      <c r="AA208" s="47" t="s">
        <v>4761</v>
      </c>
      <c r="AB208" s="47" t="s">
        <v>3</v>
      </c>
      <c r="AC208" s="47" t="s">
        <v>51</v>
      </c>
      <c r="AF208" s="89"/>
      <c r="AG208" s="89"/>
    </row>
    <row r="209" spans="1:33" s="18" customFormat="1" ht="12" customHeight="1" x14ac:dyDescent="0.15">
      <c r="A209" s="76" t="s">
        <v>402</v>
      </c>
      <c r="B209" s="69"/>
      <c r="C209" s="69"/>
      <c r="D209" s="69" t="s">
        <v>3721</v>
      </c>
      <c r="E209" s="69" t="s">
        <v>3835</v>
      </c>
      <c r="F209" s="69" t="s">
        <v>3835</v>
      </c>
      <c r="G209" s="69" t="s">
        <v>4048</v>
      </c>
      <c r="H209" s="69" t="s">
        <v>3732</v>
      </c>
      <c r="I209" s="69" t="s">
        <v>4083</v>
      </c>
      <c r="J209" s="69" t="s">
        <v>4182</v>
      </c>
      <c r="K209" s="69" t="s">
        <v>4182</v>
      </c>
      <c r="L209" s="69" t="s">
        <v>4182</v>
      </c>
      <c r="M209" s="69" t="s">
        <v>4182</v>
      </c>
      <c r="N209" s="69" t="s">
        <v>4182</v>
      </c>
      <c r="O209" s="69" t="s">
        <v>4182</v>
      </c>
      <c r="P209" s="69" t="s">
        <v>3</v>
      </c>
      <c r="Q209" s="69" t="s">
        <v>4762</v>
      </c>
      <c r="R209" s="69" t="s">
        <v>4762</v>
      </c>
      <c r="S209" s="69" t="s">
        <v>1798</v>
      </c>
      <c r="T209" s="69" t="s">
        <v>3</v>
      </c>
      <c r="U209" s="69" t="s">
        <v>4621</v>
      </c>
      <c r="V209" s="69" t="s">
        <v>4660</v>
      </c>
      <c r="W209" s="69" t="s">
        <v>4551</v>
      </c>
      <c r="X209" s="69" t="s">
        <v>3</v>
      </c>
      <c r="Y209" s="69" t="s">
        <v>3</v>
      </c>
      <c r="Z209" s="69" t="s">
        <v>4762</v>
      </c>
      <c r="AA209" s="69" t="s">
        <v>4762</v>
      </c>
      <c r="AB209" s="69" t="s">
        <v>3</v>
      </c>
      <c r="AC209" s="69" t="s">
        <v>4313</v>
      </c>
      <c r="AG209" s="89"/>
    </row>
    <row r="210" spans="1:33" s="18" customFormat="1" ht="30" customHeight="1" x14ac:dyDescent="0.15">
      <c r="A210" s="25" t="s">
        <v>3832</v>
      </c>
      <c r="B210" s="284" t="s">
        <v>3831</v>
      </c>
      <c r="C210" s="47" t="s">
        <v>5054</v>
      </c>
      <c r="D210" s="47" t="s">
        <v>5054</v>
      </c>
      <c r="E210" s="47" t="s">
        <v>5055</v>
      </c>
      <c r="F210" s="47" t="s">
        <v>5056</v>
      </c>
      <c r="G210" s="47" t="s">
        <v>5057</v>
      </c>
      <c r="H210" s="47" t="s">
        <v>3</v>
      </c>
      <c r="I210" s="47" t="s">
        <v>5058</v>
      </c>
      <c r="J210" s="47" t="s">
        <v>5059</v>
      </c>
      <c r="K210" s="47" t="s">
        <v>5059</v>
      </c>
      <c r="L210" s="47" t="s">
        <v>5056</v>
      </c>
      <c r="M210" s="47" t="s">
        <v>5056</v>
      </c>
      <c r="N210" s="47" t="s">
        <v>5060</v>
      </c>
      <c r="O210" s="47" t="s">
        <v>5060</v>
      </c>
      <c r="P210" s="47" t="s">
        <v>3</v>
      </c>
      <c r="Q210" s="47" t="s">
        <v>3101</v>
      </c>
      <c r="R210" s="47" t="s">
        <v>3101</v>
      </c>
      <c r="S210" s="47" t="s">
        <v>4408</v>
      </c>
      <c r="T210" s="47" t="s">
        <v>4480</v>
      </c>
      <c r="U210" s="47" t="s">
        <v>4622</v>
      </c>
      <c r="V210" s="47" t="s">
        <v>4912</v>
      </c>
      <c r="W210" s="47" t="s">
        <v>4480</v>
      </c>
      <c r="X210" s="46" t="s">
        <v>3</v>
      </c>
      <c r="Y210" s="47" t="s">
        <v>3</v>
      </c>
      <c r="Z210" s="47" t="s">
        <v>3101</v>
      </c>
      <c r="AA210" s="47" t="s">
        <v>3101</v>
      </c>
      <c r="AB210" s="47" t="s">
        <v>185</v>
      </c>
      <c r="AC210" s="47" t="s">
        <v>332</v>
      </c>
      <c r="AG210" s="89"/>
    </row>
    <row r="211" spans="1:33" s="18" customFormat="1" ht="12" customHeight="1" x14ac:dyDescent="0.15">
      <c r="A211" s="76" t="s">
        <v>402</v>
      </c>
      <c r="B211" s="69"/>
      <c r="C211" s="69" t="s">
        <v>2772</v>
      </c>
      <c r="D211" s="69" t="s">
        <v>2772</v>
      </c>
      <c r="E211" s="69" t="s">
        <v>3830</v>
      </c>
      <c r="F211" s="69" t="s">
        <v>3873</v>
      </c>
      <c r="G211" s="69" t="s">
        <v>4047</v>
      </c>
      <c r="H211" s="69" t="s">
        <v>3732</v>
      </c>
      <c r="I211" s="69" t="s">
        <v>4081</v>
      </c>
      <c r="J211" s="69" t="s">
        <v>4181</v>
      </c>
      <c r="K211" s="69" t="s">
        <v>4181</v>
      </c>
      <c r="L211" s="69" t="s">
        <v>4181</v>
      </c>
      <c r="M211" s="69" t="s">
        <v>4181</v>
      </c>
      <c r="N211" s="69" t="s">
        <v>4181</v>
      </c>
      <c r="O211" s="69" t="s">
        <v>4181</v>
      </c>
      <c r="P211" s="69" t="s">
        <v>3</v>
      </c>
      <c r="Q211" s="69" t="s">
        <v>883</v>
      </c>
      <c r="R211" s="69" t="s">
        <v>883</v>
      </c>
      <c r="S211" s="69" t="s">
        <v>1796</v>
      </c>
      <c r="T211" s="69" t="s">
        <v>4481</v>
      </c>
      <c r="U211" s="69" t="s">
        <v>4621</v>
      </c>
      <c r="V211" s="69" t="s">
        <v>4663</v>
      </c>
      <c r="W211" s="69" t="s">
        <v>4481</v>
      </c>
      <c r="X211" s="69" t="s">
        <v>3</v>
      </c>
      <c r="Y211" s="69" t="s">
        <v>3</v>
      </c>
      <c r="Z211" s="69" t="s">
        <v>883</v>
      </c>
      <c r="AA211" s="69" t="s">
        <v>883</v>
      </c>
      <c r="AB211" s="69" t="s">
        <v>4312</v>
      </c>
      <c r="AC211" s="69" t="s">
        <v>4311</v>
      </c>
      <c r="AG211" s="89"/>
    </row>
    <row r="212" spans="1:33" s="18" customFormat="1" ht="45" customHeight="1" x14ac:dyDescent="0.15">
      <c r="A212" s="25" t="s">
        <v>3815</v>
      </c>
      <c r="B212" s="284" t="s">
        <v>3771</v>
      </c>
      <c r="C212" s="47" t="s">
        <v>126</v>
      </c>
      <c r="D212" s="47" t="s">
        <v>126</v>
      </c>
      <c r="E212" s="47" t="s">
        <v>3826</v>
      </c>
      <c r="F212" s="47" t="s">
        <v>3826</v>
      </c>
      <c r="G212" s="47" t="s">
        <v>3956</v>
      </c>
      <c r="H212" s="47" t="s">
        <v>3956</v>
      </c>
      <c r="I212" s="47" t="s">
        <v>3956</v>
      </c>
      <c r="J212" s="47" t="s">
        <v>4207</v>
      </c>
      <c r="K212" s="47" t="s">
        <v>4207</v>
      </c>
      <c r="L212" s="47" t="s">
        <v>3826</v>
      </c>
      <c r="M212" s="47" t="s">
        <v>3826</v>
      </c>
      <c r="N212" s="47" t="s">
        <v>3956</v>
      </c>
      <c r="O212" s="47" t="s">
        <v>3956</v>
      </c>
      <c r="P212" s="47" t="s">
        <v>4763</v>
      </c>
      <c r="Q212" s="47" t="s">
        <v>4764</v>
      </c>
      <c r="R212" s="47" t="s">
        <v>4764</v>
      </c>
      <c r="S212" s="47" t="s">
        <v>4413</v>
      </c>
      <c r="T212" s="47" t="s">
        <v>4487</v>
      </c>
      <c r="U212" s="47" t="s">
        <v>4623</v>
      </c>
      <c r="V212" s="47" t="s">
        <v>4676</v>
      </c>
      <c r="W212" s="47" t="s">
        <v>3956</v>
      </c>
      <c r="X212" s="46" t="s">
        <v>3</v>
      </c>
      <c r="Y212" s="47" t="s">
        <v>4763</v>
      </c>
      <c r="Z212" s="47" t="s">
        <v>4764</v>
      </c>
      <c r="AA212" s="47" t="s">
        <v>4764</v>
      </c>
      <c r="AB212" s="47" t="s">
        <v>43</v>
      </c>
      <c r="AC212" s="47" t="s">
        <v>4310</v>
      </c>
      <c r="AG212" s="89"/>
    </row>
    <row r="213" spans="1:33" s="18" customFormat="1" ht="20.100000000000001" customHeight="1" x14ac:dyDescent="0.15">
      <c r="A213" s="76" t="s">
        <v>402</v>
      </c>
      <c r="B213" s="69"/>
      <c r="C213" s="69" t="s">
        <v>2778</v>
      </c>
      <c r="D213" s="69" t="s">
        <v>2778</v>
      </c>
      <c r="E213" s="69" t="s">
        <v>3936</v>
      </c>
      <c r="F213" s="69" t="s">
        <v>3936</v>
      </c>
      <c r="G213" s="69" t="s">
        <v>4030</v>
      </c>
      <c r="H213" s="69" t="s">
        <v>4030</v>
      </c>
      <c r="I213" s="69" t="s">
        <v>4030</v>
      </c>
      <c r="J213" s="69" t="s">
        <v>4208</v>
      </c>
      <c r="K213" s="69" t="s">
        <v>4208</v>
      </c>
      <c r="L213" s="69" t="s">
        <v>4208</v>
      </c>
      <c r="M213" s="69" t="s">
        <v>4208</v>
      </c>
      <c r="N213" s="69" t="s">
        <v>4208</v>
      </c>
      <c r="O213" s="69" t="s">
        <v>4208</v>
      </c>
      <c r="P213" s="69" t="s">
        <v>4765</v>
      </c>
      <c r="Q213" s="69" t="s">
        <v>4766</v>
      </c>
      <c r="R213" s="69" t="s">
        <v>4766</v>
      </c>
      <c r="S213" s="69" t="s">
        <v>1829</v>
      </c>
      <c r="T213" s="69" t="s">
        <v>4488</v>
      </c>
      <c r="U213" s="69" t="s">
        <v>4624</v>
      </c>
      <c r="V213" s="69" t="s">
        <v>4677</v>
      </c>
      <c r="W213" s="69" t="s">
        <v>4557</v>
      </c>
      <c r="X213" s="69" t="s">
        <v>3</v>
      </c>
      <c r="Y213" s="69" t="s">
        <v>4765</v>
      </c>
      <c r="Z213" s="69" t="s">
        <v>4766</v>
      </c>
      <c r="AA213" s="69" t="s">
        <v>4766</v>
      </c>
      <c r="AB213" s="69" t="s">
        <v>4309</v>
      </c>
      <c r="AC213" s="69" t="s">
        <v>4308</v>
      </c>
      <c r="AG213" s="89"/>
    </row>
    <row r="214" spans="1:33" s="18" customFormat="1" ht="83.25" customHeight="1" x14ac:dyDescent="0.15">
      <c r="A214" s="25" t="s">
        <v>4909</v>
      </c>
      <c r="B214" s="284"/>
      <c r="C214" s="47" t="s">
        <v>5061</v>
      </c>
      <c r="D214" s="47" t="s">
        <v>5061</v>
      </c>
      <c r="E214" s="47" t="s">
        <v>5062</v>
      </c>
      <c r="F214" s="47" t="s">
        <v>5062</v>
      </c>
      <c r="G214" s="47" t="s">
        <v>5063</v>
      </c>
      <c r="H214" s="47" t="s">
        <v>5063</v>
      </c>
      <c r="I214" s="47" t="s">
        <v>5063</v>
      </c>
      <c r="J214" s="47" t="s">
        <v>5064</v>
      </c>
      <c r="K214" s="47" t="s">
        <v>5064</v>
      </c>
      <c r="L214" s="47" t="s">
        <v>5064</v>
      </c>
      <c r="M214" s="47" t="s">
        <v>5064</v>
      </c>
      <c r="N214" s="47" t="s">
        <v>5064</v>
      </c>
      <c r="O214" s="47" t="s">
        <v>5064</v>
      </c>
      <c r="P214" s="47" t="s">
        <v>3</v>
      </c>
      <c r="Q214" s="47" t="s">
        <v>4910</v>
      </c>
      <c r="R214" s="47" t="s">
        <v>4910</v>
      </c>
      <c r="S214" s="47" t="s">
        <v>3</v>
      </c>
      <c r="T214" s="47" t="s">
        <v>3</v>
      </c>
      <c r="U214" s="47" t="s">
        <v>3</v>
      </c>
      <c r="V214" s="47" t="s">
        <v>3</v>
      </c>
      <c r="W214" s="47" t="s">
        <v>3</v>
      </c>
      <c r="X214" s="46" t="s">
        <v>3</v>
      </c>
      <c r="Y214" s="47" t="s">
        <v>3</v>
      </c>
      <c r="Z214" s="47" t="s">
        <v>4910</v>
      </c>
      <c r="AA214" s="47" t="s">
        <v>4910</v>
      </c>
      <c r="AB214" s="47" t="s">
        <v>4911</v>
      </c>
      <c r="AC214" s="47" t="s">
        <v>4911</v>
      </c>
      <c r="AG214" s="89"/>
    </row>
    <row r="215" spans="1:33" s="18" customFormat="1" ht="12" customHeight="1" x14ac:dyDescent="0.15">
      <c r="A215" s="76" t="s">
        <v>402</v>
      </c>
      <c r="B215" s="69"/>
      <c r="C215" s="69" t="s">
        <v>3763</v>
      </c>
      <c r="D215" s="69" t="s">
        <v>3763</v>
      </c>
      <c r="E215" s="69" t="s">
        <v>3923</v>
      </c>
      <c r="F215" s="69" t="s">
        <v>3923</v>
      </c>
      <c r="G215" s="69" t="s">
        <v>4031</v>
      </c>
      <c r="H215" s="69" t="s">
        <v>4031</v>
      </c>
      <c r="I215" s="69" t="s">
        <v>4031</v>
      </c>
      <c r="J215" s="69" t="s">
        <v>4270</v>
      </c>
      <c r="K215" s="69" t="s">
        <v>4270</v>
      </c>
      <c r="L215" s="69" t="s">
        <v>4270</v>
      </c>
      <c r="M215" s="69" t="s">
        <v>4270</v>
      </c>
      <c r="N215" s="69" t="s">
        <v>4270</v>
      </c>
      <c r="O215" s="69" t="s">
        <v>4270</v>
      </c>
      <c r="P215" s="69" t="s">
        <v>3</v>
      </c>
      <c r="Q215" s="69" t="s">
        <v>885</v>
      </c>
      <c r="R215" s="69" t="s">
        <v>885</v>
      </c>
      <c r="S215" s="69" t="s">
        <v>3</v>
      </c>
      <c r="T215" s="69" t="s">
        <v>3</v>
      </c>
      <c r="U215" s="69" t="s">
        <v>3</v>
      </c>
      <c r="V215" s="69" t="s">
        <v>3</v>
      </c>
      <c r="W215" s="69" t="s">
        <v>3</v>
      </c>
      <c r="X215" s="69" t="s">
        <v>3</v>
      </c>
      <c r="Y215" s="69" t="s">
        <v>3</v>
      </c>
      <c r="Z215" s="69" t="s">
        <v>885</v>
      </c>
      <c r="AA215" s="69" t="s">
        <v>885</v>
      </c>
      <c r="AB215" s="69" t="s">
        <v>4307</v>
      </c>
      <c r="AC215" s="69" t="s">
        <v>4307</v>
      </c>
      <c r="AG215" s="89"/>
    </row>
    <row r="216" spans="1:33" s="18" customFormat="1" ht="32.25" customHeight="1" x14ac:dyDescent="0.15">
      <c r="A216" s="25" t="s">
        <v>3717</v>
      </c>
      <c r="B216" s="284"/>
      <c r="C216" s="47" t="s">
        <v>203</v>
      </c>
      <c r="D216" s="47" t="s">
        <v>203</v>
      </c>
      <c r="E216" s="47" t="s">
        <v>3</v>
      </c>
      <c r="F216" s="47" t="s">
        <v>95</v>
      </c>
      <c r="G216" s="47" t="s">
        <v>3</v>
      </c>
      <c r="H216" s="47" t="s">
        <v>3</v>
      </c>
      <c r="I216" s="47" t="s">
        <v>95</v>
      </c>
      <c r="J216" s="47" t="s">
        <v>3</v>
      </c>
      <c r="K216" s="47" t="s">
        <v>3</v>
      </c>
      <c r="L216" s="47" t="s">
        <v>5065</v>
      </c>
      <c r="M216" s="47" t="s">
        <v>5066</v>
      </c>
      <c r="N216" s="47" t="s">
        <v>5065</v>
      </c>
      <c r="O216" s="47" t="s">
        <v>5066</v>
      </c>
      <c r="P216" s="47" t="s">
        <v>3</v>
      </c>
      <c r="Q216" s="47" t="s">
        <v>0</v>
      </c>
      <c r="R216" s="47" t="s">
        <v>12</v>
      </c>
      <c r="S216" s="47" t="s">
        <v>4404</v>
      </c>
      <c r="T216" s="47" t="s">
        <v>3</v>
      </c>
      <c r="U216" s="47" t="s">
        <v>4625</v>
      </c>
      <c r="V216" s="47" t="s">
        <v>4625</v>
      </c>
      <c r="W216" s="47" t="s">
        <v>4576</v>
      </c>
      <c r="X216" s="46" t="s">
        <v>3</v>
      </c>
      <c r="Y216" s="47" t="s">
        <v>3</v>
      </c>
      <c r="Z216" s="47" t="s">
        <v>0</v>
      </c>
      <c r="AA216" s="47" t="s">
        <v>12</v>
      </c>
      <c r="AB216" s="47" t="s">
        <v>3</v>
      </c>
      <c r="AC216" s="47" t="s">
        <v>95</v>
      </c>
      <c r="AG216" s="89"/>
    </row>
    <row r="217" spans="1:33" s="18" customFormat="1" ht="12" customHeight="1" x14ac:dyDescent="0.15">
      <c r="A217" s="76" t="s">
        <v>402</v>
      </c>
      <c r="B217" s="69"/>
      <c r="C217" s="69" t="s">
        <v>2771</v>
      </c>
      <c r="D217" s="69" t="s">
        <v>2771</v>
      </c>
      <c r="E217" s="69" t="s">
        <v>3</v>
      </c>
      <c r="F217" s="69" t="s">
        <v>3872</v>
      </c>
      <c r="G217" s="69" t="s">
        <v>3</v>
      </c>
      <c r="H217" s="69" t="s">
        <v>3</v>
      </c>
      <c r="I217" s="69" t="s">
        <v>4120</v>
      </c>
      <c r="J217" s="69" t="s">
        <v>4191</v>
      </c>
      <c r="K217" s="69" t="s">
        <v>4191</v>
      </c>
      <c r="L217" s="69" t="s">
        <v>4191</v>
      </c>
      <c r="M217" s="69" t="s">
        <v>4191</v>
      </c>
      <c r="N217" s="69" t="s">
        <v>4191</v>
      </c>
      <c r="O217" s="69" t="s">
        <v>4191</v>
      </c>
      <c r="P217" s="69" t="s">
        <v>3</v>
      </c>
      <c r="Q217" s="69" t="s">
        <v>895</v>
      </c>
      <c r="R217" s="69" t="s">
        <v>4767</v>
      </c>
      <c r="S217" s="69" t="s">
        <v>1739</v>
      </c>
      <c r="T217" s="69" t="s">
        <v>3</v>
      </c>
      <c r="U217" s="69" t="s">
        <v>4626</v>
      </c>
      <c r="V217" s="69" t="s">
        <v>4664</v>
      </c>
      <c r="W217" s="69" t="s">
        <v>4577</v>
      </c>
      <c r="X217" s="69" t="s">
        <v>3</v>
      </c>
      <c r="Y217" s="69" t="s">
        <v>3</v>
      </c>
      <c r="Z217" s="69" t="s">
        <v>895</v>
      </c>
      <c r="AA217" s="69" t="s">
        <v>4767</v>
      </c>
      <c r="AB217" s="69" t="s">
        <v>3</v>
      </c>
      <c r="AC217" s="69" t="s">
        <v>4306</v>
      </c>
      <c r="AG217" s="89"/>
    </row>
    <row r="218" spans="1:33" s="18" customFormat="1" ht="22.5" customHeight="1" x14ac:dyDescent="0.15">
      <c r="A218" s="25" t="s">
        <v>3808</v>
      </c>
      <c r="B218" s="284"/>
      <c r="C218" s="47" t="s">
        <v>3</v>
      </c>
      <c r="D218" s="47" t="s">
        <v>3</v>
      </c>
      <c r="E218" s="47" t="s">
        <v>3</v>
      </c>
      <c r="F218" s="47" t="s">
        <v>14</v>
      </c>
      <c r="G218" s="47" t="s">
        <v>3</v>
      </c>
      <c r="H218" s="47" t="s">
        <v>3</v>
      </c>
      <c r="I218" s="47" t="s">
        <v>4082</v>
      </c>
      <c r="J218" s="47" t="s">
        <v>3</v>
      </c>
      <c r="K218" s="47" t="s">
        <v>3</v>
      </c>
      <c r="L218" s="47" t="s">
        <v>3</v>
      </c>
      <c r="M218" s="47" t="s">
        <v>3</v>
      </c>
      <c r="N218" s="47" t="s">
        <v>3</v>
      </c>
      <c r="O218" s="47" t="s">
        <v>3</v>
      </c>
      <c r="P218" s="47" t="s">
        <v>3</v>
      </c>
      <c r="Q218" s="47" t="s">
        <v>4768</v>
      </c>
      <c r="R218" s="47" t="s">
        <v>4768</v>
      </c>
      <c r="S218" s="47" t="s">
        <v>3</v>
      </c>
      <c r="T218" s="47" t="s">
        <v>4476</v>
      </c>
      <c r="U218" s="47" t="s">
        <v>4627</v>
      </c>
      <c r="V218" s="47" t="s">
        <v>4627</v>
      </c>
      <c r="W218" s="47" t="s">
        <v>4476</v>
      </c>
      <c r="X218" s="46" t="s">
        <v>3</v>
      </c>
      <c r="Y218" s="47" t="s">
        <v>3</v>
      </c>
      <c r="Z218" s="47" t="s">
        <v>4768</v>
      </c>
      <c r="AA218" s="47" t="s">
        <v>4768</v>
      </c>
      <c r="AB218" s="47" t="s">
        <v>3</v>
      </c>
      <c r="AC218" s="47" t="s">
        <v>16</v>
      </c>
      <c r="AG218" s="89"/>
    </row>
    <row r="219" spans="1:33" s="18" customFormat="1" ht="12" customHeight="1" x14ac:dyDescent="0.15">
      <c r="A219" s="76" t="s">
        <v>402</v>
      </c>
      <c r="B219" s="69"/>
      <c r="C219" s="69" t="s">
        <v>3</v>
      </c>
      <c r="D219" s="69" t="s">
        <v>3</v>
      </c>
      <c r="E219" s="69" t="s">
        <v>3809</v>
      </c>
      <c r="F219" s="69" t="s">
        <v>3870</v>
      </c>
      <c r="G219" s="69" t="s">
        <v>4032</v>
      </c>
      <c r="H219" s="69" t="s">
        <v>4032</v>
      </c>
      <c r="I219" s="69" t="s">
        <v>4092</v>
      </c>
      <c r="J219" s="69" t="s">
        <v>3</v>
      </c>
      <c r="K219" s="69" t="s">
        <v>3</v>
      </c>
      <c r="L219" s="69" t="s">
        <v>3</v>
      </c>
      <c r="M219" s="69" t="s">
        <v>3</v>
      </c>
      <c r="N219" s="69" t="s">
        <v>3</v>
      </c>
      <c r="O219" s="69" t="s">
        <v>3</v>
      </c>
      <c r="P219" s="69" t="s">
        <v>3</v>
      </c>
      <c r="Q219" s="69" t="s">
        <v>881</v>
      </c>
      <c r="R219" s="69" t="s">
        <v>881</v>
      </c>
      <c r="S219" s="69" t="s">
        <v>1826</v>
      </c>
      <c r="T219" s="69" t="s">
        <v>4477</v>
      </c>
      <c r="U219" s="69" t="s">
        <v>4628</v>
      </c>
      <c r="V219" s="69" t="s">
        <v>4668</v>
      </c>
      <c r="W219" s="69" t="s">
        <v>4477</v>
      </c>
      <c r="X219" s="69" t="s">
        <v>3</v>
      </c>
      <c r="Y219" s="69" t="s">
        <v>3</v>
      </c>
      <c r="Z219" s="69" t="s">
        <v>881</v>
      </c>
      <c r="AA219" s="69" t="s">
        <v>881</v>
      </c>
      <c r="AB219" s="69" t="s">
        <v>3</v>
      </c>
      <c r="AC219" s="69" t="s">
        <v>4305</v>
      </c>
      <c r="AG219" s="89"/>
    </row>
    <row r="220" spans="1:33" s="18" customFormat="1" ht="45" customHeight="1" x14ac:dyDescent="0.15">
      <c r="A220" s="25" t="s">
        <v>50</v>
      </c>
      <c r="B220" s="284"/>
      <c r="C220" s="47" t="s">
        <v>3</v>
      </c>
      <c r="D220" s="47" t="s">
        <v>3</v>
      </c>
      <c r="E220" s="47" t="s">
        <v>3836</v>
      </c>
      <c r="F220" s="47" t="s">
        <v>3836</v>
      </c>
      <c r="G220" s="47" t="s">
        <v>3</v>
      </c>
      <c r="H220" s="47" t="s">
        <v>3</v>
      </c>
      <c r="I220" s="47" t="s">
        <v>4082</v>
      </c>
      <c r="J220" s="47" t="s">
        <v>3</v>
      </c>
      <c r="K220" s="47" t="s">
        <v>3</v>
      </c>
      <c r="L220" s="47" t="s">
        <v>3</v>
      </c>
      <c r="M220" s="47" t="s">
        <v>3</v>
      </c>
      <c r="N220" s="47" t="s">
        <v>3</v>
      </c>
      <c r="O220" s="47" t="s">
        <v>3</v>
      </c>
      <c r="P220" s="47" t="s">
        <v>3</v>
      </c>
      <c r="Q220" s="47" t="s">
        <v>3</v>
      </c>
      <c r="R220" s="47" t="s">
        <v>3</v>
      </c>
      <c r="S220" s="47" t="s">
        <v>3</v>
      </c>
      <c r="T220" s="47" t="s">
        <v>3</v>
      </c>
      <c r="U220" s="47" t="s">
        <v>4679</v>
      </c>
      <c r="V220" s="47" t="s">
        <v>4679</v>
      </c>
      <c r="W220" s="47" t="s">
        <v>3</v>
      </c>
      <c r="X220" s="46" t="s">
        <v>3</v>
      </c>
      <c r="Y220" s="47" t="s">
        <v>3</v>
      </c>
      <c r="Z220" s="47" t="s">
        <v>3</v>
      </c>
      <c r="AA220" s="47" t="s">
        <v>3</v>
      </c>
      <c r="AB220" s="47" t="s">
        <v>3</v>
      </c>
      <c r="AC220" s="47" t="s">
        <v>5067</v>
      </c>
      <c r="AG220" s="89"/>
    </row>
    <row r="221" spans="1:33" s="18" customFormat="1" ht="12" customHeight="1" x14ac:dyDescent="0.15">
      <c r="A221" s="76" t="s">
        <v>402</v>
      </c>
      <c r="B221" s="69"/>
      <c r="C221" s="69" t="s">
        <v>3</v>
      </c>
      <c r="D221" s="69" t="s">
        <v>3</v>
      </c>
      <c r="E221" s="69" t="s">
        <v>3837</v>
      </c>
      <c r="F221" s="69" t="s">
        <v>3837</v>
      </c>
      <c r="G221" s="69" t="s">
        <v>3</v>
      </c>
      <c r="H221" s="69" t="s">
        <v>3</v>
      </c>
      <c r="I221" s="69" t="s">
        <v>4092</v>
      </c>
      <c r="J221" s="69" t="s">
        <v>3</v>
      </c>
      <c r="K221" s="69" t="s">
        <v>3</v>
      </c>
      <c r="L221" s="69" t="s">
        <v>3</v>
      </c>
      <c r="M221" s="69" t="s">
        <v>3</v>
      </c>
      <c r="N221" s="69" t="s">
        <v>3</v>
      </c>
      <c r="O221" s="69" t="s">
        <v>3</v>
      </c>
      <c r="P221" s="69" t="s">
        <v>3</v>
      </c>
      <c r="Q221" s="69" t="s">
        <v>3</v>
      </c>
      <c r="R221" s="69" t="s">
        <v>3</v>
      </c>
      <c r="S221" s="69" t="s">
        <v>3</v>
      </c>
      <c r="T221" s="69" t="s">
        <v>3</v>
      </c>
      <c r="U221" s="69"/>
      <c r="V221" s="69" t="s">
        <v>4678</v>
      </c>
      <c r="W221" s="69" t="s">
        <v>3</v>
      </c>
      <c r="X221" s="69" t="s">
        <v>3</v>
      </c>
      <c r="Y221" s="69" t="s">
        <v>3</v>
      </c>
      <c r="Z221" s="69" t="s">
        <v>3</v>
      </c>
      <c r="AA221" s="69" t="s">
        <v>3</v>
      </c>
      <c r="AB221" s="69" t="s">
        <v>3</v>
      </c>
      <c r="AC221" s="69" t="s">
        <v>4304</v>
      </c>
      <c r="AG221" s="89"/>
    </row>
    <row r="222" spans="1:33" s="18" customFormat="1" ht="3.95" customHeight="1" x14ac:dyDescent="0.15">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G222" s="89"/>
    </row>
    <row r="223" spans="1:33" s="89" customFormat="1" ht="22.5" customHeight="1" x14ac:dyDescent="0.15">
      <c r="A223" s="250" t="s">
        <v>46</v>
      </c>
      <c r="B223" s="251"/>
      <c r="C223" s="251" t="str">
        <f t="shared" ref="C223:O223" si="14">C1</f>
        <v>Allianz</v>
      </c>
      <c r="D223" s="251" t="str">
        <f t="shared" si="14"/>
        <v>Allianz SicherheitPlus</v>
      </c>
      <c r="E223" s="251" t="str">
        <f t="shared" si="14"/>
        <v>AXA BOXflex</v>
      </c>
      <c r="F223" s="251" t="str">
        <f t="shared" si="14"/>
        <v>AXA BOXflex Premium</v>
      </c>
      <c r="G223" s="251" t="str">
        <f t="shared" si="14"/>
        <v>Domcura Komfort</v>
      </c>
      <c r="H223" s="251" t="str">
        <f>H1</f>
        <v>Domcura Standard</v>
      </c>
      <c r="I223" s="251" t="str">
        <f t="shared" si="14"/>
        <v>Domcura Top</v>
      </c>
      <c r="J223" s="251" t="str">
        <f>J1</f>
        <v>Gothaer Basis 1914</v>
      </c>
      <c r="K223" s="251" t="str">
        <f>K1</f>
        <v>Gothaer Basis qm</v>
      </c>
      <c r="L223" s="251" t="str">
        <f>L1</f>
        <v>Gothaer Premium 1914</v>
      </c>
      <c r="M223" s="251" t="str">
        <f>M1</f>
        <v>Gothaer Premium qm</v>
      </c>
      <c r="N223" s="251" t="str">
        <f>N1</f>
        <v>Gothaer Top 1914</v>
      </c>
      <c r="O223" s="251" t="str">
        <f t="shared" si="14"/>
        <v>Gothaer Top qm</v>
      </c>
      <c r="P223" s="251" t="str">
        <f t="shared" ref="P223:R223" si="15">P1</f>
        <v>HFK</v>
      </c>
      <c r="Q223" s="251" t="str">
        <f t="shared" si="15"/>
        <v>HFK Rundumschutz</v>
      </c>
      <c r="R223" s="251" t="str">
        <f t="shared" si="15"/>
        <v>HFK Rundumschutz-Plus</v>
      </c>
      <c r="S223" s="251" t="str">
        <f t="shared" ref="S223:X223" si="16">S1</f>
        <v>ITL afm Eurosecure 2009</v>
      </c>
      <c r="T223" s="251" t="str">
        <f t="shared" si="16"/>
        <v>ITL Classic</v>
      </c>
      <c r="U223" s="251" t="str">
        <f>U1</f>
        <v>ITL Eurosecure Plus</v>
      </c>
      <c r="V223" s="251" t="str">
        <f>V1</f>
        <v>ITL Infinitus</v>
      </c>
      <c r="W223" s="251" t="str">
        <f t="shared" si="16"/>
        <v>ITL Protect Plus</v>
      </c>
      <c r="X223" s="251" t="str">
        <f t="shared" si="16"/>
        <v>Keine</v>
      </c>
      <c r="Y223" s="251" t="str">
        <f t="shared" ref="Y223:AA223" si="17">Y1</f>
        <v>Provinzial</v>
      </c>
      <c r="Z223" s="251" t="str">
        <f t="shared" si="17"/>
        <v>Provinzial Rundumschutz</v>
      </c>
      <c r="AA223" s="251" t="str">
        <f t="shared" si="17"/>
        <v>Provinzial Rundumschutz-Plus</v>
      </c>
      <c r="AB223" s="251"/>
      <c r="AC223" s="251"/>
      <c r="AF223" s="18"/>
    </row>
    <row r="224" spans="1:33" s="18" customFormat="1" ht="29.25" customHeight="1" x14ac:dyDescent="0.15">
      <c r="A224" s="25" t="s">
        <v>3695</v>
      </c>
      <c r="B224" s="284"/>
      <c r="C224" s="47" t="s">
        <v>1367</v>
      </c>
      <c r="D224" s="47" t="s">
        <v>1367</v>
      </c>
      <c r="E224" s="47" t="s">
        <v>1367</v>
      </c>
      <c r="F224" s="47" t="s">
        <v>1367</v>
      </c>
      <c r="G224" s="47" t="s">
        <v>4498</v>
      </c>
      <c r="H224" s="47" t="s">
        <v>4498</v>
      </c>
      <c r="I224" s="47" t="s">
        <v>4498</v>
      </c>
      <c r="J224" s="47" t="s">
        <v>4251</v>
      </c>
      <c r="K224" s="47" t="s">
        <v>4251</v>
      </c>
      <c r="L224" s="47" t="s">
        <v>4251</v>
      </c>
      <c r="M224" s="47" t="s">
        <v>4251</v>
      </c>
      <c r="N224" s="47" t="s">
        <v>4251</v>
      </c>
      <c r="O224" s="47" t="s">
        <v>4251</v>
      </c>
      <c r="P224" s="47" t="s">
        <v>4303</v>
      </c>
      <c r="Q224" s="47" t="s">
        <v>4303</v>
      </c>
      <c r="R224" s="47" t="s">
        <v>4303</v>
      </c>
      <c r="S224" s="47" t="s">
        <v>4251</v>
      </c>
      <c r="T224" s="47" t="s">
        <v>4498</v>
      </c>
      <c r="U224" s="47" t="s">
        <v>4498</v>
      </c>
      <c r="V224" s="47" t="s">
        <v>4498</v>
      </c>
      <c r="W224" s="47" t="s">
        <v>4498</v>
      </c>
      <c r="X224" s="46" t="s">
        <v>3</v>
      </c>
      <c r="Y224" s="47" t="s">
        <v>4303</v>
      </c>
      <c r="Z224" s="47" t="s">
        <v>4303</v>
      </c>
      <c r="AA224" s="47" t="s">
        <v>4303</v>
      </c>
      <c r="AB224" s="47" t="s">
        <v>4303</v>
      </c>
      <c r="AC224" s="47" t="s">
        <v>4303</v>
      </c>
      <c r="AG224" s="89"/>
    </row>
    <row r="225" spans="1:33" s="18" customFormat="1" ht="12" customHeight="1" x14ac:dyDescent="0.15">
      <c r="A225" s="76" t="s">
        <v>402</v>
      </c>
      <c r="B225" s="69"/>
      <c r="C225" s="69" t="s">
        <v>3752</v>
      </c>
      <c r="D225" s="69" t="s">
        <v>3752</v>
      </c>
      <c r="E225" s="69" t="s">
        <v>3842</v>
      </c>
      <c r="F225" s="69" t="s">
        <v>3842</v>
      </c>
      <c r="G225" s="69" t="s">
        <v>4033</v>
      </c>
      <c r="H225" s="69" t="s">
        <v>4033</v>
      </c>
      <c r="I225" s="69" t="s">
        <v>4033</v>
      </c>
      <c r="J225" s="69" t="s">
        <v>4225</v>
      </c>
      <c r="K225" s="69" t="s">
        <v>4225</v>
      </c>
      <c r="L225" s="69" t="s">
        <v>4225</v>
      </c>
      <c r="M225" s="69" t="s">
        <v>4225</v>
      </c>
      <c r="N225" s="69" t="s">
        <v>4225</v>
      </c>
      <c r="O225" s="69" t="s">
        <v>4225</v>
      </c>
      <c r="P225" s="69" t="s">
        <v>4769</v>
      </c>
      <c r="Q225" s="69" t="s">
        <v>4769</v>
      </c>
      <c r="R225" s="69" t="s">
        <v>4769</v>
      </c>
      <c r="S225" s="69" t="s">
        <v>4417</v>
      </c>
      <c r="T225" s="69" t="s">
        <v>5068</v>
      </c>
      <c r="U225" s="69" t="s">
        <v>5069</v>
      </c>
      <c r="V225" s="69" t="s">
        <v>5069</v>
      </c>
      <c r="W225" s="69" t="s">
        <v>5068</v>
      </c>
      <c r="X225" s="69" t="s">
        <v>3</v>
      </c>
      <c r="Y225" s="69" t="s">
        <v>4769</v>
      </c>
      <c r="Z225" s="69" t="s">
        <v>4769</v>
      </c>
      <c r="AA225" s="69" t="s">
        <v>4769</v>
      </c>
      <c r="AB225" s="69" t="s">
        <v>4302</v>
      </c>
      <c r="AC225" s="69" t="s">
        <v>4302</v>
      </c>
      <c r="AG225" s="89"/>
    </row>
    <row r="226" spans="1:33" s="18" customFormat="1" ht="29.25" customHeight="1" x14ac:dyDescent="0.15">
      <c r="A226" s="25" t="s">
        <v>3663</v>
      </c>
      <c r="B226" s="284"/>
      <c r="C226" s="47" t="s">
        <v>12</v>
      </c>
      <c r="D226" s="47" t="s">
        <v>95</v>
      </c>
      <c r="E226" s="47" t="s">
        <v>95</v>
      </c>
      <c r="F226" s="47" t="s">
        <v>95</v>
      </c>
      <c r="G226" s="47" t="s">
        <v>95</v>
      </c>
      <c r="H226" s="47" t="s">
        <v>3</v>
      </c>
      <c r="I226" s="47" t="s">
        <v>95</v>
      </c>
      <c r="J226" s="47" t="s">
        <v>12</v>
      </c>
      <c r="K226" s="47" t="s">
        <v>12</v>
      </c>
      <c r="L226" s="47" t="s">
        <v>95</v>
      </c>
      <c r="M226" s="47" t="s">
        <v>95</v>
      </c>
      <c r="N226" s="47" t="s">
        <v>95</v>
      </c>
      <c r="O226" s="47" t="s">
        <v>95</v>
      </c>
      <c r="P226" s="47" t="s">
        <v>3</v>
      </c>
      <c r="Q226" s="47" t="s">
        <v>3</v>
      </c>
      <c r="R226" s="47" t="s">
        <v>95</v>
      </c>
      <c r="S226" s="47" t="s">
        <v>4422</v>
      </c>
      <c r="T226" s="47" t="s">
        <v>4422</v>
      </c>
      <c r="U226" s="47" t="s">
        <v>4422</v>
      </c>
      <c r="V226" s="47" t="s">
        <v>4422</v>
      </c>
      <c r="W226" s="47" t="s">
        <v>4422</v>
      </c>
      <c r="X226" s="46" t="s">
        <v>3</v>
      </c>
      <c r="Y226" s="47" t="s">
        <v>3</v>
      </c>
      <c r="Z226" s="47" t="s">
        <v>3</v>
      </c>
      <c r="AA226" s="47" t="s">
        <v>95</v>
      </c>
      <c r="AB226" s="47" t="s">
        <v>12</v>
      </c>
      <c r="AC226" s="47" t="s">
        <v>95</v>
      </c>
      <c r="AG226" s="89"/>
    </row>
    <row r="227" spans="1:33" s="18" customFormat="1" ht="20.100000000000001" customHeight="1" x14ac:dyDescent="0.15">
      <c r="A227" s="76" t="s">
        <v>402</v>
      </c>
      <c r="B227" s="69"/>
      <c r="C227" s="69" t="s">
        <v>2807</v>
      </c>
      <c r="D227" s="69" t="s">
        <v>2807</v>
      </c>
      <c r="E227" s="69" t="s">
        <v>3819</v>
      </c>
      <c r="F227" s="69" t="s">
        <v>3819</v>
      </c>
      <c r="G227" s="69" t="s">
        <v>4052</v>
      </c>
      <c r="H227" s="69" t="s">
        <v>4051</v>
      </c>
      <c r="I227" s="69" t="s">
        <v>4052</v>
      </c>
      <c r="J227" s="69" t="s">
        <v>4218</v>
      </c>
      <c r="K227" s="69" t="s">
        <v>4218</v>
      </c>
      <c r="L227" s="69" t="s">
        <v>4218</v>
      </c>
      <c r="M227" s="69" t="s">
        <v>4218</v>
      </c>
      <c r="N227" s="69" t="s">
        <v>4218</v>
      </c>
      <c r="O227" s="69" t="s">
        <v>4218</v>
      </c>
      <c r="P227" s="69" t="s">
        <v>3</v>
      </c>
      <c r="Q227" s="69" t="s">
        <v>3</v>
      </c>
      <c r="R227" s="69" t="s">
        <v>898</v>
      </c>
      <c r="S227" s="69" t="s">
        <v>4423</v>
      </c>
      <c r="T227" s="69" t="s">
        <v>4507</v>
      </c>
      <c r="U227" s="69" t="s">
        <v>4629</v>
      </c>
      <c r="V227" s="69" t="s">
        <v>4680</v>
      </c>
      <c r="W227" s="69" t="s">
        <v>4559</v>
      </c>
      <c r="X227" s="69" t="s">
        <v>3</v>
      </c>
      <c r="Y227" s="69" t="s">
        <v>3</v>
      </c>
      <c r="Z227" s="69" t="s">
        <v>3</v>
      </c>
      <c r="AA227" s="69" t="s">
        <v>898</v>
      </c>
      <c r="AB227" s="69" t="s">
        <v>4301</v>
      </c>
      <c r="AC227" s="69" t="s">
        <v>4300</v>
      </c>
      <c r="AG227" s="89"/>
    </row>
    <row r="228" spans="1:33" s="18" customFormat="1" ht="29.25" customHeight="1" x14ac:dyDescent="0.15">
      <c r="A228" s="25" t="s">
        <v>4929</v>
      </c>
      <c r="B228" s="284"/>
      <c r="C228" s="47" t="s">
        <v>3725</v>
      </c>
      <c r="D228" s="47" t="s">
        <v>3725</v>
      </c>
      <c r="E228" s="47" t="s">
        <v>3</v>
      </c>
      <c r="F228" s="47" t="s">
        <v>3</v>
      </c>
      <c r="G228" s="47" t="s">
        <v>3</v>
      </c>
      <c r="H228" s="47" t="s">
        <v>3</v>
      </c>
      <c r="I228" s="47" t="s">
        <v>15</v>
      </c>
      <c r="J228" s="47" t="s">
        <v>3</v>
      </c>
      <c r="K228" s="47" t="s">
        <v>3</v>
      </c>
      <c r="L228" s="47" t="s">
        <v>4220</v>
      </c>
      <c r="M228" s="47" t="s">
        <v>4220</v>
      </c>
      <c r="N228" s="47" t="s">
        <v>3</v>
      </c>
      <c r="O228" s="47" t="s">
        <v>3</v>
      </c>
      <c r="P228" s="47" t="s">
        <v>3</v>
      </c>
      <c r="Q228" s="47" t="s">
        <v>3</v>
      </c>
      <c r="R228" s="47" t="s">
        <v>3</v>
      </c>
      <c r="S228" s="47" t="s">
        <v>3</v>
      </c>
      <c r="T228" s="47" t="s">
        <v>3</v>
      </c>
      <c r="U228" s="47" t="s">
        <v>3</v>
      </c>
      <c r="V228" s="46" t="s">
        <v>4681</v>
      </c>
      <c r="W228" s="47" t="s">
        <v>3</v>
      </c>
      <c r="X228" s="46" t="s">
        <v>3</v>
      </c>
      <c r="Y228" s="47" t="s">
        <v>3</v>
      </c>
      <c r="Z228" s="47" t="s">
        <v>3</v>
      </c>
      <c r="AA228" s="47" t="s">
        <v>3</v>
      </c>
      <c r="AB228" s="47" t="s">
        <v>3</v>
      </c>
      <c r="AC228" s="47" t="s">
        <v>3</v>
      </c>
      <c r="AG228" s="89"/>
    </row>
    <row r="229" spans="1:33" s="18" customFormat="1" ht="20.100000000000001" customHeight="1" x14ac:dyDescent="0.15">
      <c r="A229" s="76" t="s">
        <v>402</v>
      </c>
      <c r="B229" s="69"/>
      <c r="C229" s="69" t="s">
        <v>2807</v>
      </c>
      <c r="D229" s="69" t="s">
        <v>2807</v>
      </c>
      <c r="E229" s="69" t="s">
        <v>3820</v>
      </c>
      <c r="F229" s="69" t="s">
        <v>3820</v>
      </c>
      <c r="G229" s="69" t="s">
        <v>4109</v>
      </c>
      <c r="H229" s="69" t="s">
        <v>4034</v>
      </c>
      <c r="I229" s="69" t="s">
        <v>4110</v>
      </c>
      <c r="J229" s="69" t="s">
        <v>4219</v>
      </c>
      <c r="K229" s="69" t="s">
        <v>4219</v>
      </c>
      <c r="L229" s="69" t="s">
        <v>4221</v>
      </c>
      <c r="M229" s="69" t="s">
        <v>4221</v>
      </c>
      <c r="N229" s="69" t="s">
        <v>4219</v>
      </c>
      <c r="O229" s="69" t="s">
        <v>4219</v>
      </c>
      <c r="P229" s="69" t="s">
        <v>3</v>
      </c>
      <c r="Q229" s="69" t="s">
        <v>3</v>
      </c>
      <c r="R229" s="69" t="s">
        <v>3</v>
      </c>
      <c r="S229" s="69" t="s">
        <v>4423</v>
      </c>
      <c r="T229" s="69" t="s">
        <v>4507</v>
      </c>
      <c r="U229" s="69" t="s">
        <v>4629</v>
      </c>
      <c r="V229" s="69" t="s">
        <v>4682</v>
      </c>
      <c r="W229" s="69" t="s">
        <v>4559</v>
      </c>
      <c r="X229" s="69" t="s">
        <v>3</v>
      </c>
      <c r="Y229" s="69" t="s">
        <v>3</v>
      </c>
      <c r="Z229" s="69" t="s">
        <v>3</v>
      </c>
      <c r="AA229" s="69" t="s">
        <v>3</v>
      </c>
      <c r="AB229" s="69" t="s">
        <v>3</v>
      </c>
      <c r="AC229" s="69" t="s">
        <v>3</v>
      </c>
      <c r="AG229" s="89"/>
    </row>
    <row r="230" spans="1:33" s="18" customFormat="1" ht="3.95" customHeight="1" x14ac:dyDescent="0.15">
      <c r="A230" s="93"/>
      <c r="B230" s="34"/>
      <c r="C230" s="34"/>
      <c r="D230" s="34"/>
      <c r="E230" s="34"/>
      <c r="F230" s="34"/>
      <c r="G230" s="34"/>
      <c r="H230" s="34"/>
      <c r="I230" s="34"/>
      <c r="J230" s="34"/>
      <c r="K230" s="34"/>
      <c r="L230" s="34"/>
      <c r="M230" s="34"/>
      <c r="N230" s="34"/>
      <c r="O230" s="34"/>
      <c r="P230" s="34"/>
      <c r="Q230" s="34"/>
      <c r="R230" s="34"/>
      <c r="S230" s="34"/>
      <c r="T230" s="34"/>
      <c r="U230" s="35"/>
      <c r="V230" s="35"/>
      <c r="W230" s="34"/>
      <c r="X230" s="35"/>
      <c r="Y230" s="34"/>
      <c r="Z230" s="34"/>
      <c r="AA230" s="34"/>
      <c r="AB230" s="34"/>
      <c r="AC230" s="34"/>
      <c r="AG230" s="89"/>
    </row>
    <row r="231" spans="1:33" s="89" customFormat="1" ht="22.5" customHeight="1" x14ac:dyDescent="0.15">
      <c r="A231" s="253" t="s">
        <v>86</v>
      </c>
      <c r="B231" s="251"/>
      <c r="C231" s="251" t="str">
        <f t="shared" ref="C231:O231" si="18">C1</f>
        <v>Allianz</v>
      </c>
      <c r="D231" s="251" t="str">
        <f t="shared" si="18"/>
        <v>Allianz SicherheitPlus</v>
      </c>
      <c r="E231" s="251" t="str">
        <f t="shared" si="18"/>
        <v>AXA BOXflex</v>
      </c>
      <c r="F231" s="251" t="str">
        <f t="shared" si="18"/>
        <v>AXA BOXflex Premium</v>
      </c>
      <c r="G231" s="251" t="str">
        <f t="shared" si="18"/>
        <v>Domcura Komfort</v>
      </c>
      <c r="H231" s="251" t="str">
        <f>H1</f>
        <v>Domcura Standard</v>
      </c>
      <c r="I231" s="251" t="str">
        <f t="shared" si="18"/>
        <v>Domcura Top</v>
      </c>
      <c r="J231" s="251" t="str">
        <f>J1</f>
        <v>Gothaer Basis 1914</v>
      </c>
      <c r="K231" s="251" t="str">
        <f>K1</f>
        <v>Gothaer Basis qm</v>
      </c>
      <c r="L231" s="251" t="str">
        <f>L1</f>
        <v>Gothaer Premium 1914</v>
      </c>
      <c r="M231" s="251" t="str">
        <f>M1</f>
        <v>Gothaer Premium qm</v>
      </c>
      <c r="N231" s="251" t="str">
        <f>N1</f>
        <v>Gothaer Top 1914</v>
      </c>
      <c r="O231" s="251" t="str">
        <f t="shared" si="18"/>
        <v>Gothaer Top qm</v>
      </c>
      <c r="P231" s="251" t="str">
        <f t="shared" ref="P231:R231" si="19">P1</f>
        <v>HFK</v>
      </c>
      <c r="Q231" s="251" t="str">
        <f t="shared" si="19"/>
        <v>HFK Rundumschutz</v>
      </c>
      <c r="R231" s="251" t="str">
        <f t="shared" si="19"/>
        <v>HFK Rundumschutz-Plus</v>
      </c>
      <c r="S231" s="251" t="str">
        <f t="shared" ref="S231:X231" si="20">S1</f>
        <v>ITL afm Eurosecure 2009</v>
      </c>
      <c r="T231" s="251" t="str">
        <f t="shared" si="20"/>
        <v>ITL Classic</v>
      </c>
      <c r="U231" s="251" t="str">
        <f>U1</f>
        <v>ITL Eurosecure Plus</v>
      </c>
      <c r="V231" s="251" t="str">
        <f>V1</f>
        <v>ITL Infinitus</v>
      </c>
      <c r="W231" s="251" t="str">
        <f t="shared" si="20"/>
        <v>ITL Protect Plus</v>
      </c>
      <c r="X231" s="251" t="str">
        <f t="shared" si="20"/>
        <v>Keine</v>
      </c>
      <c r="Y231" s="251" t="str">
        <f t="shared" ref="Y231:AA231" si="21">Y1</f>
        <v>Provinzial</v>
      </c>
      <c r="Z231" s="251" t="str">
        <f t="shared" si="21"/>
        <v>Provinzial Rundumschutz</v>
      </c>
      <c r="AA231" s="251" t="str">
        <f t="shared" si="21"/>
        <v>Provinzial Rundumschutz-Plus</v>
      </c>
      <c r="AB231" s="251"/>
      <c r="AC231" s="251"/>
      <c r="AF231" s="18"/>
    </row>
    <row r="232" spans="1:33" s="83" customFormat="1" ht="85.5" customHeight="1" x14ac:dyDescent="0.15">
      <c r="A232" s="25" t="s">
        <v>85</v>
      </c>
      <c r="B232" s="286"/>
      <c r="C232" s="20" t="s">
        <v>543</v>
      </c>
      <c r="D232" s="20" t="s">
        <v>543</v>
      </c>
      <c r="E232" s="20" t="s">
        <v>3914</v>
      </c>
      <c r="F232" s="20" t="s">
        <v>3914</v>
      </c>
      <c r="G232" s="20" t="s">
        <v>187</v>
      </c>
      <c r="H232" s="20" t="s">
        <v>187</v>
      </c>
      <c r="I232" s="20" t="s">
        <v>187</v>
      </c>
      <c r="J232" s="20" t="s">
        <v>187</v>
      </c>
      <c r="K232" s="20" t="s">
        <v>187</v>
      </c>
      <c r="L232" s="20" t="s">
        <v>187</v>
      </c>
      <c r="M232" s="20" t="s">
        <v>187</v>
      </c>
      <c r="N232" s="20" t="s">
        <v>187</v>
      </c>
      <c r="O232" s="20" t="s">
        <v>187</v>
      </c>
      <c r="P232" s="20" t="s">
        <v>187</v>
      </c>
      <c r="Q232" s="20" t="s">
        <v>187</v>
      </c>
      <c r="R232" s="20" t="s">
        <v>187</v>
      </c>
      <c r="S232" s="47" t="s">
        <v>87</v>
      </c>
      <c r="T232" s="47" t="s">
        <v>5070</v>
      </c>
      <c r="U232" s="47" t="s">
        <v>5070</v>
      </c>
      <c r="V232" s="47" t="s">
        <v>5070</v>
      </c>
      <c r="W232" s="47" t="s">
        <v>5070</v>
      </c>
      <c r="X232" s="46" t="s">
        <v>3</v>
      </c>
      <c r="Y232" s="20" t="s">
        <v>187</v>
      </c>
      <c r="Z232" s="20" t="s">
        <v>187</v>
      </c>
      <c r="AA232" s="20" t="s">
        <v>187</v>
      </c>
      <c r="AB232" s="47" t="s">
        <v>4299</v>
      </c>
      <c r="AC232" s="47" t="s">
        <v>4299</v>
      </c>
      <c r="AF232" s="18"/>
      <c r="AG232" s="89"/>
    </row>
    <row r="233" spans="1:33" s="18" customFormat="1" ht="12" customHeight="1" x14ac:dyDescent="0.15">
      <c r="A233" s="76" t="s">
        <v>402</v>
      </c>
      <c r="B233" s="69"/>
      <c r="C233" s="69" t="s">
        <v>2798</v>
      </c>
      <c r="D233" s="69" t="s">
        <v>2798</v>
      </c>
      <c r="E233" s="69" t="s">
        <v>5071</v>
      </c>
      <c r="F233" s="69" t="s">
        <v>5071</v>
      </c>
      <c r="G233" s="69" t="s">
        <v>4035</v>
      </c>
      <c r="H233" s="69" t="s">
        <v>4035</v>
      </c>
      <c r="I233" s="69" t="s">
        <v>4035</v>
      </c>
      <c r="J233" s="69" t="s">
        <v>4165</v>
      </c>
      <c r="K233" s="69" t="s">
        <v>4165</v>
      </c>
      <c r="L233" s="69" t="s">
        <v>4165</v>
      </c>
      <c r="M233" s="69" t="s">
        <v>4165</v>
      </c>
      <c r="N233" s="69" t="s">
        <v>4165</v>
      </c>
      <c r="O233" s="69" t="s">
        <v>4165</v>
      </c>
      <c r="P233" s="69" t="s">
        <v>4770</v>
      </c>
      <c r="Q233" s="69" t="s">
        <v>4770</v>
      </c>
      <c r="R233" s="69" t="s">
        <v>4770</v>
      </c>
      <c r="S233" s="69" t="s">
        <v>4420</v>
      </c>
      <c r="T233" s="69" t="s">
        <v>4689</v>
      </c>
      <c r="U233" s="69" t="s">
        <v>4689</v>
      </c>
      <c r="V233" s="69" t="s">
        <v>4689</v>
      </c>
      <c r="W233" s="69" t="s">
        <v>4689</v>
      </c>
      <c r="X233" s="69" t="s">
        <v>3</v>
      </c>
      <c r="Y233" s="69" t="s">
        <v>4770</v>
      </c>
      <c r="Z233" s="69" t="s">
        <v>4770</v>
      </c>
      <c r="AA233" s="69" t="s">
        <v>4770</v>
      </c>
      <c r="AB233" s="69" t="s">
        <v>4298</v>
      </c>
      <c r="AC233" s="69" t="s">
        <v>4298</v>
      </c>
      <c r="AG233" s="89"/>
    </row>
    <row r="234" spans="1:33" s="18" customFormat="1" ht="24" customHeight="1" x14ac:dyDescent="0.15">
      <c r="A234" s="25" t="s">
        <v>3676</v>
      </c>
      <c r="B234" s="286"/>
      <c r="C234" s="20" t="s">
        <v>4978</v>
      </c>
      <c r="D234" s="20" t="s">
        <v>4978</v>
      </c>
      <c r="E234" s="20" t="s">
        <v>3922</v>
      </c>
      <c r="F234" s="20"/>
      <c r="G234" s="20" t="s">
        <v>4978</v>
      </c>
      <c r="H234" s="20" t="s">
        <v>4978</v>
      </c>
      <c r="I234" s="20" t="s">
        <v>4978</v>
      </c>
      <c r="J234" s="20" t="s">
        <v>5072</v>
      </c>
      <c r="K234" s="20" t="s">
        <v>5072</v>
      </c>
      <c r="L234" s="20" t="s">
        <v>5072</v>
      </c>
      <c r="M234" s="20" t="s">
        <v>5072</v>
      </c>
      <c r="N234" s="20" t="s">
        <v>5072</v>
      </c>
      <c r="O234" s="20" t="s">
        <v>5072</v>
      </c>
      <c r="P234" s="20" t="s">
        <v>95</v>
      </c>
      <c r="Q234" s="20" t="s">
        <v>95</v>
      </c>
      <c r="R234" s="20" t="s">
        <v>95</v>
      </c>
      <c r="S234" s="20" t="s">
        <v>95</v>
      </c>
      <c r="T234" s="20" t="s">
        <v>95</v>
      </c>
      <c r="U234" s="20" t="s">
        <v>95</v>
      </c>
      <c r="V234" s="20" t="s">
        <v>95</v>
      </c>
      <c r="W234" s="20" t="s">
        <v>95</v>
      </c>
      <c r="X234" s="46" t="s">
        <v>3</v>
      </c>
      <c r="Y234" s="20" t="s">
        <v>95</v>
      </c>
      <c r="Z234" s="20" t="s">
        <v>95</v>
      </c>
      <c r="AA234" s="20" t="s">
        <v>95</v>
      </c>
      <c r="AB234" s="20" t="s">
        <v>4374</v>
      </c>
      <c r="AC234" s="20" t="s">
        <v>4374</v>
      </c>
      <c r="AG234" s="89"/>
    </row>
    <row r="235" spans="1:33" s="18" customFormat="1" ht="12" customHeight="1" x14ac:dyDescent="0.15">
      <c r="A235" s="76" t="s">
        <v>402</v>
      </c>
      <c r="B235" s="69"/>
      <c r="C235" s="69" t="s">
        <v>3</v>
      </c>
      <c r="D235" s="69" t="s">
        <v>3</v>
      </c>
      <c r="E235" s="69" t="s">
        <v>3921</v>
      </c>
      <c r="F235" s="69"/>
      <c r="G235" s="69" t="s">
        <v>3</v>
      </c>
      <c r="H235" s="69" t="s">
        <v>3</v>
      </c>
      <c r="I235" s="69" t="s">
        <v>3</v>
      </c>
      <c r="J235" s="69" t="s">
        <v>4226</v>
      </c>
      <c r="K235" s="69" t="s">
        <v>4226</v>
      </c>
      <c r="L235" s="69" t="s">
        <v>4226</v>
      </c>
      <c r="M235" s="69" t="s">
        <v>4226</v>
      </c>
      <c r="N235" s="69" t="s">
        <v>4226</v>
      </c>
      <c r="O235" s="69" t="s">
        <v>4226</v>
      </c>
      <c r="P235" s="69" t="s">
        <v>4717</v>
      </c>
      <c r="Q235" s="69" t="s">
        <v>4717</v>
      </c>
      <c r="R235" s="69" t="s">
        <v>4717</v>
      </c>
      <c r="S235" s="69" t="s">
        <v>4421</v>
      </c>
      <c r="T235" s="69" t="s">
        <v>4421</v>
      </c>
      <c r="U235" s="69" t="s">
        <v>4421</v>
      </c>
      <c r="V235" s="69" t="s">
        <v>4421</v>
      </c>
      <c r="W235" s="69" t="s">
        <v>4421</v>
      </c>
      <c r="X235" s="69" t="s">
        <v>3</v>
      </c>
      <c r="Y235" s="69" t="s">
        <v>4717</v>
      </c>
      <c r="Z235" s="69" t="s">
        <v>4717</v>
      </c>
      <c r="AA235" s="69" t="s">
        <v>4717</v>
      </c>
      <c r="AB235" s="69" t="s">
        <v>4373</v>
      </c>
      <c r="AC235" s="69" t="s">
        <v>4373</v>
      </c>
      <c r="AG235" s="89"/>
    </row>
    <row r="236" spans="1:33" s="18" customFormat="1" ht="36" x14ac:dyDescent="0.15">
      <c r="A236" s="25" t="s">
        <v>83</v>
      </c>
      <c r="B236" s="284" t="s">
        <v>3301</v>
      </c>
      <c r="C236" s="47" t="s">
        <v>84</v>
      </c>
      <c r="D236" s="47" t="s">
        <v>84</v>
      </c>
      <c r="E236" s="47" t="s">
        <v>84</v>
      </c>
      <c r="F236" s="47" t="s">
        <v>84</v>
      </c>
      <c r="G236" s="47" t="s">
        <v>3951</v>
      </c>
      <c r="H236" s="47" t="s">
        <v>3951</v>
      </c>
      <c r="I236" s="47" t="s">
        <v>3951</v>
      </c>
      <c r="J236" s="47" t="s">
        <v>4167</v>
      </c>
      <c r="K236" s="47" t="s">
        <v>4167</v>
      </c>
      <c r="L236" s="47" t="s">
        <v>4167</v>
      </c>
      <c r="M236" s="47" t="s">
        <v>4167</v>
      </c>
      <c r="N236" s="47" t="s">
        <v>4167</v>
      </c>
      <c r="O236" s="47" t="s">
        <v>4167</v>
      </c>
      <c r="P236" s="47" t="s">
        <v>4167</v>
      </c>
      <c r="Q236" s="47" t="s">
        <v>4167</v>
      </c>
      <c r="R236" s="47" t="s">
        <v>4167</v>
      </c>
      <c r="S236" s="47" t="s">
        <v>4418</v>
      </c>
      <c r="T236" s="47" t="s">
        <v>84</v>
      </c>
      <c r="U236" s="47" t="s">
        <v>84</v>
      </c>
      <c r="V236" s="47" t="s">
        <v>84</v>
      </c>
      <c r="W236" s="47" t="s">
        <v>84</v>
      </c>
      <c r="X236" s="46" t="s">
        <v>3</v>
      </c>
      <c r="Y236" s="47" t="s">
        <v>4167</v>
      </c>
      <c r="Z236" s="47" t="s">
        <v>4167</v>
      </c>
      <c r="AA236" s="47" t="s">
        <v>4167</v>
      </c>
      <c r="AB236" s="47" t="s">
        <v>4297</v>
      </c>
      <c r="AC236" s="47" t="s">
        <v>4297</v>
      </c>
      <c r="AG236" s="89"/>
    </row>
    <row r="237" spans="1:33" s="18" customFormat="1" ht="12" customHeight="1" x14ac:dyDescent="0.15">
      <c r="A237" s="76" t="s">
        <v>402</v>
      </c>
      <c r="B237" s="69"/>
      <c r="C237" s="69" t="s">
        <v>2797</v>
      </c>
      <c r="D237" s="69" t="s">
        <v>2797</v>
      </c>
      <c r="E237" s="69" t="s">
        <v>3915</v>
      </c>
      <c r="F237" s="69" t="s">
        <v>3915</v>
      </c>
      <c r="G237" s="69" t="s">
        <v>4036</v>
      </c>
      <c r="H237" s="69" t="s">
        <v>4036</v>
      </c>
      <c r="I237" s="69" t="s">
        <v>4036</v>
      </c>
      <c r="J237" s="69" t="s">
        <v>4166</v>
      </c>
      <c r="K237" s="69" t="s">
        <v>4166</v>
      </c>
      <c r="L237" s="69" t="s">
        <v>4166</v>
      </c>
      <c r="M237" s="69" t="s">
        <v>4166</v>
      </c>
      <c r="N237" s="69" t="s">
        <v>4166</v>
      </c>
      <c r="O237" s="69" t="s">
        <v>4166</v>
      </c>
      <c r="P237" s="69" t="s">
        <v>4771</v>
      </c>
      <c r="Q237" s="69" t="s">
        <v>4771</v>
      </c>
      <c r="R237" s="69" t="s">
        <v>4771</v>
      </c>
      <c r="S237" s="69" t="s">
        <v>4419</v>
      </c>
      <c r="T237" s="69" t="s">
        <v>1716</v>
      </c>
      <c r="U237" s="69" t="s">
        <v>1716</v>
      </c>
      <c r="V237" s="69" t="s">
        <v>1716</v>
      </c>
      <c r="W237" s="69" t="s">
        <v>1716</v>
      </c>
      <c r="X237" s="69" t="s">
        <v>3</v>
      </c>
      <c r="Y237" s="69" t="s">
        <v>4771</v>
      </c>
      <c r="Z237" s="69" t="s">
        <v>4771</v>
      </c>
      <c r="AA237" s="69" t="s">
        <v>4771</v>
      </c>
      <c r="AB237" s="69" t="s">
        <v>4296</v>
      </c>
      <c r="AC237" s="69" t="s">
        <v>4296</v>
      </c>
      <c r="AG237" s="89"/>
    </row>
    <row r="238" spans="1:33" s="18" customFormat="1" ht="136.5" customHeight="1" x14ac:dyDescent="0.15">
      <c r="A238" s="25" t="s">
        <v>304</v>
      </c>
      <c r="B238" s="284"/>
      <c r="C238" s="47" t="s">
        <v>3798</v>
      </c>
      <c r="D238" s="47" t="s">
        <v>3798</v>
      </c>
      <c r="E238" s="47" t="s">
        <v>3917</v>
      </c>
      <c r="F238" s="47" t="s">
        <v>3917</v>
      </c>
      <c r="G238" s="47" t="s">
        <v>3950</v>
      </c>
      <c r="H238" s="47" t="s">
        <v>3950</v>
      </c>
      <c r="I238" s="47" t="s">
        <v>3950</v>
      </c>
      <c r="J238" s="47" t="s">
        <v>4915</v>
      </c>
      <c r="K238" s="47" t="s">
        <v>4915</v>
      </c>
      <c r="L238" s="47" t="s">
        <v>4915</v>
      </c>
      <c r="M238" s="47" t="s">
        <v>4915</v>
      </c>
      <c r="N238" s="47" t="s">
        <v>4915</v>
      </c>
      <c r="O238" s="47" t="s">
        <v>4915</v>
      </c>
      <c r="P238" s="47" t="s">
        <v>4772</v>
      </c>
      <c r="Q238" s="47" t="s">
        <v>4772</v>
      </c>
      <c r="R238" s="47" t="s">
        <v>4772</v>
      </c>
      <c r="S238" s="47" t="s">
        <v>4436</v>
      </c>
      <c r="T238" s="47" t="s">
        <v>4691</v>
      </c>
      <c r="U238" s="47" t="s">
        <v>4691</v>
      </c>
      <c r="V238" s="47" t="s">
        <v>4691</v>
      </c>
      <c r="W238" s="47" t="s">
        <v>4691</v>
      </c>
      <c r="X238" s="46" t="s">
        <v>3</v>
      </c>
      <c r="Y238" s="47" t="s">
        <v>4772</v>
      </c>
      <c r="Z238" s="47" t="s">
        <v>4772</v>
      </c>
      <c r="AA238" s="47" t="s">
        <v>4772</v>
      </c>
      <c r="AB238" s="47" t="s">
        <v>4295</v>
      </c>
      <c r="AC238" s="47" t="s">
        <v>4295</v>
      </c>
      <c r="AG238" s="89"/>
    </row>
    <row r="239" spans="1:33" s="18" customFormat="1" ht="12" customHeight="1" x14ac:dyDescent="0.15">
      <c r="A239" s="76" t="s">
        <v>402</v>
      </c>
      <c r="B239" s="69"/>
      <c r="C239" s="69" t="s">
        <v>3797</v>
      </c>
      <c r="D239" s="69" t="s">
        <v>3797</v>
      </c>
      <c r="E239" s="69" t="s">
        <v>5073</v>
      </c>
      <c r="F239" s="69" t="s">
        <v>5073</v>
      </c>
      <c r="G239" s="69" t="s">
        <v>4037</v>
      </c>
      <c r="H239" s="69" t="s">
        <v>4037</v>
      </c>
      <c r="I239" s="69" t="s">
        <v>4037</v>
      </c>
      <c r="J239" s="69" t="s">
        <v>4250</v>
      </c>
      <c r="K239" s="69" t="s">
        <v>4250</v>
      </c>
      <c r="L239" s="69" t="s">
        <v>4250</v>
      </c>
      <c r="M239" s="69" t="s">
        <v>4250</v>
      </c>
      <c r="N239" s="69" t="s">
        <v>4250</v>
      </c>
      <c r="O239" s="69" t="s">
        <v>4250</v>
      </c>
      <c r="P239" s="69" t="s">
        <v>4773</v>
      </c>
      <c r="Q239" s="69" t="s">
        <v>4773</v>
      </c>
      <c r="R239" s="69" t="s">
        <v>4773</v>
      </c>
      <c r="S239" s="69" t="s">
        <v>4437</v>
      </c>
      <c r="T239" s="69" t="s">
        <v>4690</v>
      </c>
      <c r="U239" s="69" t="s">
        <v>4692</v>
      </c>
      <c r="V239" s="69" t="s">
        <v>4692</v>
      </c>
      <c r="W239" s="69" t="s">
        <v>4692</v>
      </c>
      <c r="X239" s="69" t="s">
        <v>3</v>
      </c>
      <c r="Y239" s="69" t="s">
        <v>4773</v>
      </c>
      <c r="Z239" s="69" t="s">
        <v>4773</v>
      </c>
      <c r="AA239" s="69" t="s">
        <v>4773</v>
      </c>
      <c r="AB239" s="69" t="s">
        <v>416</v>
      </c>
      <c r="AC239" s="69" t="s">
        <v>416</v>
      </c>
      <c r="AG239" s="89"/>
    </row>
    <row r="240" spans="1:33" s="18" customFormat="1" ht="3.95" customHeight="1" x14ac:dyDescent="0.15">
      <c r="A240" s="28"/>
      <c r="B240" s="58"/>
      <c r="C240" s="58"/>
      <c r="D240" s="58"/>
      <c r="E240" s="58"/>
      <c r="F240" s="58"/>
      <c r="G240" s="58"/>
      <c r="H240" s="58"/>
      <c r="I240" s="58"/>
      <c r="J240" s="58"/>
      <c r="K240" s="58"/>
      <c r="L240" s="58"/>
      <c r="M240" s="58"/>
      <c r="N240" s="58"/>
      <c r="O240" s="58"/>
      <c r="P240" s="58"/>
      <c r="Q240" s="58"/>
      <c r="R240" s="58"/>
      <c r="S240" s="58"/>
      <c r="T240" s="58"/>
      <c r="U240" s="58"/>
      <c r="V240" s="58"/>
      <c r="W240" s="58"/>
      <c r="X240" s="48"/>
      <c r="Y240" s="58"/>
      <c r="Z240" s="58"/>
      <c r="AA240" s="58"/>
      <c r="AB240" s="58"/>
      <c r="AC240" s="58"/>
      <c r="AG240" s="89"/>
    </row>
    <row r="241" spans="1:33" s="89" customFormat="1" ht="22.5" customHeight="1" x14ac:dyDescent="0.15">
      <c r="A241" s="247" t="s">
        <v>177</v>
      </c>
      <c r="B241" s="243"/>
      <c r="C241" s="243" t="str">
        <f t="shared" ref="C241:O241" si="22">C1</f>
        <v>Allianz</v>
      </c>
      <c r="D241" s="243" t="str">
        <f t="shared" si="22"/>
        <v>Allianz SicherheitPlus</v>
      </c>
      <c r="E241" s="243" t="str">
        <f t="shared" si="22"/>
        <v>AXA BOXflex</v>
      </c>
      <c r="F241" s="243" t="str">
        <f t="shared" si="22"/>
        <v>AXA BOXflex Premium</v>
      </c>
      <c r="G241" s="243" t="str">
        <f t="shared" si="22"/>
        <v>Domcura Komfort</v>
      </c>
      <c r="H241" s="243" t="str">
        <f>H1</f>
        <v>Domcura Standard</v>
      </c>
      <c r="I241" s="243" t="str">
        <f t="shared" si="22"/>
        <v>Domcura Top</v>
      </c>
      <c r="J241" s="243" t="str">
        <f>J1</f>
        <v>Gothaer Basis 1914</v>
      </c>
      <c r="K241" s="243" t="str">
        <f>K1</f>
        <v>Gothaer Basis qm</v>
      </c>
      <c r="L241" s="243" t="str">
        <f>L1</f>
        <v>Gothaer Premium 1914</v>
      </c>
      <c r="M241" s="243" t="str">
        <f>M1</f>
        <v>Gothaer Premium qm</v>
      </c>
      <c r="N241" s="243" t="str">
        <f>N1</f>
        <v>Gothaer Top 1914</v>
      </c>
      <c r="O241" s="243" t="str">
        <f t="shared" si="22"/>
        <v>Gothaer Top qm</v>
      </c>
      <c r="P241" s="243" t="str">
        <f t="shared" ref="P241:R241" si="23">P1</f>
        <v>HFK</v>
      </c>
      <c r="Q241" s="243" t="str">
        <f t="shared" si="23"/>
        <v>HFK Rundumschutz</v>
      </c>
      <c r="R241" s="243" t="str">
        <f t="shared" si="23"/>
        <v>HFK Rundumschutz-Plus</v>
      </c>
      <c r="S241" s="243" t="str">
        <f t="shared" ref="S241:X241" si="24">S1</f>
        <v>ITL afm Eurosecure 2009</v>
      </c>
      <c r="T241" s="243" t="str">
        <f t="shared" si="24"/>
        <v>ITL Classic</v>
      </c>
      <c r="U241" s="243" t="str">
        <f>U1</f>
        <v>ITL Eurosecure Plus</v>
      </c>
      <c r="V241" s="243" t="str">
        <f>V1</f>
        <v>ITL Infinitus</v>
      </c>
      <c r="W241" s="243" t="str">
        <f t="shared" si="24"/>
        <v>ITL Protect Plus</v>
      </c>
      <c r="X241" s="243" t="str">
        <f t="shared" si="24"/>
        <v>Keine</v>
      </c>
      <c r="Y241" s="243" t="str">
        <f t="shared" ref="Y241:AA241" si="25">Y1</f>
        <v>Provinzial</v>
      </c>
      <c r="Z241" s="243" t="str">
        <f t="shared" si="25"/>
        <v>Provinzial Rundumschutz</v>
      </c>
      <c r="AA241" s="243" t="str">
        <f t="shared" si="25"/>
        <v>Provinzial Rundumschutz-Plus</v>
      </c>
      <c r="AB241" s="243"/>
      <c r="AC241" s="243"/>
      <c r="AF241" s="18"/>
    </row>
    <row r="242" spans="1:33" s="18" customFormat="1" ht="297.75" customHeight="1" x14ac:dyDescent="0.15">
      <c r="A242" s="77"/>
      <c r="B242" s="287"/>
      <c r="C242" s="70" t="s">
        <v>5074</v>
      </c>
      <c r="D242" s="70" t="s">
        <v>5074</v>
      </c>
      <c r="E242" s="70" t="s">
        <v>3816</v>
      </c>
      <c r="F242" s="70" t="s">
        <v>5075</v>
      </c>
      <c r="G242" s="70" t="s">
        <v>5076</v>
      </c>
      <c r="H242" s="70" t="s">
        <v>5076</v>
      </c>
      <c r="I242" s="70" t="s">
        <v>5077</v>
      </c>
      <c r="J242" s="70" t="s">
        <v>5078</v>
      </c>
      <c r="K242" s="70" t="s">
        <v>5078</v>
      </c>
      <c r="L242" s="70" t="s">
        <v>5079</v>
      </c>
      <c r="M242" s="70" t="s">
        <v>5079</v>
      </c>
      <c r="N242" s="70" t="s">
        <v>5080</v>
      </c>
      <c r="O242" s="70" t="s">
        <v>5080</v>
      </c>
      <c r="P242" s="70" t="s">
        <v>3</v>
      </c>
      <c r="Q242" s="47" t="s">
        <v>4774</v>
      </c>
      <c r="R242" s="47" t="s">
        <v>4775</v>
      </c>
      <c r="S242" s="70" t="s">
        <v>3</v>
      </c>
      <c r="T242" s="70" t="s">
        <v>4562</v>
      </c>
      <c r="U242" s="70" t="s">
        <v>5081</v>
      </c>
      <c r="V242" s="70" t="s">
        <v>5082</v>
      </c>
      <c r="W242" s="70" t="s">
        <v>5083</v>
      </c>
      <c r="X242" s="46" t="s">
        <v>3</v>
      </c>
      <c r="Y242" s="70" t="s">
        <v>3</v>
      </c>
      <c r="Z242" s="47" t="s">
        <v>4774</v>
      </c>
      <c r="AA242" s="47" t="s">
        <v>4775</v>
      </c>
      <c r="AB242" s="70" t="s">
        <v>4294</v>
      </c>
      <c r="AC242" s="70" t="s">
        <v>4293</v>
      </c>
      <c r="AG242" s="89"/>
    </row>
    <row r="243" spans="1:33" s="18" customFormat="1" ht="84" customHeight="1" x14ac:dyDescent="0.15">
      <c r="A243" s="76" t="s">
        <v>402</v>
      </c>
      <c r="B243" s="69"/>
      <c r="C243" s="69" t="s">
        <v>3796</v>
      </c>
      <c r="D243" s="69" t="s">
        <v>3796</v>
      </c>
      <c r="E243" s="69" t="s">
        <v>3838</v>
      </c>
      <c r="F243" s="69" t="s">
        <v>3933</v>
      </c>
      <c r="G243" s="69" t="s">
        <v>4038</v>
      </c>
      <c r="H243" s="69" t="s">
        <v>4038</v>
      </c>
      <c r="I243" s="69" t="s">
        <v>5084</v>
      </c>
      <c r="J243" s="69" t="s">
        <v>4231</v>
      </c>
      <c r="K243" s="69" t="s">
        <v>4231</v>
      </c>
      <c r="L243" s="69" t="s">
        <v>4232</v>
      </c>
      <c r="M243" s="69" t="s">
        <v>4232</v>
      </c>
      <c r="N243" s="69" t="s">
        <v>4232</v>
      </c>
      <c r="O243" s="69" t="s">
        <v>4232</v>
      </c>
      <c r="P243" s="69" t="s">
        <v>3</v>
      </c>
      <c r="Q243" s="69" t="s">
        <v>4776</v>
      </c>
      <c r="R243" s="69" t="s">
        <v>4777</v>
      </c>
      <c r="S243" s="69" t="s">
        <v>3</v>
      </c>
      <c r="T243" s="69" t="s">
        <v>4474</v>
      </c>
      <c r="U243" s="69" t="s">
        <v>4638</v>
      </c>
      <c r="V243" s="69" t="s">
        <v>4688</v>
      </c>
      <c r="W243" s="69" t="s">
        <v>4561</v>
      </c>
      <c r="X243" s="69" t="s">
        <v>3</v>
      </c>
      <c r="Y243" s="69" t="s">
        <v>3</v>
      </c>
      <c r="Z243" s="69" t="s">
        <v>4776</v>
      </c>
      <c r="AA243" s="69" t="s">
        <v>4777</v>
      </c>
      <c r="AB243" s="69" t="s">
        <v>4292</v>
      </c>
      <c r="AC243" s="69" t="s">
        <v>4291</v>
      </c>
      <c r="AG243" s="89"/>
    </row>
    <row r="244" spans="1:33" s="18" customFormat="1" ht="3.95" customHeight="1" x14ac:dyDescent="0.15">
      <c r="A244" s="84"/>
      <c r="B244" s="48"/>
      <c r="C244" s="48"/>
      <c r="D244" s="48"/>
      <c r="E244" s="48"/>
      <c r="F244" s="48"/>
      <c r="G244" s="48"/>
      <c r="H244" s="48"/>
      <c r="I244" s="48"/>
      <c r="J244" s="48"/>
      <c r="K244" s="48"/>
      <c r="L244" s="48"/>
      <c r="M244" s="48"/>
      <c r="N244" s="48"/>
      <c r="O244" s="48"/>
      <c r="P244" s="48"/>
      <c r="Q244" s="48"/>
      <c r="R244" s="48"/>
      <c r="S244" s="48"/>
      <c r="T244" s="48"/>
      <c r="U244" s="58"/>
      <c r="V244" s="58"/>
      <c r="W244" s="48"/>
      <c r="X244" s="48"/>
      <c r="Y244" s="48"/>
      <c r="Z244" s="48"/>
      <c r="AA244" s="48"/>
      <c r="AB244" s="48"/>
      <c r="AC244" s="48"/>
      <c r="AG244" s="89"/>
    </row>
    <row r="245" spans="1:33" s="89" customFormat="1" ht="22.5" customHeight="1" x14ac:dyDescent="0.15">
      <c r="A245" s="247" t="s">
        <v>120</v>
      </c>
      <c r="B245" s="243"/>
      <c r="C245" s="243" t="str">
        <f t="shared" ref="C245:O245" si="26">C1</f>
        <v>Allianz</v>
      </c>
      <c r="D245" s="243" t="str">
        <f t="shared" si="26"/>
        <v>Allianz SicherheitPlus</v>
      </c>
      <c r="E245" s="243" t="str">
        <f t="shared" si="26"/>
        <v>AXA BOXflex</v>
      </c>
      <c r="F245" s="243" t="str">
        <f t="shared" si="26"/>
        <v>AXA BOXflex Premium</v>
      </c>
      <c r="G245" s="243" t="str">
        <f t="shared" si="26"/>
        <v>Domcura Komfort</v>
      </c>
      <c r="H245" s="243" t="str">
        <f>H1</f>
        <v>Domcura Standard</v>
      </c>
      <c r="I245" s="243" t="str">
        <f t="shared" si="26"/>
        <v>Domcura Top</v>
      </c>
      <c r="J245" s="243" t="str">
        <f>J1</f>
        <v>Gothaer Basis 1914</v>
      </c>
      <c r="K245" s="243" t="str">
        <f>K1</f>
        <v>Gothaer Basis qm</v>
      </c>
      <c r="L245" s="243" t="str">
        <f>L1</f>
        <v>Gothaer Premium 1914</v>
      </c>
      <c r="M245" s="243" t="str">
        <f>M1</f>
        <v>Gothaer Premium qm</v>
      </c>
      <c r="N245" s="243" t="str">
        <f>N1</f>
        <v>Gothaer Top 1914</v>
      </c>
      <c r="O245" s="243" t="str">
        <f t="shared" si="26"/>
        <v>Gothaer Top qm</v>
      </c>
      <c r="P245" s="243" t="str">
        <f t="shared" ref="P245:R245" si="27">P1</f>
        <v>HFK</v>
      </c>
      <c r="Q245" s="243" t="str">
        <f t="shared" si="27"/>
        <v>HFK Rundumschutz</v>
      </c>
      <c r="R245" s="243" t="str">
        <f t="shared" si="27"/>
        <v>HFK Rundumschutz-Plus</v>
      </c>
      <c r="S245" s="243" t="str">
        <f t="shared" ref="S245:X245" si="28">S1</f>
        <v>ITL afm Eurosecure 2009</v>
      </c>
      <c r="T245" s="243" t="str">
        <f t="shared" si="28"/>
        <v>ITL Classic</v>
      </c>
      <c r="U245" s="243" t="str">
        <f>U1</f>
        <v>ITL Eurosecure Plus</v>
      </c>
      <c r="V245" s="243" t="str">
        <f>V1</f>
        <v>ITL Infinitus</v>
      </c>
      <c r="W245" s="243" t="str">
        <f t="shared" si="28"/>
        <v>ITL Protect Plus</v>
      </c>
      <c r="X245" s="243" t="str">
        <f t="shared" si="28"/>
        <v>Keine</v>
      </c>
      <c r="Y245" s="243" t="str">
        <f t="shared" ref="Y245:AC245" si="29">Y1</f>
        <v>Provinzial</v>
      </c>
      <c r="Z245" s="243" t="str">
        <f t="shared" si="29"/>
        <v>Provinzial Rundumschutz</v>
      </c>
      <c r="AA245" s="243" t="str">
        <f t="shared" si="29"/>
        <v>Provinzial Rundumschutz-Plus</v>
      </c>
      <c r="AB245" s="243" t="str">
        <f t="shared" si="29"/>
        <v>VHV Klassik Garant</v>
      </c>
      <c r="AC245" s="243" t="str">
        <f t="shared" si="29"/>
        <v>VHV Klassik Garant Exklusiv</v>
      </c>
      <c r="AF245" s="18"/>
    </row>
    <row r="246" spans="1:33" s="18" customFormat="1" ht="22.5" customHeight="1" x14ac:dyDescent="0.15">
      <c r="A246" s="77"/>
      <c r="B246" s="47"/>
      <c r="C246" s="47" t="s">
        <v>3941</v>
      </c>
      <c r="D246" s="47" t="s">
        <v>3940</v>
      </c>
      <c r="E246" s="47" t="s">
        <v>3939</v>
      </c>
      <c r="F246" s="47" t="s">
        <v>3939</v>
      </c>
      <c r="G246" s="47" t="s">
        <v>3938</v>
      </c>
      <c r="H246" s="47" t="s">
        <v>3938</v>
      </c>
      <c r="I246" s="47" t="s">
        <v>3938</v>
      </c>
      <c r="J246" s="47" t="s">
        <v>4282</v>
      </c>
      <c r="K246" s="47" t="s">
        <v>4284</v>
      </c>
      <c r="L246" s="47" t="s">
        <v>4282</v>
      </c>
      <c r="M246" s="47" t="s">
        <v>4284</v>
      </c>
      <c r="N246" s="47" t="s">
        <v>4282</v>
      </c>
      <c r="O246" s="47" t="s">
        <v>4284</v>
      </c>
      <c r="P246" s="47" t="s">
        <v>4778</v>
      </c>
      <c r="Q246" s="47" t="s">
        <v>4778</v>
      </c>
      <c r="R246" s="47" t="s">
        <v>4778</v>
      </c>
      <c r="S246" s="47" t="s">
        <v>175</v>
      </c>
      <c r="T246" s="47" t="s">
        <v>4508</v>
      </c>
      <c r="U246" s="47" t="s">
        <v>4639</v>
      </c>
      <c r="V246" s="47" t="s">
        <v>4661</v>
      </c>
      <c r="W246" s="47" t="s">
        <v>4564</v>
      </c>
      <c r="X246" s="46" t="s">
        <v>3</v>
      </c>
      <c r="Y246" s="47" t="s">
        <v>4778</v>
      </c>
      <c r="Z246" s="47" t="s">
        <v>4778</v>
      </c>
      <c r="AA246" s="47" t="s">
        <v>4778</v>
      </c>
      <c r="AB246" s="47" t="s">
        <v>4290</v>
      </c>
      <c r="AC246" s="47" t="s">
        <v>4289</v>
      </c>
      <c r="AG246" s="89"/>
    </row>
    <row r="247" spans="1:33" s="18" customFormat="1" ht="3.95" customHeight="1" x14ac:dyDescent="0.1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G247" s="89"/>
    </row>
    <row r="248" spans="1:33" s="18" customFormat="1" ht="22.5" customHeight="1" x14ac:dyDescent="0.15">
      <c r="A248" s="273" t="s">
        <v>1219</v>
      </c>
      <c r="B248" s="273"/>
      <c r="C248" s="273" t="s">
        <v>3794</v>
      </c>
      <c r="D248" s="273" t="s">
        <v>3794</v>
      </c>
      <c r="E248" s="273" t="s">
        <v>3932</v>
      </c>
      <c r="F248" s="273" t="s">
        <v>3932</v>
      </c>
      <c r="G248" s="273" t="s">
        <v>4053</v>
      </c>
      <c r="H248" s="273" t="s">
        <v>3964</v>
      </c>
      <c r="I248" s="273" t="s">
        <v>4053</v>
      </c>
      <c r="J248" s="273" t="s">
        <v>4283</v>
      </c>
      <c r="K248" s="273" t="s">
        <v>4283</v>
      </c>
      <c r="L248" s="273" t="s">
        <v>4283</v>
      </c>
      <c r="M248" s="273" t="s">
        <v>4283</v>
      </c>
      <c r="N248" s="273" t="s">
        <v>4283</v>
      </c>
      <c r="O248" s="273" t="s">
        <v>4283</v>
      </c>
      <c r="P248" s="273" t="s">
        <v>4563</v>
      </c>
      <c r="Q248" s="273" t="s">
        <v>4563</v>
      </c>
      <c r="R248" s="273" t="s">
        <v>4563</v>
      </c>
      <c r="S248" s="273" t="s">
        <v>4424</v>
      </c>
      <c r="T248" s="273" t="s">
        <v>4512</v>
      </c>
      <c r="U248" s="273" t="s">
        <v>4563</v>
      </c>
      <c r="V248" s="273" t="s">
        <v>4563</v>
      </c>
      <c r="W248" s="273" t="s">
        <v>4563</v>
      </c>
      <c r="X248" s="273" t="s">
        <v>3</v>
      </c>
      <c r="Y248" s="273" t="s">
        <v>4563</v>
      </c>
      <c r="Z248" s="273" t="s">
        <v>4563</v>
      </c>
      <c r="AA248" s="273" t="s">
        <v>4563</v>
      </c>
      <c r="AB248" s="273" t="s">
        <v>4288</v>
      </c>
      <c r="AC248" s="273" t="s">
        <v>4283</v>
      </c>
      <c r="AG248" s="89"/>
    </row>
    <row r="249" spans="1:33" s="18" customFormat="1" ht="20.25" customHeight="1" x14ac:dyDescent="0.15">
      <c r="A249" s="274" t="s">
        <v>4779</v>
      </c>
      <c r="B249" s="277"/>
      <c r="C249" s="277" t="s">
        <v>4780</v>
      </c>
      <c r="D249" s="277" t="s">
        <v>4780</v>
      </c>
      <c r="E249" s="277" t="s">
        <v>4780</v>
      </c>
      <c r="F249" s="277" t="s">
        <v>4780</v>
      </c>
      <c r="G249" s="277" t="s">
        <v>4780</v>
      </c>
      <c r="H249" s="277" t="s">
        <v>4780</v>
      </c>
      <c r="I249" s="277" t="s">
        <v>4780</v>
      </c>
      <c r="J249" s="277" t="s">
        <v>4780</v>
      </c>
      <c r="K249" s="277" t="s">
        <v>4780</v>
      </c>
      <c r="L249" s="277" t="s">
        <v>4780</v>
      </c>
      <c r="M249" s="277" t="s">
        <v>4780</v>
      </c>
      <c r="N249" s="277" t="s">
        <v>4780</v>
      </c>
      <c r="O249" s="277" t="s">
        <v>4780</v>
      </c>
      <c r="P249" s="277" t="s">
        <v>4781</v>
      </c>
      <c r="Q249" s="277" t="s">
        <v>4781</v>
      </c>
      <c r="R249" s="277" t="s">
        <v>4781</v>
      </c>
      <c r="S249" s="277" t="s">
        <v>4780</v>
      </c>
      <c r="T249" s="277" t="s">
        <v>4780</v>
      </c>
      <c r="U249" s="277" t="s">
        <v>4780</v>
      </c>
      <c r="V249" s="277" t="s">
        <v>4780</v>
      </c>
      <c r="W249" s="277" t="s">
        <v>4780</v>
      </c>
      <c r="X249" s="277" t="s">
        <v>3</v>
      </c>
      <c r="Y249" s="277" t="s">
        <v>4781</v>
      </c>
      <c r="Z249" s="277" t="s">
        <v>4781</v>
      </c>
      <c r="AA249" s="277" t="s">
        <v>4781</v>
      </c>
      <c r="AB249" s="277" t="s">
        <v>4781</v>
      </c>
      <c r="AC249" s="277" t="s">
        <v>4781</v>
      </c>
      <c r="AG249" s="89"/>
    </row>
    <row r="250" spans="1:33" s="18" customFormat="1" ht="9" x14ac:dyDescent="0.15">
      <c r="A250" s="14"/>
      <c r="C250" s="14"/>
      <c r="D250" s="14"/>
      <c r="E250" s="14"/>
      <c r="F250" s="14"/>
      <c r="G250" s="14"/>
      <c r="H250" s="14"/>
      <c r="I250" s="14"/>
      <c r="J250" s="14"/>
      <c r="K250" s="14"/>
      <c r="L250" s="14"/>
      <c r="M250" s="14"/>
      <c r="N250" s="14"/>
      <c r="O250" s="14"/>
      <c r="P250" s="14"/>
      <c r="Q250" s="14"/>
      <c r="R250" s="14"/>
      <c r="S250" s="14"/>
      <c r="T250" s="14"/>
      <c r="U250" s="54"/>
      <c r="V250" s="54"/>
      <c r="W250" s="14"/>
      <c r="X250" s="54"/>
      <c r="Y250" s="14"/>
      <c r="Z250" s="14"/>
      <c r="AA250" s="14"/>
      <c r="AB250" s="14"/>
      <c r="AC250" s="14"/>
      <c r="AG250" s="89"/>
    </row>
    <row r="251" spans="1:33" s="18" customFormat="1" ht="9" x14ac:dyDescent="0.15">
      <c r="A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G251" s="89"/>
    </row>
    <row r="252" spans="1:33" s="18" customFormat="1" ht="9" x14ac:dyDescent="0.15">
      <c r="A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G252" s="89"/>
    </row>
    <row r="253" spans="1:33" s="18" customFormat="1" ht="9" x14ac:dyDescent="0.15">
      <c r="A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G253" s="89"/>
    </row>
    <row r="254" spans="1:33" s="18" customFormat="1" ht="9" x14ac:dyDescent="0.15">
      <c r="A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G254" s="89"/>
    </row>
    <row r="255" spans="1:33" s="18" customFormat="1" ht="9" x14ac:dyDescent="0.15">
      <c r="A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G255" s="89"/>
    </row>
    <row r="256" spans="1:33" s="18" customFormat="1" ht="9" x14ac:dyDescent="0.15">
      <c r="A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G256" s="89"/>
    </row>
    <row r="257" spans="1:33" s="18" customFormat="1" ht="9" x14ac:dyDescent="0.15">
      <c r="A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G257" s="89"/>
    </row>
    <row r="258" spans="1:33" s="18" customFormat="1" ht="9" x14ac:dyDescent="0.15">
      <c r="A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G258" s="89"/>
    </row>
    <row r="259" spans="1:33" s="18" customFormat="1" ht="9" x14ac:dyDescent="0.15">
      <c r="A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G259" s="89"/>
    </row>
    <row r="260" spans="1:33" s="18" customFormat="1" ht="9" x14ac:dyDescent="0.15">
      <c r="A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G260" s="89"/>
    </row>
    <row r="261" spans="1:33" s="18" customFormat="1" ht="9" x14ac:dyDescent="0.15">
      <c r="A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G261" s="89"/>
    </row>
    <row r="262" spans="1:33" s="18" customFormat="1" ht="9" x14ac:dyDescent="0.15">
      <c r="A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G262" s="89"/>
    </row>
    <row r="263" spans="1:33" s="18" customFormat="1" ht="9" x14ac:dyDescent="0.15">
      <c r="A263" s="14"/>
      <c r="B263" s="18" t="s">
        <v>4089</v>
      </c>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G263" s="89"/>
    </row>
    <row r="264" spans="1:33" s="18" customFormat="1" ht="9" x14ac:dyDescent="0.15">
      <c r="A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G264" s="89"/>
    </row>
    <row r="265" spans="1:33" s="18" customFormat="1" ht="9" x14ac:dyDescent="0.15">
      <c r="A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G265" s="89"/>
    </row>
    <row r="266" spans="1:33" s="18" customFormat="1" ht="9" x14ac:dyDescent="0.15">
      <c r="A266" s="14"/>
      <c r="C266" s="14"/>
      <c r="D266" s="14"/>
      <c r="E266" s="14"/>
      <c r="F266" s="14"/>
      <c r="G266" s="14"/>
      <c r="H266" s="14"/>
      <c r="I266" s="14"/>
      <c r="J266" s="14"/>
      <c r="K266" s="14"/>
      <c r="L266" s="14"/>
      <c r="M266" s="14"/>
      <c r="N266" s="14"/>
      <c r="O266" s="14"/>
      <c r="S266" s="14"/>
      <c r="T266" s="14"/>
      <c r="U266" s="14"/>
      <c r="V266" s="14"/>
      <c r="W266" s="14"/>
      <c r="X266" s="14"/>
      <c r="AB266" s="14"/>
      <c r="AC266" s="14"/>
      <c r="AG266" s="89"/>
    </row>
    <row r="267" spans="1:33" s="18" customFormat="1" ht="9" x14ac:dyDescent="0.15">
      <c r="A267" s="14"/>
      <c r="C267" s="14"/>
      <c r="D267" s="14"/>
      <c r="E267" s="14"/>
      <c r="F267" s="14"/>
      <c r="G267" s="14"/>
      <c r="H267" s="14"/>
      <c r="I267" s="14"/>
      <c r="J267" s="14"/>
      <c r="K267" s="14"/>
      <c r="L267" s="14"/>
      <c r="M267" s="14"/>
      <c r="N267" s="14"/>
      <c r="O267" s="14"/>
      <c r="S267" s="14"/>
      <c r="T267" s="14"/>
      <c r="U267" s="14"/>
      <c r="V267" s="14"/>
      <c r="W267" s="14"/>
      <c r="X267" s="14"/>
      <c r="AB267" s="14"/>
      <c r="AC267" s="14"/>
      <c r="AG267" s="89"/>
    </row>
    <row r="268" spans="1:33" s="18" customFormat="1" ht="99" customHeight="1" x14ac:dyDescent="0.15">
      <c r="A268" s="14"/>
      <c r="C268" s="14"/>
      <c r="D268" s="14"/>
      <c r="E268" s="14"/>
      <c r="F268" s="14"/>
      <c r="G268" s="14"/>
      <c r="H268" s="14"/>
      <c r="I268" s="259" t="s">
        <v>4111</v>
      </c>
      <c r="J268" s="259"/>
      <c r="K268" s="259"/>
      <c r="L268" s="259"/>
      <c r="M268" s="259"/>
      <c r="N268" s="259"/>
      <c r="O268" s="259"/>
      <c r="P268" s="27"/>
      <c r="Q268" s="27"/>
      <c r="R268" s="27"/>
      <c r="S268" s="14"/>
      <c r="T268" s="14"/>
      <c r="U268" s="14"/>
      <c r="V268" s="14"/>
      <c r="W268" s="259"/>
      <c r="X268" s="14"/>
      <c r="Y268" s="27"/>
      <c r="Z268" s="27"/>
      <c r="AA268" s="27"/>
      <c r="AB268" s="14"/>
      <c r="AC268" s="14"/>
      <c r="AG268" s="89"/>
    </row>
    <row r="269" spans="1:33" s="18" customFormat="1" ht="9" x14ac:dyDescent="0.15">
      <c r="A269" s="14"/>
      <c r="C269" s="14"/>
      <c r="D269" s="14"/>
      <c r="E269" s="14"/>
      <c r="F269" s="14"/>
      <c r="G269" s="14"/>
      <c r="H269" s="14"/>
      <c r="I269" s="14"/>
      <c r="J269" s="14"/>
      <c r="K269" s="14"/>
      <c r="L269" s="14"/>
      <c r="M269" s="14"/>
      <c r="N269" s="14"/>
      <c r="O269" s="14"/>
      <c r="P269" s="58"/>
      <c r="Q269" s="58"/>
      <c r="R269" s="58"/>
      <c r="S269" s="14"/>
      <c r="T269" s="14"/>
      <c r="U269" s="14"/>
      <c r="V269" s="14"/>
      <c r="W269" s="14"/>
      <c r="X269" s="14"/>
      <c r="Y269" s="58"/>
      <c r="Z269" s="58"/>
      <c r="AA269" s="58"/>
      <c r="AB269" s="14"/>
      <c r="AC269" s="14"/>
      <c r="AG269" s="89"/>
    </row>
    <row r="270" spans="1:33" s="18" customFormat="1" ht="117" customHeight="1" x14ac:dyDescent="0.15">
      <c r="A270" s="14"/>
      <c r="C270" s="14"/>
      <c r="D270" s="14"/>
      <c r="E270" s="14"/>
      <c r="F270" s="14"/>
      <c r="G270" s="14"/>
      <c r="H270" s="14"/>
      <c r="I270" s="36" t="s">
        <v>4112</v>
      </c>
      <c r="J270" s="36"/>
      <c r="K270" s="36"/>
      <c r="L270" s="36"/>
      <c r="M270" s="36"/>
      <c r="N270" s="36"/>
      <c r="O270" s="36"/>
      <c r="P270" s="83"/>
      <c r="Q270" s="83"/>
      <c r="S270" s="14"/>
      <c r="T270" s="14"/>
      <c r="U270" s="14"/>
      <c r="V270" s="14"/>
      <c r="W270" s="36"/>
      <c r="X270" s="14"/>
      <c r="Y270" s="83"/>
      <c r="Z270" s="83"/>
      <c r="AB270" s="14"/>
      <c r="AC270" s="14"/>
      <c r="AG270" s="89"/>
    </row>
    <row r="271" spans="1:33" s="18" customFormat="1" ht="9" x14ac:dyDescent="0.15">
      <c r="A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G271" s="89"/>
    </row>
    <row r="272" spans="1:33" s="18" customFormat="1" ht="9" x14ac:dyDescent="0.15">
      <c r="A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G272" s="89"/>
    </row>
    <row r="273" spans="1:33" s="18" customFormat="1" ht="9" x14ac:dyDescent="0.15">
      <c r="A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G273" s="89"/>
    </row>
    <row r="274" spans="1:33" s="18" customFormat="1" ht="9" x14ac:dyDescent="0.15">
      <c r="A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G274" s="89"/>
    </row>
    <row r="275" spans="1:33" s="18" customFormat="1" ht="9" x14ac:dyDescent="0.15">
      <c r="A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G275" s="89"/>
    </row>
    <row r="276" spans="1:33" s="18" customFormat="1" ht="9" x14ac:dyDescent="0.15">
      <c r="A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G276" s="89"/>
    </row>
    <row r="277" spans="1:33" s="18" customFormat="1" ht="9" x14ac:dyDescent="0.15">
      <c r="A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G277" s="89"/>
    </row>
    <row r="278" spans="1:33" s="18" customFormat="1" ht="9" x14ac:dyDescent="0.15">
      <c r="A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G278" s="89"/>
    </row>
    <row r="279" spans="1:33" s="18" customFormat="1" ht="9" x14ac:dyDescent="0.15">
      <c r="A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G279" s="89"/>
    </row>
    <row r="280" spans="1:33" s="18" customFormat="1" ht="9" x14ac:dyDescent="0.15">
      <c r="A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G280" s="89"/>
    </row>
    <row r="281" spans="1:33" s="18" customFormat="1" ht="9" x14ac:dyDescent="0.15">
      <c r="A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G281" s="89"/>
    </row>
    <row r="282" spans="1:33" s="18" customFormat="1" ht="9" x14ac:dyDescent="0.15">
      <c r="A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G282" s="89"/>
    </row>
    <row r="283" spans="1:33" s="18" customFormat="1" ht="9" x14ac:dyDescent="0.15">
      <c r="A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G283" s="89"/>
    </row>
    <row r="284" spans="1:33" s="18" customFormat="1" ht="9" x14ac:dyDescent="0.15">
      <c r="A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G284" s="89"/>
    </row>
    <row r="285" spans="1:33" s="18" customFormat="1" ht="9" x14ac:dyDescent="0.15">
      <c r="A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G285" s="89"/>
    </row>
    <row r="286" spans="1:33" s="18" customFormat="1" ht="9" x14ac:dyDescent="0.15">
      <c r="A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G286" s="89"/>
    </row>
    <row r="287" spans="1:33" s="18" customFormat="1" ht="9" x14ac:dyDescent="0.15">
      <c r="A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G287" s="89"/>
    </row>
    <row r="288" spans="1:33" s="18" customFormat="1" ht="9" x14ac:dyDescent="0.15">
      <c r="A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G288" s="89"/>
    </row>
    <row r="289" spans="1:33" s="18" customFormat="1" ht="9" x14ac:dyDescent="0.15">
      <c r="A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G289" s="89"/>
    </row>
    <row r="290" spans="1:33" s="18" customFormat="1" ht="9" x14ac:dyDescent="0.15">
      <c r="A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G290" s="89"/>
    </row>
    <row r="291" spans="1:33" s="18" customFormat="1" ht="9" x14ac:dyDescent="0.15">
      <c r="A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G291" s="89"/>
    </row>
    <row r="292" spans="1:33" s="18" customFormat="1" ht="9" x14ac:dyDescent="0.15">
      <c r="A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G292" s="89"/>
    </row>
    <row r="293" spans="1:33" s="18" customFormat="1" ht="9" x14ac:dyDescent="0.15">
      <c r="A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G293" s="89"/>
    </row>
    <row r="294" spans="1:33" s="18" customFormat="1" ht="9" x14ac:dyDescent="0.15">
      <c r="A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G294" s="89"/>
    </row>
    <row r="295" spans="1:33" s="18" customFormat="1" ht="9" x14ac:dyDescent="0.15">
      <c r="A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G295" s="89"/>
    </row>
    <row r="296" spans="1:33" s="18" customFormat="1" ht="9" x14ac:dyDescent="0.15">
      <c r="A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G296" s="89"/>
    </row>
    <row r="297" spans="1:33" s="18" customFormat="1" ht="9" x14ac:dyDescent="0.15">
      <c r="A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G297" s="89"/>
    </row>
    <row r="298" spans="1:33" s="18" customFormat="1" ht="9" x14ac:dyDescent="0.15">
      <c r="A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G298" s="89"/>
    </row>
    <row r="299" spans="1:33" s="18" customFormat="1" ht="9" x14ac:dyDescent="0.15">
      <c r="A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G299" s="89"/>
    </row>
    <row r="300" spans="1:33" s="18" customFormat="1" ht="9" x14ac:dyDescent="0.15">
      <c r="A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G300" s="89"/>
    </row>
    <row r="301" spans="1:33" s="18" customFormat="1" ht="9" x14ac:dyDescent="0.15">
      <c r="A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G301" s="89"/>
    </row>
    <row r="302" spans="1:33" s="18" customFormat="1" ht="9" x14ac:dyDescent="0.15">
      <c r="A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G302" s="89"/>
    </row>
    <row r="303" spans="1:33" s="18" customFormat="1" ht="9" x14ac:dyDescent="0.15">
      <c r="A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G303" s="89"/>
    </row>
    <row r="304" spans="1:33" s="18" customFormat="1" ht="9" x14ac:dyDescent="0.15">
      <c r="A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G304" s="89"/>
    </row>
    <row r="305" spans="1:33" s="18" customFormat="1" ht="9" x14ac:dyDescent="0.15">
      <c r="A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G305" s="89"/>
    </row>
    <row r="306" spans="1:33" s="18" customFormat="1" ht="9" x14ac:dyDescent="0.15">
      <c r="A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G306" s="89"/>
    </row>
    <row r="307" spans="1:33" s="18" customFormat="1" ht="9" x14ac:dyDescent="0.15">
      <c r="A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G307" s="89"/>
    </row>
    <row r="308" spans="1:33" s="18" customFormat="1" ht="9" x14ac:dyDescent="0.15">
      <c r="A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G308" s="89"/>
    </row>
    <row r="309" spans="1:33" s="18" customFormat="1" ht="9" x14ac:dyDescent="0.15">
      <c r="A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G309" s="89"/>
    </row>
    <row r="310" spans="1:33" s="18" customFormat="1" ht="9" x14ac:dyDescent="0.15">
      <c r="A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G310" s="89"/>
    </row>
    <row r="311" spans="1:33" s="18" customFormat="1" ht="9" x14ac:dyDescent="0.15">
      <c r="A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G311" s="89"/>
    </row>
    <row r="312" spans="1:33" s="18" customFormat="1" ht="9" x14ac:dyDescent="0.15">
      <c r="A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G312" s="89"/>
    </row>
    <row r="313" spans="1:33" s="18" customFormat="1" ht="9" x14ac:dyDescent="0.15">
      <c r="A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G313" s="89"/>
    </row>
    <row r="314" spans="1:33" s="18" customFormat="1" ht="9" x14ac:dyDescent="0.15">
      <c r="A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G314" s="89"/>
    </row>
    <row r="315" spans="1:33" s="18" customFormat="1" ht="9" x14ac:dyDescent="0.15">
      <c r="A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G315" s="89"/>
    </row>
    <row r="316" spans="1:33" s="18" customFormat="1" ht="9" x14ac:dyDescent="0.15">
      <c r="A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G316" s="89"/>
    </row>
    <row r="317" spans="1:33" s="18" customFormat="1" ht="9" x14ac:dyDescent="0.15">
      <c r="A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G317" s="89"/>
    </row>
    <row r="318" spans="1:33" s="18" customFormat="1" ht="9" x14ac:dyDescent="0.15">
      <c r="A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G318" s="89"/>
    </row>
    <row r="319" spans="1:33" s="18" customFormat="1" ht="9" x14ac:dyDescent="0.15">
      <c r="A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G319" s="89"/>
    </row>
    <row r="320" spans="1:33" s="18" customFormat="1" ht="9" x14ac:dyDescent="0.15">
      <c r="A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G320" s="89"/>
    </row>
    <row r="321" spans="1:33" s="18" customFormat="1" ht="9" x14ac:dyDescent="0.15">
      <c r="A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G321" s="89"/>
    </row>
    <row r="322" spans="1:33" s="18" customFormat="1" ht="9" x14ac:dyDescent="0.15">
      <c r="A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G322" s="89"/>
    </row>
    <row r="323" spans="1:33" s="18" customFormat="1" ht="9" x14ac:dyDescent="0.15">
      <c r="A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G323" s="89"/>
    </row>
    <row r="324" spans="1:33" s="18" customFormat="1" ht="9" x14ac:dyDescent="0.15">
      <c r="A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G324" s="89"/>
    </row>
    <row r="325" spans="1:33" s="18" customFormat="1" ht="9" x14ac:dyDescent="0.15">
      <c r="A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G325" s="89"/>
    </row>
    <row r="326" spans="1:33" s="18" customFormat="1" ht="9" x14ac:dyDescent="0.15">
      <c r="A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G326" s="89"/>
    </row>
    <row r="327" spans="1:33" s="18" customFormat="1" ht="9" x14ac:dyDescent="0.15">
      <c r="A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G327" s="89"/>
    </row>
    <row r="328" spans="1:33" s="18" customFormat="1" ht="9" x14ac:dyDescent="0.15">
      <c r="A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G328" s="89"/>
    </row>
    <row r="329" spans="1:33" s="18" customFormat="1" ht="9" x14ac:dyDescent="0.15">
      <c r="A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G329" s="89"/>
    </row>
    <row r="330" spans="1:33" s="18" customFormat="1" ht="9" x14ac:dyDescent="0.15">
      <c r="A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G330" s="89"/>
    </row>
    <row r="331" spans="1:33" s="18" customFormat="1" ht="9" x14ac:dyDescent="0.15">
      <c r="A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G331" s="89"/>
    </row>
    <row r="332" spans="1:33" s="18" customFormat="1" ht="9" x14ac:dyDescent="0.15">
      <c r="A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G332" s="89"/>
    </row>
    <row r="333" spans="1:33" s="18" customFormat="1" ht="9" x14ac:dyDescent="0.15">
      <c r="A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G333" s="89"/>
    </row>
    <row r="334" spans="1:33" s="18" customFormat="1" ht="9" x14ac:dyDescent="0.15">
      <c r="A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G334" s="89"/>
    </row>
    <row r="335" spans="1:33" s="18" customFormat="1" ht="9" x14ac:dyDescent="0.15">
      <c r="A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G335" s="89"/>
    </row>
    <row r="336" spans="1:33" s="18" customFormat="1" ht="9" x14ac:dyDescent="0.15">
      <c r="A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G336" s="89"/>
    </row>
    <row r="337" spans="1:33" s="18" customFormat="1" ht="9" x14ac:dyDescent="0.15">
      <c r="A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G337" s="89"/>
    </row>
    <row r="338" spans="1:33" s="18" customFormat="1" ht="9" x14ac:dyDescent="0.15">
      <c r="A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G338" s="89"/>
    </row>
    <row r="339" spans="1:33" s="18" customFormat="1" ht="9" x14ac:dyDescent="0.15">
      <c r="A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G339" s="89"/>
    </row>
    <row r="340" spans="1:33" s="18" customFormat="1" ht="9" x14ac:dyDescent="0.15">
      <c r="A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G340" s="89"/>
    </row>
    <row r="341" spans="1:33" s="18" customFormat="1" ht="9" x14ac:dyDescent="0.15">
      <c r="A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G341" s="89"/>
    </row>
    <row r="342" spans="1:33" s="18" customFormat="1" ht="9" x14ac:dyDescent="0.15">
      <c r="A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G342" s="89"/>
    </row>
    <row r="343" spans="1:33" s="18" customFormat="1" ht="9" x14ac:dyDescent="0.15">
      <c r="A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G343" s="89"/>
    </row>
    <row r="344" spans="1:33" s="18" customFormat="1" ht="9" x14ac:dyDescent="0.15">
      <c r="A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G344" s="89"/>
    </row>
    <row r="345" spans="1:33" s="18" customFormat="1" ht="9" x14ac:dyDescent="0.15">
      <c r="A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G345" s="89"/>
    </row>
    <row r="346" spans="1:33" s="18" customFormat="1" ht="9" x14ac:dyDescent="0.15">
      <c r="A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G346" s="89"/>
    </row>
    <row r="347" spans="1:33" s="18" customFormat="1" ht="9" x14ac:dyDescent="0.15">
      <c r="A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F347" s="14"/>
      <c r="AG347" s="89"/>
    </row>
    <row r="348" spans="1:33" s="18" customFormat="1" ht="9" x14ac:dyDescent="0.15">
      <c r="A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F348" s="14"/>
      <c r="AG348" s="248"/>
    </row>
    <row r="349" spans="1:33" s="18" customFormat="1" ht="9" x14ac:dyDescent="0.15">
      <c r="A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F349" s="14"/>
      <c r="AG349" s="248"/>
    </row>
    <row r="350" spans="1:33" s="18" customFormat="1" ht="9" x14ac:dyDescent="0.15">
      <c r="A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F350" s="14"/>
      <c r="AG350" s="248"/>
    </row>
    <row r="351" spans="1:33" s="18" customFormat="1" ht="9" x14ac:dyDescent="0.15">
      <c r="A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F351" s="14"/>
      <c r="AG351" s="248"/>
    </row>
    <row r="352" spans="1:33" s="18" customFormat="1" ht="9" x14ac:dyDescent="0.15">
      <c r="A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F352" s="14"/>
      <c r="AG352" s="248"/>
    </row>
    <row r="353" spans="1:33" s="18" customFormat="1" ht="9" x14ac:dyDescent="0.15">
      <c r="A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F353" s="14"/>
      <c r="AG353" s="248"/>
    </row>
    <row r="354" spans="1:33" s="18" customFormat="1" ht="9" x14ac:dyDescent="0.15">
      <c r="A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F354" s="14"/>
      <c r="AG354" s="248"/>
    </row>
    <row r="355" spans="1:33" s="18" customFormat="1" ht="9" x14ac:dyDescent="0.15">
      <c r="A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F355" s="14"/>
      <c r="AG355" s="248"/>
    </row>
    <row r="356" spans="1:33" s="18" customFormat="1" ht="9" x14ac:dyDescent="0.15">
      <c r="A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F356" s="14"/>
      <c r="AG356" s="248"/>
    </row>
    <row r="357" spans="1:33" s="18" customFormat="1" ht="9" x14ac:dyDescent="0.15">
      <c r="A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F357" s="14"/>
      <c r="AG357" s="248"/>
    </row>
    <row r="358" spans="1:33" s="18" customFormat="1" ht="9" x14ac:dyDescent="0.15">
      <c r="A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F358" s="14"/>
      <c r="AG358" s="248"/>
    </row>
    <row r="359" spans="1:33" s="18" customFormat="1" ht="9" x14ac:dyDescent="0.15">
      <c r="A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F359" s="14"/>
      <c r="AG359" s="248"/>
    </row>
    <row r="360" spans="1:33" s="18" customFormat="1" ht="9" x14ac:dyDescent="0.15">
      <c r="A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F360" s="14"/>
      <c r="AG360" s="248"/>
    </row>
    <row r="361" spans="1:33" s="18" customFormat="1" ht="9" x14ac:dyDescent="0.15">
      <c r="A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F361" s="14"/>
      <c r="AG361" s="248"/>
    </row>
    <row r="362" spans="1:33" s="18" customFormat="1" ht="9" x14ac:dyDescent="0.15">
      <c r="A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F362" s="14"/>
      <c r="AG362" s="248"/>
    </row>
    <row r="363" spans="1:33" s="18" customFormat="1" ht="9" x14ac:dyDescent="0.15">
      <c r="A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F363" s="14"/>
      <c r="AG363" s="248"/>
    </row>
    <row r="364" spans="1:33" s="18" customFormat="1" ht="9" x14ac:dyDescent="0.15">
      <c r="A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F364" s="14"/>
      <c r="AG364" s="248"/>
    </row>
    <row r="365" spans="1:33" s="18" customFormat="1" ht="9" x14ac:dyDescent="0.15">
      <c r="A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F365" s="14"/>
      <c r="AG365" s="248"/>
    </row>
    <row r="366" spans="1:33" s="18" customFormat="1" ht="9" x14ac:dyDescent="0.15">
      <c r="A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F366" s="14"/>
      <c r="AG366" s="248"/>
    </row>
    <row r="367" spans="1:33" s="18" customFormat="1" ht="9" x14ac:dyDescent="0.15">
      <c r="A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F367" s="14"/>
      <c r="AG367" s="248"/>
    </row>
    <row r="368" spans="1:33" s="18" customFormat="1" ht="9" x14ac:dyDescent="0.15">
      <c r="A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F368" s="14"/>
      <c r="AG368" s="248"/>
    </row>
    <row r="369" spans="1:33" s="18" customFormat="1" ht="9" x14ac:dyDescent="0.15">
      <c r="A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F369" s="14"/>
      <c r="AG369" s="248"/>
    </row>
    <row r="370" spans="1:33" s="18" customFormat="1" ht="9" x14ac:dyDescent="0.15">
      <c r="A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F370" s="14"/>
      <c r="AG370" s="248"/>
    </row>
    <row r="371" spans="1:33" s="18" customFormat="1" ht="9" x14ac:dyDescent="0.15">
      <c r="A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F371" s="14"/>
      <c r="AG371" s="248"/>
    </row>
    <row r="372" spans="1:33" s="18" customFormat="1" ht="9" x14ac:dyDescent="0.15">
      <c r="A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F372" s="14"/>
      <c r="AG372" s="248"/>
    </row>
    <row r="373" spans="1:33" s="18" customFormat="1" ht="9" x14ac:dyDescent="0.15">
      <c r="A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F373" s="14"/>
      <c r="AG373" s="248"/>
    </row>
    <row r="374" spans="1:33" s="18" customFormat="1" ht="9" x14ac:dyDescent="0.15">
      <c r="A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F374" s="14"/>
      <c r="AG374" s="248"/>
    </row>
    <row r="375" spans="1:33" s="18" customFormat="1" ht="9" x14ac:dyDescent="0.15">
      <c r="A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F375" s="14"/>
      <c r="AG375" s="248"/>
    </row>
    <row r="376" spans="1:33" s="18" customFormat="1" ht="9" x14ac:dyDescent="0.15">
      <c r="A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F376" s="14"/>
      <c r="AG376" s="248"/>
    </row>
    <row r="377" spans="1:33" s="18" customFormat="1" ht="9" x14ac:dyDescent="0.15">
      <c r="A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F377" s="14"/>
      <c r="AG377" s="248"/>
    </row>
    <row r="378" spans="1:33" s="18" customFormat="1" ht="9" x14ac:dyDescent="0.15">
      <c r="A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F378" s="14"/>
      <c r="AG378" s="248"/>
    </row>
    <row r="379" spans="1:33" s="18" customFormat="1" ht="9" x14ac:dyDescent="0.15">
      <c r="A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F379" s="14"/>
      <c r="AG379" s="248"/>
    </row>
    <row r="380" spans="1:33" s="18" customFormat="1" ht="9" x14ac:dyDescent="0.15">
      <c r="A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F380" s="14"/>
      <c r="AG380" s="248"/>
    </row>
    <row r="381" spans="1:33" s="18" customFormat="1" ht="9" x14ac:dyDescent="0.15">
      <c r="A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F381" s="14"/>
      <c r="AG381" s="248"/>
    </row>
    <row r="382" spans="1:33" s="18" customFormat="1" ht="9" x14ac:dyDescent="0.15">
      <c r="A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F382" s="14"/>
      <c r="AG382" s="248"/>
    </row>
    <row r="383" spans="1:33" s="18" customFormat="1" ht="9" x14ac:dyDescent="0.15">
      <c r="A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F383" s="14"/>
      <c r="AG383" s="248"/>
    </row>
    <row r="384" spans="1:33" s="18" customFormat="1" ht="9" x14ac:dyDescent="0.15">
      <c r="A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F384" s="14"/>
      <c r="AG384" s="248"/>
    </row>
    <row r="385" spans="1:33" s="18" customFormat="1" ht="9" x14ac:dyDescent="0.15">
      <c r="A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F385" s="14"/>
      <c r="AG385" s="248"/>
    </row>
    <row r="386" spans="1:33" s="18" customFormat="1" ht="9" x14ac:dyDescent="0.15">
      <c r="A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F386" s="14"/>
      <c r="AG386" s="248"/>
    </row>
    <row r="387" spans="1:33" s="18" customFormat="1" ht="9" x14ac:dyDescent="0.15">
      <c r="A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F387" s="14"/>
      <c r="AG387" s="248"/>
    </row>
    <row r="388" spans="1:33" s="18" customFormat="1" ht="9" x14ac:dyDescent="0.15">
      <c r="A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F388" s="14"/>
      <c r="AG388" s="248"/>
    </row>
    <row r="389" spans="1:33" s="18" customFormat="1" ht="9" x14ac:dyDescent="0.15">
      <c r="A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F389" s="14"/>
      <c r="AG389" s="248"/>
    </row>
    <row r="390" spans="1:33" s="18" customFormat="1" ht="9" x14ac:dyDescent="0.15">
      <c r="A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F390" s="14"/>
      <c r="AG390" s="248"/>
    </row>
    <row r="391" spans="1:33" s="18" customFormat="1" ht="9" x14ac:dyDescent="0.15">
      <c r="A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F391" s="14"/>
      <c r="AG391" s="248"/>
    </row>
    <row r="392" spans="1:33" s="18" customFormat="1" ht="9" x14ac:dyDescent="0.15">
      <c r="A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F392" s="14"/>
      <c r="AG392" s="248"/>
    </row>
    <row r="393" spans="1:33" s="18" customFormat="1" ht="9" x14ac:dyDescent="0.15">
      <c r="A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F393" s="14"/>
      <c r="AG393" s="248"/>
    </row>
    <row r="394" spans="1:33" s="18" customFormat="1" ht="9" x14ac:dyDescent="0.15">
      <c r="A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F394" s="14"/>
      <c r="AG394" s="248"/>
    </row>
    <row r="395" spans="1:33" s="18" customFormat="1" ht="9" x14ac:dyDescent="0.15">
      <c r="A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F395" s="14"/>
      <c r="AG395" s="248"/>
    </row>
    <row r="396" spans="1:33" s="18" customFormat="1" ht="9" x14ac:dyDescent="0.15">
      <c r="A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F396" s="14"/>
      <c r="AG396" s="248"/>
    </row>
    <row r="397" spans="1:33" s="18" customFormat="1" ht="9" x14ac:dyDescent="0.15">
      <c r="A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F397" s="14"/>
      <c r="AG397" s="248"/>
    </row>
    <row r="398" spans="1:33" s="18" customFormat="1" ht="9" x14ac:dyDescent="0.15">
      <c r="A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F398" s="14"/>
      <c r="AG398" s="248"/>
    </row>
    <row r="399" spans="1:33" s="18" customFormat="1" ht="9" x14ac:dyDescent="0.15">
      <c r="A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F399" s="14"/>
      <c r="AG399" s="248"/>
    </row>
    <row r="400" spans="1:33" s="18" customFormat="1" ht="9" x14ac:dyDescent="0.15">
      <c r="A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F400" s="14"/>
      <c r="AG400" s="248"/>
    </row>
    <row r="401" spans="1:33" s="18" customFormat="1" ht="9" x14ac:dyDescent="0.15">
      <c r="A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F401" s="14"/>
      <c r="AG401" s="248"/>
    </row>
    <row r="402" spans="1:33" s="18" customFormat="1" ht="9" x14ac:dyDescent="0.15">
      <c r="A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F402" s="14"/>
      <c r="AG402" s="248"/>
    </row>
  </sheetData>
  <phoneticPr fontId="2" type="noConversion"/>
  <conditionalFormatting sqref="E248:J248">
    <cfRule type="cellIs" dxfId="83" priority="31" stopIfTrue="1" operator="equal">
      <formula>#REF!</formula>
    </cfRule>
  </conditionalFormatting>
  <conditionalFormatting sqref="C248">
    <cfRule type="cellIs" dxfId="82" priority="23" stopIfTrue="1" operator="equal">
      <formula>#REF!</formula>
    </cfRule>
  </conditionalFormatting>
  <conditionalFormatting sqref="K248:O248">
    <cfRule type="cellIs" dxfId="81" priority="20" stopIfTrue="1" operator="equal">
      <formula>#REF!</formula>
    </cfRule>
  </conditionalFormatting>
  <conditionalFormatting sqref="AB248:AC248">
    <cfRule type="cellIs" dxfId="80" priority="19" stopIfTrue="1" operator="equal">
      <formula>#REF!</formula>
    </cfRule>
  </conditionalFormatting>
  <conditionalFormatting sqref="S248:T248">
    <cfRule type="cellIs" dxfId="79" priority="18" stopIfTrue="1" operator="equal">
      <formula>#REF!</formula>
    </cfRule>
  </conditionalFormatting>
  <conditionalFormatting sqref="W248">
    <cfRule type="cellIs" dxfId="78" priority="17" stopIfTrue="1" operator="equal">
      <formula>#REF!</formula>
    </cfRule>
  </conditionalFormatting>
  <conditionalFormatting sqref="U248">
    <cfRule type="cellIs" dxfId="77" priority="15" stopIfTrue="1" operator="equal">
      <formula>#REF!</formula>
    </cfRule>
  </conditionalFormatting>
  <conditionalFormatting sqref="V248">
    <cfRule type="cellIs" dxfId="76" priority="13" stopIfTrue="1" operator="equal">
      <formula>#REF!</formula>
    </cfRule>
  </conditionalFormatting>
  <conditionalFormatting sqref="Y248">
    <cfRule type="cellIs" dxfId="75" priority="11" stopIfTrue="1" operator="equal">
      <formula>#REF!</formula>
    </cfRule>
  </conditionalFormatting>
  <conditionalFormatting sqref="Z248">
    <cfRule type="cellIs" dxfId="74" priority="10" stopIfTrue="1" operator="equal">
      <formula>#REF!</formula>
    </cfRule>
  </conditionalFormatting>
  <conditionalFormatting sqref="AA248">
    <cfRule type="cellIs" dxfId="73" priority="9" stopIfTrue="1" operator="equal">
      <formula>#REF!</formula>
    </cfRule>
  </conditionalFormatting>
  <conditionalFormatting sqref="P248">
    <cfRule type="cellIs" dxfId="72" priority="8" stopIfTrue="1" operator="equal">
      <formula>#REF!</formula>
    </cfRule>
  </conditionalFormatting>
  <conditionalFormatting sqref="Q248">
    <cfRule type="cellIs" dxfId="71" priority="7" stopIfTrue="1" operator="equal">
      <formula>#REF!</formula>
    </cfRule>
  </conditionalFormatting>
  <conditionalFormatting sqref="R248">
    <cfRule type="cellIs" dxfId="70" priority="6" stopIfTrue="1" operator="equal">
      <formula>#REF!</formula>
    </cfRule>
  </conditionalFormatting>
  <conditionalFormatting sqref="D248">
    <cfRule type="cellIs" dxfId="69" priority="5" stopIfTrue="1" operator="equal">
      <formula>#REF!</formula>
    </cfRule>
  </conditionalFormatting>
  <conditionalFormatting sqref="X248">
    <cfRule type="cellIs" dxfId="68" priority="4" stopIfTrue="1" operator="equal">
      <formula>#REF!</formula>
    </cfRule>
  </conditionalFormatting>
  <conditionalFormatting sqref="A248">
    <cfRule type="cellIs" dxfId="67" priority="1" stopIfTrue="1" operator="equal">
      <formula>#REF!</formula>
    </cfRule>
  </conditionalFormatting>
  <conditionalFormatting sqref="B248">
    <cfRule type="cellIs" dxfId="66" priority="2" stopIfTrue="1" operator="equal">
      <formula>#REF!</formula>
    </cfRule>
  </conditionalFormatting>
  <printOptions horizontalCentered="1"/>
  <pageMargins left="0.78740157480314965" right="0.78740157480314965" top="0.98425196850393704" bottom="0.78740157480314965" header="0.51181102362204722" footer="0.51181102362204722"/>
  <pageSetup paperSize="9" orientation="landscape" verticalDpi="1200" r:id="rId1"/>
  <headerFooter alignWithMargins="0">
    <oddHeader>&amp;R&amp;G</oddHeader>
    <oddFooter>&amp;C&amp;8Bei den Deckungsinhalten handelt es sich um Stichworte. Die detaillierten Deckungsumfänge sind den jeweiligen Bedingungen zu entnehmen.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251"/>
  <sheetViews>
    <sheetView workbookViewId="0">
      <pane xSplit="1" topLeftCell="B1" activePane="topRight" state="frozen"/>
      <selection activeCell="X37" sqref="X37"/>
      <selection pane="topRight" activeCell="X37" sqref="X37"/>
    </sheetView>
  </sheetViews>
  <sheetFormatPr baseColWidth="10" defaultRowHeight="12.75" x14ac:dyDescent="0.2"/>
  <cols>
    <col min="1" max="1" width="42.28515625" style="14" customWidth="1"/>
    <col min="2" max="2" width="29.28515625" style="230" customWidth="1"/>
    <col min="3" max="3" width="24.85546875" style="14" customWidth="1"/>
    <col min="4" max="6" width="21.7109375" style="14" customWidth="1"/>
    <col min="7" max="7" width="21.7109375" style="114" customWidth="1"/>
    <col min="8" max="8" width="21.7109375" style="115" customWidth="1"/>
    <col min="9" max="18" width="21.7109375" style="14" customWidth="1"/>
    <col min="19" max="19" width="25.7109375" customWidth="1"/>
    <col min="20" max="55" width="21.7109375" style="14" customWidth="1"/>
    <col min="56" max="56" width="21.7109375" style="55" customWidth="1"/>
    <col min="57" max="57" width="21.7109375" style="14" customWidth="1"/>
    <col min="58" max="58" width="18.5703125" customWidth="1"/>
  </cols>
  <sheetData>
    <row r="1" spans="1:57" s="167" customFormat="1" ht="18" x14ac:dyDescent="0.2">
      <c r="A1" s="78" t="s">
        <v>3668</v>
      </c>
      <c r="B1" s="78" t="s">
        <v>3704</v>
      </c>
      <c r="C1" s="45" t="s">
        <v>2755</v>
      </c>
      <c r="D1" s="45" t="s">
        <v>3257</v>
      </c>
      <c r="E1" s="45" t="s">
        <v>1407</v>
      </c>
      <c r="F1" s="45" t="s">
        <v>1408</v>
      </c>
      <c r="G1" s="53" t="s">
        <v>3310</v>
      </c>
      <c r="H1" s="53" t="s">
        <v>3311</v>
      </c>
      <c r="I1" s="45" t="s">
        <v>2522</v>
      </c>
      <c r="J1" s="45" t="s">
        <v>1278</v>
      </c>
      <c r="K1" s="45" t="s">
        <v>653</v>
      </c>
      <c r="L1" s="45" t="s">
        <v>654</v>
      </c>
      <c r="M1" s="245" t="s">
        <v>655</v>
      </c>
      <c r="N1" s="245" t="s">
        <v>2969</v>
      </c>
      <c r="O1" s="245" t="s">
        <v>2970</v>
      </c>
      <c r="P1" s="245" t="s">
        <v>2968</v>
      </c>
      <c r="Q1" s="245" t="s">
        <v>178</v>
      </c>
      <c r="R1" s="245" t="s">
        <v>179</v>
      </c>
      <c r="S1" s="129" t="s">
        <v>3312</v>
      </c>
      <c r="T1" s="245" t="s">
        <v>198</v>
      </c>
      <c r="U1" s="245" t="s">
        <v>3509</v>
      </c>
      <c r="V1" s="245" t="s">
        <v>189</v>
      </c>
      <c r="W1" s="245" t="s">
        <v>190</v>
      </c>
      <c r="X1" s="245" t="s">
        <v>2247</v>
      </c>
      <c r="Y1" s="245" t="s">
        <v>2208</v>
      </c>
      <c r="Z1" s="245" t="s">
        <v>2216</v>
      </c>
      <c r="AA1" s="245" t="s">
        <v>2423</v>
      </c>
      <c r="AB1" s="245" t="s">
        <v>2336</v>
      </c>
      <c r="AC1" s="245" t="s">
        <v>3629</v>
      </c>
      <c r="AD1" s="245" t="s">
        <v>3630</v>
      </c>
      <c r="AE1" s="245" t="s">
        <v>817</v>
      </c>
      <c r="AF1" s="245" t="s">
        <v>210</v>
      </c>
      <c r="AG1" s="245" t="s">
        <v>211</v>
      </c>
      <c r="AH1" s="245" t="s">
        <v>2751</v>
      </c>
      <c r="AI1" s="245" t="s">
        <v>2752</v>
      </c>
      <c r="AJ1" s="245" t="s">
        <v>161</v>
      </c>
      <c r="AK1" s="245" t="s">
        <v>3552</v>
      </c>
      <c r="AL1" s="245" t="s">
        <v>3639</v>
      </c>
      <c r="AM1" s="245" t="s">
        <v>3550</v>
      </c>
      <c r="AN1" s="245" t="s">
        <v>3549</v>
      </c>
      <c r="AO1" s="245" t="s">
        <v>738</v>
      </c>
      <c r="AP1" s="245" t="s">
        <v>739</v>
      </c>
      <c r="AQ1" s="45" t="s">
        <v>3150</v>
      </c>
      <c r="AR1" s="45" t="s">
        <v>3152</v>
      </c>
      <c r="AS1" s="45" t="s">
        <v>3151</v>
      </c>
      <c r="AT1" s="45" t="s">
        <v>1244</v>
      </c>
      <c r="AU1" s="245" t="s">
        <v>872</v>
      </c>
      <c r="AV1" s="245" t="s">
        <v>874</v>
      </c>
      <c r="AW1" s="245" t="s">
        <v>873</v>
      </c>
      <c r="AX1" s="245" t="s">
        <v>1000</v>
      </c>
      <c r="AY1" s="245" t="s">
        <v>1932</v>
      </c>
      <c r="AZ1" s="245" t="s">
        <v>3456</v>
      </c>
      <c r="BA1" s="245" t="s">
        <v>1931</v>
      </c>
      <c r="BB1" s="245" t="s">
        <v>1930</v>
      </c>
      <c r="BC1" s="245" t="s">
        <v>2375</v>
      </c>
      <c r="BD1" s="245" t="s">
        <v>2376</v>
      </c>
      <c r="BE1" s="245" t="s">
        <v>1485</v>
      </c>
    </row>
    <row r="2" spans="1:57" ht="18" x14ac:dyDescent="0.2">
      <c r="A2" s="160" t="s">
        <v>3682</v>
      </c>
      <c r="B2" s="218"/>
      <c r="C2" s="183" t="s">
        <v>95</v>
      </c>
      <c r="D2" s="183" t="s">
        <v>95</v>
      </c>
      <c r="E2" s="183" t="s">
        <v>97</v>
      </c>
      <c r="F2" s="183" t="s">
        <v>97</v>
      </c>
      <c r="G2" s="184" t="s">
        <v>95</v>
      </c>
      <c r="H2" s="184" t="s">
        <v>95</v>
      </c>
      <c r="I2" s="183" t="s">
        <v>1581</v>
      </c>
      <c r="J2" s="183" t="s">
        <v>95</v>
      </c>
      <c r="K2" s="183" t="s">
        <v>95</v>
      </c>
      <c r="L2" s="183" t="s">
        <v>95</v>
      </c>
      <c r="M2" s="183" t="s">
        <v>95</v>
      </c>
      <c r="N2" s="183" t="s">
        <v>1581</v>
      </c>
      <c r="O2" s="183" t="s">
        <v>1581</v>
      </c>
      <c r="P2" s="183" t="s">
        <v>1581</v>
      </c>
      <c r="Q2" s="183" t="s">
        <v>95</v>
      </c>
      <c r="R2" s="183" t="s">
        <v>95</v>
      </c>
      <c r="S2" s="185" t="s">
        <v>3313</v>
      </c>
      <c r="T2" s="183" t="s">
        <v>95</v>
      </c>
      <c r="U2" s="183" t="s">
        <v>95</v>
      </c>
      <c r="V2" s="183" t="s">
        <v>358</v>
      </c>
      <c r="W2" s="183" t="s">
        <v>358</v>
      </c>
      <c r="X2" s="183" t="s">
        <v>1581</v>
      </c>
      <c r="Y2" s="183" t="s">
        <v>1581</v>
      </c>
      <c r="Z2" s="183" t="s">
        <v>1581</v>
      </c>
      <c r="AA2" s="183" t="s">
        <v>95</v>
      </c>
      <c r="AB2" s="183" t="s">
        <v>95</v>
      </c>
      <c r="AC2" s="183" t="s">
        <v>95</v>
      </c>
      <c r="AD2" s="183" t="s">
        <v>95</v>
      </c>
      <c r="AE2" s="183" t="s">
        <v>95</v>
      </c>
      <c r="AF2" s="183" t="s">
        <v>95</v>
      </c>
      <c r="AG2" s="183" t="s">
        <v>95</v>
      </c>
      <c r="AH2" s="183" t="s">
        <v>95</v>
      </c>
      <c r="AI2" s="183" t="s">
        <v>95</v>
      </c>
      <c r="AJ2" s="183" t="s">
        <v>97</v>
      </c>
      <c r="AK2" s="183" t="s">
        <v>95</v>
      </c>
      <c r="AL2" s="183" t="s">
        <v>95</v>
      </c>
      <c r="AM2" s="183" t="s">
        <v>137</v>
      </c>
      <c r="AN2" s="183" t="s">
        <v>95</v>
      </c>
      <c r="AO2" s="183" t="s">
        <v>95</v>
      </c>
      <c r="AP2" s="183" t="s">
        <v>95</v>
      </c>
      <c r="AQ2" s="183" t="s">
        <v>3148</v>
      </c>
      <c r="AR2" s="183" t="s">
        <v>3148</v>
      </c>
      <c r="AS2" s="183" t="s">
        <v>3148</v>
      </c>
      <c r="AT2" s="183" t="s">
        <v>95</v>
      </c>
      <c r="AU2" s="183" t="s">
        <v>95</v>
      </c>
      <c r="AV2" s="183" t="s">
        <v>95</v>
      </c>
      <c r="AW2" s="183" t="s">
        <v>95</v>
      </c>
      <c r="AX2" s="183" t="s">
        <v>358</v>
      </c>
      <c r="AY2" s="183" t="s">
        <v>1581</v>
      </c>
      <c r="AZ2" s="183" t="s">
        <v>95</v>
      </c>
      <c r="BA2" s="183" t="s">
        <v>95</v>
      </c>
      <c r="BB2" s="183" t="s">
        <v>95</v>
      </c>
      <c r="BC2" s="183" t="s">
        <v>95</v>
      </c>
      <c r="BD2" s="183" t="s">
        <v>95</v>
      </c>
      <c r="BE2" s="183" t="s">
        <v>95</v>
      </c>
    </row>
    <row r="3" spans="1:57" x14ac:dyDescent="0.2">
      <c r="A3" s="76" t="s">
        <v>402</v>
      </c>
      <c r="B3" s="219"/>
      <c r="C3" s="69" t="s">
        <v>2800</v>
      </c>
      <c r="D3" s="69" t="s">
        <v>1608</v>
      </c>
      <c r="E3" s="69" t="s">
        <v>1463</v>
      </c>
      <c r="F3" s="69" t="s">
        <v>1463</v>
      </c>
      <c r="G3" s="128"/>
      <c r="H3" s="128"/>
      <c r="I3" s="69" t="s">
        <v>2556</v>
      </c>
      <c r="J3" s="69" t="s">
        <v>1345</v>
      </c>
      <c r="K3" s="69" t="s">
        <v>737</v>
      </c>
      <c r="L3" s="69" t="s">
        <v>737</v>
      </c>
      <c r="M3" s="69" t="s">
        <v>737</v>
      </c>
      <c r="N3" s="69" t="s">
        <v>2819</v>
      </c>
      <c r="O3" s="69" t="s">
        <v>2819</v>
      </c>
      <c r="P3" s="69" t="s">
        <v>2819</v>
      </c>
      <c r="Q3" s="69" t="s">
        <v>511</v>
      </c>
      <c r="R3" s="69" t="s">
        <v>511</v>
      </c>
      <c r="S3" s="131"/>
      <c r="T3" s="69"/>
      <c r="U3" s="69"/>
      <c r="V3" s="69" t="s">
        <v>572</v>
      </c>
      <c r="W3" s="69" t="s">
        <v>572</v>
      </c>
      <c r="X3" s="69" t="s">
        <v>3134</v>
      </c>
      <c r="Y3" s="69" t="s">
        <v>3134</v>
      </c>
      <c r="Z3" s="69" t="s">
        <v>3134</v>
      </c>
      <c r="AA3" s="69" t="s">
        <v>2447</v>
      </c>
      <c r="AB3" s="69" t="s">
        <v>2180</v>
      </c>
      <c r="AC3" s="69" t="s">
        <v>648</v>
      </c>
      <c r="AD3" s="69" t="s">
        <v>648</v>
      </c>
      <c r="AE3" s="69"/>
      <c r="AF3" s="69"/>
      <c r="AG3" s="69"/>
      <c r="AH3" s="69" t="s">
        <v>2718</v>
      </c>
      <c r="AI3" s="69" t="s">
        <v>1704</v>
      </c>
      <c r="AJ3" s="69" t="s">
        <v>1744</v>
      </c>
      <c r="AK3" s="69" t="s">
        <v>3555</v>
      </c>
      <c r="AL3" s="69" t="s">
        <v>3555</v>
      </c>
      <c r="AM3" s="69" t="s">
        <v>3555</v>
      </c>
      <c r="AN3" s="69" t="s">
        <v>3555</v>
      </c>
      <c r="AO3" s="69" t="s">
        <v>784</v>
      </c>
      <c r="AP3" s="69" t="s">
        <v>784</v>
      </c>
      <c r="AQ3" s="69" t="s">
        <v>1496</v>
      </c>
      <c r="AR3" s="69" t="s">
        <v>1496</v>
      </c>
      <c r="AS3" s="69" t="s">
        <v>1496</v>
      </c>
      <c r="AT3" s="69" t="s">
        <v>1272</v>
      </c>
      <c r="AU3" s="69" t="s">
        <v>937</v>
      </c>
      <c r="AV3" s="69" t="s">
        <v>937</v>
      </c>
      <c r="AW3" s="69" t="s">
        <v>937</v>
      </c>
      <c r="AX3" s="69" t="s">
        <v>1058</v>
      </c>
      <c r="AY3" s="69" t="s">
        <v>1989</v>
      </c>
      <c r="AZ3" s="69"/>
      <c r="BA3" s="69"/>
      <c r="BB3" s="69"/>
      <c r="BC3" s="69" t="s">
        <v>2487</v>
      </c>
      <c r="BD3" s="69" t="s">
        <v>2487</v>
      </c>
      <c r="BE3" s="69" t="s">
        <v>1525</v>
      </c>
    </row>
    <row r="4" spans="1:57" x14ac:dyDescent="0.2">
      <c r="A4" s="25" t="s">
        <v>3681</v>
      </c>
      <c r="B4" s="218"/>
      <c r="C4" s="47"/>
      <c r="D4" s="47"/>
      <c r="E4" s="47"/>
      <c r="F4" s="47"/>
      <c r="G4" s="117"/>
      <c r="H4" s="117"/>
      <c r="I4" s="47"/>
      <c r="J4" s="47"/>
      <c r="K4" s="47"/>
      <c r="L4" s="47"/>
      <c r="M4" s="47"/>
      <c r="N4" s="47"/>
      <c r="O4" s="47"/>
      <c r="P4" s="47"/>
      <c r="Q4" s="47"/>
      <c r="R4" s="47"/>
      <c r="S4" s="130"/>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row>
    <row r="5" spans="1:57" x14ac:dyDescent="0.2">
      <c r="A5" s="76" t="s">
        <v>402</v>
      </c>
      <c r="B5" s="219"/>
      <c r="C5" s="69"/>
      <c r="D5" s="69"/>
      <c r="E5" s="69"/>
      <c r="F5" s="69"/>
      <c r="G5" s="128"/>
      <c r="H5" s="128"/>
      <c r="I5" s="69"/>
      <c r="J5" s="69"/>
      <c r="K5" s="69"/>
      <c r="L5" s="69"/>
      <c r="M5" s="69"/>
      <c r="N5" s="69"/>
      <c r="O5" s="69"/>
      <c r="P5" s="69"/>
      <c r="Q5" s="69"/>
      <c r="R5" s="69"/>
      <c r="S5" s="131"/>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row>
    <row r="6" spans="1:57" ht="27" x14ac:dyDescent="0.2">
      <c r="A6" s="25" t="s">
        <v>80</v>
      </c>
      <c r="B6" s="218"/>
      <c r="C6" s="47" t="s">
        <v>2758</v>
      </c>
      <c r="D6" s="47" t="s">
        <v>168</v>
      </c>
      <c r="E6" s="47" t="s">
        <v>23</v>
      </c>
      <c r="F6" s="47" t="s">
        <v>15</v>
      </c>
      <c r="G6" s="117" t="s">
        <v>95</v>
      </c>
      <c r="H6" s="117" t="s">
        <v>95</v>
      </c>
      <c r="I6" s="47" t="s">
        <v>1060</v>
      </c>
      <c r="J6" s="47" t="s">
        <v>3</v>
      </c>
      <c r="K6" s="46" t="s">
        <v>3</v>
      </c>
      <c r="L6" s="46" t="s">
        <v>3</v>
      </c>
      <c r="M6" s="46" t="s">
        <v>95</v>
      </c>
      <c r="N6" s="47" t="s">
        <v>3013</v>
      </c>
      <c r="O6" s="47" t="s">
        <v>3013</v>
      </c>
      <c r="P6" s="47" t="s">
        <v>3</v>
      </c>
      <c r="Q6" s="20" t="s">
        <v>3</v>
      </c>
      <c r="R6" s="43" t="s">
        <v>3</v>
      </c>
      <c r="S6" s="130" t="s">
        <v>95</v>
      </c>
      <c r="T6" s="43" t="s">
        <v>95</v>
      </c>
      <c r="U6" s="43" t="s">
        <v>95</v>
      </c>
      <c r="V6" s="20" t="s">
        <v>3</v>
      </c>
      <c r="W6" s="43" t="s">
        <v>2570</v>
      </c>
      <c r="X6" s="43" t="s">
        <v>3</v>
      </c>
      <c r="Y6" s="43" t="s">
        <v>3</v>
      </c>
      <c r="Z6" s="43" t="s">
        <v>3</v>
      </c>
      <c r="AA6" s="47" t="s">
        <v>1913</v>
      </c>
      <c r="AB6" s="47" t="s">
        <v>1060</v>
      </c>
      <c r="AC6" s="47" t="s">
        <v>99</v>
      </c>
      <c r="AD6" s="47" t="s">
        <v>99</v>
      </c>
      <c r="AE6" s="47" t="s">
        <v>251</v>
      </c>
      <c r="AF6" s="47" t="s">
        <v>365</v>
      </c>
      <c r="AG6" s="47" t="s">
        <v>365</v>
      </c>
      <c r="AH6" s="47" t="s">
        <v>1060</v>
      </c>
      <c r="AI6" s="47" t="s">
        <v>1707</v>
      </c>
      <c r="AJ6" s="47" t="s">
        <v>96</v>
      </c>
      <c r="AK6" s="47" t="s">
        <v>3</v>
      </c>
      <c r="AL6" s="47" t="s">
        <v>1766</v>
      </c>
      <c r="AM6" s="47" t="s">
        <v>173</v>
      </c>
      <c r="AN6" s="47" t="s">
        <v>96</v>
      </c>
      <c r="AO6" s="47" t="s">
        <v>3</v>
      </c>
      <c r="AP6" s="47" t="s">
        <v>3</v>
      </c>
      <c r="AQ6" s="43" t="s">
        <v>3</v>
      </c>
      <c r="AR6" s="43" t="s">
        <v>15</v>
      </c>
      <c r="AS6" s="43" t="s">
        <v>345</v>
      </c>
      <c r="AT6" s="47" t="s">
        <v>3</v>
      </c>
      <c r="AU6" s="47" t="s">
        <v>95</v>
      </c>
      <c r="AV6" s="47" t="s">
        <v>95</v>
      </c>
      <c r="AW6" s="47" t="s">
        <v>95</v>
      </c>
      <c r="AX6" s="47" t="s">
        <v>1060</v>
      </c>
      <c r="AY6" s="47" t="s">
        <v>1937</v>
      </c>
      <c r="AZ6" s="46" t="s">
        <v>95</v>
      </c>
      <c r="BA6" s="46" t="s">
        <v>95</v>
      </c>
      <c r="BB6" s="46" t="s">
        <v>95</v>
      </c>
      <c r="BC6" s="47" t="s">
        <v>1218</v>
      </c>
      <c r="BD6" s="47" t="s">
        <v>1218</v>
      </c>
      <c r="BE6" s="46" t="s">
        <v>3</v>
      </c>
    </row>
    <row r="7" spans="1:57" ht="18" x14ac:dyDescent="0.2">
      <c r="A7" s="76" t="s">
        <v>402</v>
      </c>
      <c r="B7" s="219"/>
      <c r="C7" s="69" t="s">
        <v>2789</v>
      </c>
      <c r="D7" s="69" t="s">
        <v>1591</v>
      </c>
      <c r="E7" s="69" t="s">
        <v>1434</v>
      </c>
      <c r="F7" s="69" t="s">
        <v>1447</v>
      </c>
      <c r="G7" s="128"/>
      <c r="H7" s="128"/>
      <c r="I7" s="69" t="s">
        <v>2556</v>
      </c>
      <c r="J7" s="69" t="s">
        <v>1344</v>
      </c>
      <c r="K7" s="69" t="s">
        <v>736</v>
      </c>
      <c r="L7" s="69" t="s">
        <v>736</v>
      </c>
      <c r="M7" s="69" t="s">
        <v>2380</v>
      </c>
      <c r="N7" s="69" t="s">
        <v>3003</v>
      </c>
      <c r="O7" s="69" t="s">
        <v>3012</v>
      </c>
      <c r="P7" s="69" t="s">
        <v>3</v>
      </c>
      <c r="Q7" s="69" t="s">
        <v>3</v>
      </c>
      <c r="R7" s="69" t="s">
        <v>3</v>
      </c>
      <c r="S7" s="131"/>
      <c r="T7" s="69"/>
      <c r="U7" s="69"/>
      <c r="V7" s="69" t="s">
        <v>3</v>
      </c>
      <c r="W7" s="69" t="s">
        <v>539</v>
      </c>
      <c r="X7" s="69" t="s">
        <v>3</v>
      </c>
      <c r="Y7" s="69" t="s">
        <v>3</v>
      </c>
      <c r="Z7" s="69" t="s">
        <v>3</v>
      </c>
      <c r="AA7" s="69" t="s">
        <v>2448</v>
      </c>
      <c r="AB7" s="69" t="s">
        <v>2373</v>
      </c>
      <c r="AC7" s="69" t="s">
        <v>637</v>
      </c>
      <c r="AD7" s="69" t="s">
        <v>637</v>
      </c>
      <c r="AE7" s="69"/>
      <c r="AF7" s="69"/>
      <c r="AG7" s="69"/>
      <c r="AH7" s="69" t="s">
        <v>2719</v>
      </c>
      <c r="AI7" s="69" t="s">
        <v>1703</v>
      </c>
      <c r="AJ7" s="69" t="s">
        <v>3</v>
      </c>
      <c r="AK7" s="69" t="s">
        <v>3</v>
      </c>
      <c r="AL7" s="69" t="s">
        <v>1765</v>
      </c>
      <c r="AM7" s="69" t="s">
        <v>3555</v>
      </c>
      <c r="AN7" s="69" t="s">
        <v>3</v>
      </c>
      <c r="AO7" s="69" t="s">
        <v>785</v>
      </c>
      <c r="AP7" s="69" t="s">
        <v>785</v>
      </c>
      <c r="AQ7" s="69" t="s">
        <v>3</v>
      </c>
      <c r="AR7" s="69" t="s">
        <v>3010</v>
      </c>
      <c r="AS7" s="69" t="s">
        <v>3010</v>
      </c>
      <c r="AT7" s="69" t="s">
        <v>1273</v>
      </c>
      <c r="AU7" s="69" t="s">
        <v>403</v>
      </c>
      <c r="AV7" s="69" t="s">
        <v>403</v>
      </c>
      <c r="AW7" s="69" t="s">
        <v>403</v>
      </c>
      <c r="AX7" s="69" t="s">
        <v>1059</v>
      </c>
      <c r="AY7" s="69" t="s">
        <v>3439</v>
      </c>
      <c r="AZ7" s="69"/>
      <c r="BA7" s="69"/>
      <c r="BB7" s="69"/>
      <c r="BC7" s="69" t="s">
        <v>2488</v>
      </c>
      <c r="BD7" s="69" t="s">
        <v>2488</v>
      </c>
      <c r="BE7" s="69" t="s">
        <v>1526</v>
      </c>
    </row>
    <row r="8" spans="1:57" x14ac:dyDescent="0.2">
      <c r="A8" s="161" t="s">
        <v>4842</v>
      </c>
      <c r="B8" s="220"/>
      <c r="C8" s="47"/>
      <c r="D8" s="46"/>
      <c r="E8" s="46"/>
      <c r="F8" s="46"/>
      <c r="G8" s="117"/>
      <c r="H8" s="117"/>
      <c r="I8" s="46"/>
      <c r="J8" s="46"/>
      <c r="K8" s="46"/>
      <c r="L8" s="46"/>
      <c r="M8" s="46"/>
      <c r="N8" s="47"/>
      <c r="O8" s="47"/>
      <c r="P8" s="47"/>
      <c r="Q8" s="20"/>
      <c r="R8" s="43"/>
      <c r="S8" s="130"/>
      <c r="T8" s="43"/>
      <c r="U8" s="43"/>
      <c r="V8" s="20"/>
      <c r="W8" s="43"/>
      <c r="X8" s="43"/>
      <c r="Y8" s="43"/>
      <c r="Z8" s="43"/>
      <c r="AA8" s="46"/>
      <c r="AB8" s="47"/>
      <c r="AC8" s="46"/>
      <c r="AD8" s="46"/>
      <c r="AE8" s="46"/>
      <c r="AF8" s="46"/>
      <c r="AG8" s="46"/>
      <c r="AH8" s="46"/>
      <c r="AI8" s="46"/>
      <c r="AJ8" s="46"/>
      <c r="AK8" s="46"/>
      <c r="AL8" s="46"/>
      <c r="AM8" s="46"/>
      <c r="AN8" s="46"/>
      <c r="AO8" s="46"/>
      <c r="AP8" s="46"/>
      <c r="AQ8" s="43"/>
      <c r="AR8" s="43"/>
      <c r="AS8" s="43"/>
      <c r="AT8" s="46"/>
      <c r="AU8" s="46"/>
      <c r="AV8" s="46"/>
      <c r="AW8" s="46"/>
      <c r="AX8" s="46"/>
      <c r="AY8" s="46"/>
      <c r="AZ8" s="46"/>
      <c r="BA8" s="46"/>
      <c r="BB8" s="46"/>
      <c r="BC8" s="46"/>
      <c r="BD8" s="47"/>
      <c r="BE8" s="46"/>
    </row>
    <row r="9" spans="1:57" x14ac:dyDescent="0.2">
      <c r="A9" s="76" t="s">
        <v>402</v>
      </c>
      <c r="B9" s="219"/>
      <c r="C9" s="69"/>
      <c r="D9" s="69"/>
      <c r="E9" s="69"/>
      <c r="F9" s="69"/>
      <c r="G9" s="128"/>
      <c r="H9" s="128"/>
      <c r="I9" s="69"/>
      <c r="J9" s="69"/>
      <c r="K9" s="69"/>
      <c r="L9" s="69"/>
      <c r="M9" s="69"/>
      <c r="N9" s="69"/>
      <c r="O9" s="69"/>
      <c r="P9" s="69"/>
      <c r="Q9" s="69"/>
      <c r="R9" s="69"/>
      <c r="S9" s="131"/>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row>
    <row r="10" spans="1:57" x14ac:dyDescent="0.2">
      <c r="A10" s="160" t="s">
        <v>3669</v>
      </c>
      <c r="B10" s="220"/>
      <c r="C10" s="47"/>
      <c r="D10" s="46"/>
      <c r="E10" s="46"/>
      <c r="F10" s="46"/>
      <c r="G10" s="117"/>
      <c r="H10" s="117"/>
      <c r="I10" s="46"/>
      <c r="J10" s="46"/>
      <c r="K10" s="46"/>
      <c r="L10" s="46"/>
      <c r="M10" s="46"/>
      <c r="N10" s="47"/>
      <c r="O10" s="47"/>
      <c r="P10" s="47"/>
      <c r="Q10" s="20"/>
      <c r="R10" s="43"/>
      <c r="S10" s="130"/>
      <c r="T10" s="43"/>
      <c r="U10" s="43"/>
      <c r="V10" s="20"/>
      <c r="W10" s="43"/>
      <c r="X10" s="43"/>
      <c r="Y10" s="43"/>
      <c r="Z10" s="43"/>
      <c r="AA10" s="46"/>
      <c r="AB10" s="47"/>
      <c r="AC10" s="46"/>
      <c r="AD10" s="46"/>
      <c r="AE10" s="46"/>
      <c r="AF10" s="46"/>
      <c r="AG10" s="46"/>
      <c r="AH10" s="46"/>
      <c r="AI10" s="46"/>
      <c r="AJ10" s="46"/>
      <c r="AK10" s="46"/>
      <c r="AL10" s="46"/>
      <c r="AM10" s="46"/>
      <c r="AN10" s="46"/>
      <c r="AO10" s="46"/>
      <c r="AP10" s="46"/>
      <c r="AQ10" s="43"/>
      <c r="AR10" s="43"/>
      <c r="AS10" s="43"/>
      <c r="AT10" s="46"/>
      <c r="AU10" s="46"/>
      <c r="AV10" s="46"/>
      <c r="AW10" s="46"/>
      <c r="AX10" s="46"/>
      <c r="AY10" s="46"/>
      <c r="AZ10" s="46"/>
      <c r="BA10" s="46"/>
      <c r="BB10" s="46"/>
      <c r="BC10" s="46"/>
      <c r="BD10" s="47"/>
      <c r="BE10" s="46"/>
    </row>
    <row r="11" spans="1:57" x14ac:dyDescent="0.2">
      <c r="A11" s="76" t="s">
        <v>402</v>
      </c>
      <c r="B11" s="219"/>
      <c r="C11" s="69"/>
      <c r="D11" s="69"/>
      <c r="E11" s="69"/>
      <c r="F11" s="69"/>
      <c r="G11" s="128"/>
      <c r="H11" s="128"/>
      <c r="I11" s="69"/>
      <c r="J11" s="69"/>
      <c r="K11" s="69"/>
      <c r="L11" s="69"/>
      <c r="M11" s="69"/>
      <c r="N11" s="69"/>
      <c r="O11" s="69"/>
      <c r="P11" s="69"/>
      <c r="Q11" s="69"/>
      <c r="R11" s="69"/>
      <c r="S11" s="131"/>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row>
    <row r="12" spans="1:57" ht="18" x14ac:dyDescent="0.2">
      <c r="A12" s="77" t="s">
        <v>3640</v>
      </c>
      <c r="B12" s="220"/>
      <c r="C12" s="47" t="s">
        <v>2802</v>
      </c>
      <c r="D12" s="46" t="s">
        <v>95</v>
      </c>
      <c r="E12" s="46" t="s">
        <v>3</v>
      </c>
      <c r="F12" s="46" t="s">
        <v>3</v>
      </c>
      <c r="G12" s="117" t="s">
        <v>95</v>
      </c>
      <c r="H12" s="117" t="s">
        <v>95</v>
      </c>
      <c r="I12" s="46" t="s">
        <v>95</v>
      </c>
      <c r="J12" s="46" t="s">
        <v>3</v>
      </c>
      <c r="K12" s="46" t="s">
        <v>3</v>
      </c>
      <c r="L12" s="46" t="s">
        <v>3</v>
      </c>
      <c r="M12" s="46" t="s">
        <v>3</v>
      </c>
      <c r="N12" s="47" t="s">
        <v>95</v>
      </c>
      <c r="O12" s="47" t="s">
        <v>95</v>
      </c>
      <c r="P12" s="47" t="s">
        <v>95</v>
      </c>
      <c r="Q12" s="20" t="s">
        <v>3</v>
      </c>
      <c r="R12" s="43" t="s">
        <v>3</v>
      </c>
      <c r="S12" s="130" t="s">
        <v>3239</v>
      </c>
      <c r="T12" s="43" t="s">
        <v>3</v>
      </c>
      <c r="U12" s="43" t="s">
        <v>3</v>
      </c>
      <c r="V12" s="20" t="s">
        <v>3</v>
      </c>
      <c r="W12" s="43" t="s">
        <v>3</v>
      </c>
      <c r="X12" s="43" t="s">
        <v>3</v>
      </c>
      <c r="Y12" s="43" t="s">
        <v>95</v>
      </c>
      <c r="Z12" s="43" t="s">
        <v>95</v>
      </c>
      <c r="AA12" s="46" t="s">
        <v>3</v>
      </c>
      <c r="AB12" s="47" t="s">
        <v>95</v>
      </c>
      <c r="AC12" s="46" t="s">
        <v>3</v>
      </c>
      <c r="AD12" s="46" t="s">
        <v>3</v>
      </c>
      <c r="AE12" s="46" t="s">
        <v>3</v>
      </c>
      <c r="AF12" s="46" t="s">
        <v>3</v>
      </c>
      <c r="AG12" s="46" t="s">
        <v>3</v>
      </c>
      <c r="AH12" s="46" t="s">
        <v>95</v>
      </c>
      <c r="AI12" s="46" t="s">
        <v>95</v>
      </c>
      <c r="AJ12" s="46" t="s">
        <v>95</v>
      </c>
      <c r="AK12" s="46" t="s">
        <v>95</v>
      </c>
      <c r="AL12" s="46" t="s">
        <v>95</v>
      </c>
      <c r="AM12" s="46" t="s">
        <v>95</v>
      </c>
      <c r="AN12" s="46" t="s">
        <v>95</v>
      </c>
      <c r="AO12" s="46" t="s">
        <v>3</v>
      </c>
      <c r="AP12" s="46" t="s">
        <v>3</v>
      </c>
      <c r="AQ12" s="43" t="s">
        <v>95</v>
      </c>
      <c r="AR12" s="43" t="s">
        <v>95</v>
      </c>
      <c r="AS12" s="43" t="s">
        <v>95</v>
      </c>
      <c r="AT12" s="46" t="s">
        <v>3</v>
      </c>
      <c r="AU12" s="46" t="s">
        <v>3</v>
      </c>
      <c r="AV12" s="46" t="s">
        <v>3</v>
      </c>
      <c r="AW12" s="46" t="s">
        <v>3</v>
      </c>
      <c r="AX12" s="46" t="s">
        <v>3</v>
      </c>
      <c r="AY12" s="46" t="s">
        <v>95</v>
      </c>
      <c r="AZ12" s="46" t="s">
        <v>95</v>
      </c>
      <c r="BA12" s="46" t="s">
        <v>95</v>
      </c>
      <c r="BB12" s="46" t="s">
        <v>95</v>
      </c>
      <c r="BC12" s="46" t="s">
        <v>3</v>
      </c>
      <c r="BD12" s="47" t="s">
        <v>3</v>
      </c>
      <c r="BE12" s="46" t="s">
        <v>3</v>
      </c>
    </row>
    <row r="13" spans="1:57" x14ac:dyDescent="0.2">
      <c r="A13" s="76" t="s">
        <v>402</v>
      </c>
      <c r="B13" s="219"/>
      <c r="C13" s="69" t="s">
        <v>2801</v>
      </c>
      <c r="D13" s="69" t="s">
        <v>3260</v>
      </c>
      <c r="E13" s="69" t="s">
        <v>3</v>
      </c>
      <c r="F13" s="69" t="s">
        <v>3</v>
      </c>
      <c r="G13" s="128"/>
      <c r="H13" s="128"/>
      <c r="I13" s="69" t="s">
        <v>2560</v>
      </c>
      <c r="J13" s="69" t="s">
        <v>3</v>
      </c>
      <c r="K13" s="69" t="s">
        <v>3</v>
      </c>
      <c r="L13" s="69" t="s">
        <v>3</v>
      </c>
      <c r="M13" s="69" t="s">
        <v>3</v>
      </c>
      <c r="N13" s="69" t="s">
        <v>1507</v>
      </c>
      <c r="O13" s="69" t="s">
        <v>3015</v>
      </c>
      <c r="P13" s="69" t="s">
        <v>3046</v>
      </c>
      <c r="Q13" s="69" t="s">
        <v>3</v>
      </c>
      <c r="R13" s="69" t="s">
        <v>3</v>
      </c>
      <c r="S13" s="131"/>
      <c r="T13" s="69"/>
      <c r="U13" s="69"/>
      <c r="V13" s="69" t="s">
        <v>3</v>
      </c>
      <c r="W13" s="69" t="s">
        <v>3</v>
      </c>
      <c r="X13" s="69" t="s">
        <v>403</v>
      </c>
      <c r="Y13" s="69" t="s">
        <v>3132</v>
      </c>
      <c r="Z13" s="69" t="s">
        <v>3132</v>
      </c>
      <c r="AA13" s="69" t="s">
        <v>3</v>
      </c>
      <c r="AB13" s="69" t="s">
        <v>2337</v>
      </c>
      <c r="AC13" s="69" t="s">
        <v>3</v>
      </c>
      <c r="AD13" s="69" t="s">
        <v>3</v>
      </c>
      <c r="AE13" s="69"/>
      <c r="AF13" s="69"/>
      <c r="AG13" s="69"/>
      <c r="AH13" s="69" t="s">
        <v>1710</v>
      </c>
      <c r="AI13" s="69" t="s">
        <v>1710</v>
      </c>
      <c r="AJ13" s="69" t="s">
        <v>1809</v>
      </c>
      <c r="AK13" s="69" t="s">
        <v>3603</v>
      </c>
      <c r="AL13" s="69" t="s">
        <v>3556</v>
      </c>
      <c r="AM13" s="69" t="s">
        <v>3584</v>
      </c>
      <c r="AN13" s="69" t="s">
        <v>1771</v>
      </c>
      <c r="AO13" s="69" t="s">
        <v>3</v>
      </c>
      <c r="AP13" s="69" t="s">
        <v>3</v>
      </c>
      <c r="AQ13" s="69" t="s">
        <v>2996</v>
      </c>
      <c r="AR13" s="69" t="s">
        <v>3005</v>
      </c>
      <c r="AS13" s="69" t="s">
        <v>3005</v>
      </c>
      <c r="AT13" s="69" t="s">
        <v>3</v>
      </c>
      <c r="AU13" s="69" t="s">
        <v>3</v>
      </c>
      <c r="AV13" s="69" t="s">
        <v>3</v>
      </c>
      <c r="AW13" s="69" t="s">
        <v>3</v>
      </c>
      <c r="AX13" s="69" t="s">
        <v>3</v>
      </c>
      <c r="AY13" s="69" t="s">
        <v>1996</v>
      </c>
      <c r="AZ13" s="69"/>
      <c r="BA13" s="69"/>
      <c r="BB13" s="69"/>
      <c r="BC13" s="69" t="s">
        <v>3</v>
      </c>
      <c r="BD13" s="69" t="s">
        <v>3</v>
      </c>
      <c r="BE13" s="69" t="s">
        <v>3</v>
      </c>
    </row>
    <row r="14" spans="1:57" ht="18" x14ac:dyDescent="0.2">
      <c r="A14" s="25" t="s">
        <v>3670</v>
      </c>
      <c r="B14" s="220"/>
      <c r="C14" s="47"/>
      <c r="D14" s="46"/>
      <c r="E14" s="46"/>
      <c r="F14" s="46"/>
      <c r="G14" s="117"/>
      <c r="H14" s="117"/>
      <c r="I14" s="46"/>
      <c r="J14" s="46"/>
      <c r="K14" s="46"/>
      <c r="L14" s="46"/>
      <c r="M14" s="46"/>
      <c r="N14" s="47"/>
      <c r="O14" s="47"/>
      <c r="P14" s="47"/>
      <c r="Q14" s="20"/>
      <c r="R14" s="43"/>
      <c r="S14" s="130"/>
      <c r="T14" s="43"/>
      <c r="U14" s="43"/>
      <c r="V14" s="20"/>
      <c r="W14" s="43"/>
      <c r="X14" s="43"/>
      <c r="Y14" s="43"/>
      <c r="Z14" s="43"/>
      <c r="AA14" s="46"/>
      <c r="AB14" s="47"/>
      <c r="AC14" s="46"/>
      <c r="AD14" s="46"/>
      <c r="AE14" s="46"/>
      <c r="AF14" s="46"/>
      <c r="AG14" s="46"/>
      <c r="AH14" s="46"/>
      <c r="AI14" s="46"/>
      <c r="AJ14" s="46"/>
      <c r="AK14" s="46"/>
      <c r="AL14" s="46"/>
      <c r="AM14" s="46"/>
      <c r="AN14" s="46"/>
      <c r="AO14" s="46"/>
      <c r="AP14" s="46"/>
      <c r="AQ14" s="43"/>
      <c r="AR14" s="43"/>
      <c r="AS14" s="43"/>
      <c r="AT14" s="46"/>
      <c r="AU14" s="46"/>
      <c r="AV14" s="46"/>
      <c r="AW14" s="46"/>
      <c r="AX14" s="46"/>
      <c r="AY14" s="46"/>
      <c r="AZ14" s="46"/>
      <c r="BA14" s="46"/>
      <c r="BB14" s="46"/>
      <c r="BC14" s="46"/>
      <c r="BD14" s="47"/>
      <c r="BE14" s="46"/>
    </row>
    <row r="15" spans="1:57" x14ac:dyDescent="0.2">
      <c r="A15" s="76" t="s">
        <v>402</v>
      </c>
      <c r="B15" s="219"/>
      <c r="C15" s="69"/>
      <c r="D15" s="69"/>
      <c r="E15" s="69"/>
      <c r="F15" s="69"/>
      <c r="G15" s="128"/>
      <c r="H15" s="128"/>
      <c r="I15" s="69"/>
      <c r="J15" s="69"/>
      <c r="K15" s="69"/>
      <c r="L15" s="69"/>
      <c r="M15" s="69"/>
      <c r="N15" s="69"/>
      <c r="O15" s="69"/>
      <c r="P15" s="69"/>
      <c r="Q15" s="69"/>
      <c r="R15" s="69"/>
      <c r="S15" s="131"/>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row>
    <row r="16" spans="1:57" ht="18" x14ac:dyDescent="0.2">
      <c r="A16" s="25" t="s">
        <v>4868</v>
      </c>
      <c r="B16" s="220"/>
      <c r="C16" s="47"/>
      <c r="D16" s="46"/>
      <c r="E16" s="46"/>
      <c r="F16" s="46"/>
      <c r="G16" s="117"/>
      <c r="H16" s="117"/>
      <c r="I16" s="46"/>
      <c r="J16" s="46"/>
      <c r="K16" s="46"/>
      <c r="L16" s="46"/>
      <c r="M16" s="46"/>
      <c r="N16" s="47"/>
      <c r="O16" s="47"/>
      <c r="P16" s="47"/>
      <c r="Q16" s="20"/>
      <c r="R16" s="43"/>
      <c r="S16" s="130"/>
      <c r="T16" s="43"/>
      <c r="U16" s="43"/>
      <c r="V16" s="20"/>
      <c r="W16" s="43"/>
      <c r="X16" s="43"/>
      <c r="Y16" s="43"/>
      <c r="Z16" s="43"/>
      <c r="AA16" s="46"/>
      <c r="AB16" s="47"/>
      <c r="AC16" s="46"/>
      <c r="AD16" s="46"/>
      <c r="AE16" s="46"/>
      <c r="AF16" s="46"/>
      <c r="AG16" s="46"/>
      <c r="AH16" s="46"/>
      <c r="AI16" s="46"/>
      <c r="AJ16" s="46"/>
      <c r="AK16" s="46"/>
      <c r="AL16" s="46"/>
      <c r="AM16" s="46"/>
      <c r="AN16" s="46"/>
      <c r="AO16" s="46"/>
      <c r="AP16" s="46"/>
      <c r="AQ16" s="43"/>
      <c r="AR16" s="43"/>
      <c r="AS16" s="43"/>
      <c r="AT16" s="46"/>
      <c r="AU16" s="46"/>
      <c r="AV16" s="46"/>
      <c r="AW16" s="46"/>
      <c r="AX16" s="46"/>
      <c r="AY16" s="46"/>
      <c r="AZ16" s="46"/>
      <c r="BA16" s="46"/>
      <c r="BB16" s="46"/>
      <c r="BC16" s="46"/>
      <c r="BD16" s="47"/>
      <c r="BE16" s="46"/>
    </row>
    <row r="17" spans="1:57" x14ac:dyDescent="0.2">
      <c r="A17" s="76" t="s">
        <v>402</v>
      </c>
      <c r="B17" s="219"/>
      <c r="C17" s="69"/>
      <c r="D17" s="69"/>
      <c r="E17" s="69"/>
      <c r="F17" s="69"/>
      <c r="G17" s="128"/>
      <c r="H17" s="128"/>
      <c r="I17" s="69"/>
      <c r="J17" s="69"/>
      <c r="K17" s="69"/>
      <c r="L17" s="69"/>
      <c r="M17" s="69"/>
      <c r="N17" s="69"/>
      <c r="O17" s="69"/>
      <c r="P17" s="69"/>
      <c r="Q17" s="69"/>
      <c r="R17" s="69"/>
      <c r="S17" s="131"/>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row>
    <row r="18" spans="1:57" x14ac:dyDescent="0.2">
      <c r="A18" s="21"/>
      <c r="B18" s="21"/>
      <c r="C18" s="22"/>
      <c r="D18" s="22"/>
      <c r="E18" s="22"/>
      <c r="F18" s="22"/>
      <c r="G18" s="113"/>
      <c r="H18" s="116"/>
      <c r="I18" s="22"/>
      <c r="J18" s="22"/>
      <c r="K18" s="22"/>
      <c r="L18" s="22"/>
      <c r="M18" s="22"/>
      <c r="N18" s="22"/>
      <c r="O18" s="22"/>
      <c r="P18" s="22"/>
      <c r="Q18" s="22"/>
      <c r="R18" s="22"/>
      <c r="S18" s="13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E18" s="22"/>
    </row>
    <row r="19" spans="1:57" s="167" customFormat="1" ht="18" x14ac:dyDescent="0.2">
      <c r="A19" s="78" t="s">
        <v>3665</v>
      </c>
      <c r="B19" s="78"/>
      <c r="C19" s="53" t="str">
        <f>C1</f>
        <v>Allianz inkl. SicherheitPlus</v>
      </c>
      <c r="D19" s="53" t="str">
        <f>D1</f>
        <v>Alte Leipziger comfort</v>
      </c>
      <c r="E19" s="53" t="str">
        <f>E1</f>
        <v>ARAG Basis (Wohnfläche)</v>
      </c>
      <c r="F19" s="118" t="str">
        <f>F1</f>
        <v>ARAG Comfort (Wohnfläche)</v>
      </c>
      <c r="G19" s="53" t="s">
        <v>3310</v>
      </c>
      <c r="H19" s="53" t="s">
        <v>3311</v>
      </c>
      <c r="I19" s="119" t="str">
        <f t="shared" ref="I19:P19" si="0">I1</f>
        <v>Baden Badener TOP (WF)</v>
      </c>
      <c r="J19" s="53" t="str">
        <f t="shared" si="0"/>
        <v>Basler Ambiente Top</v>
      </c>
      <c r="K19" s="53" t="str">
        <f t="shared" si="0"/>
        <v>Debeka Basis</v>
      </c>
      <c r="L19" s="53" t="str">
        <f t="shared" si="0"/>
        <v>Debeka Standard</v>
      </c>
      <c r="M19" s="243" t="str">
        <f t="shared" si="0"/>
        <v>Debeka Top</v>
      </c>
      <c r="N19" s="243" t="str">
        <f t="shared" si="0"/>
        <v>die Bayerische Komfort</v>
      </c>
      <c r="O19" s="243" t="str">
        <f t="shared" si="0"/>
        <v>die Bayerische Prestige</v>
      </c>
      <c r="P19" s="243" t="str">
        <f t="shared" si="0"/>
        <v>die Bayerische Smart</v>
      </c>
      <c r="Q19" s="243" t="str">
        <f>Q1</f>
        <v>Domcura Komfort</v>
      </c>
      <c r="R19" s="243" t="str">
        <f>R1</f>
        <v>Domcura Top</v>
      </c>
      <c r="S19" s="129" t="s">
        <v>3312</v>
      </c>
      <c r="T19" s="243" t="str">
        <f t="shared" ref="T19:AB19" si="1">T1</f>
        <v>ERGO</v>
      </c>
      <c r="U19" s="243" t="str">
        <f t="shared" si="1"/>
        <v>ERGO spezial</v>
      </c>
      <c r="V19" s="243" t="str">
        <f t="shared" si="1"/>
        <v>Generali Basis (qm)</v>
      </c>
      <c r="W19" s="243" t="str">
        <f t="shared" si="1"/>
        <v>Generali KomfortPlus (qm)</v>
      </c>
      <c r="X19" s="243" t="str">
        <f t="shared" si="1"/>
        <v>Gothaer (qm)</v>
      </c>
      <c r="Y19" s="243" t="str">
        <f t="shared" si="1"/>
        <v>Gothaer Top (qm)</v>
      </c>
      <c r="Z19" s="243" t="str">
        <f t="shared" si="1"/>
        <v>Gothaer Top Plus (qm)</v>
      </c>
      <c r="AA19" s="243" t="str">
        <f t="shared" si="1"/>
        <v>HDI Privatschutz (Wohnfläche)</v>
      </c>
      <c r="AB19" s="243" t="str">
        <f t="shared" si="1"/>
        <v>Helvetia Komfort</v>
      </c>
      <c r="AC19" s="243" t="str">
        <f t="shared" ref="AC19:AJ19" si="2">AC1</f>
        <v>HFK afm mit Zusatzdeckung</v>
      </c>
      <c r="AD19" s="243" t="str">
        <f t="shared" si="2"/>
        <v>HFK afm ohne Zusatzdeckung</v>
      </c>
      <c r="AE19" s="243" t="str">
        <f t="shared" si="2"/>
        <v>Hiscox Haus &amp; Kunst</v>
      </c>
      <c r="AF19" s="243" t="str">
        <f t="shared" si="2"/>
        <v>HUK Classic</v>
      </c>
      <c r="AG19" s="243" t="str">
        <f t="shared" si="2"/>
        <v>HUK Plus</v>
      </c>
      <c r="AH19" s="243" t="str">
        <f t="shared" si="2"/>
        <v>InterRisk XL</v>
      </c>
      <c r="AI19" s="243" t="str">
        <f t="shared" si="2"/>
        <v>InterRisk XXL</v>
      </c>
      <c r="AJ19" s="243" t="str">
        <f t="shared" si="2"/>
        <v>ITL afm Eurosecure 2009</v>
      </c>
      <c r="AK19" s="245" t="s">
        <v>3552</v>
      </c>
      <c r="AL19" s="245" t="s">
        <v>3551</v>
      </c>
      <c r="AM19" s="245" t="s">
        <v>3550</v>
      </c>
      <c r="AN19" s="245" t="s">
        <v>3549</v>
      </c>
      <c r="AO19" s="243" t="str">
        <f>AO1</f>
        <v>Itzehoer Basis</v>
      </c>
      <c r="AP19" s="243" t="str">
        <f>AP1</f>
        <v>Itzehoer Plus</v>
      </c>
      <c r="AQ19" s="243"/>
      <c r="AR19" s="243"/>
      <c r="AS19" s="243"/>
      <c r="AT19" s="243" t="str">
        <f t="shared" ref="AT19:AY19" si="3">AT1</f>
        <v>Nürnberger KomplettSchutz (Wert 1914)</v>
      </c>
      <c r="AU19" s="243" t="str">
        <f t="shared" si="3"/>
        <v>Provinzial Kompaktschutz</v>
      </c>
      <c r="AV19" s="243" t="str">
        <f t="shared" si="3"/>
        <v>Provinzial Rundum inkl. Plus</v>
      </c>
      <c r="AW19" s="243" t="str">
        <f t="shared" si="3"/>
        <v>Provinzial Rundumschutz</v>
      </c>
      <c r="AX19" s="243" t="str">
        <f t="shared" si="3"/>
        <v>R+V PrivatPolice (Fläche)</v>
      </c>
      <c r="AY19" s="243" t="str">
        <f t="shared" si="3"/>
        <v>VdVA</v>
      </c>
      <c r="AZ19" s="243" t="s">
        <v>3496</v>
      </c>
      <c r="BA19" s="243" t="str">
        <f>BA1</f>
        <v>VHV Klassik Garant</v>
      </c>
      <c r="BB19" s="243" t="str">
        <f>BB1</f>
        <v>VHV Klassik Garant Exklusiv</v>
      </c>
      <c r="BC19" s="243" t="str">
        <f>BC1</f>
        <v>VKB Kompakt</v>
      </c>
      <c r="BD19" s="243" t="str">
        <f>BD1</f>
        <v>VKB Optimal</v>
      </c>
      <c r="BE19" s="243" t="str">
        <f>BE1</f>
        <v>WÜBA Plus</v>
      </c>
    </row>
    <row r="20" spans="1:57" ht="18" x14ac:dyDescent="0.2">
      <c r="A20" s="25" t="s">
        <v>4824</v>
      </c>
      <c r="B20" s="218"/>
      <c r="C20" s="46" t="s">
        <v>95</v>
      </c>
      <c r="D20" s="46" t="s">
        <v>95</v>
      </c>
      <c r="E20" s="47" t="s">
        <v>140</v>
      </c>
      <c r="F20" s="62" t="s">
        <v>140</v>
      </c>
      <c r="G20" s="117" t="s">
        <v>95</v>
      </c>
      <c r="H20" s="117" t="s">
        <v>3304</v>
      </c>
      <c r="I20" s="120" t="s">
        <v>95</v>
      </c>
      <c r="J20" s="46" t="s">
        <v>95</v>
      </c>
      <c r="K20" s="46" t="s">
        <v>95</v>
      </c>
      <c r="L20" s="46" t="s">
        <v>95</v>
      </c>
      <c r="M20" s="46" t="s">
        <v>95</v>
      </c>
      <c r="N20" s="46" t="s">
        <v>95</v>
      </c>
      <c r="O20" s="46" t="s">
        <v>95</v>
      </c>
      <c r="P20" s="46" t="s">
        <v>95</v>
      </c>
      <c r="Q20" s="20" t="s">
        <v>95</v>
      </c>
      <c r="R20" s="20" t="s">
        <v>95</v>
      </c>
      <c r="S20" s="130" t="s">
        <v>3314</v>
      </c>
      <c r="T20" s="44" t="s">
        <v>95</v>
      </c>
      <c r="U20" s="44" t="s">
        <v>95</v>
      </c>
      <c r="V20" s="20" t="s">
        <v>95</v>
      </c>
      <c r="W20" s="44" t="s">
        <v>95</v>
      </c>
      <c r="X20" s="44" t="s">
        <v>95</v>
      </c>
      <c r="Y20" s="44" t="s">
        <v>95</v>
      </c>
      <c r="Z20" s="44" t="s">
        <v>95</v>
      </c>
      <c r="AA20" s="46" t="s">
        <v>95</v>
      </c>
      <c r="AB20" s="47" t="s">
        <v>140</v>
      </c>
      <c r="AC20" s="46" t="s">
        <v>95</v>
      </c>
      <c r="AD20" s="46" t="s">
        <v>95</v>
      </c>
      <c r="AE20" s="46" t="s">
        <v>95</v>
      </c>
      <c r="AF20" s="46" t="s">
        <v>95</v>
      </c>
      <c r="AG20" s="46" t="s">
        <v>95</v>
      </c>
      <c r="AH20" s="46" t="s">
        <v>95</v>
      </c>
      <c r="AI20" s="46" t="s">
        <v>95</v>
      </c>
      <c r="AJ20" s="46" t="s">
        <v>95</v>
      </c>
      <c r="AK20" s="47" t="s">
        <v>140</v>
      </c>
      <c r="AL20" s="47" t="s">
        <v>140</v>
      </c>
      <c r="AM20" s="47" t="s">
        <v>140</v>
      </c>
      <c r="AN20" s="47" t="s">
        <v>140</v>
      </c>
      <c r="AO20" s="47" t="s">
        <v>95</v>
      </c>
      <c r="AP20" s="47" t="s">
        <v>95</v>
      </c>
      <c r="AQ20" s="43" t="s">
        <v>95</v>
      </c>
      <c r="AR20" s="43" t="s">
        <v>95</v>
      </c>
      <c r="AS20" s="43" t="s">
        <v>95</v>
      </c>
      <c r="AT20" s="47" t="s">
        <v>140</v>
      </c>
      <c r="AU20" s="46" t="s">
        <v>95</v>
      </c>
      <c r="AV20" s="46" t="s">
        <v>95</v>
      </c>
      <c r="AW20" s="46" t="s">
        <v>95</v>
      </c>
      <c r="AX20" s="46" t="s">
        <v>95</v>
      </c>
      <c r="AY20" s="47" t="s">
        <v>140</v>
      </c>
      <c r="AZ20" s="47" t="s">
        <v>95</v>
      </c>
      <c r="BA20" s="46" t="s">
        <v>95</v>
      </c>
      <c r="BB20" s="46" t="s">
        <v>95</v>
      </c>
      <c r="BC20" s="47" t="s">
        <v>95</v>
      </c>
      <c r="BD20" s="47" t="s">
        <v>95</v>
      </c>
      <c r="BE20" s="46" t="s">
        <v>95</v>
      </c>
    </row>
    <row r="21" spans="1:57" x14ac:dyDescent="0.2">
      <c r="A21" s="76" t="s">
        <v>402</v>
      </c>
      <c r="B21" s="69"/>
      <c r="C21" s="69" t="s">
        <v>2764</v>
      </c>
      <c r="D21" s="69" t="s">
        <v>1595</v>
      </c>
      <c r="E21" s="69" t="s">
        <v>1484</v>
      </c>
      <c r="F21" s="106" t="s">
        <v>1484</v>
      </c>
      <c r="G21" s="128"/>
      <c r="H21" s="128"/>
      <c r="I21" s="107" t="s">
        <v>1740</v>
      </c>
      <c r="J21" s="69" t="s">
        <v>1343</v>
      </c>
      <c r="K21" s="69" t="s">
        <v>731</v>
      </c>
      <c r="L21" s="69" t="s">
        <v>731</v>
      </c>
      <c r="M21" s="69" t="s">
        <v>731</v>
      </c>
      <c r="N21" s="69" t="s">
        <v>3047</v>
      </c>
      <c r="O21" s="69" t="s">
        <v>3047</v>
      </c>
      <c r="P21" s="69" t="s">
        <v>3047</v>
      </c>
      <c r="Q21" s="69" t="s">
        <v>494</v>
      </c>
      <c r="R21" s="69" t="s">
        <v>494</v>
      </c>
      <c r="S21" s="131"/>
      <c r="T21" s="69"/>
      <c r="U21" s="69"/>
      <c r="V21" s="69" t="s">
        <v>2591</v>
      </c>
      <c r="W21" s="69" t="s">
        <v>2591</v>
      </c>
      <c r="X21" s="69" t="s">
        <v>851</v>
      </c>
      <c r="Y21" s="69" t="s">
        <v>851</v>
      </c>
      <c r="Z21" s="69" t="s">
        <v>851</v>
      </c>
      <c r="AA21" s="69" t="s">
        <v>2449</v>
      </c>
      <c r="AB21" s="69" t="s">
        <v>2369</v>
      </c>
      <c r="AC21" s="69" t="s">
        <v>649</v>
      </c>
      <c r="AD21" s="69" t="s">
        <v>649</v>
      </c>
      <c r="AE21" s="69"/>
      <c r="AF21" s="69"/>
      <c r="AG21" s="69"/>
      <c r="AH21" s="69" t="s">
        <v>1708</v>
      </c>
      <c r="AI21" s="69" t="s">
        <v>1708</v>
      </c>
      <c r="AJ21" s="69" t="s">
        <v>1772</v>
      </c>
      <c r="AK21" s="69" t="s">
        <v>1811</v>
      </c>
      <c r="AL21" s="69" t="s">
        <v>3557</v>
      </c>
      <c r="AM21" s="69" t="s">
        <v>1811</v>
      </c>
      <c r="AN21" s="69" t="s">
        <v>1811</v>
      </c>
      <c r="AO21" s="69" t="s">
        <v>786</v>
      </c>
      <c r="AP21" s="69" t="s">
        <v>786</v>
      </c>
      <c r="AQ21" s="69" t="s">
        <v>3221</v>
      </c>
      <c r="AR21" s="69" t="s">
        <v>3221</v>
      </c>
      <c r="AS21" s="69" t="s">
        <v>3221</v>
      </c>
      <c r="AT21" s="69" t="s">
        <v>1245</v>
      </c>
      <c r="AU21" s="69" t="s">
        <v>927</v>
      </c>
      <c r="AV21" s="69" t="s">
        <v>927</v>
      </c>
      <c r="AW21" s="69" t="s">
        <v>927</v>
      </c>
      <c r="AX21" s="69" t="s">
        <v>1035</v>
      </c>
      <c r="AY21" s="69" t="s">
        <v>1939</v>
      </c>
      <c r="AZ21" s="69"/>
      <c r="BA21" s="69"/>
      <c r="BB21" s="69"/>
      <c r="BC21" s="69" t="s">
        <v>1772</v>
      </c>
      <c r="BD21" s="69" t="s">
        <v>1772</v>
      </c>
      <c r="BE21" s="69" t="s">
        <v>1521</v>
      </c>
    </row>
    <row r="22" spans="1:57" s="281" customFormat="1" ht="45" x14ac:dyDescent="0.2">
      <c r="A22" s="25" t="s">
        <v>4819</v>
      </c>
      <c r="B22" s="218"/>
      <c r="C22" s="47"/>
      <c r="D22" s="47"/>
      <c r="E22" s="47"/>
      <c r="F22" s="62"/>
      <c r="G22" s="117"/>
      <c r="H22" s="117"/>
      <c r="I22" s="121"/>
      <c r="J22" s="47"/>
      <c r="K22" s="47"/>
      <c r="L22" s="47"/>
      <c r="M22" s="47"/>
      <c r="N22" s="47"/>
      <c r="O22" s="47"/>
      <c r="P22" s="47"/>
      <c r="Q22" s="47"/>
      <c r="R22" s="47"/>
      <c r="S22" s="280"/>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row>
    <row r="23" spans="1:57" x14ac:dyDescent="0.2">
      <c r="A23" s="76" t="s">
        <v>402</v>
      </c>
      <c r="B23" s="69"/>
      <c r="C23" s="69"/>
      <c r="D23" s="69"/>
      <c r="E23" s="69"/>
      <c r="F23" s="106"/>
      <c r="G23" s="128"/>
      <c r="H23" s="128"/>
      <c r="I23" s="107"/>
      <c r="J23" s="69"/>
      <c r="K23" s="69"/>
      <c r="L23" s="69"/>
      <c r="M23" s="69"/>
      <c r="N23" s="69"/>
      <c r="O23" s="69"/>
      <c r="P23" s="69"/>
      <c r="Q23" s="69"/>
      <c r="R23" s="69"/>
      <c r="S23" s="131"/>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row>
    <row r="24" spans="1:57" s="281" customFormat="1" ht="45" x14ac:dyDescent="0.2">
      <c r="A24" s="25" t="s">
        <v>4818</v>
      </c>
      <c r="B24" s="218" t="s">
        <v>3779</v>
      </c>
      <c r="C24" s="47"/>
      <c r="D24" s="47"/>
      <c r="E24" s="47"/>
      <c r="F24" s="62"/>
      <c r="G24" s="117"/>
      <c r="H24" s="117"/>
      <c r="I24" s="121"/>
      <c r="J24" s="47"/>
      <c r="K24" s="47"/>
      <c r="L24" s="47"/>
      <c r="M24" s="47"/>
      <c r="N24" s="47"/>
      <c r="O24" s="47"/>
      <c r="P24" s="47"/>
      <c r="Q24" s="47"/>
      <c r="R24" s="47"/>
      <c r="S24" s="280"/>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row>
    <row r="25" spans="1:57" x14ac:dyDescent="0.2">
      <c r="A25" s="76" t="s">
        <v>402</v>
      </c>
      <c r="B25" s="69"/>
      <c r="C25" s="69"/>
      <c r="D25" s="69"/>
      <c r="E25" s="69"/>
      <c r="F25" s="106"/>
      <c r="G25" s="128"/>
      <c r="H25" s="128"/>
      <c r="I25" s="107"/>
      <c r="J25" s="69"/>
      <c r="K25" s="69"/>
      <c r="L25" s="69"/>
      <c r="M25" s="69"/>
      <c r="N25" s="69"/>
      <c r="O25" s="69"/>
      <c r="P25" s="69"/>
      <c r="Q25" s="69"/>
      <c r="R25" s="69"/>
      <c r="S25" s="131"/>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row>
    <row r="26" spans="1:57" ht="36" x14ac:dyDescent="0.2">
      <c r="A26" s="25" t="s">
        <v>4503</v>
      </c>
      <c r="B26" s="218"/>
      <c r="C26" s="47" t="s">
        <v>95</v>
      </c>
      <c r="D26" s="46" t="s">
        <v>95</v>
      </c>
      <c r="E26" s="47" t="s">
        <v>3</v>
      </c>
      <c r="F26" s="101" t="s">
        <v>95</v>
      </c>
      <c r="G26" s="117" t="s">
        <v>3291</v>
      </c>
      <c r="H26" s="117" t="s">
        <v>3291</v>
      </c>
      <c r="I26" s="120" t="s">
        <v>94</v>
      </c>
      <c r="J26" s="47" t="s">
        <v>1311</v>
      </c>
      <c r="K26" s="46" t="s">
        <v>94</v>
      </c>
      <c r="L26" s="46" t="s">
        <v>94</v>
      </c>
      <c r="M26" s="47" t="s">
        <v>734</v>
      </c>
      <c r="N26" s="47" t="s">
        <v>2972</v>
      </c>
      <c r="O26" s="47" t="s">
        <v>3061</v>
      </c>
      <c r="P26" s="47" t="s">
        <v>3</v>
      </c>
      <c r="Q26" s="20" t="s">
        <v>95</v>
      </c>
      <c r="R26" s="20" t="s">
        <v>95</v>
      </c>
      <c r="S26" s="130" t="s">
        <v>95</v>
      </c>
      <c r="T26" s="20" t="s">
        <v>3500</v>
      </c>
      <c r="U26" s="20" t="s">
        <v>3500</v>
      </c>
      <c r="V26" s="20" t="s">
        <v>3</v>
      </c>
      <c r="W26" s="20" t="s">
        <v>2585</v>
      </c>
      <c r="X26" s="20" t="s">
        <v>3133</v>
      </c>
      <c r="Y26" s="20" t="s">
        <v>3133</v>
      </c>
      <c r="Z26" s="20" t="s">
        <v>3133</v>
      </c>
      <c r="AA26" s="47" t="s">
        <v>1928</v>
      </c>
      <c r="AB26" s="47" t="s">
        <v>2371</v>
      </c>
      <c r="AC26" s="57" t="s">
        <v>3</v>
      </c>
      <c r="AD26" s="57" t="s">
        <v>3</v>
      </c>
      <c r="AE26" s="46" t="s">
        <v>95</v>
      </c>
      <c r="AF26" s="47" t="s">
        <v>366</v>
      </c>
      <c r="AG26" s="47" t="s">
        <v>366</v>
      </c>
      <c r="AH26" s="47" t="s">
        <v>95</v>
      </c>
      <c r="AI26" s="47" t="s">
        <v>1661</v>
      </c>
      <c r="AJ26" s="46" t="s">
        <v>94</v>
      </c>
      <c r="AK26" s="46" t="s">
        <v>3560</v>
      </c>
      <c r="AL26" s="46" t="s">
        <v>3560</v>
      </c>
      <c r="AM26" s="46" t="s">
        <v>3560</v>
      </c>
      <c r="AN26" s="46" t="s">
        <v>23</v>
      </c>
      <c r="AO26" s="47" t="s">
        <v>94</v>
      </c>
      <c r="AP26" s="47" t="s">
        <v>94</v>
      </c>
      <c r="AQ26" s="47" t="s">
        <v>95</v>
      </c>
      <c r="AR26" s="47" t="s">
        <v>95</v>
      </c>
      <c r="AS26" s="47" t="s">
        <v>95</v>
      </c>
      <c r="AT26" s="47" t="s">
        <v>1243</v>
      </c>
      <c r="AU26" s="46" t="s">
        <v>3</v>
      </c>
      <c r="AV26" s="47" t="s">
        <v>882</v>
      </c>
      <c r="AW26" s="47" t="s">
        <v>882</v>
      </c>
      <c r="AX26" s="47" t="s">
        <v>1053</v>
      </c>
      <c r="AY26" s="47" t="s">
        <v>3</v>
      </c>
      <c r="AZ26" s="47" t="s">
        <v>3454</v>
      </c>
      <c r="BA26" s="46" t="s">
        <v>95</v>
      </c>
      <c r="BB26" s="47" t="s">
        <v>1071</v>
      </c>
      <c r="BC26" s="47" t="s">
        <v>262</v>
      </c>
      <c r="BD26" s="47" t="s">
        <v>1187</v>
      </c>
      <c r="BE26" s="46" t="s">
        <v>3</v>
      </c>
    </row>
    <row r="27" spans="1:57" ht="27" x14ac:dyDescent="0.2">
      <c r="A27" s="76" t="s">
        <v>402</v>
      </c>
      <c r="B27" s="69"/>
      <c r="C27" s="69" t="s">
        <v>2765</v>
      </c>
      <c r="D27" s="69" t="s">
        <v>3283</v>
      </c>
      <c r="E27" s="69" t="s">
        <v>3</v>
      </c>
      <c r="F27" s="106" t="s">
        <v>3328</v>
      </c>
      <c r="G27" s="128"/>
      <c r="H27" s="128"/>
      <c r="I27" s="107" t="s">
        <v>2555</v>
      </c>
      <c r="J27" s="69" t="s">
        <v>1310</v>
      </c>
      <c r="K27" s="69" t="s">
        <v>733</v>
      </c>
      <c r="L27" s="69" t="s">
        <v>733</v>
      </c>
      <c r="M27" s="69" t="s">
        <v>733</v>
      </c>
      <c r="N27" s="69" t="s">
        <v>3062</v>
      </c>
      <c r="O27" s="69" t="s">
        <v>3062</v>
      </c>
      <c r="P27" s="69" t="s">
        <v>3059</v>
      </c>
      <c r="Q27" s="69" t="s">
        <v>498</v>
      </c>
      <c r="R27" s="69" t="s">
        <v>498</v>
      </c>
      <c r="S27" s="131"/>
      <c r="T27" s="69"/>
      <c r="U27" s="69"/>
      <c r="V27" s="69" t="s">
        <v>2587</v>
      </c>
      <c r="W27" s="69" t="s">
        <v>2586</v>
      </c>
      <c r="X27" s="69" t="s">
        <v>3131</v>
      </c>
      <c r="Y27" s="69" t="s">
        <v>3131</v>
      </c>
      <c r="Z27" s="69" t="s">
        <v>3131</v>
      </c>
      <c r="AA27" s="69" t="s">
        <v>2444</v>
      </c>
      <c r="AB27" s="69" t="s">
        <v>2370</v>
      </c>
      <c r="AC27" s="69" t="s">
        <v>3</v>
      </c>
      <c r="AD27" s="69" t="s">
        <v>3</v>
      </c>
      <c r="AE27" s="69"/>
      <c r="AF27" s="69"/>
      <c r="AG27" s="69"/>
      <c r="AH27" s="69" t="s">
        <v>2714</v>
      </c>
      <c r="AI27" s="69" t="s">
        <v>1660</v>
      </c>
      <c r="AJ27" s="69" t="s">
        <v>1744</v>
      </c>
      <c r="AK27" s="69" t="s">
        <v>3619</v>
      </c>
      <c r="AL27" s="69" t="s">
        <v>3561</v>
      </c>
      <c r="AM27" s="69" t="s">
        <v>3561</v>
      </c>
      <c r="AN27" s="69" t="s">
        <v>1776</v>
      </c>
      <c r="AO27" s="69" t="s">
        <v>786</v>
      </c>
      <c r="AP27" s="69" t="s">
        <v>786</v>
      </c>
      <c r="AQ27" s="69" t="s">
        <v>3189</v>
      </c>
      <c r="AR27" s="69" t="s">
        <v>3011</v>
      </c>
      <c r="AS27" s="69" t="s">
        <v>3011</v>
      </c>
      <c r="AT27" s="69" t="s">
        <v>1242</v>
      </c>
      <c r="AU27" s="69" t="s">
        <v>3</v>
      </c>
      <c r="AV27" s="69" t="s">
        <v>881</v>
      </c>
      <c r="AW27" s="69" t="s">
        <v>881</v>
      </c>
      <c r="AX27" s="96" t="s">
        <v>1052</v>
      </c>
      <c r="AY27" s="69"/>
      <c r="AZ27" s="69" t="s">
        <v>924</v>
      </c>
      <c r="BA27" s="69"/>
      <c r="BB27" s="69"/>
      <c r="BC27" s="69" t="s">
        <v>1164</v>
      </c>
      <c r="BD27" s="69" t="s">
        <v>1188</v>
      </c>
      <c r="BE27" s="69" t="s">
        <v>1508</v>
      </c>
    </row>
    <row r="28" spans="1:57" x14ac:dyDescent="0.2">
      <c r="A28" s="25" t="s">
        <v>3698</v>
      </c>
      <c r="B28" s="218"/>
      <c r="C28" s="47"/>
      <c r="D28" s="46"/>
      <c r="E28" s="47"/>
      <c r="F28" s="101"/>
      <c r="G28" s="117"/>
      <c r="H28" s="117"/>
      <c r="I28" s="120"/>
      <c r="J28" s="47"/>
      <c r="K28" s="46"/>
      <c r="L28" s="46"/>
      <c r="M28" s="47"/>
      <c r="N28" s="47"/>
      <c r="O28" s="47"/>
      <c r="P28" s="47"/>
      <c r="Q28" s="20"/>
      <c r="R28" s="20"/>
      <c r="S28" s="130"/>
      <c r="T28" s="20"/>
      <c r="U28" s="20"/>
      <c r="V28" s="20"/>
      <c r="W28" s="20"/>
      <c r="X28" s="20"/>
      <c r="Y28" s="20"/>
      <c r="Z28" s="20"/>
      <c r="AA28" s="47"/>
      <c r="AB28" s="47"/>
      <c r="AC28" s="57"/>
      <c r="AD28" s="57"/>
      <c r="AE28" s="46"/>
      <c r="AF28" s="47"/>
      <c r="AG28" s="47"/>
      <c r="AH28" s="47"/>
      <c r="AI28" s="47"/>
      <c r="AJ28" s="46"/>
      <c r="AK28" s="46"/>
      <c r="AL28" s="46"/>
      <c r="AM28" s="46"/>
      <c r="AN28" s="46"/>
      <c r="AO28" s="47"/>
      <c r="AP28" s="47"/>
      <c r="AQ28" s="47"/>
      <c r="AR28" s="47"/>
      <c r="AS28" s="47"/>
      <c r="AT28" s="47"/>
      <c r="AU28" s="46"/>
      <c r="AV28" s="47"/>
      <c r="AW28" s="47"/>
      <c r="AX28" s="47"/>
      <c r="AY28" s="47"/>
      <c r="AZ28" s="47"/>
      <c r="BA28" s="46"/>
      <c r="BB28" s="47"/>
      <c r="BC28" s="47"/>
      <c r="BD28" s="47"/>
      <c r="BE28" s="46"/>
    </row>
    <row r="29" spans="1:57" x14ac:dyDescent="0.2">
      <c r="A29" s="76" t="s">
        <v>402</v>
      </c>
      <c r="B29" s="69"/>
      <c r="C29" s="69"/>
      <c r="D29" s="69"/>
      <c r="E29" s="69"/>
      <c r="F29" s="106"/>
      <c r="G29" s="128"/>
      <c r="H29" s="128"/>
      <c r="I29" s="107"/>
      <c r="J29" s="69"/>
      <c r="K29" s="69"/>
      <c r="L29" s="69"/>
      <c r="M29" s="69"/>
      <c r="N29" s="69"/>
      <c r="O29" s="69"/>
      <c r="P29" s="69"/>
      <c r="Q29" s="69"/>
      <c r="R29" s="69"/>
      <c r="S29" s="131"/>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96"/>
      <c r="AY29" s="69"/>
      <c r="AZ29" s="69"/>
      <c r="BA29" s="69"/>
      <c r="BB29" s="69"/>
      <c r="BC29" s="69"/>
      <c r="BD29" s="69"/>
      <c r="BE29" s="69"/>
    </row>
    <row r="30" spans="1:57" ht="27" x14ac:dyDescent="0.2">
      <c r="A30" s="25" t="s">
        <v>57</v>
      </c>
      <c r="B30" s="222" t="s">
        <v>3644</v>
      </c>
      <c r="C30" s="47" t="s">
        <v>2766</v>
      </c>
      <c r="D30" s="47" t="s">
        <v>3262</v>
      </c>
      <c r="E30" s="47" t="s">
        <v>1466</v>
      </c>
      <c r="F30" s="62" t="s">
        <v>1467</v>
      </c>
      <c r="G30" s="117" t="s">
        <v>3290</v>
      </c>
      <c r="H30" s="117" t="s">
        <v>3290</v>
      </c>
      <c r="I30" s="121" t="s">
        <v>2553</v>
      </c>
      <c r="J30" s="47" t="s">
        <v>1287</v>
      </c>
      <c r="K30" s="47" t="s">
        <v>651</v>
      </c>
      <c r="L30" s="47" t="s">
        <v>651</v>
      </c>
      <c r="M30" s="47" t="s">
        <v>651</v>
      </c>
      <c r="N30" s="47" t="s">
        <v>2971</v>
      </c>
      <c r="O30" s="47" t="s">
        <v>2971</v>
      </c>
      <c r="P30" s="47" t="s">
        <v>2971</v>
      </c>
      <c r="Q30" s="20" t="s">
        <v>328</v>
      </c>
      <c r="R30" s="20" t="s">
        <v>328</v>
      </c>
      <c r="S30" s="130" t="s">
        <v>95</v>
      </c>
      <c r="T30" s="20" t="s">
        <v>95</v>
      </c>
      <c r="U30" s="20" t="s">
        <v>95</v>
      </c>
      <c r="V30" s="20" t="s">
        <v>192</v>
      </c>
      <c r="W30" s="20" t="s">
        <v>192</v>
      </c>
      <c r="X30" s="20" t="s">
        <v>3128</v>
      </c>
      <c r="Y30" s="20" t="s">
        <v>3128</v>
      </c>
      <c r="Z30" s="20" t="s">
        <v>3128</v>
      </c>
      <c r="AA30" s="47" t="s">
        <v>95</v>
      </c>
      <c r="AB30" s="47" t="s">
        <v>651</v>
      </c>
      <c r="AC30" s="47" t="s">
        <v>110</v>
      </c>
      <c r="AD30" s="47" t="s">
        <v>3</v>
      </c>
      <c r="AE30" s="47" t="s">
        <v>95</v>
      </c>
      <c r="AF30" s="47" t="s">
        <v>362</v>
      </c>
      <c r="AG30" s="47" t="s">
        <v>362</v>
      </c>
      <c r="AH30" s="46" t="s">
        <v>95</v>
      </c>
      <c r="AI30" s="46" t="s">
        <v>95</v>
      </c>
      <c r="AJ30" s="47" t="s">
        <v>12</v>
      </c>
      <c r="AK30" s="46" t="s">
        <v>95</v>
      </c>
      <c r="AL30" s="47" t="s">
        <v>95</v>
      </c>
      <c r="AM30" s="46" t="s">
        <v>95</v>
      </c>
      <c r="AN30" s="46" t="s">
        <v>95</v>
      </c>
      <c r="AO30" s="46" t="s">
        <v>651</v>
      </c>
      <c r="AP30" s="46" t="s">
        <v>651</v>
      </c>
      <c r="AQ30" s="46" t="s">
        <v>651</v>
      </c>
      <c r="AR30" s="46" t="s">
        <v>651</v>
      </c>
      <c r="AS30" s="46" t="s">
        <v>651</v>
      </c>
      <c r="AT30" s="47" t="s">
        <v>1246</v>
      </c>
      <c r="AU30" s="47" t="s">
        <v>651</v>
      </c>
      <c r="AV30" s="47" t="s">
        <v>186</v>
      </c>
      <c r="AW30" s="47" t="s">
        <v>186</v>
      </c>
      <c r="AX30" s="47" t="s">
        <v>1066</v>
      </c>
      <c r="AY30" s="155" t="s">
        <v>12</v>
      </c>
      <c r="AZ30" s="155" t="s">
        <v>3452</v>
      </c>
      <c r="BA30" s="47" t="s">
        <v>12</v>
      </c>
      <c r="BB30" s="47" t="s">
        <v>12</v>
      </c>
      <c r="BC30" s="47" t="s">
        <v>94</v>
      </c>
      <c r="BD30" s="47" t="s">
        <v>266</v>
      </c>
      <c r="BE30" s="47" t="s">
        <v>651</v>
      </c>
    </row>
    <row r="31" spans="1:57" ht="27" x14ac:dyDescent="0.2">
      <c r="A31" s="76" t="s">
        <v>402</v>
      </c>
      <c r="B31" s="69"/>
      <c r="C31" s="69" t="s">
        <v>2765</v>
      </c>
      <c r="D31" s="69" t="s">
        <v>3263</v>
      </c>
      <c r="E31" s="69" t="s">
        <v>1465</v>
      </c>
      <c r="F31" s="106" t="s">
        <v>1465</v>
      </c>
      <c r="G31" s="128"/>
      <c r="H31" s="128"/>
      <c r="I31" s="107" t="s">
        <v>2554</v>
      </c>
      <c r="J31" s="69" t="s">
        <v>1288</v>
      </c>
      <c r="K31" s="69" t="s">
        <v>658</v>
      </c>
      <c r="L31" s="69" t="s">
        <v>658</v>
      </c>
      <c r="M31" s="69" t="s">
        <v>658</v>
      </c>
      <c r="N31" s="69" t="s">
        <v>3060</v>
      </c>
      <c r="O31" s="69" t="s">
        <v>3060</v>
      </c>
      <c r="P31" s="69" t="s">
        <v>3060</v>
      </c>
      <c r="Q31" s="69" t="s">
        <v>497</v>
      </c>
      <c r="R31" s="69" t="s">
        <v>497</v>
      </c>
      <c r="S31" s="131"/>
      <c r="T31" s="69"/>
      <c r="U31" s="69"/>
      <c r="V31" s="69" t="s">
        <v>551</v>
      </c>
      <c r="W31" s="69" t="s">
        <v>551</v>
      </c>
      <c r="X31" s="69" t="s">
        <v>851</v>
      </c>
      <c r="Y31" s="69" t="s">
        <v>851</v>
      </c>
      <c r="Z31" s="69" t="s">
        <v>851</v>
      </c>
      <c r="AA31" s="69" t="s">
        <v>2450</v>
      </c>
      <c r="AB31" s="69" t="s">
        <v>1463</v>
      </c>
      <c r="AC31" s="69" t="s">
        <v>608</v>
      </c>
      <c r="AD31" s="69" t="s">
        <v>3</v>
      </c>
      <c r="AE31" s="69"/>
      <c r="AF31" s="69"/>
      <c r="AG31" s="69"/>
      <c r="AH31" s="69" t="s">
        <v>2716</v>
      </c>
      <c r="AI31" s="69" t="s">
        <v>1662</v>
      </c>
      <c r="AJ31" s="69" t="s">
        <v>1773</v>
      </c>
      <c r="AK31" s="69" t="s">
        <v>3555</v>
      </c>
      <c r="AL31" s="69" t="s">
        <v>3555</v>
      </c>
      <c r="AM31" s="69" t="s">
        <v>1773</v>
      </c>
      <c r="AN31" s="69" t="s">
        <v>1773</v>
      </c>
      <c r="AO31" s="69" t="s">
        <v>786</v>
      </c>
      <c r="AP31" s="69" t="s">
        <v>786</v>
      </c>
      <c r="AQ31" s="69" t="s">
        <v>405</v>
      </c>
      <c r="AR31" s="69" t="s">
        <v>3195</v>
      </c>
      <c r="AS31" s="69" t="s">
        <v>3195</v>
      </c>
      <c r="AT31" s="69" t="s">
        <v>405</v>
      </c>
      <c r="AU31" s="69" t="s">
        <v>553</v>
      </c>
      <c r="AV31" s="69" t="s">
        <v>885</v>
      </c>
      <c r="AW31" s="69" t="s">
        <v>885</v>
      </c>
      <c r="AX31" s="96" t="s">
        <v>1037</v>
      </c>
      <c r="AY31" s="69" t="s">
        <v>1950</v>
      </c>
      <c r="AZ31" s="69" t="s">
        <v>3455</v>
      </c>
      <c r="BA31" s="69"/>
      <c r="BB31" s="69"/>
      <c r="BC31" s="69" t="s">
        <v>1177</v>
      </c>
      <c r="BD31" s="69" t="s">
        <v>1178</v>
      </c>
      <c r="BE31" s="69" t="s">
        <v>1521</v>
      </c>
    </row>
    <row r="32" spans="1:57" ht="27" x14ac:dyDescent="0.2">
      <c r="A32" s="25" t="s">
        <v>3649</v>
      </c>
      <c r="B32" s="218"/>
      <c r="C32" s="46" t="s">
        <v>95</v>
      </c>
      <c r="D32" s="47" t="s">
        <v>3269</v>
      </c>
      <c r="E32" s="46" t="s">
        <v>1464</v>
      </c>
      <c r="F32" s="101" t="s">
        <v>1464</v>
      </c>
      <c r="G32" s="117" t="s">
        <v>95</v>
      </c>
      <c r="H32" s="117" t="s">
        <v>95</v>
      </c>
      <c r="I32" s="120" t="s">
        <v>95</v>
      </c>
      <c r="J32" s="47" t="s">
        <v>1341</v>
      </c>
      <c r="K32" s="46" t="s">
        <v>651</v>
      </c>
      <c r="L32" s="46" t="s">
        <v>651</v>
      </c>
      <c r="M32" s="46" t="s">
        <v>651</v>
      </c>
      <c r="N32" s="47" t="s">
        <v>651</v>
      </c>
      <c r="O32" s="47" t="s">
        <v>651</v>
      </c>
      <c r="P32" s="47" t="s">
        <v>651</v>
      </c>
      <c r="Q32" s="20" t="s">
        <v>180</v>
      </c>
      <c r="R32" s="20" t="s">
        <v>180</v>
      </c>
      <c r="S32" s="130" t="s">
        <v>95</v>
      </c>
      <c r="T32" s="43" t="s">
        <v>202</v>
      </c>
      <c r="U32" s="43" t="s">
        <v>202</v>
      </c>
      <c r="V32" s="20" t="s">
        <v>95</v>
      </c>
      <c r="W32" s="20" t="s">
        <v>95</v>
      </c>
      <c r="X32" s="20" t="s">
        <v>3130</v>
      </c>
      <c r="Y32" s="20" t="s">
        <v>3130</v>
      </c>
      <c r="Z32" s="20" t="s">
        <v>3130</v>
      </c>
      <c r="AA32" s="47" t="s">
        <v>95</v>
      </c>
      <c r="AB32" s="47" t="s">
        <v>651</v>
      </c>
      <c r="AC32" s="47" t="s">
        <v>647</v>
      </c>
      <c r="AD32" s="47" t="s">
        <v>647</v>
      </c>
      <c r="AE32" s="47" t="s">
        <v>95</v>
      </c>
      <c r="AF32" s="46" t="s">
        <v>224</v>
      </c>
      <c r="AG32" s="46" t="s">
        <v>224</v>
      </c>
      <c r="AH32" s="46" t="s">
        <v>95</v>
      </c>
      <c r="AI32" s="46" t="s">
        <v>95</v>
      </c>
      <c r="AJ32" s="46" t="s">
        <v>95</v>
      </c>
      <c r="AK32" s="46" t="s">
        <v>95</v>
      </c>
      <c r="AL32" s="46" t="s">
        <v>95</v>
      </c>
      <c r="AM32" s="46" t="s">
        <v>95</v>
      </c>
      <c r="AN32" s="46" t="s">
        <v>95</v>
      </c>
      <c r="AO32" s="46" t="s">
        <v>651</v>
      </c>
      <c r="AP32" s="46" t="s">
        <v>651</v>
      </c>
      <c r="AQ32" s="46" t="s">
        <v>651</v>
      </c>
      <c r="AR32" s="46" t="s">
        <v>651</v>
      </c>
      <c r="AS32" s="46" t="s">
        <v>651</v>
      </c>
      <c r="AT32" s="47" t="s">
        <v>1246</v>
      </c>
      <c r="AU32" s="47" t="s">
        <v>651</v>
      </c>
      <c r="AV32" s="47" t="s">
        <v>651</v>
      </c>
      <c r="AW32" s="47" t="s">
        <v>651</v>
      </c>
      <c r="AX32" s="47" t="s">
        <v>1002</v>
      </c>
      <c r="AY32" s="47" t="s">
        <v>1938</v>
      </c>
      <c r="AZ32" s="47" t="s">
        <v>95</v>
      </c>
      <c r="BA32" s="46" t="s">
        <v>95</v>
      </c>
      <c r="BB32" s="46" t="s">
        <v>95</v>
      </c>
      <c r="BC32" s="46" t="s">
        <v>94</v>
      </c>
      <c r="BD32" s="47" t="s">
        <v>1200</v>
      </c>
      <c r="BE32" s="47" t="s">
        <v>1501</v>
      </c>
    </row>
    <row r="33" spans="1:57" ht="18" x14ac:dyDescent="0.2">
      <c r="A33" s="76" t="s">
        <v>402</v>
      </c>
      <c r="B33" s="69"/>
      <c r="C33" s="69" t="s">
        <v>2764</v>
      </c>
      <c r="D33" s="69" t="s">
        <v>3268</v>
      </c>
      <c r="E33" s="69" t="s">
        <v>1465</v>
      </c>
      <c r="F33" s="106" t="s">
        <v>1465</v>
      </c>
      <c r="G33" s="128"/>
      <c r="H33" s="128"/>
      <c r="I33" s="107" t="s">
        <v>1740</v>
      </c>
      <c r="J33" s="69" t="s">
        <v>1342</v>
      </c>
      <c r="K33" s="69" t="s">
        <v>731</v>
      </c>
      <c r="L33" s="69" t="s">
        <v>731</v>
      </c>
      <c r="M33" s="69" t="s">
        <v>731</v>
      </c>
      <c r="N33" s="69" t="s">
        <v>3048</v>
      </c>
      <c r="O33" s="69" t="s">
        <v>3048</v>
      </c>
      <c r="P33" s="69" t="s">
        <v>3048</v>
      </c>
      <c r="Q33" s="69" t="s">
        <v>495</v>
      </c>
      <c r="R33" s="69" t="s">
        <v>495</v>
      </c>
      <c r="S33" s="131"/>
      <c r="T33" s="69"/>
      <c r="U33" s="69"/>
      <c r="V33" s="69" t="s">
        <v>551</v>
      </c>
      <c r="W33" s="69" t="s">
        <v>551</v>
      </c>
      <c r="X33" s="69" t="s">
        <v>3129</v>
      </c>
      <c r="Y33" s="69" t="s">
        <v>3129</v>
      </c>
      <c r="Z33" s="69" t="s">
        <v>3129</v>
      </c>
      <c r="AA33" s="69" t="s">
        <v>2450</v>
      </c>
      <c r="AB33" s="69" t="s">
        <v>1463</v>
      </c>
      <c r="AC33" s="69" t="s">
        <v>650</v>
      </c>
      <c r="AD33" s="69" t="s">
        <v>650</v>
      </c>
      <c r="AE33" s="69"/>
      <c r="AF33" s="69"/>
      <c r="AG33" s="69"/>
      <c r="AH33" s="69" t="s">
        <v>2716</v>
      </c>
      <c r="AI33" s="69" t="s">
        <v>1662</v>
      </c>
      <c r="AJ33" s="69" t="s">
        <v>1772</v>
      </c>
      <c r="AK33" s="69" t="s">
        <v>3555</v>
      </c>
      <c r="AL33" s="69" t="s">
        <v>3558</v>
      </c>
      <c r="AM33" s="69" t="s">
        <v>1773</v>
      </c>
      <c r="AN33" s="69" t="s">
        <v>1773</v>
      </c>
      <c r="AO33" s="69" t="s">
        <v>786</v>
      </c>
      <c r="AP33" s="69" t="s">
        <v>786</v>
      </c>
      <c r="AQ33" s="69" t="s">
        <v>405</v>
      </c>
      <c r="AR33" s="69" t="s">
        <v>3195</v>
      </c>
      <c r="AS33" s="69" t="s">
        <v>3195</v>
      </c>
      <c r="AT33" s="69" t="s">
        <v>405</v>
      </c>
      <c r="AU33" s="69" t="s">
        <v>553</v>
      </c>
      <c r="AV33" s="69" t="s">
        <v>553</v>
      </c>
      <c r="AW33" s="69" t="s">
        <v>553</v>
      </c>
      <c r="AX33" s="96" t="s">
        <v>1036</v>
      </c>
      <c r="AY33" s="69" t="s">
        <v>1951</v>
      </c>
      <c r="AZ33" s="69" t="s">
        <v>3455</v>
      </c>
      <c r="BA33" s="69"/>
      <c r="BB33" s="69"/>
      <c r="BC33" s="69" t="s">
        <v>405</v>
      </c>
      <c r="BD33" s="69" t="s">
        <v>1194</v>
      </c>
      <c r="BE33" s="69" t="s">
        <v>1523</v>
      </c>
    </row>
    <row r="34" spans="1:57" ht="36" x14ac:dyDescent="0.2">
      <c r="A34" s="174" t="s">
        <v>4820</v>
      </c>
      <c r="B34" s="223"/>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row>
    <row r="35" spans="1:57" ht="18" x14ac:dyDescent="0.2">
      <c r="A35" s="162" t="s">
        <v>4786</v>
      </c>
      <c r="B35" s="223"/>
      <c r="C35" s="186"/>
      <c r="D35" s="183"/>
      <c r="E35" s="183"/>
      <c r="F35" s="192"/>
      <c r="G35" s="184"/>
      <c r="H35" s="184"/>
      <c r="I35" s="193"/>
      <c r="J35" s="186"/>
      <c r="K35" s="183"/>
      <c r="L35" s="183"/>
      <c r="M35" s="183"/>
      <c r="N35" s="183"/>
      <c r="O35" s="183"/>
      <c r="P35" s="183"/>
      <c r="Q35" s="194"/>
      <c r="R35" s="194"/>
      <c r="S35" s="185"/>
      <c r="T35" s="195"/>
      <c r="U35" s="195"/>
      <c r="V35" s="194"/>
      <c r="W35" s="195"/>
      <c r="X35" s="195"/>
      <c r="Y35" s="195"/>
      <c r="Z35" s="195"/>
      <c r="AA35" s="183"/>
      <c r="AB35" s="183"/>
      <c r="AC35" s="183"/>
      <c r="AD35" s="186"/>
      <c r="AE35" s="186"/>
      <c r="AF35" s="186"/>
      <c r="AG35" s="186"/>
      <c r="AH35" s="186"/>
      <c r="AI35" s="186"/>
      <c r="AJ35" s="186"/>
      <c r="AK35" s="186"/>
      <c r="AL35" s="186"/>
      <c r="AM35" s="186"/>
      <c r="AN35" s="186"/>
      <c r="AO35" s="186"/>
      <c r="AP35" s="186"/>
      <c r="AQ35" s="195"/>
      <c r="AR35" s="195"/>
      <c r="AS35" s="196"/>
      <c r="AT35" s="183"/>
      <c r="AU35" s="186"/>
      <c r="AV35" s="186"/>
      <c r="AW35" s="186"/>
      <c r="AX35" s="183"/>
      <c r="AY35" s="183"/>
      <c r="AZ35" s="183"/>
      <c r="BA35" s="183"/>
      <c r="BB35" s="183"/>
      <c r="BC35" s="186"/>
      <c r="BD35" s="183"/>
      <c r="BE35" s="183"/>
    </row>
    <row r="36" spans="1:57" x14ac:dyDescent="0.2">
      <c r="A36" s="162" t="s">
        <v>4805</v>
      </c>
      <c r="B36" s="223"/>
      <c r="C36" s="186"/>
      <c r="D36" s="183"/>
      <c r="E36" s="183"/>
      <c r="F36" s="192"/>
      <c r="G36" s="184"/>
      <c r="H36" s="184"/>
      <c r="I36" s="193"/>
      <c r="J36" s="186"/>
      <c r="K36" s="183"/>
      <c r="L36" s="183"/>
      <c r="M36" s="183"/>
      <c r="N36" s="183"/>
      <c r="O36" s="183"/>
      <c r="P36" s="183"/>
      <c r="Q36" s="194"/>
      <c r="R36" s="194"/>
      <c r="S36" s="185"/>
      <c r="T36" s="195"/>
      <c r="U36" s="195"/>
      <c r="V36" s="194"/>
      <c r="W36" s="195"/>
      <c r="X36" s="195"/>
      <c r="Y36" s="195"/>
      <c r="Z36" s="195"/>
      <c r="AA36" s="183"/>
      <c r="AB36" s="183"/>
      <c r="AC36" s="183"/>
      <c r="AD36" s="186"/>
      <c r="AE36" s="186"/>
      <c r="AF36" s="186"/>
      <c r="AG36" s="186"/>
      <c r="AH36" s="186"/>
      <c r="AI36" s="186"/>
      <c r="AJ36" s="186"/>
      <c r="AK36" s="186"/>
      <c r="AL36" s="186"/>
      <c r="AM36" s="186"/>
      <c r="AN36" s="186"/>
      <c r="AO36" s="186"/>
      <c r="AP36" s="186"/>
      <c r="AQ36" s="195"/>
      <c r="AR36" s="195"/>
      <c r="AS36" s="196"/>
      <c r="AT36" s="183"/>
      <c r="AU36" s="186"/>
      <c r="AV36" s="186"/>
      <c r="AW36" s="186"/>
      <c r="AX36" s="183"/>
      <c r="AY36" s="183"/>
      <c r="AZ36" s="183"/>
      <c r="BA36" s="183"/>
      <c r="BB36" s="183"/>
      <c r="BC36" s="186"/>
      <c r="BD36" s="183"/>
      <c r="BE36" s="183"/>
    </row>
    <row r="37" spans="1:57" ht="27" x14ac:dyDescent="0.2">
      <c r="A37" s="162" t="s">
        <v>4787</v>
      </c>
      <c r="B37" s="223"/>
      <c r="C37" s="186"/>
      <c r="D37" s="183"/>
      <c r="E37" s="183"/>
      <c r="F37" s="192"/>
      <c r="G37" s="184"/>
      <c r="H37" s="184"/>
      <c r="I37" s="193"/>
      <c r="J37" s="186"/>
      <c r="K37" s="183"/>
      <c r="L37" s="183"/>
      <c r="M37" s="183"/>
      <c r="N37" s="183"/>
      <c r="O37" s="183"/>
      <c r="P37" s="183"/>
      <c r="Q37" s="194"/>
      <c r="R37" s="194"/>
      <c r="S37" s="185"/>
      <c r="T37" s="195"/>
      <c r="U37" s="195"/>
      <c r="V37" s="194"/>
      <c r="W37" s="195"/>
      <c r="X37" s="195"/>
      <c r="Y37" s="195"/>
      <c r="Z37" s="195"/>
      <c r="AA37" s="183"/>
      <c r="AB37" s="183"/>
      <c r="AC37" s="183"/>
      <c r="AD37" s="186"/>
      <c r="AE37" s="186"/>
      <c r="AF37" s="186"/>
      <c r="AG37" s="186"/>
      <c r="AH37" s="186"/>
      <c r="AI37" s="186"/>
      <c r="AJ37" s="186"/>
      <c r="AK37" s="186"/>
      <c r="AL37" s="186"/>
      <c r="AM37" s="186"/>
      <c r="AN37" s="186"/>
      <c r="AO37" s="186"/>
      <c r="AP37" s="186"/>
      <c r="AQ37" s="195"/>
      <c r="AR37" s="195"/>
      <c r="AS37" s="196"/>
      <c r="AT37" s="183"/>
      <c r="AU37" s="186"/>
      <c r="AV37" s="186"/>
      <c r="AW37" s="186"/>
      <c r="AX37" s="183"/>
      <c r="AY37" s="183"/>
      <c r="AZ37" s="183"/>
      <c r="BA37" s="183"/>
      <c r="BB37" s="183"/>
      <c r="BC37" s="186"/>
      <c r="BD37" s="183"/>
      <c r="BE37" s="183"/>
    </row>
    <row r="38" spans="1:57" ht="18" x14ac:dyDescent="0.2">
      <c r="A38" s="162" t="s">
        <v>4790</v>
      </c>
      <c r="B38" s="223"/>
      <c r="C38" s="186"/>
      <c r="D38" s="183"/>
      <c r="E38" s="183"/>
      <c r="F38" s="192"/>
      <c r="G38" s="184"/>
      <c r="H38" s="184"/>
      <c r="I38" s="193"/>
      <c r="J38" s="186"/>
      <c r="K38" s="183"/>
      <c r="L38" s="183"/>
      <c r="M38" s="183"/>
      <c r="N38" s="183"/>
      <c r="O38" s="183"/>
      <c r="P38" s="183"/>
      <c r="Q38" s="194"/>
      <c r="R38" s="194"/>
      <c r="S38" s="185"/>
      <c r="T38" s="195"/>
      <c r="U38" s="195"/>
      <c r="V38" s="194"/>
      <c r="W38" s="195"/>
      <c r="X38" s="195"/>
      <c r="Y38" s="195"/>
      <c r="Z38" s="195"/>
      <c r="AA38" s="183"/>
      <c r="AB38" s="183"/>
      <c r="AC38" s="183"/>
      <c r="AD38" s="186"/>
      <c r="AE38" s="186"/>
      <c r="AF38" s="186"/>
      <c r="AG38" s="186"/>
      <c r="AH38" s="186"/>
      <c r="AI38" s="186"/>
      <c r="AJ38" s="186"/>
      <c r="AK38" s="186"/>
      <c r="AL38" s="186"/>
      <c r="AM38" s="186"/>
      <c r="AN38" s="186"/>
      <c r="AO38" s="186"/>
      <c r="AP38" s="186"/>
      <c r="AQ38" s="195"/>
      <c r="AR38" s="195"/>
      <c r="AS38" s="196"/>
      <c r="AT38" s="183"/>
      <c r="AU38" s="186"/>
      <c r="AV38" s="186"/>
      <c r="AW38" s="186"/>
      <c r="AX38" s="183"/>
      <c r="AY38" s="183"/>
      <c r="AZ38" s="183"/>
      <c r="BA38" s="183"/>
      <c r="BB38" s="183"/>
      <c r="BC38" s="186"/>
      <c r="BD38" s="183"/>
      <c r="BE38" s="183"/>
    </row>
    <row r="39" spans="1:57" ht="18" x14ac:dyDescent="0.2">
      <c r="A39" s="162" t="s">
        <v>4789</v>
      </c>
      <c r="B39" s="223"/>
      <c r="C39" s="186"/>
      <c r="D39" s="183"/>
      <c r="E39" s="183"/>
      <c r="F39" s="192"/>
      <c r="G39" s="184"/>
      <c r="H39" s="184"/>
      <c r="I39" s="193"/>
      <c r="J39" s="186"/>
      <c r="K39" s="183"/>
      <c r="L39" s="183"/>
      <c r="M39" s="183"/>
      <c r="N39" s="183"/>
      <c r="O39" s="183"/>
      <c r="P39" s="183"/>
      <c r="Q39" s="194"/>
      <c r="R39" s="194"/>
      <c r="S39" s="185"/>
      <c r="T39" s="195"/>
      <c r="U39" s="195"/>
      <c r="V39" s="194"/>
      <c r="W39" s="195"/>
      <c r="X39" s="195"/>
      <c r="Y39" s="195"/>
      <c r="Z39" s="195"/>
      <c r="AA39" s="183"/>
      <c r="AB39" s="183"/>
      <c r="AC39" s="183"/>
      <c r="AD39" s="186"/>
      <c r="AE39" s="186"/>
      <c r="AF39" s="186"/>
      <c r="AG39" s="186"/>
      <c r="AH39" s="186"/>
      <c r="AI39" s="186"/>
      <c r="AJ39" s="186"/>
      <c r="AK39" s="186"/>
      <c r="AL39" s="186"/>
      <c r="AM39" s="186"/>
      <c r="AN39" s="186"/>
      <c r="AO39" s="186"/>
      <c r="AP39" s="186"/>
      <c r="AQ39" s="195"/>
      <c r="AR39" s="195"/>
      <c r="AS39" s="196"/>
      <c r="AT39" s="183"/>
      <c r="AU39" s="186"/>
      <c r="AV39" s="186"/>
      <c r="AW39" s="186"/>
      <c r="AX39" s="183"/>
      <c r="AY39" s="183"/>
      <c r="AZ39" s="183"/>
      <c r="BA39" s="183"/>
      <c r="BB39" s="183"/>
      <c r="BC39" s="186"/>
      <c r="BD39" s="183"/>
      <c r="BE39" s="183"/>
    </row>
    <row r="40" spans="1:57" ht="18" x14ac:dyDescent="0.2">
      <c r="A40" s="162" t="s">
        <v>4788</v>
      </c>
      <c r="B40" s="223"/>
      <c r="C40" s="186"/>
      <c r="D40" s="183"/>
      <c r="E40" s="183"/>
      <c r="F40" s="192"/>
      <c r="G40" s="184"/>
      <c r="H40" s="184"/>
      <c r="I40" s="193"/>
      <c r="J40" s="186"/>
      <c r="K40" s="183"/>
      <c r="L40" s="183"/>
      <c r="M40" s="183"/>
      <c r="N40" s="183"/>
      <c r="O40" s="183"/>
      <c r="P40" s="183"/>
      <c r="Q40" s="194"/>
      <c r="R40" s="194"/>
      <c r="S40" s="185"/>
      <c r="T40" s="195"/>
      <c r="U40" s="195"/>
      <c r="V40" s="194"/>
      <c r="W40" s="195"/>
      <c r="X40" s="195"/>
      <c r="Y40" s="195"/>
      <c r="Z40" s="195"/>
      <c r="AA40" s="183"/>
      <c r="AB40" s="183"/>
      <c r="AC40" s="183"/>
      <c r="AD40" s="186"/>
      <c r="AE40" s="186"/>
      <c r="AF40" s="186"/>
      <c r="AG40" s="186"/>
      <c r="AH40" s="186"/>
      <c r="AI40" s="186"/>
      <c r="AJ40" s="186"/>
      <c r="AK40" s="186"/>
      <c r="AL40" s="186"/>
      <c r="AM40" s="186"/>
      <c r="AN40" s="186"/>
      <c r="AO40" s="186"/>
      <c r="AP40" s="186"/>
      <c r="AQ40" s="195"/>
      <c r="AR40" s="195"/>
      <c r="AS40" s="196"/>
      <c r="AT40" s="183"/>
      <c r="AU40" s="186"/>
      <c r="AV40" s="186"/>
      <c r="AW40" s="186"/>
      <c r="AX40" s="183"/>
      <c r="AY40" s="183"/>
      <c r="AZ40" s="183"/>
      <c r="BA40" s="183"/>
      <c r="BB40" s="183"/>
      <c r="BC40" s="186"/>
      <c r="BD40" s="183"/>
      <c r="BE40" s="183"/>
    </row>
    <row r="41" spans="1:57" ht="18" x14ac:dyDescent="0.2">
      <c r="A41" s="162" t="s">
        <v>4831</v>
      </c>
      <c r="B41" s="223"/>
      <c r="C41" s="186"/>
      <c r="D41" s="183"/>
      <c r="E41" s="183"/>
      <c r="F41" s="192"/>
      <c r="G41" s="184"/>
      <c r="H41" s="184"/>
      <c r="I41" s="193"/>
      <c r="J41" s="186"/>
      <c r="K41" s="183"/>
      <c r="L41" s="183"/>
      <c r="M41" s="183"/>
      <c r="N41" s="183"/>
      <c r="O41" s="183"/>
      <c r="P41" s="183"/>
      <c r="Q41" s="194"/>
      <c r="R41" s="194"/>
      <c r="S41" s="185"/>
      <c r="T41" s="195"/>
      <c r="U41" s="195"/>
      <c r="V41" s="194"/>
      <c r="W41" s="195"/>
      <c r="X41" s="195"/>
      <c r="Y41" s="195"/>
      <c r="Z41" s="195"/>
      <c r="AA41" s="183"/>
      <c r="AB41" s="183"/>
      <c r="AC41" s="183"/>
      <c r="AD41" s="186"/>
      <c r="AE41" s="186"/>
      <c r="AF41" s="186"/>
      <c r="AG41" s="186"/>
      <c r="AH41" s="186"/>
      <c r="AI41" s="186"/>
      <c r="AJ41" s="186"/>
      <c r="AK41" s="186"/>
      <c r="AL41" s="186"/>
      <c r="AM41" s="186"/>
      <c r="AN41" s="186"/>
      <c r="AO41" s="186"/>
      <c r="AP41" s="186"/>
      <c r="AQ41" s="195"/>
      <c r="AR41" s="195"/>
      <c r="AS41" s="196"/>
      <c r="AT41" s="183"/>
      <c r="AU41" s="186"/>
      <c r="AV41" s="186"/>
      <c r="AW41" s="186"/>
      <c r="AX41" s="183"/>
      <c r="AY41" s="183"/>
      <c r="AZ41" s="183"/>
      <c r="BA41" s="183"/>
      <c r="BB41" s="183"/>
      <c r="BC41" s="186"/>
      <c r="BD41" s="183"/>
      <c r="BE41" s="183"/>
    </row>
    <row r="42" spans="1:57" ht="18" x14ac:dyDescent="0.2">
      <c r="A42" s="162" t="s">
        <v>4792</v>
      </c>
      <c r="B42" s="223"/>
      <c r="C42" s="186"/>
      <c r="D42" s="183"/>
      <c r="E42" s="183"/>
      <c r="F42" s="192"/>
      <c r="G42" s="184"/>
      <c r="H42" s="184"/>
      <c r="I42" s="193"/>
      <c r="J42" s="186"/>
      <c r="K42" s="183"/>
      <c r="L42" s="183"/>
      <c r="M42" s="183"/>
      <c r="N42" s="183"/>
      <c r="O42" s="183"/>
      <c r="P42" s="183"/>
      <c r="Q42" s="194"/>
      <c r="R42" s="194"/>
      <c r="S42" s="185"/>
      <c r="T42" s="195"/>
      <c r="U42" s="195"/>
      <c r="V42" s="194"/>
      <c r="W42" s="195"/>
      <c r="X42" s="195"/>
      <c r="Y42" s="195"/>
      <c r="Z42" s="195"/>
      <c r="AA42" s="183"/>
      <c r="AB42" s="183"/>
      <c r="AC42" s="183"/>
      <c r="AD42" s="186"/>
      <c r="AE42" s="186"/>
      <c r="AF42" s="186"/>
      <c r="AG42" s="186"/>
      <c r="AH42" s="186"/>
      <c r="AI42" s="186"/>
      <c r="AJ42" s="186"/>
      <c r="AK42" s="186"/>
      <c r="AL42" s="186"/>
      <c r="AM42" s="186"/>
      <c r="AN42" s="186"/>
      <c r="AO42" s="186"/>
      <c r="AP42" s="186"/>
      <c r="AQ42" s="195"/>
      <c r="AR42" s="195"/>
      <c r="AS42" s="196"/>
      <c r="AT42" s="183"/>
      <c r="AU42" s="186"/>
      <c r="AV42" s="186"/>
      <c r="AW42" s="186"/>
      <c r="AX42" s="183"/>
      <c r="AY42" s="183"/>
      <c r="AZ42" s="183"/>
      <c r="BA42" s="183"/>
      <c r="BB42" s="183"/>
      <c r="BC42" s="186"/>
      <c r="BD42" s="183"/>
      <c r="BE42" s="183"/>
    </row>
    <row r="43" spans="1:57" ht="18" x14ac:dyDescent="0.2">
      <c r="A43" s="162" t="s">
        <v>4794</v>
      </c>
      <c r="B43" s="223"/>
      <c r="C43" s="186"/>
      <c r="D43" s="183"/>
      <c r="E43" s="183"/>
      <c r="F43" s="192"/>
      <c r="G43" s="184"/>
      <c r="H43" s="184"/>
      <c r="I43" s="193"/>
      <c r="J43" s="186"/>
      <c r="K43" s="183"/>
      <c r="L43" s="183"/>
      <c r="M43" s="183"/>
      <c r="N43" s="183"/>
      <c r="O43" s="183"/>
      <c r="P43" s="183"/>
      <c r="Q43" s="194"/>
      <c r="R43" s="194"/>
      <c r="S43" s="185"/>
      <c r="T43" s="195"/>
      <c r="U43" s="195"/>
      <c r="V43" s="194"/>
      <c r="W43" s="195"/>
      <c r="X43" s="195"/>
      <c r="Y43" s="195"/>
      <c r="Z43" s="195"/>
      <c r="AA43" s="183"/>
      <c r="AB43" s="183"/>
      <c r="AC43" s="183"/>
      <c r="AD43" s="186"/>
      <c r="AE43" s="186"/>
      <c r="AF43" s="186"/>
      <c r="AG43" s="186"/>
      <c r="AH43" s="186"/>
      <c r="AI43" s="186"/>
      <c r="AJ43" s="186"/>
      <c r="AK43" s="186"/>
      <c r="AL43" s="186"/>
      <c r="AM43" s="186"/>
      <c r="AN43" s="186"/>
      <c r="AO43" s="186"/>
      <c r="AP43" s="186"/>
      <c r="AQ43" s="195"/>
      <c r="AR43" s="195"/>
      <c r="AS43" s="196"/>
      <c r="AT43" s="183"/>
      <c r="AU43" s="186"/>
      <c r="AV43" s="186"/>
      <c r="AW43" s="186"/>
      <c r="AX43" s="183"/>
      <c r="AY43" s="183"/>
      <c r="AZ43" s="183"/>
      <c r="BA43" s="183"/>
      <c r="BB43" s="183"/>
      <c r="BC43" s="186"/>
      <c r="BD43" s="183"/>
      <c r="BE43" s="183"/>
    </row>
    <row r="44" spans="1:57" ht="27" x14ac:dyDescent="0.2">
      <c r="A44" s="162" t="s">
        <v>4796</v>
      </c>
      <c r="B44" s="223"/>
      <c r="C44" s="186"/>
      <c r="D44" s="183"/>
      <c r="E44" s="183"/>
      <c r="F44" s="192"/>
      <c r="G44" s="184"/>
      <c r="H44" s="184"/>
      <c r="I44" s="193"/>
      <c r="J44" s="186"/>
      <c r="K44" s="183"/>
      <c r="L44" s="183"/>
      <c r="M44" s="183"/>
      <c r="N44" s="183"/>
      <c r="O44" s="183"/>
      <c r="P44" s="183"/>
      <c r="Q44" s="194"/>
      <c r="R44" s="194"/>
      <c r="S44" s="185"/>
      <c r="T44" s="195"/>
      <c r="U44" s="195"/>
      <c r="V44" s="194"/>
      <c r="W44" s="195"/>
      <c r="X44" s="195"/>
      <c r="Y44" s="195"/>
      <c r="Z44" s="195"/>
      <c r="AA44" s="183"/>
      <c r="AB44" s="183"/>
      <c r="AC44" s="183"/>
      <c r="AD44" s="186"/>
      <c r="AE44" s="186"/>
      <c r="AF44" s="186"/>
      <c r="AG44" s="186"/>
      <c r="AH44" s="186"/>
      <c r="AI44" s="186"/>
      <c r="AJ44" s="186"/>
      <c r="AK44" s="186"/>
      <c r="AL44" s="186"/>
      <c r="AM44" s="186"/>
      <c r="AN44" s="186"/>
      <c r="AO44" s="186"/>
      <c r="AP44" s="186"/>
      <c r="AQ44" s="195"/>
      <c r="AR44" s="195"/>
      <c r="AS44" s="196"/>
      <c r="AT44" s="183"/>
      <c r="AU44" s="186"/>
      <c r="AV44" s="186"/>
      <c r="AW44" s="186"/>
      <c r="AX44" s="183"/>
      <c r="AY44" s="183"/>
      <c r="AZ44" s="183"/>
      <c r="BA44" s="183"/>
      <c r="BB44" s="183"/>
      <c r="BC44" s="186"/>
      <c r="BD44" s="183"/>
      <c r="BE44" s="183"/>
    </row>
    <row r="45" spans="1:57" ht="18" x14ac:dyDescent="0.2">
      <c r="A45" s="162" t="s">
        <v>4800</v>
      </c>
      <c r="B45" s="223"/>
      <c r="C45" s="186"/>
      <c r="D45" s="183"/>
      <c r="E45" s="183"/>
      <c r="F45" s="192"/>
      <c r="G45" s="184"/>
      <c r="H45" s="184"/>
      <c r="I45" s="193"/>
      <c r="J45" s="186"/>
      <c r="K45" s="183"/>
      <c r="L45" s="183"/>
      <c r="M45" s="183"/>
      <c r="N45" s="183"/>
      <c r="O45" s="183"/>
      <c r="P45" s="183"/>
      <c r="Q45" s="194"/>
      <c r="R45" s="194"/>
      <c r="S45" s="185"/>
      <c r="T45" s="195"/>
      <c r="U45" s="195"/>
      <c r="V45" s="194"/>
      <c r="W45" s="195"/>
      <c r="X45" s="195"/>
      <c r="Y45" s="195"/>
      <c r="Z45" s="195"/>
      <c r="AA45" s="183"/>
      <c r="AB45" s="183"/>
      <c r="AC45" s="183"/>
      <c r="AD45" s="186"/>
      <c r="AE45" s="186"/>
      <c r="AF45" s="186"/>
      <c r="AG45" s="186"/>
      <c r="AH45" s="186"/>
      <c r="AI45" s="186"/>
      <c r="AJ45" s="186"/>
      <c r="AK45" s="186"/>
      <c r="AL45" s="186"/>
      <c r="AM45" s="186"/>
      <c r="AN45" s="186"/>
      <c r="AO45" s="186"/>
      <c r="AP45" s="186"/>
      <c r="AQ45" s="195"/>
      <c r="AR45" s="195"/>
      <c r="AS45" s="196"/>
      <c r="AT45" s="183"/>
      <c r="AU45" s="186"/>
      <c r="AV45" s="186"/>
      <c r="AW45" s="186"/>
      <c r="AX45" s="183"/>
      <c r="AY45" s="183"/>
      <c r="AZ45" s="183"/>
      <c r="BA45" s="183"/>
      <c r="BB45" s="183"/>
      <c r="BC45" s="186"/>
      <c r="BD45" s="183"/>
      <c r="BE45" s="183"/>
    </row>
    <row r="46" spans="1:57" ht="18.75" customHeight="1" x14ac:dyDescent="0.2">
      <c r="A46" s="162" t="s">
        <v>4799</v>
      </c>
      <c r="B46" s="223"/>
      <c r="C46" s="186"/>
      <c r="D46" s="183"/>
      <c r="E46" s="183"/>
      <c r="F46" s="192"/>
      <c r="G46" s="184"/>
      <c r="H46" s="184"/>
      <c r="I46" s="193"/>
      <c r="J46" s="186"/>
      <c r="K46" s="183"/>
      <c r="L46" s="183"/>
      <c r="M46" s="183"/>
      <c r="N46" s="183"/>
      <c r="O46" s="183"/>
      <c r="P46" s="183"/>
      <c r="Q46" s="194"/>
      <c r="R46" s="194"/>
      <c r="S46" s="185"/>
      <c r="T46" s="195"/>
      <c r="U46" s="195"/>
      <c r="V46" s="194"/>
      <c r="W46" s="195"/>
      <c r="X46" s="195"/>
      <c r="Y46" s="195"/>
      <c r="Z46" s="195"/>
      <c r="AA46" s="183"/>
      <c r="AB46" s="183"/>
      <c r="AC46" s="183"/>
      <c r="AD46" s="186"/>
      <c r="AE46" s="186"/>
      <c r="AF46" s="186"/>
      <c r="AG46" s="186"/>
      <c r="AH46" s="186"/>
      <c r="AI46" s="186"/>
      <c r="AJ46" s="186"/>
      <c r="AK46" s="186"/>
      <c r="AL46" s="186"/>
      <c r="AM46" s="186"/>
      <c r="AN46" s="186"/>
      <c r="AO46" s="186"/>
      <c r="AP46" s="186"/>
      <c r="AQ46" s="195"/>
      <c r="AR46" s="195"/>
      <c r="AS46" s="196"/>
      <c r="AT46" s="183"/>
      <c r="AU46" s="186"/>
      <c r="AV46" s="186"/>
      <c r="AW46" s="186"/>
      <c r="AX46" s="183"/>
      <c r="AY46" s="183"/>
      <c r="AZ46" s="183"/>
      <c r="BA46" s="183"/>
      <c r="BB46" s="183"/>
      <c r="BC46" s="186"/>
      <c r="BD46" s="183"/>
      <c r="BE46" s="183"/>
    </row>
    <row r="47" spans="1:57" x14ac:dyDescent="0.2">
      <c r="A47" s="76" t="s">
        <v>402</v>
      </c>
      <c r="B47" s="219"/>
      <c r="C47" s="69"/>
      <c r="D47" s="69"/>
      <c r="E47" s="69"/>
      <c r="F47" s="106"/>
      <c r="G47" s="128"/>
      <c r="H47" s="128"/>
      <c r="I47" s="107"/>
      <c r="J47" s="69"/>
      <c r="K47" s="69"/>
      <c r="L47" s="69"/>
      <c r="M47" s="69"/>
      <c r="N47" s="69"/>
      <c r="O47" s="69"/>
      <c r="P47" s="69"/>
      <c r="Q47" s="69"/>
      <c r="R47" s="69"/>
      <c r="S47" s="131"/>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96"/>
      <c r="AY47" s="69"/>
      <c r="AZ47" s="69"/>
      <c r="BA47" s="69"/>
      <c r="BB47" s="69"/>
      <c r="BC47" s="69"/>
      <c r="BD47" s="69"/>
      <c r="BE47" s="69"/>
    </row>
    <row r="48" spans="1:57" x14ac:dyDescent="0.2">
      <c r="A48" s="21"/>
      <c r="B48" s="21"/>
      <c r="C48" s="22"/>
      <c r="D48" s="22"/>
      <c r="E48" s="22"/>
      <c r="F48" s="22"/>
      <c r="G48" s="113"/>
      <c r="H48" s="116"/>
      <c r="I48" s="22"/>
      <c r="J48" s="22"/>
      <c r="K48" s="22"/>
      <c r="L48" s="22"/>
      <c r="M48" s="22"/>
      <c r="N48" s="22"/>
      <c r="O48" s="22"/>
      <c r="P48" s="22"/>
      <c r="Q48" s="22"/>
      <c r="R48" s="22"/>
      <c r="S48" s="13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E48" s="22"/>
    </row>
    <row r="49" spans="1:57" ht="18" x14ac:dyDescent="0.2">
      <c r="A49" s="75" t="s">
        <v>3653</v>
      </c>
      <c r="B49" s="75"/>
      <c r="C49" s="45" t="str">
        <f>C1</f>
        <v>Allianz inkl. SicherheitPlus</v>
      </c>
      <c r="D49" s="45" t="str">
        <f>D1</f>
        <v>Alte Leipziger comfort</v>
      </c>
      <c r="E49" s="45" t="str">
        <f>E1</f>
        <v>ARAG Basis (Wohnfläche)</v>
      </c>
      <c r="F49" s="126" t="str">
        <f>F1</f>
        <v>ARAG Comfort (Wohnfläche)</v>
      </c>
      <c r="G49" s="53" t="s">
        <v>3310</v>
      </c>
      <c r="H49" s="53" t="s">
        <v>3311</v>
      </c>
      <c r="I49" s="127" t="str">
        <f t="shared" ref="I49:R49" si="4">I1</f>
        <v>Baden Badener TOP (WF)</v>
      </c>
      <c r="J49" s="45" t="str">
        <f t="shared" si="4"/>
        <v>Basler Ambiente Top</v>
      </c>
      <c r="K49" s="45" t="str">
        <f t="shared" si="4"/>
        <v>Debeka Basis</v>
      </c>
      <c r="L49" s="45" t="str">
        <f t="shared" si="4"/>
        <v>Debeka Standard</v>
      </c>
      <c r="M49" s="45" t="str">
        <f t="shared" si="4"/>
        <v>Debeka Top</v>
      </c>
      <c r="N49" s="45" t="str">
        <f t="shared" si="4"/>
        <v>die Bayerische Komfort</v>
      </c>
      <c r="O49" s="45" t="str">
        <f t="shared" si="4"/>
        <v>die Bayerische Prestige</v>
      </c>
      <c r="P49" s="45" t="str">
        <f t="shared" si="4"/>
        <v>die Bayerische Smart</v>
      </c>
      <c r="Q49" s="245" t="str">
        <f t="shared" si="4"/>
        <v>Domcura Komfort</v>
      </c>
      <c r="R49" s="245" t="str">
        <f t="shared" si="4"/>
        <v>Domcura Top</v>
      </c>
      <c r="S49" s="129" t="s">
        <v>3312</v>
      </c>
      <c r="T49" s="245" t="str">
        <f t="shared" ref="T49:AJ49" si="5">T1</f>
        <v>ERGO</v>
      </c>
      <c r="U49" s="245" t="str">
        <f t="shared" si="5"/>
        <v>ERGO spezial</v>
      </c>
      <c r="V49" s="245" t="str">
        <f t="shared" si="5"/>
        <v>Generali Basis (qm)</v>
      </c>
      <c r="W49" s="245" t="str">
        <f t="shared" si="5"/>
        <v>Generali KomfortPlus (qm)</v>
      </c>
      <c r="X49" s="245" t="str">
        <f t="shared" si="5"/>
        <v>Gothaer (qm)</v>
      </c>
      <c r="Y49" s="245" t="str">
        <f t="shared" si="5"/>
        <v>Gothaer Top (qm)</v>
      </c>
      <c r="Z49" s="245" t="str">
        <f t="shared" si="5"/>
        <v>Gothaer Top Plus (qm)</v>
      </c>
      <c r="AA49" s="245" t="str">
        <f t="shared" si="5"/>
        <v>HDI Privatschutz (Wohnfläche)</v>
      </c>
      <c r="AB49" s="245" t="str">
        <f t="shared" si="5"/>
        <v>Helvetia Komfort</v>
      </c>
      <c r="AC49" s="245" t="str">
        <f t="shared" si="5"/>
        <v>HFK afm mit Zusatzdeckung</v>
      </c>
      <c r="AD49" s="245" t="str">
        <f t="shared" si="5"/>
        <v>HFK afm ohne Zusatzdeckung</v>
      </c>
      <c r="AE49" s="245" t="str">
        <f t="shared" si="5"/>
        <v>Hiscox Haus &amp; Kunst</v>
      </c>
      <c r="AF49" s="245" t="str">
        <f t="shared" si="5"/>
        <v>HUK Classic</v>
      </c>
      <c r="AG49" s="245" t="str">
        <f t="shared" si="5"/>
        <v>HUK Plus</v>
      </c>
      <c r="AH49" s="245" t="str">
        <f t="shared" si="5"/>
        <v>InterRisk XL</v>
      </c>
      <c r="AI49" s="245" t="str">
        <f t="shared" si="5"/>
        <v>InterRisk XXL</v>
      </c>
      <c r="AJ49" s="245" t="str">
        <f t="shared" si="5"/>
        <v>ITL afm Eurosecure 2009</v>
      </c>
      <c r="AK49" s="245" t="s">
        <v>3552</v>
      </c>
      <c r="AL49" s="245" t="s">
        <v>3551</v>
      </c>
      <c r="AM49" s="245" t="s">
        <v>3550</v>
      </c>
      <c r="AN49" s="245" t="s">
        <v>3549</v>
      </c>
      <c r="AO49" s="245" t="str">
        <f>AO1</f>
        <v>Itzehoer Basis</v>
      </c>
      <c r="AP49" s="245" t="str">
        <f>AP1</f>
        <v>Itzehoer Plus</v>
      </c>
      <c r="AQ49" s="245"/>
      <c r="AR49" s="245"/>
      <c r="AS49" s="245"/>
      <c r="AT49" s="245" t="str">
        <f t="shared" ref="AT49:AY49" si="6">AT1</f>
        <v>Nürnberger KomplettSchutz (Wert 1914)</v>
      </c>
      <c r="AU49" s="245" t="str">
        <f t="shared" si="6"/>
        <v>Provinzial Kompaktschutz</v>
      </c>
      <c r="AV49" s="245" t="str">
        <f t="shared" si="6"/>
        <v>Provinzial Rundum inkl. Plus</v>
      </c>
      <c r="AW49" s="245" t="str">
        <f t="shared" si="6"/>
        <v>Provinzial Rundumschutz</v>
      </c>
      <c r="AX49" s="245" t="str">
        <f t="shared" si="6"/>
        <v>R+V PrivatPolice (Fläche)</v>
      </c>
      <c r="AY49" s="245" t="str">
        <f t="shared" si="6"/>
        <v>VdVA</v>
      </c>
      <c r="AZ49" s="243" t="s">
        <v>3496</v>
      </c>
      <c r="BA49" s="245" t="str">
        <f>BA1</f>
        <v>VHV Klassik Garant</v>
      </c>
      <c r="BB49" s="245" t="str">
        <f>BB1</f>
        <v>VHV Klassik Garant Exklusiv</v>
      </c>
      <c r="BC49" s="245" t="str">
        <f>BC1</f>
        <v>VKB Kompakt</v>
      </c>
      <c r="BD49" s="245" t="str">
        <f>BD1</f>
        <v>VKB Optimal</v>
      </c>
      <c r="BE49" s="245" t="str">
        <f>BE1</f>
        <v>WÜBA Plus</v>
      </c>
    </row>
    <row r="50" spans="1:57" x14ac:dyDescent="0.2">
      <c r="A50" s="80" t="s">
        <v>3654</v>
      </c>
      <c r="B50" s="225"/>
      <c r="C50" s="24"/>
      <c r="D50" s="24"/>
      <c r="E50" s="24"/>
      <c r="F50" s="24"/>
      <c r="G50" s="113"/>
      <c r="H50" s="116"/>
      <c r="I50" s="24"/>
      <c r="J50" s="24"/>
      <c r="K50" s="24"/>
      <c r="L50" s="24"/>
      <c r="M50" s="24"/>
      <c r="N50" s="24"/>
      <c r="O50" s="24"/>
      <c r="P50" s="24"/>
      <c r="Q50" s="24"/>
      <c r="R50" s="24"/>
      <c r="S50" s="132"/>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E50" s="24"/>
    </row>
    <row r="51" spans="1:57" x14ac:dyDescent="0.2">
      <c r="A51" s="25" t="s">
        <v>8</v>
      </c>
      <c r="B51" s="218"/>
      <c r="C51" s="46" t="s">
        <v>95</v>
      </c>
      <c r="D51" s="46" t="s">
        <v>95</v>
      </c>
      <c r="E51" s="46" t="s">
        <v>95</v>
      </c>
      <c r="F51" s="46" t="s">
        <v>95</v>
      </c>
      <c r="G51" s="117" t="s">
        <v>95</v>
      </c>
      <c r="H51" s="117" t="s">
        <v>95</v>
      </c>
      <c r="I51" s="46" t="s">
        <v>95</v>
      </c>
      <c r="J51" s="46" t="s">
        <v>95</v>
      </c>
      <c r="K51" s="46" t="s">
        <v>95</v>
      </c>
      <c r="L51" s="46" t="s">
        <v>95</v>
      </c>
      <c r="M51" s="46" t="s">
        <v>95</v>
      </c>
      <c r="N51" s="46" t="s">
        <v>95</v>
      </c>
      <c r="O51" s="46" t="s">
        <v>95</v>
      </c>
      <c r="P51" s="46" t="s">
        <v>95</v>
      </c>
      <c r="Q51" s="20" t="s">
        <v>95</v>
      </c>
      <c r="R51" s="20" t="s">
        <v>95</v>
      </c>
      <c r="S51" s="130" t="s">
        <v>95</v>
      </c>
      <c r="T51" s="44" t="s">
        <v>95</v>
      </c>
      <c r="U51" s="44" t="s">
        <v>95</v>
      </c>
      <c r="V51" s="20" t="s">
        <v>95</v>
      </c>
      <c r="W51" s="20" t="s">
        <v>95</v>
      </c>
      <c r="X51" s="20" t="s">
        <v>95</v>
      </c>
      <c r="Y51" s="20" t="s">
        <v>95</v>
      </c>
      <c r="Z51" s="20" t="s">
        <v>95</v>
      </c>
      <c r="AA51" s="47" t="s">
        <v>95</v>
      </c>
      <c r="AB51" s="47" t="s">
        <v>95</v>
      </c>
      <c r="AC51" s="46" t="s">
        <v>95</v>
      </c>
      <c r="AD51" s="46" t="s">
        <v>95</v>
      </c>
      <c r="AE51" s="46" t="s">
        <v>95</v>
      </c>
      <c r="AF51" s="46" t="s">
        <v>95</v>
      </c>
      <c r="AG51" s="46" t="s">
        <v>95</v>
      </c>
      <c r="AH51" s="46" t="s">
        <v>95</v>
      </c>
      <c r="AI51" s="46" t="s">
        <v>95</v>
      </c>
      <c r="AJ51" s="47" t="s">
        <v>95</v>
      </c>
      <c r="AK51" s="47" t="s">
        <v>95</v>
      </c>
      <c r="AL51" s="47" t="s">
        <v>95</v>
      </c>
      <c r="AM51" s="47" t="s">
        <v>95</v>
      </c>
      <c r="AN51" s="47" t="s">
        <v>95</v>
      </c>
      <c r="AO51" s="47" t="s">
        <v>95</v>
      </c>
      <c r="AP51" s="47" t="s">
        <v>95</v>
      </c>
      <c r="AQ51" s="44" t="s">
        <v>95</v>
      </c>
      <c r="AR51" s="44" t="s">
        <v>95</v>
      </c>
      <c r="AS51" s="44" t="s">
        <v>95</v>
      </c>
      <c r="AT51" s="46" t="s">
        <v>95</v>
      </c>
      <c r="AU51" s="46" t="s">
        <v>95</v>
      </c>
      <c r="AV51" s="46" t="s">
        <v>95</v>
      </c>
      <c r="AW51" s="46" t="s">
        <v>95</v>
      </c>
      <c r="AX51" s="46" t="s">
        <v>95</v>
      </c>
      <c r="AY51" s="46" t="s">
        <v>95</v>
      </c>
      <c r="AZ51" s="46" t="s">
        <v>3457</v>
      </c>
      <c r="BA51" s="46" t="s">
        <v>95</v>
      </c>
      <c r="BB51" s="46" t="s">
        <v>95</v>
      </c>
      <c r="BC51" s="46" t="s">
        <v>95</v>
      </c>
      <c r="BD51" s="47" t="s">
        <v>95</v>
      </c>
      <c r="BE51" s="46" t="s">
        <v>95</v>
      </c>
    </row>
    <row r="52" spans="1:57" ht="18" x14ac:dyDescent="0.2">
      <c r="A52" s="76" t="s">
        <v>402</v>
      </c>
      <c r="B52" s="219"/>
      <c r="C52" s="69" t="s">
        <v>2779</v>
      </c>
      <c r="D52" s="69" t="s">
        <v>3284</v>
      </c>
      <c r="E52" s="69" t="s">
        <v>1468</v>
      </c>
      <c r="F52" s="69" t="s">
        <v>1468</v>
      </c>
      <c r="G52" s="128"/>
      <c r="H52" s="128"/>
      <c r="I52" s="69" t="s">
        <v>1723</v>
      </c>
      <c r="J52" s="69" t="s">
        <v>1338</v>
      </c>
      <c r="K52" s="69" t="s">
        <v>701</v>
      </c>
      <c r="L52" s="69" t="s">
        <v>701</v>
      </c>
      <c r="M52" s="69" t="s">
        <v>701</v>
      </c>
      <c r="N52" s="69" t="s">
        <v>3074</v>
      </c>
      <c r="O52" s="69" t="s">
        <v>3074</v>
      </c>
      <c r="P52" s="69" t="s">
        <v>3074</v>
      </c>
      <c r="Q52" s="69" t="s">
        <v>473</v>
      </c>
      <c r="R52" s="69" t="s">
        <v>473</v>
      </c>
      <c r="S52" s="131"/>
      <c r="T52" s="69"/>
      <c r="U52" s="69"/>
      <c r="V52" s="69" t="s">
        <v>563</v>
      </c>
      <c r="W52" s="69" t="s">
        <v>563</v>
      </c>
      <c r="X52" s="69" t="s">
        <v>3135</v>
      </c>
      <c r="Y52" s="69" t="s">
        <v>3135</v>
      </c>
      <c r="Z52" s="69" t="s">
        <v>3135</v>
      </c>
      <c r="AA52" s="69" t="s">
        <v>2453</v>
      </c>
      <c r="AB52" s="69" t="s">
        <v>2131</v>
      </c>
      <c r="AC52" s="69" t="s">
        <v>645</v>
      </c>
      <c r="AD52" s="69" t="s">
        <v>645</v>
      </c>
      <c r="AE52" s="69"/>
      <c r="AF52" s="69"/>
      <c r="AG52" s="69"/>
      <c r="AH52" s="69" t="s">
        <v>2704</v>
      </c>
      <c r="AI52" s="69" t="s">
        <v>1653</v>
      </c>
      <c r="AJ52" s="69" t="s">
        <v>1812</v>
      </c>
      <c r="AK52" s="69" t="s">
        <v>3555</v>
      </c>
      <c r="AL52" s="69" t="s">
        <v>3555</v>
      </c>
      <c r="AM52" s="69" t="s">
        <v>3555</v>
      </c>
      <c r="AN52" s="69" t="s">
        <v>3555</v>
      </c>
      <c r="AO52" s="69" t="s">
        <v>764</v>
      </c>
      <c r="AP52" s="69" t="s">
        <v>764</v>
      </c>
      <c r="AQ52" s="69" t="s">
        <v>3223</v>
      </c>
      <c r="AR52" s="69" t="s">
        <v>3223</v>
      </c>
      <c r="AS52" s="69" t="s">
        <v>3223</v>
      </c>
      <c r="AT52" s="69" t="s">
        <v>1248</v>
      </c>
      <c r="AU52" s="69" t="s">
        <v>923</v>
      </c>
      <c r="AV52" s="69" t="s">
        <v>923</v>
      </c>
      <c r="AW52" s="69" t="s">
        <v>923</v>
      </c>
      <c r="AX52" s="69" t="s">
        <v>1009</v>
      </c>
      <c r="AY52" s="69" t="s">
        <v>1968</v>
      </c>
      <c r="AZ52" s="69" t="s">
        <v>3458</v>
      </c>
      <c r="BA52" s="69"/>
      <c r="BB52" s="69"/>
      <c r="BC52" s="69" t="s">
        <v>1783</v>
      </c>
      <c r="BD52" s="69" t="s">
        <v>1783</v>
      </c>
      <c r="BE52" s="69" t="s">
        <v>1520</v>
      </c>
    </row>
    <row r="53" spans="1:57" s="167" customFormat="1" x14ac:dyDescent="0.2">
      <c r="A53" s="26" t="s">
        <v>6</v>
      </c>
      <c r="B53" s="226"/>
      <c r="C53" s="46" t="s">
        <v>95</v>
      </c>
      <c r="D53" s="46" t="s">
        <v>95</v>
      </c>
      <c r="E53" s="46" t="s">
        <v>95</v>
      </c>
      <c r="F53" s="46" t="s">
        <v>95</v>
      </c>
      <c r="G53" s="117" t="s">
        <v>95</v>
      </c>
      <c r="H53" s="117" t="s">
        <v>95</v>
      </c>
      <c r="I53" s="46" t="s">
        <v>3</v>
      </c>
      <c r="J53" s="46" t="s">
        <v>3</v>
      </c>
      <c r="K53" s="46" t="s">
        <v>95</v>
      </c>
      <c r="L53" s="46" t="s">
        <v>95</v>
      </c>
      <c r="M53" s="46" t="s">
        <v>95</v>
      </c>
      <c r="N53" s="46" t="s">
        <v>95</v>
      </c>
      <c r="O53" s="46" t="s">
        <v>95</v>
      </c>
      <c r="P53" s="46" t="s">
        <v>3</v>
      </c>
      <c r="Q53" s="20" t="s">
        <v>95</v>
      </c>
      <c r="R53" s="20" t="s">
        <v>95</v>
      </c>
      <c r="S53" s="130" t="s">
        <v>95</v>
      </c>
      <c r="T53" s="44" t="s">
        <v>95</v>
      </c>
      <c r="U53" s="44" t="s">
        <v>95</v>
      </c>
      <c r="V53" s="20" t="s">
        <v>95</v>
      </c>
      <c r="W53" s="20" t="s">
        <v>95</v>
      </c>
      <c r="X53" s="20" t="s">
        <v>95</v>
      </c>
      <c r="Y53" s="20" t="s">
        <v>95</v>
      </c>
      <c r="Z53" s="20" t="s">
        <v>95</v>
      </c>
      <c r="AA53" s="47" t="s">
        <v>95</v>
      </c>
      <c r="AB53" s="47" t="s">
        <v>95</v>
      </c>
      <c r="AC53" s="46" t="s">
        <v>95</v>
      </c>
      <c r="AD53" s="46" t="s">
        <v>3</v>
      </c>
      <c r="AE53" s="46" t="s">
        <v>95</v>
      </c>
      <c r="AF53" s="46" t="s">
        <v>95</v>
      </c>
      <c r="AG53" s="46" t="s">
        <v>95</v>
      </c>
      <c r="AH53" s="47" t="s">
        <v>95</v>
      </c>
      <c r="AI53" s="47" t="s">
        <v>95</v>
      </c>
      <c r="AJ53" s="47" t="s">
        <v>95</v>
      </c>
      <c r="AK53" s="47" t="s">
        <v>95</v>
      </c>
      <c r="AL53" s="47" t="s">
        <v>95</v>
      </c>
      <c r="AM53" s="47" t="s">
        <v>95</v>
      </c>
      <c r="AN53" s="47" t="s">
        <v>95</v>
      </c>
      <c r="AO53" s="47" t="s">
        <v>95</v>
      </c>
      <c r="AP53" s="47" t="s">
        <v>95</v>
      </c>
      <c r="AQ53" s="44" t="s">
        <v>3</v>
      </c>
      <c r="AR53" s="44" t="s">
        <v>95</v>
      </c>
      <c r="AS53" s="44" t="s">
        <v>95</v>
      </c>
      <c r="AT53" s="46" t="s">
        <v>3</v>
      </c>
      <c r="AU53" s="46" t="s">
        <v>3</v>
      </c>
      <c r="AV53" s="46" t="s">
        <v>3</v>
      </c>
      <c r="AW53" s="46" t="s">
        <v>3</v>
      </c>
      <c r="AX53" s="46" t="s">
        <v>95</v>
      </c>
      <c r="AY53" s="46" t="s">
        <v>95</v>
      </c>
      <c r="AZ53" s="46" t="s">
        <v>3457</v>
      </c>
      <c r="BA53" s="46" t="s">
        <v>95</v>
      </c>
      <c r="BB53" s="46" t="s">
        <v>95</v>
      </c>
      <c r="BC53" s="46" t="s">
        <v>95</v>
      </c>
      <c r="BD53" s="47" t="s">
        <v>95</v>
      </c>
      <c r="BE53" s="46" t="s">
        <v>95</v>
      </c>
    </row>
    <row r="54" spans="1:57" ht="18" x14ac:dyDescent="0.2">
      <c r="A54" s="76" t="s">
        <v>402</v>
      </c>
      <c r="B54" s="219"/>
      <c r="C54" s="69" t="s">
        <v>2779</v>
      </c>
      <c r="D54" s="69" t="s">
        <v>1591</v>
      </c>
      <c r="E54" s="69" t="s">
        <v>1423</v>
      </c>
      <c r="F54" s="69" t="s">
        <v>1424</v>
      </c>
      <c r="G54" s="128"/>
      <c r="H54" s="128"/>
      <c r="I54" s="69" t="s">
        <v>3</v>
      </c>
      <c r="J54" s="69" t="s">
        <v>3</v>
      </c>
      <c r="K54" s="69" t="s">
        <v>702</v>
      </c>
      <c r="L54" s="69" t="s">
        <v>702</v>
      </c>
      <c r="M54" s="69" t="s">
        <v>702</v>
      </c>
      <c r="N54" s="69" t="s">
        <v>3021</v>
      </c>
      <c r="O54" s="69" t="s">
        <v>2984</v>
      </c>
      <c r="P54" s="69" t="s">
        <v>3</v>
      </c>
      <c r="Q54" s="69" t="s">
        <v>474</v>
      </c>
      <c r="R54" s="69" t="s">
        <v>474</v>
      </c>
      <c r="S54" s="131"/>
      <c r="T54" s="69"/>
      <c r="U54" s="69"/>
      <c r="V54" s="69" t="s">
        <v>564</v>
      </c>
      <c r="W54" s="69" t="s">
        <v>564</v>
      </c>
      <c r="X54" s="69" t="s">
        <v>3135</v>
      </c>
      <c r="Y54" s="69" t="s">
        <v>3135</v>
      </c>
      <c r="Z54" s="69" t="s">
        <v>3135</v>
      </c>
      <c r="AA54" s="69" t="s">
        <v>2454</v>
      </c>
      <c r="AB54" s="69" t="s">
        <v>2337</v>
      </c>
      <c r="AC54" s="69" t="s">
        <v>583</v>
      </c>
      <c r="AD54" s="69" t="s">
        <v>3</v>
      </c>
      <c r="AE54" s="69"/>
      <c r="AF54" s="69"/>
      <c r="AG54" s="69"/>
      <c r="AH54" s="69" t="s">
        <v>2703</v>
      </c>
      <c r="AI54" s="69" t="s">
        <v>1652</v>
      </c>
      <c r="AJ54" s="69" t="s">
        <v>1813</v>
      </c>
      <c r="AK54" s="69" t="s">
        <v>3555</v>
      </c>
      <c r="AL54" s="69" t="s">
        <v>3555</v>
      </c>
      <c r="AM54" s="69" t="s">
        <v>3555</v>
      </c>
      <c r="AN54" s="69" t="s">
        <v>3555</v>
      </c>
      <c r="AO54" s="69" t="s">
        <v>765</v>
      </c>
      <c r="AP54" s="69" t="s">
        <v>765</v>
      </c>
      <c r="AQ54" s="69" t="s">
        <v>3</v>
      </c>
      <c r="AR54" s="69" t="s">
        <v>3159</v>
      </c>
      <c r="AS54" s="69" t="s">
        <v>3159</v>
      </c>
      <c r="AT54" s="69" t="s">
        <v>3</v>
      </c>
      <c r="AU54" s="69" t="s">
        <v>3</v>
      </c>
      <c r="AV54" s="69" t="s">
        <v>3</v>
      </c>
      <c r="AW54" s="69" t="s">
        <v>3</v>
      </c>
      <c r="AX54" s="69" t="s">
        <v>1010</v>
      </c>
      <c r="AY54" s="69" t="s">
        <v>1969</v>
      </c>
      <c r="AZ54" s="69" t="s">
        <v>3459</v>
      </c>
      <c r="BA54" s="69"/>
      <c r="BB54" s="69"/>
      <c r="BC54" s="69" t="s">
        <v>1162</v>
      </c>
      <c r="BD54" s="69" t="s">
        <v>1162</v>
      </c>
      <c r="BE54" s="69" t="s">
        <v>1496</v>
      </c>
    </row>
    <row r="55" spans="1:57" ht="27" x14ac:dyDescent="0.2">
      <c r="A55" s="197" t="s">
        <v>2118</v>
      </c>
      <c r="B55" s="226"/>
      <c r="C55" s="183" t="s">
        <v>2763</v>
      </c>
      <c r="D55" s="186" t="s">
        <v>3267</v>
      </c>
      <c r="E55" s="183" t="s">
        <v>3</v>
      </c>
      <c r="F55" s="186" t="s">
        <v>95</v>
      </c>
      <c r="G55" s="184" t="s">
        <v>3292</v>
      </c>
      <c r="H55" s="184" t="s">
        <v>3292</v>
      </c>
      <c r="I55" s="183" t="s">
        <v>2535</v>
      </c>
      <c r="J55" s="183" t="s">
        <v>1336</v>
      </c>
      <c r="K55" s="186" t="s">
        <v>3</v>
      </c>
      <c r="L55" s="186" t="s">
        <v>3</v>
      </c>
      <c r="M55" s="186" t="s">
        <v>3</v>
      </c>
      <c r="N55" s="183" t="s">
        <v>2973</v>
      </c>
      <c r="O55" s="183" t="s">
        <v>95</v>
      </c>
      <c r="P55" s="183" t="s">
        <v>3</v>
      </c>
      <c r="Q55" s="194" t="s">
        <v>477</v>
      </c>
      <c r="R55" s="198" t="s">
        <v>478</v>
      </c>
      <c r="S55" s="185" t="s">
        <v>3267</v>
      </c>
      <c r="T55" s="198" t="s">
        <v>3501</v>
      </c>
      <c r="U55" s="198" t="s">
        <v>3501</v>
      </c>
      <c r="V55" s="194" t="s">
        <v>3</v>
      </c>
      <c r="W55" s="195" t="s">
        <v>2571</v>
      </c>
      <c r="X55" s="183" t="s">
        <v>3</v>
      </c>
      <c r="Y55" s="198" t="s">
        <v>3106</v>
      </c>
      <c r="Z55" s="198" t="s">
        <v>3106</v>
      </c>
      <c r="AA55" s="183" t="s">
        <v>2428</v>
      </c>
      <c r="AB55" s="183" t="s">
        <v>2339</v>
      </c>
      <c r="AC55" s="183" t="s">
        <v>643</v>
      </c>
      <c r="AD55" s="186" t="s">
        <v>100</v>
      </c>
      <c r="AE55" s="186" t="s">
        <v>95</v>
      </c>
      <c r="AF55" s="183" t="s">
        <v>373</v>
      </c>
      <c r="AG55" s="183" t="s">
        <v>373</v>
      </c>
      <c r="AH55" s="183" t="s">
        <v>95</v>
      </c>
      <c r="AI55" s="183" t="s">
        <v>278</v>
      </c>
      <c r="AJ55" s="183" t="s">
        <v>47</v>
      </c>
      <c r="AK55" s="183" t="s">
        <v>3620</v>
      </c>
      <c r="AL55" s="183" t="s">
        <v>95</v>
      </c>
      <c r="AM55" s="183" t="s">
        <v>95</v>
      </c>
      <c r="AN55" s="183" t="s">
        <v>95</v>
      </c>
      <c r="AO55" s="183" t="s">
        <v>3</v>
      </c>
      <c r="AP55" s="183" t="s">
        <v>3</v>
      </c>
      <c r="AQ55" s="198" t="s">
        <v>3207</v>
      </c>
      <c r="AR55" s="198" t="s">
        <v>3158</v>
      </c>
      <c r="AS55" s="198" t="s">
        <v>3158</v>
      </c>
      <c r="AT55" s="183" t="s">
        <v>3</v>
      </c>
      <c r="AU55" s="186" t="s">
        <v>3</v>
      </c>
      <c r="AV55" s="183" t="s">
        <v>876</v>
      </c>
      <c r="AW55" s="183" t="s">
        <v>876</v>
      </c>
      <c r="AX55" s="183" t="s">
        <v>1003</v>
      </c>
      <c r="AY55" s="183" t="s">
        <v>1970</v>
      </c>
      <c r="AZ55" s="183" t="s">
        <v>3457</v>
      </c>
      <c r="BA55" s="186" t="s">
        <v>95</v>
      </c>
      <c r="BB55" s="186" t="s">
        <v>95</v>
      </c>
      <c r="BC55" s="186" t="s">
        <v>3</v>
      </c>
      <c r="BD55" s="183" t="s">
        <v>3</v>
      </c>
      <c r="BE55" s="186" t="s">
        <v>3</v>
      </c>
    </row>
    <row r="56" spans="1:57" ht="18" x14ac:dyDescent="0.2">
      <c r="A56" s="76" t="s">
        <v>402</v>
      </c>
      <c r="B56" s="219"/>
      <c r="C56" s="69" t="s">
        <v>2780</v>
      </c>
      <c r="D56" s="69" t="s">
        <v>3282</v>
      </c>
      <c r="E56" s="69" t="s">
        <v>3</v>
      </c>
      <c r="F56" s="69" t="s">
        <v>1425</v>
      </c>
      <c r="G56" s="128"/>
      <c r="H56" s="128"/>
      <c r="I56" s="69" t="s">
        <v>2534</v>
      </c>
      <c r="J56" s="69" t="s">
        <v>1335</v>
      </c>
      <c r="K56" s="69" t="s">
        <v>703</v>
      </c>
      <c r="L56" s="69" t="s">
        <v>703</v>
      </c>
      <c r="M56" s="69" t="s">
        <v>703</v>
      </c>
      <c r="N56" s="69" t="s">
        <v>3020</v>
      </c>
      <c r="O56" s="69" t="s">
        <v>2982</v>
      </c>
      <c r="P56" s="69" t="s">
        <v>3077</v>
      </c>
      <c r="Q56" s="69" t="s">
        <v>480</v>
      </c>
      <c r="R56" s="69" t="s">
        <v>479</v>
      </c>
      <c r="S56" s="131"/>
      <c r="T56" s="69"/>
      <c r="U56" s="69"/>
      <c r="V56" s="69" t="s">
        <v>565</v>
      </c>
      <c r="W56" s="69" t="s">
        <v>2574</v>
      </c>
      <c r="X56" s="69" t="s">
        <v>3137</v>
      </c>
      <c r="Y56" s="69" t="s">
        <v>2244</v>
      </c>
      <c r="Z56" s="69" t="s">
        <v>2244</v>
      </c>
      <c r="AA56" s="69" t="s">
        <v>2436</v>
      </c>
      <c r="AB56" s="69" t="s">
        <v>2337</v>
      </c>
      <c r="AC56" s="69" t="s">
        <v>642</v>
      </c>
      <c r="AD56" s="69" t="s">
        <v>641</v>
      </c>
      <c r="AE56" s="69"/>
      <c r="AF56" s="69"/>
      <c r="AG56" s="69"/>
      <c r="AH56" s="69" t="s">
        <v>2744</v>
      </c>
      <c r="AI56" s="69" t="s">
        <v>1669</v>
      </c>
      <c r="AJ56" s="69" t="s">
        <v>1815</v>
      </c>
      <c r="AK56" s="69" t="s">
        <v>3555</v>
      </c>
      <c r="AL56" s="69" t="s">
        <v>3555</v>
      </c>
      <c r="AM56" s="69" t="s">
        <v>3555</v>
      </c>
      <c r="AN56" s="69" t="s">
        <v>3555</v>
      </c>
      <c r="AO56" s="69" t="s">
        <v>766</v>
      </c>
      <c r="AP56" s="69" t="s">
        <v>766</v>
      </c>
      <c r="AQ56" s="69" t="s">
        <v>2983</v>
      </c>
      <c r="AR56" s="69" t="s">
        <v>2983</v>
      </c>
      <c r="AS56" s="69" t="s">
        <v>2983</v>
      </c>
      <c r="AT56" s="69" t="s">
        <v>1249</v>
      </c>
      <c r="AU56" s="69" t="s">
        <v>564</v>
      </c>
      <c r="AV56" s="69" t="s">
        <v>889</v>
      </c>
      <c r="AW56" s="69" t="s">
        <v>889</v>
      </c>
      <c r="AX56" s="69" t="s">
        <v>1011</v>
      </c>
      <c r="AY56" s="69" t="s">
        <v>1971</v>
      </c>
      <c r="AZ56" s="69" t="s">
        <v>3461</v>
      </c>
      <c r="BA56" s="69"/>
      <c r="BB56" s="69"/>
      <c r="BC56" s="69" t="s">
        <v>2489</v>
      </c>
      <c r="BD56" s="69" t="s">
        <v>2489</v>
      </c>
      <c r="BE56" s="69" t="s">
        <v>1519</v>
      </c>
    </row>
    <row r="57" spans="1:57" ht="27" x14ac:dyDescent="0.2">
      <c r="A57" s="197" t="s">
        <v>3650</v>
      </c>
      <c r="B57" s="226"/>
      <c r="C57" s="183" t="s">
        <v>2763</v>
      </c>
      <c r="D57" s="186" t="s">
        <v>3267</v>
      </c>
      <c r="E57" s="183" t="s">
        <v>3</v>
      </c>
      <c r="F57" s="186" t="s">
        <v>95</v>
      </c>
      <c r="G57" s="184" t="s">
        <v>3292</v>
      </c>
      <c r="H57" s="184" t="s">
        <v>3292</v>
      </c>
      <c r="I57" s="183" t="s">
        <v>2535</v>
      </c>
      <c r="J57" s="183" t="s">
        <v>1336</v>
      </c>
      <c r="K57" s="186" t="s">
        <v>3</v>
      </c>
      <c r="L57" s="186" t="s">
        <v>3</v>
      </c>
      <c r="M57" s="186" t="s">
        <v>3</v>
      </c>
      <c r="N57" s="183" t="s">
        <v>2973</v>
      </c>
      <c r="O57" s="183" t="s">
        <v>95</v>
      </c>
      <c r="P57" s="183" t="s">
        <v>3</v>
      </c>
      <c r="Q57" s="194" t="s">
        <v>477</v>
      </c>
      <c r="R57" s="198" t="s">
        <v>478</v>
      </c>
      <c r="S57" s="185" t="s">
        <v>3267</v>
      </c>
      <c r="T57" s="198" t="s">
        <v>3501</v>
      </c>
      <c r="U57" s="198" t="s">
        <v>3501</v>
      </c>
      <c r="V57" s="194" t="s">
        <v>3</v>
      </c>
      <c r="W57" s="195" t="s">
        <v>2571</v>
      </c>
      <c r="X57" s="183" t="s">
        <v>3</v>
      </c>
      <c r="Y57" s="198" t="s">
        <v>3106</v>
      </c>
      <c r="Z57" s="198" t="s">
        <v>3106</v>
      </c>
      <c r="AA57" s="183" t="s">
        <v>2428</v>
      </c>
      <c r="AB57" s="183" t="s">
        <v>2339</v>
      </c>
      <c r="AC57" s="183" t="s">
        <v>643</v>
      </c>
      <c r="AD57" s="186" t="s">
        <v>100</v>
      </c>
      <c r="AE57" s="186" t="s">
        <v>95</v>
      </c>
      <c r="AF57" s="183" t="s">
        <v>373</v>
      </c>
      <c r="AG57" s="183" t="s">
        <v>373</v>
      </c>
      <c r="AH57" s="183" t="s">
        <v>95</v>
      </c>
      <c r="AI57" s="183" t="s">
        <v>278</v>
      </c>
      <c r="AJ57" s="183" t="s">
        <v>47</v>
      </c>
      <c r="AK57" s="183" t="s">
        <v>3620</v>
      </c>
      <c r="AL57" s="183" t="s">
        <v>95</v>
      </c>
      <c r="AM57" s="183" t="s">
        <v>95</v>
      </c>
      <c r="AN57" s="183" t="s">
        <v>95</v>
      </c>
      <c r="AO57" s="183" t="s">
        <v>3</v>
      </c>
      <c r="AP57" s="183" t="s">
        <v>3</v>
      </c>
      <c r="AQ57" s="198" t="s">
        <v>3207</v>
      </c>
      <c r="AR57" s="198" t="s">
        <v>3158</v>
      </c>
      <c r="AS57" s="198" t="s">
        <v>3158</v>
      </c>
      <c r="AT57" s="183" t="s">
        <v>3</v>
      </c>
      <c r="AU57" s="186" t="s">
        <v>3</v>
      </c>
      <c r="AV57" s="183" t="s">
        <v>876</v>
      </c>
      <c r="AW57" s="183" t="s">
        <v>876</v>
      </c>
      <c r="AX57" s="183" t="s">
        <v>1003</v>
      </c>
      <c r="AY57" s="183" t="s">
        <v>1970</v>
      </c>
      <c r="AZ57" s="183" t="s">
        <v>3457</v>
      </c>
      <c r="BA57" s="186" t="s">
        <v>95</v>
      </c>
      <c r="BB57" s="186" t="s">
        <v>95</v>
      </c>
      <c r="BC57" s="186" t="s">
        <v>3</v>
      </c>
      <c r="BD57" s="183" t="s">
        <v>3</v>
      </c>
      <c r="BE57" s="186" t="s">
        <v>3</v>
      </c>
    </row>
    <row r="58" spans="1:57" ht="18" x14ac:dyDescent="0.2">
      <c r="A58" s="76" t="s">
        <v>402</v>
      </c>
      <c r="B58" s="219"/>
      <c r="C58" s="69" t="s">
        <v>2780</v>
      </c>
      <c r="D58" s="69" t="s">
        <v>3282</v>
      </c>
      <c r="E58" s="69" t="s">
        <v>3</v>
      </c>
      <c r="F58" s="69" t="s">
        <v>1425</v>
      </c>
      <c r="G58" s="128"/>
      <c r="H58" s="128"/>
      <c r="I58" s="69" t="s">
        <v>2534</v>
      </c>
      <c r="J58" s="69" t="s">
        <v>1335</v>
      </c>
      <c r="K58" s="69" t="s">
        <v>703</v>
      </c>
      <c r="L58" s="69" t="s">
        <v>703</v>
      </c>
      <c r="M58" s="69" t="s">
        <v>703</v>
      </c>
      <c r="N58" s="69" t="s">
        <v>3020</v>
      </c>
      <c r="O58" s="69" t="s">
        <v>2982</v>
      </c>
      <c r="P58" s="69" t="s">
        <v>3077</v>
      </c>
      <c r="Q58" s="69" t="s">
        <v>480</v>
      </c>
      <c r="R58" s="69" t="s">
        <v>479</v>
      </c>
      <c r="S58" s="131"/>
      <c r="T58" s="69"/>
      <c r="U58" s="69"/>
      <c r="V58" s="69" t="s">
        <v>565</v>
      </c>
      <c r="W58" s="69" t="s">
        <v>2574</v>
      </c>
      <c r="X58" s="69" t="s">
        <v>3137</v>
      </c>
      <c r="Y58" s="69" t="s">
        <v>2244</v>
      </c>
      <c r="Z58" s="69" t="s">
        <v>2244</v>
      </c>
      <c r="AA58" s="69" t="s">
        <v>2436</v>
      </c>
      <c r="AB58" s="69" t="s">
        <v>2337</v>
      </c>
      <c r="AC58" s="69" t="s">
        <v>642</v>
      </c>
      <c r="AD58" s="69" t="s">
        <v>641</v>
      </c>
      <c r="AE58" s="69"/>
      <c r="AF58" s="69"/>
      <c r="AG58" s="69"/>
      <c r="AH58" s="69" t="s">
        <v>2744</v>
      </c>
      <c r="AI58" s="69" t="s">
        <v>1669</v>
      </c>
      <c r="AJ58" s="69" t="s">
        <v>1815</v>
      </c>
      <c r="AK58" s="69" t="s">
        <v>3555</v>
      </c>
      <c r="AL58" s="69" t="s">
        <v>3555</v>
      </c>
      <c r="AM58" s="69" t="s">
        <v>3555</v>
      </c>
      <c r="AN58" s="69" t="s">
        <v>3555</v>
      </c>
      <c r="AO58" s="69" t="s">
        <v>766</v>
      </c>
      <c r="AP58" s="69" t="s">
        <v>766</v>
      </c>
      <c r="AQ58" s="69" t="s">
        <v>2983</v>
      </c>
      <c r="AR58" s="69" t="s">
        <v>2983</v>
      </c>
      <c r="AS58" s="69" t="s">
        <v>2983</v>
      </c>
      <c r="AT58" s="69" t="s">
        <v>1249</v>
      </c>
      <c r="AU58" s="69" t="s">
        <v>564</v>
      </c>
      <c r="AV58" s="69" t="s">
        <v>889</v>
      </c>
      <c r="AW58" s="69" t="s">
        <v>889</v>
      </c>
      <c r="AX58" s="69" t="s">
        <v>1011</v>
      </c>
      <c r="AY58" s="69" t="s">
        <v>1971</v>
      </c>
      <c r="AZ58" s="69" t="s">
        <v>3461</v>
      </c>
      <c r="BA58" s="69"/>
      <c r="BB58" s="69"/>
      <c r="BC58" s="69" t="s">
        <v>2489</v>
      </c>
      <c r="BD58" s="69" t="s">
        <v>2489</v>
      </c>
      <c r="BE58" s="69" t="s">
        <v>1519</v>
      </c>
    </row>
    <row r="59" spans="1:57" ht="18" x14ac:dyDescent="0.2">
      <c r="A59" s="25" t="s">
        <v>79</v>
      </c>
      <c r="B59" s="218"/>
      <c r="C59" s="46" t="s">
        <v>95</v>
      </c>
      <c r="D59" s="46" t="s">
        <v>95</v>
      </c>
      <c r="E59" s="46" t="s">
        <v>95</v>
      </c>
      <c r="F59" s="46" t="s">
        <v>95</v>
      </c>
      <c r="G59" s="117" t="s">
        <v>95</v>
      </c>
      <c r="H59" s="117" t="s">
        <v>95</v>
      </c>
      <c r="I59" s="46" t="s">
        <v>95</v>
      </c>
      <c r="J59" s="46" t="s">
        <v>95</v>
      </c>
      <c r="K59" s="47" t="s">
        <v>2417</v>
      </c>
      <c r="L59" s="47" t="s">
        <v>2417</v>
      </c>
      <c r="M59" s="47" t="s">
        <v>2417</v>
      </c>
      <c r="N59" s="46" t="s">
        <v>95</v>
      </c>
      <c r="O59" s="46" t="s">
        <v>95</v>
      </c>
      <c r="P59" s="46" t="s">
        <v>95</v>
      </c>
      <c r="Q59" s="20" t="s">
        <v>95</v>
      </c>
      <c r="R59" s="20" t="s">
        <v>95</v>
      </c>
      <c r="S59" s="130" t="s">
        <v>95</v>
      </c>
      <c r="T59" s="44" t="s">
        <v>95</v>
      </c>
      <c r="U59" s="44" t="s">
        <v>95</v>
      </c>
      <c r="V59" s="20" t="s">
        <v>95</v>
      </c>
      <c r="W59" s="20" t="s">
        <v>95</v>
      </c>
      <c r="X59" s="20" t="s">
        <v>95</v>
      </c>
      <c r="Y59" s="20" t="s">
        <v>95</v>
      </c>
      <c r="Z59" s="20" t="s">
        <v>95</v>
      </c>
      <c r="AA59" s="47" t="s">
        <v>95</v>
      </c>
      <c r="AB59" s="47" t="s">
        <v>95</v>
      </c>
      <c r="AC59" s="46" t="s">
        <v>95</v>
      </c>
      <c r="AD59" s="46" t="s">
        <v>95</v>
      </c>
      <c r="AE59" s="46" t="s">
        <v>95</v>
      </c>
      <c r="AF59" s="46" t="s">
        <v>95</v>
      </c>
      <c r="AG59" s="46" t="s">
        <v>95</v>
      </c>
      <c r="AH59" s="46" t="s">
        <v>95</v>
      </c>
      <c r="AI59" s="46" t="s">
        <v>95</v>
      </c>
      <c r="AJ59" s="46" t="s">
        <v>95</v>
      </c>
      <c r="AK59" s="47" t="s">
        <v>3620</v>
      </c>
      <c r="AL59" s="46" t="s">
        <v>95</v>
      </c>
      <c r="AM59" s="47" t="s">
        <v>95</v>
      </c>
      <c r="AN59" s="47" t="s">
        <v>95</v>
      </c>
      <c r="AO59" s="46" t="s">
        <v>95</v>
      </c>
      <c r="AP59" s="46" t="s">
        <v>95</v>
      </c>
      <c r="AQ59" s="20" t="s">
        <v>0</v>
      </c>
      <c r="AR59" s="20" t="s">
        <v>95</v>
      </c>
      <c r="AS59" s="20" t="s">
        <v>95</v>
      </c>
      <c r="AT59" s="46" t="s">
        <v>95</v>
      </c>
      <c r="AU59" s="47" t="s">
        <v>925</v>
      </c>
      <c r="AV59" s="47" t="s">
        <v>925</v>
      </c>
      <c r="AW59" s="47" t="s">
        <v>925</v>
      </c>
      <c r="AX59" s="46" t="s">
        <v>95</v>
      </c>
      <c r="AY59" s="46" t="s">
        <v>95</v>
      </c>
      <c r="AZ59" s="46" t="s">
        <v>3457</v>
      </c>
      <c r="BA59" s="46" t="s">
        <v>95</v>
      </c>
      <c r="BB59" s="46" t="s">
        <v>95</v>
      </c>
      <c r="BC59" s="46" t="s">
        <v>95</v>
      </c>
      <c r="BD59" s="47" t="s">
        <v>95</v>
      </c>
      <c r="BE59" s="46" t="s">
        <v>95</v>
      </c>
    </row>
    <row r="60" spans="1:57" ht="18" x14ac:dyDescent="0.2">
      <c r="A60" s="76" t="s">
        <v>402</v>
      </c>
      <c r="B60" s="219"/>
      <c r="C60" s="69" t="s">
        <v>2805</v>
      </c>
      <c r="D60" s="69" t="s">
        <v>1591</v>
      </c>
      <c r="E60" s="69" t="s">
        <v>1453</v>
      </c>
      <c r="F60" s="69" t="s">
        <v>1423</v>
      </c>
      <c r="G60" s="128"/>
      <c r="H60" s="128"/>
      <c r="I60" s="69" t="s">
        <v>2534</v>
      </c>
      <c r="J60" s="69" t="s">
        <v>1295</v>
      </c>
      <c r="K60" s="69" t="s">
        <v>403</v>
      </c>
      <c r="L60" s="69" t="s">
        <v>403</v>
      </c>
      <c r="M60" s="69" t="s">
        <v>403</v>
      </c>
      <c r="N60" s="69" t="s">
        <v>3080</v>
      </c>
      <c r="O60" s="69" t="s">
        <v>3080</v>
      </c>
      <c r="P60" s="69" t="s">
        <v>3080</v>
      </c>
      <c r="Q60" s="69" t="s">
        <v>476</v>
      </c>
      <c r="R60" s="69" t="s">
        <v>476</v>
      </c>
      <c r="S60" s="131"/>
      <c r="T60" s="69"/>
      <c r="U60" s="69"/>
      <c r="V60" s="69" t="s">
        <v>567</v>
      </c>
      <c r="W60" s="69" t="s">
        <v>567</v>
      </c>
      <c r="X60" s="69" t="s">
        <v>3138</v>
      </c>
      <c r="Y60" s="69" t="s">
        <v>3138</v>
      </c>
      <c r="Z60" s="69" t="s">
        <v>3138</v>
      </c>
      <c r="AA60" s="69" t="s">
        <v>2457</v>
      </c>
      <c r="AB60" s="69" t="s">
        <v>740</v>
      </c>
      <c r="AC60" s="69" t="s">
        <v>638</v>
      </c>
      <c r="AD60" s="69" t="s">
        <v>638</v>
      </c>
      <c r="AE60" s="69"/>
      <c r="AF60" s="69"/>
      <c r="AG60" s="69"/>
      <c r="AH60" s="69" t="s">
        <v>2745</v>
      </c>
      <c r="AI60" s="69" t="s">
        <v>1650</v>
      </c>
      <c r="AJ60" s="69" t="s">
        <v>1818</v>
      </c>
      <c r="AK60" s="69" t="s">
        <v>3555</v>
      </c>
      <c r="AL60" s="69" t="s">
        <v>3555</v>
      </c>
      <c r="AM60" s="69" t="s">
        <v>1784</v>
      </c>
      <c r="AN60" s="69" t="s">
        <v>3555</v>
      </c>
      <c r="AO60" s="69" t="s">
        <v>740</v>
      </c>
      <c r="AP60" s="69" t="s">
        <v>740</v>
      </c>
      <c r="AQ60" s="69" t="s">
        <v>3159</v>
      </c>
      <c r="AR60" s="69" t="s">
        <v>3162</v>
      </c>
      <c r="AS60" s="69" t="s">
        <v>3162</v>
      </c>
      <c r="AT60" s="69" t="s">
        <v>1239</v>
      </c>
      <c r="AU60" s="69" t="s">
        <v>403</v>
      </c>
      <c r="AV60" s="69" t="s">
        <v>403</v>
      </c>
      <c r="AW60" s="69" t="s">
        <v>403</v>
      </c>
      <c r="AX60" s="69" t="s">
        <v>1062</v>
      </c>
      <c r="AY60" s="69" t="s">
        <v>1974</v>
      </c>
      <c r="AZ60" s="69" t="s">
        <v>3466</v>
      </c>
      <c r="BA60" s="69"/>
      <c r="BB60" s="69"/>
      <c r="BC60" s="69" t="s">
        <v>740</v>
      </c>
      <c r="BD60" s="69" t="s">
        <v>740</v>
      </c>
      <c r="BE60" s="69" t="s">
        <v>740</v>
      </c>
    </row>
    <row r="61" spans="1:57" ht="27" x14ac:dyDescent="0.2">
      <c r="A61" s="162" t="s">
        <v>4125</v>
      </c>
      <c r="B61" s="218" t="s">
        <v>3782</v>
      </c>
      <c r="C61" s="186" t="s">
        <v>95</v>
      </c>
      <c r="D61" s="186" t="s">
        <v>95</v>
      </c>
      <c r="E61" s="186" t="s">
        <v>12</v>
      </c>
      <c r="F61" s="186" t="s">
        <v>95</v>
      </c>
      <c r="G61" s="184" t="s">
        <v>95</v>
      </c>
      <c r="H61" s="184" t="s">
        <v>95</v>
      </c>
      <c r="I61" s="186" t="s">
        <v>95</v>
      </c>
      <c r="J61" s="186" t="s">
        <v>95</v>
      </c>
      <c r="K61" s="183" t="s">
        <v>3</v>
      </c>
      <c r="L61" s="183" t="s">
        <v>95</v>
      </c>
      <c r="M61" s="183" t="s">
        <v>95</v>
      </c>
      <c r="N61" s="183" t="s">
        <v>95</v>
      </c>
      <c r="O61" s="183" t="s">
        <v>2974</v>
      </c>
      <c r="P61" s="183" t="s">
        <v>95</v>
      </c>
      <c r="Q61" s="194" t="s">
        <v>95</v>
      </c>
      <c r="R61" s="194" t="s">
        <v>95</v>
      </c>
      <c r="S61" s="185" t="s">
        <v>95</v>
      </c>
      <c r="T61" s="198" t="s">
        <v>95</v>
      </c>
      <c r="U61" s="198" t="s">
        <v>95</v>
      </c>
      <c r="V61" s="194" t="s">
        <v>0</v>
      </c>
      <c r="W61" s="195" t="s">
        <v>95</v>
      </c>
      <c r="X61" s="183" t="s">
        <v>15</v>
      </c>
      <c r="Y61" s="198" t="s">
        <v>2209</v>
      </c>
      <c r="Z61" s="198" t="s">
        <v>2209</v>
      </c>
      <c r="AA61" s="183" t="s">
        <v>2437</v>
      </c>
      <c r="AB61" s="183" t="s">
        <v>95</v>
      </c>
      <c r="AC61" s="186" t="s">
        <v>95</v>
      </c>
      <c r="AD61" s="186" t="s">
        <v>640</v>
      </c>
      <c r="AE61" s="186" t="s">
        <v>95</v>
      </c>
      <c r="AF61" s="186" t="s">
        <v>95</v>
      </c>
      <c r="AG61" s="186" t="s">
        <v>95</v>
      </c>
      <c r="AH61" s="186" t="s">
        <v>95</v>
      </c>
      <c r="AI61" s="183" t="s">
        <v>279</v>
      </c>
      <c r="AJ61" s="183" t="s">
        <v>95</v>
      </c>
      <c r="AK61" s="183" t="s">
        <v>3621</v>
      </c>
      <c r="AL61" s="186" t="s">
        <v>95</v>
      </c>
      <c r="AM61" s="183" t="s">
        <v>95</v>
      </c>
      <c r="AN61" s="183" t="s">
        <v>95</v>
      </c>
      <c r="AO61" s="186" t="s">
        <v>129</v>
      </c>
      <c r="AP61" s="186" t="s">
        <v>129</v>
      </c>
      <c r="AQ61" s="183" t="s">
        <v>0</v>
      </c>
      <c r="AR61" s="195" t="s">
        <v>95</v>
      </c>
      <c r="AS61" s="195" t="s">
        <v>95</v>
      </c>
      <c r="AT61" s="186" t="s">
        <v>95</v>
      </c>
      <c r="AU61" s="186" t="s">
        <v>95</v>
      </c>
      <c r="AV61" s="186" t="s">
        <v>95</v>
      </c>
      <c r="AW61" s="186" t="s">
        <v>95</v>
      </c>
      <c r="AX61" s="186" t="s">
        <v>94</v>
      </c>
      <c r="AY61" s="186" t="s">
        <v>95</v>
      </c>
      <c r="AZ61" s="186" t="s">
        <v>3457</v>
      </c>
      <c r="BA61" s="183" t="s">
        <v>95</v>
      </c>
      <c r="BB61" s="186" t="s">
        <v>95</v>
      </c>
      <c r="BC61" s="183" t="s">
        <v>127</v>
      </c>
      <c r="BD61" s="183" t="s">
        <v>95</v>
      </c>
      <c r="BE61" s="186" t="s">
        <v>95</v>
      </c>
    </row>
    <row r="62" spans="1:57" ht="18" x14ac:dyDescent="0.2">
      <c r="A62" s="76" t="s">
        <v>402</v>
      </c>
      <c r="B62" s="219"/>
      <c r="C62" s="69" t="s">
        <v>2783</v>
      </c>
      <c r="D62" s="69" t="s">
        <v>1591</v>
      </c>
      <c r="E62" s="69" t="s">
        <v>1614</v>
      </c>
      <c r="F62" s="69" t="s">
        <v>1615</v>
      </c>
      <c r="G62" s="128"/>
      <c r="H62" s="128"/>
      <c r="I62" s="69" t="s">
        <v>2536</v>
      </c>
      <c r="J62" s="69" t="s">
        <v>1294</v>
      </c>
      <c r="K62" s="69" t="s">
        <v>678</v>
      </c>
      <c r="L62" s="69" t="s">
        <v>678</v>
      </c>
      <c r="M62" s="69" t="s">
        <v>678</v>
      </c>
      <c r="N62" s="69" t="s">
        <v>3075</v>
      </c>
      <c r="O62" s="69" t="s">
        <v>3076</v>
      </c>
      <c r="P62" s="69" t="s">
        <v>3075</v>
      </c>
      <c r="Q62" s="69" t="s">
        <v>475</v>
      </c>
      <c r="R62" s="69" t="s">
        <v>475</v>
      </c>
      <c r="S62" s="131"/>
      <c r="T62" s="69"/>
      <c r="U62" s="69"/>
      <c r="V62" s="69" t="s">
        <v>514</v>
      </c>
      <c r="W62" s="69" t="s">
        <v>514</v>
      </c>
      <c r="X62" s="69" t="s">
        <v>3139</v>
      </c>
      <c r="Y62" s="69" t="s">
        <v>2245</v>
      </c>
      <c r="Z62" s="69" t="s">
        <v>2245</v>
      </c>
      <c r="AA62" s="69" t="s">
        <v>2436</v>
      </c>
      <c r="AB62" s="69" t="s">
        <v>2337</v>
      </c>
      <c r="AC62" s="69" t="s">
        <v>639</v>
      </c>
      <c r="AD62" s="69" t="s">
        <v>639</v>
      </c>
      <c r="AE62" s="69"/>
      <c r="AF62" s="69"/>
      <c r="AG62" s="69"/>
      <c r="AH62" s="69" t="s">
        <v>2743</v>
      </c>
      <c r="AI62" s="69" t="s">
        <v>1651</v>
      </c>
      <c r="AJ62" s="69" t="s">
        <v>1814</v>
      </c>
      <c r="AK62" s="69" t="s">
        <v>3555</v>
      </c>
      <c r="AL62" s="69" t="s">
        <v>3555</v>
      </c>
      <c r="AM62" s="69" t="s">
        <v>3555</v>
      </c>
      <c r="AN62" s="69" t="s">
        <v>3555</v>
      </c>
      <c r="AO62" s="69" t="s">
        <v>741</v>
      </c>
      <c r="AP62" s="69" t="s">
        <v>741</v>
      </c>
      <c r="AQ62" s="69" t="s">
        <v>2982</v>
      </c>
      <c r="AR62" s="69" t="s">
        <v>2982</v>
      </c>
      <c r="AS62" s="69" t="s">
        <v>2982</v>
      </c>
      <c r="AT62" s="69" t="s">
        <v>1226</v>
      </c>
      <c r="AU62" s="69" t="s">
        <v>923</v>
      </c>
      <c r="AV62" s="69" t="s">
        <v>923</v>
      </c>
      <c r="AW62" s="69" t="s">
        <v>923</v>
      </c>
      <c r="AX62" s="69" t="s">
        <v>1012</v>
      </c>
      <c r="AY62" s="69" t="s">
        <v>1957</v>
      </c>
      <c r="AZ62" s="69" t="s">
        <v>3460</v>
      </c>
      <c r="BA62" s="69"/>
      <c r="BB62" s="69"/>
      <c r="BC62" s="69" t="s">
        <v>1201</v>
      </c>
      <c r="BD62" s="69" t="s">
        <v>1201</v>
      </c>
      <c r="BE62" s="69" t="s">
        <v>1486</v>
      </c>
    </row>
    <row r="63" spans="1:57" x14ac:dyDescent="0.2">
      <c r="A63" s="26" t="s">
        <v>3684</v>
      </c>
      <c r="B63" s="226"/>
      <c r="C63" s="47"/>
      <c r="D63" s="46"/>
      <c r="E63" s="46"/>
      <c r="F63" s="46"/>
      <c r="G63" s="117"/>
      <c r="H63" s="117"/>
      <c r="I63" s="46"/>
      <c r="J63" s="47"/>
      <c r="K63" s="46"/>
      <c r="L63" s="46"/>
      <c r="M63" s="46"/>
      <c r="N63" s="46"/>
      <c r="O63" s="46"/>
      <c r="P63" s="46"/>
      <c r="Q63" s="20"/>
      <c r="R63" s="20"/>
      <c r="S63" s="130"/>
      <c r="T63" s="44"/>
      <c r="U63" s="44"/>
      <c r="V63" s="20"/>
      <c r="W63" s="20"/>
      <c r="X63" s="20"/>
      <c r="Y63" s="20"/>
      <c r="Z63" s="20"/>
      <c r="AA63" s="47"/>
      <c r="AB63" s="47"/>
      <c r="AC63" s="46"/>
      <c r="AD63" s="46"/>
      <c r="AE63" s="46"/>
      <c r="AF63" s="46"/>
      <c r="AG63" s="46"/>
      <c r="AH63" s="47"/>
      <c r="AI63" s="47"/>
      <c r="AJ63" s="47"/>
      <c r="AK63" s="47"/>
      <c r="AL63" s="47"/>
      <c r="AM63" s="47"/>
      <c r="AN63" s="47"/>
      <c r="AO63" s="47"/>
      <c r="AP63" s="47"/>
      <c r="AQ63" s="44"/>
      <c r="AR63" s="44"/>
      <c r="AS63" s="44"/>
      <c r="AT63" s="47"/>
      <c r="AU63" s="46"/>
      <c r="AV63" s="46"/>
      <c r="AW63" s="46"/>
      <c r="AX63" s="46"/>
      <c r="AY63" s="47"/>
      <c r="AZ63" s="47"/>
      <c r="BA63" s="46"/>
      <c r="BB63" s="46"/>
      <c r="BC63" s="46"/>
      <c r="BD63" s="47"/>
      <c r="BE63" s="46"/>
    </row>
    <row r="64" spans="1:57" x14ac:dyDescent="0.2">
      <c r="A64" s="76" t="s">
        <v>402</v>
      </c>
      <c r="B64" s="219"/>
      <c r="C64" s="69"/>
      <c r="D64" s="69"/>
      <c r="E64" s="69"/>
      <c r="F64" s="69"/>
      <c r="G64" s="128"/>
      <c r="H64" s="128"/>
      <c r="I64" s="69"/>
      <c r="J64" s="69"/>
      <c r="K64" s="69"/>
      <c r="L64" s="69"/>
      <c r="M64" s="69"/>
      <c r="N64" s="69"/>
      <c r="O64" s="69"/>
      <c r="P64" s="69"/>
      <c r="Q64" s="69"/>
      <c r="R64" s="69"/>
      <c r="S64" s="131"/>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row>
    <row r="65" spans="1:57" ht="18" x14ac:dyDescent="0.2">
      <c r="A65" s="26" t="s">
        <v>34</v>
      </c>
      <c r="B65" s="226"/>
      <c r="C65" s="47" t="s">
        <v>2761</v>
      </c>
      <c r="D65" s="46" t="s">
        <v>95</v>
      </c>
      <c r="E65" s="46" t="s">
        <v>95</v>
      </c>
      <c r="F65" s="46" t="s">
        <v>95</v>
      </c>
      <c r="G65" s="117" t="s">
        <v>3292</v>
      </c>
      <c r="H65" s="117" t="s">
        <v>3292</v>
      </c>
      <c r="I65" s="46" t="s">
        <v>3</v>
      </c>
      <c r="J65" s="47" t="s">
        <v>1336</v>
      </c>
      <c r="K65" s="46" t="s">
        <v>3</v>
      </c>
      <c r="L65" s="46" t="s">
        <v>3</v>
      </c>
      <c r="M65" s="46" t="s">
        <v>3</v>
      </c>
      <c r="N65" s="46" t="s">
        <v>95</v>
      </c>
      <c r="O65" s="46" t="s">
        <v>95</v>
      </c>
      <c r="P65" s="46" t="s">
        <v>3</v>
      </c>
      <c r="Q65" s="20" t="s">
        <v>95</v>
      </c>
      <c r="R65" s="20" t="s">
        <v>95</v>
      </c>
      <c r="S65" s="130" t="s">
        <v>95</v>
      </c>
      <c r="T65" s="44" t="s">
        <v>95</v>
      </c>
      <c r="U65" s="44" t="s">
        <v>95</v>
      </c>
      <c r="V65" s="20" t="s">
        <v>95</v>
      </c>
      <c r="W65" s="20" t="s">
        <v>95</v>
      </c>
      <c r="X65" s="20" t="s">
        <v>95</v>
      </c>
      <c r="Y65" s="20" t="s">
        <v>95</v>
      </c>
      <c r="Z65" s="20" t="s">
        <v>95</v>
      </c>
      <c r="AA65" s="47" t="s">
        <v>95</v>
      </c>
      <c r="AB65" s="47" t="s">
        <v>95</v>
      </c>
      <c r="AC65" s="46" t="s">
        <v>95</v>
      </c>
      <c r="AD65" s="46" t="s">
        <v>3</v>
      </c>
      <c r="AE65" s="46" t="s">
        <v>95</v>
      </c>
      <c r="AF65" s="46" t="s">
        <v>95</v>
      </c>
      <c r="AG65" s="46" t="s">
        <v>95</v>
      </c>
      <c r="AH65" s="47" t="s">
        <v>95</v>
      </c>
      <c r="AI65" s="47" t="s">
        <v>95</v>
      </c>
      <c r="AJ65" s="47" t="s">
        <v>95</v>
      </c>
      <c r="AK65" s="47" t="s">
        <v>95</v>
      </c>
      <c r="AL65" s="47" t="s">
        <v>95</v>
      </c>
      <c r="AM65" s="47" t="s">
        <v>95</v>
      </c>
      <c r="AN65" s="47" t="s">
        <v>95</v>
      </c>
      <c r="AO65" s="47" t="s">
        <v>3</v>
      </c>
      <c r="AP65" s="47" t="s">
        <v>3</v>
      </c>
      <c r="AQ65" s="44" t="s">
        <v>3</v>
      </c>
      <c r="AR65" s="44" t="s">
        <v>95</v>
      </c>
      <c r="AS65" s="44" t="s">
        <v>95</v>
      </c>
      <c r="AT65" s="47" t="s">
        <v>3</v>
      </c>
      <c r="AU65" s="46" t="s">
        <v>3</v>
      </c>
      <c r="AV65" s="46" t="s">
        <v>3</v>
      </c>
      <c r="AW65" s="46" t="s">
        <v>3</v>
      </c>
      <c r="AX65" s="46" t="s">
        <v>95</v>
      </c>
      <c r="AY65" s="47" t="s">
        <v>95</v>
      </c>
      <c r="AZ65" s="47" t="s">
        <v>3457</v>
      </c>
      <c r="BA65" s="46" t="s">
        <v>95</v>
      </c>
      <c r="BB65" s="46" t="s">
        <v>95</v>
      </c>
      <c r="BC65" s="46" t="s">
        <v>3</v>
      </c>
      <c r="BD65" s="47" t="s">
        <v>3</v>
      </c>
      <c r="BE65" s="46" t="s">
        <v>95</v>
      </c>
    </row>
    <row r="66" spans="1:57" ht="18" x14ac:dyDescent="0.2">
      <c r="A66" s="76" t="s">
        <v>402</v>
      </c>
      <c r="B66" s="219"/>
      <c r="C66" s="69" t="s">
        <v>2762</v>
      </c>
      <c r="D66" s="69" t="s">
        <v>1591</v>
      </c>
      <c r="E66" s="69" t="s">
        <v>1451</v>
      </c>
      <c r="F66" s="69" t="s">
        <v>1420</v>
      </c>
      <c r="G66" s="128"/>
      <c r="H66" s="128"/>
      <c r="I66" s="69" t="s">
        <v>3</v>
      </c>
      <c r="J66" s="69" t="s">
        <v>1335</v>
      </c>
      <c r="K66" s="69" t="s">
        <v>3</v>
      </c>
      <c r="L66" s="69" t="s">
        <v>3</v>
      </c>
      <c r="M66" s="69" t="s">
        <v>3</v>
      </c>
      <c r="N66" s="69" t="s">
        <v>3022</v>
      </c>
      <c r="O66" s="69" t="s">
        <v>2985</v>
      </c>
      <c r="P66" s="69" t="s">
        <v>3</v>
      </c>
      <c r="Q66" s="69" t="s">
        <v>482</v>
      </c>
      <c r="R66" s="69" t="s">
        <v>482</v>
      </c>
      <c r="S66" s="131"/>
      <c r="T66" s="69"/>
      <c r="U66" s="69"/>
      <c r="V66" s="69" t="s">
        <v>517</v>
      </c>
      <c r="W66" s="69" t="s">
        <v>517</v>
      </c>
      <c r="X66" s="69" t="s">
        <v>3135</v>
      </c>
      <c r="Y66" s="69" t="s">
        <v>3135</v>
      </c>
      <c r="Z66" s="69" t="s">
        <v>3135</v>
      </c>
      <c r="AA66" s="69" t="s">
        <v>2430</v>
      </c>
      <c r="AB66" s="69" t="s">
        <v>2337</v>
      </c>
      <c r="AC66" s="69" t="s">
        <v>585</v>
      </c>
      <c r="AD66" s="69" t="s">
        <v>3</v>
      </c>
      <c r="AE66" s="69"/>
      <c r="AF66" s="69"/>
      <c r="AG66" s="69"/>
      <c r="AH66" s="69" t="s">
        <v>2705</v>
      </c>
      <c r="AI66" s="69" t="s">
        <v>1654</v>
      </c>
      <c r="AJ66" s="69" t="s">
        <v>1816</v>
      </c>
      <c r="AK66" s="69" t="s">
        <v>3555</v>
      </c>
      <c r="AL66" s="69" t="s">
        <v>3555</v>
      </c>
      <c r="AM66" s="69" t="s">
        <v>3555</v>
      </c>
      <c r="AN66" s="69" t="s">
        <v>3555</v>
      </c>
      <c r="AO66" s="69" t="s">
        <v>3</v>
      </c>
      <c r="AP66" s="69" t="s">
        <v>3</v>
      </c>
      <c r="AQ66" s="69" t="s">
        <v>3</v>
      </c>
      <c r="AR66" s="69" t="s">
        <v>3159</v>
      </c>
      <c r="AS66" s="69" t="s">
        <v>3159</v>
      </c>
      <c r="AT66" s="69" t="s">
        <v>3</v>
      </c>
      <c r="AU66" s="69" t="s">
        <v>3</v>
      </c>
      <c r="AV66" s="69" t="s">
        <v>3</v>
      </c>
      <c r="AW66" s="69" t="s">
        <v>3</v>
      </c>
      <c r="AX66" s="69" t="s">
        <v>1014</v>
      </c>
      <c r="AY66" s="69" t="s">
        <v>1972</v>
      </c>
      <c r="AZ66" s="69" t="s">
        <v>3462</v>
      </c>
      <c r="BA66" s="69"/>
      <c r="BB66" s="69"/>
      <c r="BC66" s="69" t="s">
        <v>3</v>
      </c>
      <c r="BD66" s="69" t="s">
        <v>3</v>
      </c>
      <c r="BE66" s="69" t="s">
        <v>1496</v>
      </c>
    </row>
    <row r="67" spans="1:57" ht="18" x14ac:dyDescent="0.2">
      <c r="A67" s="162" t="s">
        <v>3674</v>
      </c>
      <c r="B67" s="218" t="s">
        <v>3651</v>
      </c>
      <c r="C67" s="183" t="s">
        <v>2782</v>
      </c>
      <c r="D67" s="183" t="s">
        <v>1279</v>
      </c>
      <c r="E67" s="186" t="s">
        <v>242</v>
      </c>
      <c r="F67" s="186" t="s">
        <v>95</v>
      </c>
      <c r="G67" s="184" t="s">
        <v>95</v>
      </c>
      <c r="H67" s="184" t="s">
        <v>95</v>
      </c>
      <c r="I67" s="183" t="s">
        <v>1279</v>
      </c>
      <c r="J67" s="183" t="s">
        <v>1279</v>
      </c>
      <c r="K67" s="186" t="s">
        <v>3</v>
      </c>
      <c r="L67" s="186" t="s">
        <v>95</v>
      </c>
      <c r="M67" s="186" t="s">
        <v>95</v>
      </c>
      <c r="N67" s="186" t="s">
        <v>95</v>
      </c>
      <c r="O67" s="186" t="s">
        <v>95</v>
      </c>
      <c r="P67" s="186" t="s">
        <v>95</v>
      </c>
      <c r="Q67" s="194" t="s">
        <v>95</v>
      </c>
      <c r="R67" s="195" t="s">
        <v>95</v>
      </c>
      <c r="S67" s="185" t="s">
        <v>95</v>
      </c>
      <c r="T67" s="195" t="s">
        <v>95</v>
      </c>
      <c r="U67" s="195" t="s">
        <v>95</v>
      </c>
      <c r="V67" s="194" t="s">
        <v>3</v>
      </c>
      <c r="W67" s="195" t="s">
        <v>95</v>
      </c>
      <c r="X67" s="194" t="s">
        <v>3</v>
      </c>
      <c r="Y67" s="195" t="s">
        <v>2209</v>
      </c>
      <c r="Z67" s="195" t="s">
        <v>2209</v>
      </c>
      <c r="AA67" s="186" t="s">
        <v>95</v>
      </c>
      <c r="AB67" s="183" t="s">
        <v>2340</v>
      </c>
      <c r="AC67" s="186" t="s">
        <v>95</v>
      </c>
      <c r="AD67" s="186" t="s">
        <v>293</v>
      </c>
      <c r="AE67" s="186" t="s">
        <v>95</v>
      </c>
      <c r="AF67" s="183" t="s">
        <v>3</v>
      </c>
      <c r="AG67" s="183" t="s">
        <v>95</v>
      </c>
      <c r="AH67" s="186" t="s">
        <v>95</v>
      </c>
      <c r="AI67" s="186" t="s">
        <v>95</v>
      </c>
      <c r="AJ67" s="183" t="s">
        <v>95</v>
      </c>
      <c r="AK67" s="183" t="s">
        <v>95</v>
      </c>
      <c r="AL67" s="186" t="s">
        <v>95</v>
      </c>
      <c r="AM67" s="183" t="s">
        <v>95</v>
      </c>
      <c r="AN67" s="183" t="s">
        <v>95</v>
      </c>
      <c r="AO67" s="186" t="s">
        <v>3</v>
      </c>
      <c r="AP67" s="186" t="s">
        <v>95</v>
      </c>
      <c r="AQ67" s="183" t="s">
        <v>3</v>
      </c>
      <c r="AR67" s="198" t="s">
        <v>2005</v>
      </c>
      <c r="AS67" s="198" t="s">
        <v>2005</v>
      </c>
      <c r="AT67" s="186" t="s">
        <v>95</v>
      </c>
      <c r="AU67" s="186" t="s">
        <v>3</v>
      </c>
      <c r="AV67" s="186" t="s">
        <v>95</v>
      </c>
      <c r="AW67" s="186" t="s">
        <v>95</v>
      </c>
      <c r="AX67" s="186" t="s">
        <v>95</v>
      </c>
      <c r="AY67" s="186" t="s">
        <v>95</v>
      </c>
      <c r="AZ67" s="186" t="s">
        <v>3464</v>
      </c>
      <c r="BA67" s="186" t="s">
        <v>95</v>
      </c>
      <c r="BB67" s="186" t="s">
        <v>95</v>
      </c>
      <c r="BC67" s="183" t="s">
        <v>1199</v>
      </c>
      <c r="BD67" s="183" t="s">
        <v>273</v>
      </c>
      <c r="BE67" s="183" t="s">
        <v>1487</v>
      </c>
    </row>
    <row r="68" spans="1:57" ht="18" x14ac:dyDescent="0.2">
      <c r="A68" s="76" t="s">
        <v>402</v>
      </c>
      <c r="B68" s="219"/>
      <c r="C68" s="69" t="s">
        <v>2781</v>
      </c>
      <c r="D68" s="69" t="s">
        <v>3275</v>
      </c>
      <c r="E68" s="69" t="s">
        <v>3330</v>
      </c>
      <c r="F68" s="69" t="s">
        <v>1421</v>
      </c>
      <c r="G68" s="128"/>
      <c r="H68" s="128"/>
      <c r="I68" s="69" t="s">
        <v>2538</v>
      </c>
      <c r="J68" s="69" t="s">
        <v>1339</v>
      </c>
      <c r="K68" s="69" t="s">
        <v>704</v>
      </c>
      <c r="L68" s="69" t="s">
        <v>704</v>
      </c>
      <c r="M68" s="69" t="s">
        <v>704</v>
      </c>
      <c r="N68" s="69" t="s">
        <v>3079</v>
      </c>
      <c r="O68" s="69" t="s">
        <v>3079</v>
      </c>
      <c r="P68" s="69" t="s">
        <v>3079</v>
      </c>
      <c r="Q68" s="69" t="s">
        <v>481</v>
      </c>
      <c r="R68" s="69" t="s">
        <v>481</v>
      </c>
      <c r="S68" s="131"/>
      <c r="T68" s="69"/>
      <c r="U68" s="69"/>
      <c r="V68" s="69" t="s">
        <v>517</v>
      </c>
      <c r="W68" s="69" t="s">
        <v>2575</v>
      </c>
      <c r="X68" s="69" t="s">
        <v>3135</v>
      </c>
      <c r="Y68" s="69" t="s">
        <v>2242</v>
      </c>
      <c r="Z68" s="69" t="s">
        <v>2242</v>
      </c>
      <c r="AA68" s="69" t="s">
        <v>2430</v>
      </c>
      <c r="AB68" s="69" t="s">
        <v>745</v>
      </c>
      <c r="AC68" s="69" t="s">
        <v>584</v>
      </c>
      <c r="AD68" s="69" t="s">
        <v>645</v>
      </c>
      <c r="AE68" s="69"/>
      <c r="AF68" s="69"/>
      <c r="AG68" s="69"/>
      <c r="AH68" s="69" t="s">
        <v>2706</v>
      </c>
      <c r="AI68" s="69" t="s">
        <v>1655</v>
      </c>
      <c r="AJ68" s="69" t="s">
        <v>1783</v>
      </c>
      <c r="AK68" s="69" t="s">
        <v>3555</v>
      </c>
      <c r="AL68" s="69" t="s">
        <v>3555</v>
      </c>
      <c r="AM68" s="69" t="s">
        <v>3555</v>
      </c>
      <c r="AN68" s="69" t="s">
        <v>3555</v>
      </c>
      <c r="AO68" s="69" t="s">
        <v>746</v>
      </c>
      <c r="AP68" s="69" t="s">
        <v>745</v>
      </c>
      <c r="AQ68" s="69" t="s">
        <v>3225</v>
      </c>
      <c r="AR68" s="69" t="s">
        <v>3031</v>
      </c>
      <c r="AS68" s="69" t="s">
        <v>3031</v>
      </c>
      <c r="AT68" s="69" t="s">
        <v>1238</v>
      </c>
      <c r="AU68" s="69" t="s">
        <v>564</v>
      </c>
      <c r="AV68" s="69" t="s">
        <v>888</v>
      </c>
      <c r="AW68" s="69" t="s">
        <v>888</v>
      </c>
      <c r="AX68" s="69" t="s">
        <v>1013</v>
      </c>
      <c r="AY68" s="69" t="s">
        <v>1973</v>
      </c>
      <c r="AZ68" s="69" t="s">
        <v>3465</v>
      </c>
      <c r="BA68" s="69"/>
      <c r="BB68" s="69"/>
      <c r="BC68" s="69" t="s">
        <v>1202</v>
      </c>
      <c r="BD68" s="69" t="s">
        <v>1175</v>
      </c>
      <c r="BE68" s="69" t="s">
        <v>1499</v>
      </c>
    </row>
    <row r="69" spans="1:57" ht="18" x14ac:dyDescent="0.2">
      <c r="A69" s="25" t="s">
        <v>42</v>
      </c>
      <c r="B69" s="218"/>
      <c r="C69" s="47" t="s">
        <v>43</v>
      </c>
      <c r="D69" s="47" t="s">
        <v>3277</v>
      </c>
      <c r="E69" s="47" t="s">
        <v>21</v>
      </c>
      <c r="F69" s="47" t="s">
        <v>43</v>
      </c>
      <c r="G69" s="117" t="s">
        <v>43</v>
      </c>
      <c r="H69" s="117" t="s">
        <v>43</v>
      </c>
      <c r="I69" s="46" t="s">
        <v>43</v>
      </c>
      <c r="J69" s="47" t="s">
        <v>795</v>
      </c>
      <c r="K69" s="47" t="s">
        <v>372</v>
      </c>
      <c r="L69" s="47" t="s">
        <v>372</v>
      </c>
      <c r="M69" s="47" t="s">
        <v>372</v>
      </c>
      <c r="N69" s="47" t="s">
        <v>3019</v>
      </c>
      <c r="O69" s="47" t="s">
        <v>3018</v>
      </c>
      <c r="P69" s="47" t="s">
        <v>21</v>
      </c>
      <c r="Q69" s="20" t="s">
        <v>510</v>
      </c>
      <c r="R69" s="20" t="s">
        <v>510</v>
      </c>
      <c r="S69" s="130" t="s">
        <v>3315</v>
      </c>
      <c r="T69" s="20" t="s">
        <v>201</v>
      </c>
      <c r="U69" s="20" t="s">
        <v>201</v>
      </c>
      <c r="V69" s="20" t="s">
        <v>2592</v>
      </c>
      <c r="W69" s="20" t="s">
        <v>2592</v>
      </c>
      <c r="X69" s="20" t="s">
        <v>3125</v>
      </c>
      <c r="Y69" s="20" t="s">
        <v>3125</v>
      </c>
      <c r="Z69" s="20" t="s">
        <v>3125</v>
      </c>
      <c r="AA69" s="47" t="s">
        <v>2459</v>
      </c>
      <c r="AB69" s="47" t="s">
        <v>43</v>
      </c>
      <c r="AC69" s="47" t="s">
        <v>21</v>
      </c>
      <c r="AD69" s="47" t="s">
        <v>21</v>
      </c>
      <c r="AE69" s="47" t="s">
        <v>95</v>
      </c>
      <c r="AF69" s="46" t="s">
        <v>372</v>
      </c>
      <c r="AG69" s="46" t="s">
        <v>372</v>
      </c>
      <c r="AH69" s="47" t="s">
        <v>43</v>
      </c>
      <c r="AI69" s="47" t="s">
        <v>43</v>
      </c>
      <c r="AJ69" s="47" t="s">
        <v>43</v>
      </c>
      <c r="AK69" s="47" t="s">
        <v>21</v>
      </c>
      <c r="AL69" s="47" t="s">
        <v>54</v>
      </c>
      <c r="AM69" s="47" t="s">
        <v>43</v>
      </c>
      <c r="AN69" s="47" t="s">
        <v>43</v>
      </c>
      <c r="AO69" s="47" t="s">
        <v>43</v>
      </c>
      <c r="AP69" s="47" t="s">
        <v>43</v>
      </c>
      <c r="AQ69" s="20" t="s">
        <v>21</v>
      </c>
      <c r="AR69" s="20" t="s">
        <v>43</v>
      </c>
      <c r="AS69" s="20" t="s">
        <v>43</v>
      </c>
      <c r="AT69" s="47" t="s">
        <v>43</v>
      </c>
      <c r="AU69" s="46" t="s">
        <v>43</v>
      </c>
      <c r="AV69" s="46" t="s">
        <v>43</v>
      </c>
      <c r="AW69" s="46" t="s">
        <v>43</v>
      </c>
      <c r="AX69" s="47" t="s">
        <v>43</v>
      </c>
      <c r="AY69" s="47" t="s">
        <v>1967</v>
      </c>
      <c r="AZ69" s="156" t="s">
        <v>21</v>
      </c>
      <c r="BA69" s="47" t="s">
        <v>1894</v>
      </c>
      <c r="BB69" s="47" t="s">
        <v>1894</v>
      </c>
      <c r="BC69" s="47" t="s">
        <v>21</v>
      </c>
      <c r="BD69" s="47" t="s">
        <v>43</v>
      </c>
      <c r="BE69" s="47" t="s">
        <v>21</v>
      </c>
    </row>
    <row r="70" spans="1:57" ht="18" x14ac:dyDescent="0.2">
      <c r="A70" s="76" t="s">
        <v>402</v>
      </c>
      <c r="B70" s="219"/>
      <c r="C70" s="69" t="s">
        <v>2806</v>
      </c>
      <c r="D70" s="69" t="s">
        <v>3276</v>
      </c>
      <c r="E70" s="69" t="s">
        <v>1469</v>
      </c>
      <c r="F70" s="69" t="s">
        <v>1469</v>
      </c>
      <c r="G70" s="128"/>
      <c r="H70" s="128"/>
      <c r="I70" s="69" t="s">
        <v>2539</v>
      </c>
      <c r="J70" s="69" t="s">
        <v>1282</v>
      </c>
      <c r="K70" s="69" t="s">
        <v>677</v>
      </c>
      <c r="L70" s="69" t="s">
        <v>677</v>
      </c>
      <c r="M70" s="69" t="s">
        <v>677</v>
      </c>
      <c r="N70" s="69" t="s">
        <v>3017</v>
      </c>
      <c r="O70" s="69" t="s">
        <v>2981</v>
      </c>
      <c r="P70" s="69" t="s">
        <v>3081</v>
      </c>
      <c r="Q70" s="69" t="s">
        <v>403</v>
      </c>
      <c r="R70" s="69" t="s">
        <v>403</v>
      </c>
      <c r="S70" s="131"/>
      <c r="T70" s="69"/>
      <c r="U70" s="69"/>
      <c r="V70" s="69" t="s">
        <v>571</v>
      </c>
      <c r="W70" s="69" t="s">
        <v>571</v>
      </c>
      <c r="X70" s="69" t="s">
        <v>2260</v>
      </c>
      <c r="Y70" s="69" t="s">
        <v>2260</v>
      </c>
      <c r="Z70" s="69" t="s">
        <v>2260</v>
      </c>
      <c r="AA70" s="69" t="s">
        <v>2458</v>
      </c>
      <c r="AB70" s="69" t="s">
        <v>2341</v>
      </c>
      <c r="AC70" s="69" t="s">
        <v>636</v>
      </c>
      <c r="AD70" s="69" t="s">
        <v>636</v>
      </c>
      <c r="AE70" s="69"/>
      <c r="AF70" s="69"/>
      <c r="AG70" s="69"/>
      <c r="AH70" s="69" t="s">
        <v>2753</v>
      </c>
      <c r="AI70" s="69" t="s">
        <v>2753</v>
      </c>
      <c r="AJ70" s="69" t="s">
        <v>1744</v>
      </c>
      <c r="AK70" s="69" t="s">
        <v>3555</v>
      </c>
      <c r="AL70" s="69" t="s">
        <v>3555</v>
      </c>
      <c r="AM70" s="69" t="s">
        <v>3555</v>
      </c>
      <c r="AN70" s="69" t="s">
        <v>3555</v>
      </c>
      <c r="AO70" s="69" t="s">
        <v>789</v>
      </c>
      <c r="AP70" s="69" t="s">
        <v>789</v>
      </c>
      <c r="AQ70" s="69" t="s">
        <v>2981</v>
      </c>
      <c r="AR70" s="69" t="s">
        <v>2981</v>
      </c>
      <c r="AS70" s="69" t="s">
        <v>2981</v>
      </c>
      <c r="AT70" s="69" t="s">
        <v>1250</v>
      </c>
      <c r="AU70" s="69" t="s">
        <v>907</v>
      </c>
      <c r="AV70" s="69" t="s">
        <v>907</v>
      </c>
      <c r="AW70" s="69" t="s">
        <v>907</v>
      </c>
      <c r="AX70" s="69" t="s">
        <v>405</v>
      </c>
      <c r="AY70" s="69" t="s">
        <v>1966</v>
      </c>
      <c r="AZ70" s="69" t="s">
        <v>789</v>
      </c>
      <c r="BA70" s="69"/>
      <c r="BB70" s="69"/>
      <c r="BC70" s="69" t="s">
        <v>1203</v>
      </c>
      <c r="BD70" s="69" t="s">
        <v>1203</v>
      </c>
      <c r="BE70" s="69" t="s">
        <v>1507</v>
      </c>
    </row>
    <row r="71" spans="1:57" x14ac:dyDescent="0.2">
      <c r="A71" s="25"/>
      <c r="B71" s="25"/>
      <c r="C71" s="46"/>
      <c r="D71" s="46"/>
      <c r="E71" s="46"/>
      <c r="F71" s="46"/>
      <c r="G71" s="117"/>
      <c r="H71" s="117"/>
      <c r="I71" s="46"/>
      <c r="J71" s="47"/>
      <c r="K71" s="46"/>
      <c r="L71" s="46"/>
      <c r="M71" s="46"/>
      <c r="N71" s="47"/>
      <c r="O71" s="47"/>
      <c r="P71" s="47"/>
      <c r="Q71" s="20"/>
      <c r="R71" s="20"/>
      <c r="S71" s="130"/>
      <c r="T71" s="20"/>
      <c r="U71" s="20"/>
      <c r="V71" s="20"/>
      <c r="W71" s="20"/>
      <c r="X71" s="20"/>
      <c r="Y71" s="20"/>
      <c r="Z71" s="20"/>
      <c r="AA71" s="47"/>
      <c r="AB71" s="47"/>
      <c r="AC71" s="47"/>
      <c r="AD71" s="57"/>
      <c r="AE71" s="46"/>
      <c r="AF71" s="47"/>
      <c r="AG71" s="47"/>
      <c r="AH71" s="47"/>
      <c r="AI71" s="47"/>
      <c r="AJ71" s="47"/>
      <c r="AK71" s="47"/>
      <c r="AL71" s="47"/>
      <c r="AM71" s="47"/>
      <c r="AN71" s="47"/>
      <c r="AO71" s="47"/>
      <c r="AP71" s="47"/>
      <c r="AQ71" s="20"/>
      <c r="AR71" s="20"/>
      <c r="AS71" s="20"/>
      <c r="AT71" s="46"/>
      <c r="AU71" s="46"/>
      <c r="AV71" s="46"/>
      <c r="AW71" s="46"/>
      <c r="AX71" s="46"/>
      <c r="AY71" s="46"/>
      <c r="AZ71" s="47"/>
      <c r="BA71" s="46"/>
      <c r="BB71" s="46"/>
      <c r="BC71" s="57"/>
      <c r="BD71" s="47"/>
      <c r="BE71" s="46"/>
    </row>
    <row r="72" spans="1:57" ht="18" x14ac:dyDescent="0.2">
      <c r="A72" s="75" t="s">
        <v>3655</v>
      </c>
      <c r="B72" s="75"/>
      <c r="C72" s="45" t="str">
        <f>C49</f>
        <v>Allianz inkl. SicherheitPlus</v>
      </c>
      <c r="D72" s="45" t="str">
        <f>D49</f>
        <v>Alte Leipziger comfort</v>
      </c>
      <c r="E72" s="45" t="str">
        <f>E49</f>
        <v>ARAG Basis (Wohnfläche)</v>
      </c>
      <c r="F72" s="126" t="str">
        <f>F49</f>
        <v>ARAG Comfort (Wohnfläche)</v>
      </c>
      <c r="G72" s="53" t="s">
        <v>3310</v>
      </c>
      <c r="H72" s="53" t="s">
        <v>3311</v>
      </c>
      <c r="I72" s="127" t="str">
        <f t="shared" ref="I72:P72" si="7">I49</f>
        <v>Baden Badener TOP (WF)</v>
      </c>
      <c r="J72" s="45" t="str">
        <f t="shared" si="7"/>
        <v>Basler Ambiente Top</v>
      </c>
      <c r="K72" s="45" t="str">
        <f t="shared" si="7"/>
        <v>Debeka Basis</v>
      </c>
      <c r="L72" s="45" t="str">
        <f t="shared" si="7"/>
        <v>Debeka Standard</v>
      </c>
      <c r="M72" s="45" t="str">
        <f t="shared" si="7"/>
        <v>Debeka Top</v>
      </c>
      <c r="N72" s="45" t="str">
        <f t="shared" si="7"/>
        <v>die Bayerische Komfort</v>
      </c>
      <c r="O72" s="45" t="str">
        <f t="shared" si="7"/>
        <v>die Bayerische Prestige</v>
      </c>
      <c r="P72" s="45" t="str">
        <f t="shared" si="7"/>
        <v>die Bayerische Smart</v>
      </c>
      <c r="Q72" s="245" t="str">
        <f>Q49</f>
        <v>Domcura Komfort</v>
      </c>
      <c r="R72" s="245" t="str">
        <f>R49</f>
        <v>Domcura Top</v>
      </c>
      <c r="S72" s="129" t="s">
        <v>3312</v>
      </c>
      <c r="T72" s="245" t="str">
        <f t="shared" ref="T72:AB72" si="8">T49</f>
        <v>ERGO</v>
      </c>
      <c r="U72" s="245" t="str">
        <f t="shared" si="8"/>
        <v>ERGO spezial</v>
      </c>
      <c r="V72" s="245" t="str">
        <f t="shared" si="8"/>
        <v>Generali Basis (qm)</v>
      </c>
      <c r="W72" s="245" t="str">
        <f t="shared" si="8"/>
        <v>Generali KomfortPlus (qm)</v>
      </c>
      <c r="X72" s="245" t="str">
        <f t="shared" si="8"/>
        <v>Gothaer (qm)</v>
      </c>
      <c r="Y72" s="245" t="str">
        <f t="shared" si="8"/>
        <v>Gothaer Top (qm)</v>
      </c>
      <c r="Z72" s="245" t="str">
        <f t="shared" si="8"/>
        <v>Gothaer Top Plus (qm)</v>
      </c>
      <c r="AA72" s="245" t="str">
        <f t="shared" si="8"/>
        <v>HDI Privatschutz (Wohnfläche)</v>
      </c>
      <c r="AB72" s="245" t="str">
        <f t="shared" si="8"/>
        <v>Helvetia Komfort</v>
      </c>
      <c r="AC72" s="245" t="str">
        <f t="shared" ref="AC72:AJ72" si="9">AC49</f>
        <v>HFK afm mit Zusatzdeckung</v>
      </c>
      <c r="AD72" s="245" t="str">
        <f t="shared" si="9"/>
        <v>HFK afm ohne Zusatzdeckung</v>
      </c>
      <c r="AE72" s="245" t="str">
        <f t="shared" si="9"/>
        <v>Hiscox Haus &amp; Kunst</v>
      </c>
      <c r="AF72" s="245" t="str">
        <f t="shared" si="9"/>
        <v>HUK Classic</v>
      </c>
      <c r="AG72" s="245" t="str">
        <f t="shared" si="9"/>
        <v>HUK Plus</v>
      </c>
      <c r="AH72" s="245" t="str">
        <f t="shared" si="9"/>
        <v>InterRisk XL</v>
      </c>
      <c r="AI72" s="245" t="str">
        <f t="shared" si="9"/>
        <v>InterRisk XXL</v>
      </c>
      <c r="AJ72" s="245" t="str">
        <f t="shared" si="9"/>
        <v>ITL afm Eurosecure 2009</v>
      </c>
      <c r="AK72" s="245" t="s">
        <v>3552</v>
      </c>
      <c r="AL72" s="245" t="s">
        <v>3551</v>
      </c>
      <c r="AM72" s="245" t="s">
        <v>3550</v>
      </c>
      <c r="AN72" s="245" t="s">
        <v>3549</v>
      </c>
      <c r="AO72" s="245" t="str">
        <f>AO49</f>
        <v>Itzehoer Basis</v>
      </c>
      <c r="AP72" s="245" t="str">
        <f>AP49</f>
        <v>Itzehoer Plus</v>
      </c>
      <c r="AQ72" s="245"/>
      <c r="AR72" s="245"/>
      <c r="AS72" s="245"/>
      <c r="AT72" s="245" t="str">
        <f t="shared" ref="AT72:AY72" si="10">AT49</f>
        <v>Nürnberger KomplettSchutz (Wert 1914)</v>
      </c>
      <c r="AU72" s="245" t="str">
        <f t="shared" si="10"/>
        <v>Provinzial Kompaktschutz</v>
      </c>
      <c r="AV72" s="245" t="str">
        <f t="shared" si="10"/>
        <v>Provinzial Rundum inkl. Plus</v>
      </c>
      <c r="AW72" s="245" t="str">
        <f t="shared" si="10"/>
        <v>Provinzial Rundumschutz</v>
      </c>
      <c r="AX72" s="245" t="str">
        <f t="shared" si="10"/>
        <v>R+V PrivatPolice (Fläche)</v>
      </c>
      <c r="AY72" s="245" t="str">
        <f t="shared" si="10"/>
        <v>VdVA</v>
      </c>
      <c r="AZ72" s="243" t="s">
        <v>3496</v>
      </c>
      <c r="BA72" s="245" t="str">
        <f>BA49</f>
        <v>VHV Klassik Garant</v>
      </c>
      <c r="BB72" s="245" t="str">
        <f>BB49</f>
        <v>VHV Klassik Garant Exklusiv</v>
      </c>
      <c r="BC72" s="245" t="str">
        <f>BC49</f>
        <v>VKB Kompakt</v>
      </c>
      <c r="BD72" s="245" t="str">
        <f>BD49</f>
        <v>VKB Optimal</v>
      </c>
      <c r="BE72" s="245" t="str">
        <f>BE49</f>
        <v>WÜBA Plus</v>
      </c>
    </row>
    <row r="73" spans="1:57" ht="18" x14ac:dyDescent="0.2">
      <c r="A73" s="80" t="s">
        <v>3685</v>
      </c>
      <c r="B73" s="227"/>
      <c r="C73" s="28"/>
      <c r="D73" s="28"/>
      <c r="E73" s="28"/>
      <c r="F73" s="28"/>
      <c r="G73" s="113"/>
      <c r="H73" s="116"/>
      <c r="I73" s="28"/>
      <c r="J73" s="28"/>
      <c r="K73" s="28"/>
      <c r="L73" s="28"/>
      <c r="M73" s="28"/>
      <c r="N73" s="28"/>
      <c r="O73" s="28"/>
      <c r="P73" s="28"/>
      <c r="Q73" s="28"/>
      <c r="R73" s="28"/>
      <c r="S73" s="132"/>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row>
    <row r="74" spans="1:57" x14ac:dyDescent="0.2">
      <c r="A74" s="162" t="s">
        <v>3687</v>
      </c>
      <c r="B74" s="218"/>
      <c r="C74" s="186" t="s">
        <v>95</v>
      </c>
      <c r="D74" s="186" t="s">
        <v>95</v>
      </c>
      <c r="E74" s="186" t="s">
        <v>95</v>
      </c>
      <c r="F74" s="186" t="s">
        <v>95</v>
      </c>
      <c r="G74" s="184" t="s">
        <v>95</v>
      </c>
      <c r="H74" s="184" t="s">
        <v>95</v>
      </c>
      <c r="I74" s="186" t="s">
        <v>95</v>
      </c>
      <c r="J74" s="186" t="s">
        <v>95</v>
      </c>
      <c r="K74" s="186" t="s">
        <v>95</v>
      </c>
      <c r="L74" s="186" t="s">
        <v>95</v>
      </c>
      <c r="M74" s="186" t="s">
        <v>95</v>
      </c>
      <c r="N74" s="183" t="s">
        <v>95</v>
      </c>
      <c r="O74" s="183" t="s">
        <v>95</v>
      </c>
      <c r="P74" s="183" t="s">
        <v>95</v>
      </c>
      <c r="Q74" s="194" t="s">
        <v>95</v>
      </c>
      <c r="R74" s="194" t="s">
        <v>95</v>
      </c>
      <c r="S74" s="185" t="s">
        <v>95</v>
      </c>
      <c r="T74" s="195" t="s">
        <v>95</v>
      </c>
      <c r="U74" s="195" t="s">
        <v>95</v>
      </c>
      <c r="V74" s="194" t="s">
        <v>95</v>
      </c>
      <c r="W74" s="194" t="s">
        <v>95</v>
      </c>
      <c r="X74" s="194" t="s">
        <v>95</v>
      </c>
      <c r="Y74" s="194" t="s">
        <v>95</v>
      </c>
      <c r="Z74" s="194" t="s">
        <v>95</v>
      </c>
      <c r="AA74" s="186" t="s">
        <v>95</v>
      </c>
      <c r="AB74" s="186" t="s">
        <v>95</v>
      </c>
      <c r="AC74" s="186" t="s">
        <v>95</v>
      </c>
      <c r="AD74" s="186" t="s">
        <v>95</v>
      </c>
      <c r="AE74" s="186" t="s">
        <v>95</v>
      </c>
      <c r="AF74" s="186" t="s">
        <v>95</v>
      </c>
      <c r="AG74" s="186" t="s">
        <v>95</v>
      </c>
      <c r="AH74" s="186" t="s">
        <v>95</v>
      </c>
      <c r="AI74" s="186" t="s">
        <v>95</v>
      </c>
      <c r="AJ74" s="186" t="s">
        <v>95</v>
      </c>
      <c r="AK74" s="186" t="s">
        <v>95</v>
      </c>
      <c r="AL74" s="186" t="s">
        <v>95</v>
      </c>
      <c r="AM74" s="186" t="s">
        <v>95</v>
      </c>
      <c r="AN74" s="186" t="s">
        <v>95</v>
      </c>
      <c r="AO74" s="186" t="s">
        <v>95</v>
      </c>
      <c r="AP74" s="186" t="s">
        <v>95</v>
      </c>
      <c r="AQ74" s="186" t="s">
        <v>95</v>
      </c>
      <c r="AR74" s="186" t="s">
        <v>95</v>
      </c>
      <c r="AS74" s="186" t="s">
        <v>95</v>
      </c>
      <c r="AT74" s="186" t="s">
        <v>95</v>
      </c>
      <c r="AU74" s="186" t="s">
        <v>95</v>
      </c>
      <c r="AV74" s="186" t="s">
        <v>95</v>
      </c>
      <c r="AW74" s="186" t="s">
        <v>95</v>
      </c>
      <c r="AX74" s="186" t="s">
        <v>95</v>
      </c>
      <c r="AY74" s="186" t="s">
        <v>95</v>
      </c>
      <c r="AZ74" s="186" t="s">
        <v>95</v>
      </c>
      <c r="BA74" s="186" t="s">
        <v>95</v>
      </c>
      <c r="BB74" s="186" t="s">
        <v>95</v>
      </c>
      <c r="BC74" s="183" t="s">
        <v>95</v>
      </c>
      <c r="BD74" s="183" t="s">
        <v>95</v>
      </c>
      <c r="BE74" s="186" t="s">
        <v>95</v>
      </c>
    </row>
    <row r="75" spans="1:57" x14ac:dyDescent="0.2">
      <c r="A75" s="76" t="s">
        <v>402</v>
      </c>
      <c r="B75" s="219"/>
      <c r="C75" s="69" t="s">
        <v>2785</v>
      </c>
      <c r="D75" s="69" t="s">
        <v>1600</v>
      </c>
      <c r="E75" s="69" t="s">
        <v>1471</v>
      </c>
      <c r="F75" s="69" t="s">
        <v>1471</v>
      </c>
      <c r="G75" s="128"/>
      <c r="H75" s="128"/>
      <c r="I75" s="69" t="s">
        <v>2548</v>
      </c>
      <c r="J75" s="69" t="s">
        <v>1327</v>
      </c>
      <c r="K75" s="69" t="s">
        <v>707</v>
      </c>
      <c r="L75" s="69" t="s">
        <v>707</v>
      </c>
      <c r="M75" s="69" t="s">
        <v>707</v>
      </c>
      <c r="N75" s="69" t="s">
        <v>3082</v>
      </c>
      <c r="O75" s="69" t="s">
        <v>3082</v>
      </c>
      <c r="P75" s="69" t="s">
        <v>3082</v>
      </c>
      <c r="Q75" s="69" t="s">
        <v>483</v>
      </c>
      <c r="R75" s="69" t="s">
        <v>483</v>
      </c>
      <c r="S75" s="131"/>
      <c r="T75" s="69"/>
      <c r="U75" s="69"/>
      <c r="V75" s="69" t="s">
        <v>556</v>
      </c>
      <c r="W75" s="69" t="s">
        <v>556</v>
      </c>
      <c r="X75" s="69" t="s">
        <v>2262</v>
      </c>
      <c r="Y75" s="69" t="s">
        <v>2262</v>
      </c>
      <c r="Z75" s="69" t="s">
        <v>2262</v>
      </c>
      <c r="AA75" s="69" t="s">
        <v>2461</v>
      </c>
      <c r="AB75" s="69" t="s">
        <v>2142</v>
      </c>
      <c r="AC75" s="69" t="s">
        <v>623</v>
      </c>
      <c r="AD75" s="69" t="s">
        <v>623</v>
      </c>
      <c r="AE75" s="69"/>
      <c r="AF75" s="69"/>
      <c r="AG75" s="69"/>
      <c r="AH75" s="69" t="s">
        <v>2746</v>
      </c>
      <c r="AI75" s="69" t="s">
        <v>1683</v>
      </c>
      <c r="AJ75" s="69" t="s">
        <v>1737</v>
      </c>
      <c r="AK75" s="69" t="s">
        <v>3555</v>
      </c>
      <c r="AL75" s="69" t="s">
        <v>3563</v>
      </c>
      <c r="AM75" s="69" t="s">
        <v>1737</v>
      </c>
      <c r="AN75" s="69" t="s">
        <v>3605</v>
      </c>
      <c r="AO75" s="69" t="s">
        <v>769</v>
      </c>
      <c r="AP75" s="69" t="s">
        <v>769</v>
      </c>
      <c r="AQ75" s="69" t="s">
        <v>3180</v>
      </c>
      <c r="AR75" s="69" t="s">
        <v>3226</v>
      </c>
      <c r="AS75" s="69" t="s">
        <v>3226</v>
      </c>
      <c r="AT75" s="69" t="s">
        <v>707</v>
      </c>
      <c r="AU75" s="69" t="s">
        <v>926</v>
      </c>
      <c r="AV75" s="69" t="s">
        <v>926</v>
      </c>
      <c r="AW75" s="69" t="s">
        <v>926</v>
      </c>
      <c r="AX75" s="69" t="s">
        <v>1020</v>
      </c>
      <c r="AY75" s="69" t="s">
        <v>1975</v>
      </c>
      <c r="AZ75" s="69" t="s">
        <v>3469</v>
      </c>
      <c r="BA75" s="69"/>
      <c r="BB75" s="69"/>
      <c r="BC75" s="69" t="s">
        <v>1204</v>
      </c>
      <c r="BD75" s="69" t="s">
        <v>1204</v>
      </c>
      <c r="BE75" s="69" t="s">
        <v>1512</v>
      </c>
    </row>
    <row r="76" spans="1:57" s="167" customFormat="1" x14ac:dyDescent="0.2">
      <c r="A76" s="25" t="s">
        <v>3688</v>
      </c>
      <c r="B76" s="218"/>
      <c r="C76" s="46" t="s">
        <v>95</v>
      </c>
      <c r="D76" s="46" t="s">
        <v>95</v>
      </c>
      <c r="E76" s="46" t="s">
        <v>95</v>
      </c>
      <c r="F76" s="46" t="s">
        <v>95</v>
      </c>
      <c r="G76" s="117" t="s">
        <v>95</v>
      </c>
      <c r="H76" s="117" t="s">
        <v>95</v>
      </c>
      <c r="I76" s="46" t="s">
        <v>95</v>
      </c>
      <c r="J76" s="46" t="s">
        <v>95</v>
      </c>
      <c r="K76" s="46" t="s">
        <v>95</v>
      </c>
      <c r="L76" s="46" t="s">
        <v>95</v>
      </c>
      <c r="M76" s="46" t="s">
        <v>95</v>
      </c>
      <c r="N76" s="47" t="s">
        <v>95</v>
      </c>
      <c r="O76" s="47" t="s">
        <v>95</v>
      </c>
      <c r="P76" s="47" t="s">
        <v>95</v>
      </c>
      <c r="Q76" s="20" t="s">
        <v>95</v>
      </c>
      <c r="R76" s="20" t="s">
        <v>95</v>
      </c>
      <c r="S76" s="130" t="s">
        <v>95</v>
      </c>
      <c r="T76" s="44" t="s">
        <v>95</v>
      </c>
      <c r="U76" s="44" t="s">
        <v>95</v>
      </c>
      <c r="V76" s="20" t="s">
        <v>95</v>
      </c>
      <c r="W76" s="20" t="s">
        <v>95</v>
      </c>
      <c r="X76" s="20" t="s">
        <v>95</v>
      </c>
      <c r="Y76" s="20" t="s">
        <v>95</v>
      </c>
      <c r="Z76" s="20" t="s">
        <v>95</v>
      </c>
      <c r="AA76" s="46" t="s">
        <v>95</v>
      </c>
      <c r="AB76" s="46" t="s">
        <v>95</v>
      </c>
      <c r="AC76" s="46" t="s">
        <v>95</v>
      </c>
      <c r="AD76" s="46" t="s">
        <v>95</v>
      </c>
      <c r="AE76" s="46" t="s">
        <v>95</v>
      </c>
      <c r="AF76" s="46" t="s">
        <v>95</v>
      </c>
      <c r="AG76" s="46" t="s">
        <v>95</v>
      </c>
      <c r="AH76" s="46" t="s">
        <v>95</v>
      </c>
      <c r="AI76" s="46" t="s">
        <v>95</v>
      </c>
      <c r="AJ76" s="46" t="s">
        <v>95</v>
      </c>
      <c r="AK76" s="156" t="s">
        <v>95</v>
      </c>
      <c r="AL76" s="46" t="s">
        <v>95</v>
      </c>
      <c r="AM76" s="46" t="s">
        <v>95</v>
      </c>
      <c r="AN76" s="46" t="s">
        <v>95</v>
      </c>
      <c r="AO76" s="46" t="s">
        <v>95</v>
      </c>
      <c r="AP76" s="46" t="s">
        <v>95</v>
      </c>
      <c r="AQ76" s="46" t="s">
        <v>95</v>
      </c>
      <c r="AR76" s="46" t="s">
        <v>95</v>
      </c>
      <c r="AS76" s="46" t="s">
        <v>95</v>
      </c>
      <c r="AT76" s="46" t="s">
        <v>95</v>
      </c>
      <c r="AU76" s="46" t="s">
        <v>95</v>
      </c>
      <c r="AV76" s="46" t="s">
        <v>95</v>
      </c>
      <c r="AW76" s="46" t="s">
        <v>95</v>
      </c>
      <c r="AX76" s="46" t="s">
        <v>95</v>
      </c>
      <c r="AY76" s="46" t="s">
        <v>95</v>
      </c>
      <c r="AZ76" s="46" t="s">
        <v>95</v>
      </c>
      <c r="BA76" s="46" t="s">
        <v>95</v>
      </c>
      <c r="BB76" s="46" t="s">
        <v>95</v>
      </c>
      <c r="BC76" s="47" t="s">
        <v>95</v>
      </c>
      <c r="BD76" s="47" t="s">
        <v>95</v>
      </c>
      <c r="BE76" s="46" t="s">
        <v>95</v>
      </c>
    </row>
    <row r="77" spans="1:57" x14ac:dyDescent="0.2">
      <c r="A77" s="76" t="s">
        <v>402</v>
      </c>
      <c r="B77" s="219"/>
      <c r="C77" s="69" t="s">
        <v>2785</v>
      </c>
      <c r="D77" s="69" t="s">
        <v>1600</v>
      </c>
      <c r="E77" s="69" t="s">
        <v>1471</v>
      </c>
      <c r="F77" s="69" t="s">
        <v>1471</v>
      </c>
      <c r="G77" s="128"/>
      <c r="H77" s="128"/>
      <c r="I77" s="69" t="s">
        <v>2548</v>
      </c>
      <c r="J77" s="69" t="s">
        <v>1327</v>
      </c>
      <c r="K77" s="69" t="s">
        <v>707</v>
      </c>
      <c r="L77" s="69" t="s">
        <v>707</v>
      </c>
      <c r="M77" s="69" t="s">
        <v>707</v>
      </c>
      <c r="N77" s="69" t="s">
        <v>3082</v>
      </c>
      <c r="O77" s="69" t="s">
        <v>3082</v>
      </c>
      <c r="P77" s="69" t="s">
        <v>3082</v>
      </c>
      <c r="Q77" s="69" t="s">
        <v>483</v>
      </c>
      <c r="R77" s="69" t="s">
        <v>483</v>
      </c>
      <c r="S77" s="131"/>
      <c r="T77" s="69"/>
      <c r="U77" s="69"/>
      <c r="V77" s="69" t="s">
        <v>556</v>
      </c>
      <c r="W77" s="69" t="s">
        <v>556</v>
      </c>
      <c r="X77" s="69" t="s">
        <v>2262</v>
      </c>
      <c r="Y77" s="69" t="s">
        <v>2262</v>
      </c>
      <c r="Z77" s="69" t="s">
        <v>2262</v>
      </c>
      <c r="AA77" s="69" t="s">
        <v>2461</v>
      </c>
      <c r="AB77" s="69" t="s">
        <v>2142</v>
      </c>
      <c r="AC77" s="69" t="s">
        <v>623</v>
      </c>
      <c r="AD77" s="69" t="s">
        <v>623</v>
      </c>
      <c r="AE77" s="69"/>
      <c r="AF77" s="69"/>
      <c r="AG77" s="69"/>
      <c r="AH77" s="69" t="s">
        <v>2746</v>
      </c>
      <c r="AI77" s="69" t="s">
        <v>1683</v>
      </c>
      <c r="AJ77" s="69" t="s">
        <v>1737</v>
      </c>
      <c r="AK77" s="69" t="s">
        <v>3555</v>
      </c>
      <c r="AL77" s="69" t="s">
        <v>3563</v>
      </c>
      <c r="AM77" s="69" t="s">
        <v>1737</v>
      </c>
      <c r="AN77" s="69" t="s">
        <v>3605</v>
      </c>
      <c r="AO77" s="69" t="s">
        <v>769</v>
      </c>
      <c r="AP77" s="69" t="s">
        <v>769</v>
      </c>
      <c r="AQ77" s="69" t="s">
        <v>3180</v>
      </c>
      <c r="AR77" s="69" t="s">
        <v>3226</v>
      </c>
      <c r="AS77" s="69" t="s">
        <v>3226</v>
      </c>
      <c r="AT77" s="69" t="s">
        <v>707</v>
      </c>
      <c r="AU77" s="69" t="s">
        <v>926</v>
      </c>
      <c r="AV77" s="69" t="s">
        <v>926</v>
      </c>
      <c r="AW77" s="69" t="s">
        <v>926</v>
      </c>
      <c r="AX77" s="69" t="s">
        <v>1020</v>
      </c>
      <c r="AY77" s="69" t="s">
        <v>1975</v>
      </c>
      <c r="AZ77" s="69" t="s">
        <v>3469</v>
      </c>
      <c r="BA77" s="69"/>
      <c r="BB77" s="69"/>
      <c r="BC77" s="69" t="s">
        <v>1204</v>
      </c>
      <c r="BD77" s="69" t="s">
        <v>1204</v>
      </c>
      <c r="BE77" s="69" t="s">
        <v>1512</v>
      </c>
    </row>
    <row r="78" spans="1:57" x14ac:dyDescent="0.2">
      <c r="A78" s="25" t="s">
        <v>3658</v>
      </c>
      <c r="B78" s="218"/>
      <c r="C78" s="46"/>
      <c r="D78" s="46"/>
      <c r="E78" s="46"/>
      <c r="F78" s="46"/>
      <c r="G78" s="117"/>
      <c r="H78" s="117"/>
      <c r="I78" s="46"/>
      <c r="J78" s="46"/>
      <c r="K78" s="46"/>
      <c r="L78" s="46"/>
      <c r="M78" s="46"/>
      <c r="N78" s="46"/>
      <c r="O78" s="46"/>
      <c r="P78" s="46"/>
      <c r="Q78" s="20"/>
      <c r="R78" s="20"/>
      <c r="S78" s="130"/>
      <c r="T78" s="44"/>
      <c r="U78" s="44"/>
      <c r="V78" s="20"/>
      <c r="W78" s="20"/>
      <c r="X78" s="47"/>
      <c r="Y78" s="47"/>
      <c r="Z78" s="47"/>
      <c r="AA78" s="46"/>
      <c r="AB78" s="46"/>
      <c r="AC78" s="46"/>
      <c r="AD78" s="46"/>
      <c r="AE78" s="46"/>
      <c r="AF78" s="46"/>
      <c r="AG78" s="46"/>
      <c r="AH78" s="46"/>
      <c r="AI78" s="46"/>
      <c r="AJ78" s="46"/>
      <c r="AK78" s="46"/>
      <c r="AL78" s="46"/>
      <c r="AM78" s="46"/>
      <c r="AN78" s="46"/>
      <c r="AO78" s="50"/>
      <c r="AP78" s="50"/>
      <c r="AQ78" s="46"/>
      <c r="AR78" s="46"/>
      <c r="AS78" s="46"/>
      <c r="AT78" s="46"/>
      <c r="AU78" s="46"/>
      <c r="AV78" s="46"/>
      <c r="AW78" s="46"/>
      <c r="AX78" s="46"/>
      <c r="AY78" s="46"/>
      <c r="AZ78" s="46"/>
      <c r="BA78" s="46"/>
      <c r="BB78" s="46"/>
      <c r="BC78" s="47"/>
      <c r="BD78" s="47"/>
      <c r="BE78" s="46"/>
    </row>
    <row r="79" spans="1:57" x14ac:dyDescent="0.2">
      <c r="A79" s="76" t="s">
        <v>402</v>
      </c>
      <c r="B79" s="219"/>
      <c r="C79" s="69"/>
      <c r="D79" s="69"/>
      <c r="E79" s="69"/>
      <c r="F79" s="69"/>
      <c r="G79" s="128"/>
      <c r="H79" s="128"/>
      <c r="I79" s="69"/>
      <c r="J79" s="69"/>
      <c r="K79" s="69"/>
      <c r="L79" s="69"/>
      <c r="M79" s="69"/>
      <c r="N79" s="69"/>
      <c r="O79" s="69"/>
      <c r="P79" s="69"/>
      <c r="Q79" s="69"/>
      <c r="R79" s="69"/>
      <c r="S79" s="131"/>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row>
    <row r="80" spans="1:57" ht="18" x14ac:dyDescent="0.2">
      <c r="A80" s="25" t="s">
        <v>3686</v>
      </c>
      <c r="B80" s="218"/>
      <c r="C80" s="46" t="s">
        <v>95</v>
      </c>
      <c r="D80" s="46" t="s">
        <v>95</v>
      </c>
      <c r="E80" s="46" t="s">
        <v>95</v>
      </c>
      <c r="F80" s="46" t="s">
        <v>95</v>
      </c>
      <c r="G80" s="117" t="s">
        <v>95</v>
      </c>
      <c r="H80" s="117"/>
      <c r="I80" s="46" t="s">
        <v>95</v>
      </c>
      <c r="J80" s="46" t="s">
        <v>95</v>
      </c>
      <c r="K80" s="46" t="s">
        <v>95</v>
      </c>
      <c r="L80" s="46" t="s">
        <v>95</v>
      </c>
      <c r="M80" s="46" t="s">
        <v>95</v>
      </c>
      <c r="N80" s="46" t="s">
        <v>95</v>
      </c>
      <c r="O80" s="46" t="s">
        <v>95</v>
      </c>
      <c r="P80" s="46" t="s">
        <v>95</v>
      </c>
      <c r="Q80" s="20" t="s">
        <v>95</v>
      </c>
      <c r="R80" s="20" t="s">
        <v>95</v>
      </c>
      <c r="S80" s="130" t="s">
        <v>95</v>
      </c>
      <c r="T80" s="44" t="s">
        <v>95</v>
      </c>
      <c r="U80" s="44" t="s">
        <v>95</v>
      </c>
      <c r="V80" s="20" t="s">
        <v>95</v>
      </c>
      <c r="W80" s="20" t="s">
        <v>95</v>
      </c>
      <c r="X80" s="20" t="s">
        <v>95</v>
      </c>
      <c r="Y80" s="20" t="s">
        <v>95</v>
      </c>
      <c r="Z80" s="20" t="s">
        <v>95</v>
      </c>
      <c r="AA80" s="46" t="s">
        <v>95</v>
      </c>
      <c r="AB80" s="50" t="s">
        <v>95</v>
      </c>
      <c r="AC80" s="46" t="s">
        <v>95</v>
      </c>
      <c r="AD80" s="46" t="s">
        <v>95</v>
      </c>
      <c r="AE80" s="46" t="s">
        <v>95</v>
      </c>
      <c r="AF80" s="46" t="s">
        <v>95</v>
      </c>
      <c r="AG80" s="46" t="s">
        <v>95</v>
      </c>
      <c r="AH80" s="46" t="s">
        <v>95</v>
      </c>
      <c r="AI80" s="46" t="s">
        <v>95</v>
      </c>
      <c r="AJ80" s="46" t="s">
        <v>95</v>
      </c>
      <c r="AK80" s="46" t="s">
        <v>95</v>
      </c>
      <c r="AL80" s="46" t="s">
        <v>3565</v>
      </c>
      <c r="AM80" s="46" t="s">
        <v>95</v>
      </c>
      <c r="AN80" s="46" t="s">
        <v>95</v>
      </c>
      <c r="AO80" s="46" t="s">
        <v>95</v>
      </c>
      <c r="AP80" s="46" t="s">
        <v>95</v>
      </c>
      <c r="AQ80" s="46" t="s">
        <v>95</v>
      </c>
      <c r="AR80" s="46" t="s">
        <v>95</v>
      </c>
      <c r="AS80" s="46" t="s">
        <v>95</v>
      </c>
      <c r="AT80" s="46" t="s">
        <v>95</v>
      </c>
      <c r="AU80" s="46" t="s">
        <v>95</v>
      </c>
      <c r="AV80" s="46" t="s">
        <v>95</v>
      </c>
      <c r="AW80" s="46" t="s">
        <v>95</v>
      </c>
      <c r="AX80" s="46" t="s">
        <v>95</v>
      </c>
      <c r="AY80" s="46" t="s">
        <v>95</v>
      </c>
      <c r="AZ80" s="46" t="s">
        <v>95</v>
      </c>
      <c r="BA80" s="46" t="s">
        <v>95</v>
      </c>
      <c r="BB80" s="46" t="s">
        <v>95</v>
      </c>
      <c r="BC80" s="47" t="s">
        <v>95</v>
      </c>
      <c r="BD80" s="47" t="s">
        <v>95</v>
      </c>
      <c r="BE80" s="46" t="s">
        <v>95</v>
      </c>
    </row>
    <row r="81" spans="1:57" x14ac:dyDescent="0.2">
      <c r="A81" s="76" t="s">
        <v>402</v>
      </c>
      <c r="B81" s="219"/>
      <c r="C81" s="69" t="s">
        <v>2785</v>
      </c>
      <c r="D81" s="69" t="s">
        <v>1591</v>
      </c>
      <c r="E81" s="69" t="s">
        <v>1471</v>
      </c>
      <c r="F81" s="69" t="s">
        <v>1471</v>
      </c>
      <c r="G81" s="128"/>
      <c r="H81" s="128"/>
      <c r="I81" s="69" t="s">
        <v>2550</v>
      </c>
      <c r="J81" s="69" t="s">
        <v>1328</v>
      </c>
      <c r="K81" s="69" t="s">
        <v>707</v>
      </c>
      <c r="L81" s="69" t="s">
        <v>707</v>
      </c>
      <c r="M81" s="69" t="s">
        <v>707</v>
      </c>
      <c r="N81" s="69" t="s">
        <v>3082</v>
      </c>
      <c r="O81" s="69" t="s">
        <v>3082</v>
      </c>
      <c r="P81" s="69" t="s">
        <v>3082</v>
      </c>
      <c r="Q81" s="69" t="s">
        <v>483</v>
      </c>
      <c r="R81" s="69" t="s">
        <v>483</v>
      </c>
      <c r="S81" s="131"/>
      <c r="T81" s="69"/>
      <c r="U81" s="69"/>
      <c r="V81" s="69" t="s">
        <v>556</v>
      </c>
      <c r="W81" s="69" t="s">
        <v>556</v>
      </c>
      <c r="X81" s="69" t="s">
        <v>2263</v>
      </c>
      <c r="Y81" s="69" t="s">
        <v>2263</v>
      </c>
      <c r="Z81" s="69" t="s">
        <v>2263</v>
      </c>
      <c r="AA81" s="69" t="s">
        <v>2462</v>
      </c>
      <c r="AB81" s="69" t="s">
        <v>2142</v>
      </c>
      <c r="AC81" s="69" t="s">
        <v>625</v>
      </c>
      <c r="AD81" s="69" t="s">
        <v>625</v>
      </c>
      <c r="AE81" s="69"/>
      <c r="AF81" s="69"/>
      <c r="AG81" s="69"/>
      <c r="AH81" s="69" t="s">
        <v>2747</v>
      </c>
      <c r="AI81" s="69" t="s">
        <v>1685</v>
      </c>
      <c r="AJ81" s="69" t="s">
        <v>1737</v>
      </c>
      <c r="AK81" s="69" t="s">
        <v>3555</v>
      </c>
      <c r="AL81" s="69" t="s">
        <v>3566</v>
      </c>
      <c r="AM81" s="69" t="s">
        <v>3555</v>
      </c>
      <c r="AN81" s="69" t="s">
        <v>3606</v>
      </c>
      <c r="AO81" s="69" t="s">
        <v>769</v>
      </c>
      <c r="AP81" s="69" t="s">
        <v>769</v>
      </c>
      <c r="AQ81" s="69" t="s">
        <v>3180</v>
      </c>
      <c r="AR81" s="69" t="s">
        <v>3180</v>
      </c>
      <c r="AS81" s="69" t="s">
        <v>3180</v>
      </c>
      <c r="AT81" s="69" t="s">
        <v>707</v>
      </c>
      <c r="AU81" s="69" t="s">
        <v>926</v>
      </c>
      <c r="AV81" s="69" t="s">
        <v>926</v>
      </c>
      <c r="AW81" s="69" t="s">
        <v>926</v>
      </c>
      <c r="AX81" s="69" t="s">
        <v>1023</v>
      </c>
      <c r="AY81" s="69" t="s">
        <v>1976</v>
      </c>
      <c r="AZ81" s="69" t="s">
        <v>3470</v>
      </c>
      <c r="BA81" s="69"/>
      <c r="BB81" s="69"/>
      <c r="BC81" s="69" t="s">
        <v>1204</v>
      </c>
      <c r="BD81" s="69" t="s">
        <v>1204</v>
      </c>
      <c r="BE81" s="69" t="s">
        <v>1512</v>
      </c>
    </row>
    <row r="82" spans="1:57" ht="27" x14ac:dyDescent="0.2">
      <c r="A82" s="25" t="s">
        <v>13</v>
      </c>
      <c r="B82" s="218"/>
      <c r="C82" s="46" t="s">
        <v>3</v>
      </c>
      <c r="D82" s="47" t="s">
        <v>324</v>
      </c>
      <c r="E82" s="46" t="s">
        <v>95</v>
      </c>
      <c r="F82" s="46" t="s">
        <v>95</v>
      </c>
      <c r="G82" s="117" t="s">
        <v>95</v>
      </c>
      <c r="H82" s="117" t="s">
        <v>95</v>
      </c>
      <c r="I82" s="46" t="s">
        <v>95</v>
      </c>
      <c r="J82" s="46" t="s">
        <v>94</v>
      </c>
      <c r="K82" s="46" t="s">
        <v>95</v>
      </c>
      <c r="L82" s="46" t="s">
        <v>95</v>
      </c>
      <c r="M82" s="46" t="s">
        <v>95</v>
      </c>
      <c r="N82" s="47" t="s">
        <v>95</v>
      </c>
      <c r="O82" s="47" t="s">
        <v>95</v>
      </c>
      <c r="P82" s="47" t="s">
        <v>95</v>
      </c>
      <c r="Q82" s="20" t="s">
        <v>95</v>
      </c>
      <c r="R82" s="44" t="s">
        <v>95</v>
      </c>
      <c r="S82" s="130" t="s">
        <v>95</v>
      </c>
      <c r="T82" s="44" t="s">
        <v>95</v>
      </c>
      <c r="U82" s="44" t="s">
        <v>95</v>
      </c>
      <c r="V82" s="20" t="s">
        <v>95</v>
      </c>
      <c r="W82" s="20" t="s">
        <v>95</v>
      </c>
      <c r="X82" s="46" t="s">
        <v>651</v>
      </c>
      <c r="Y82" s="46" t="s">
        <v>651</v>
      </c>
      <c r="Z82" s="46" t="s">
        <v>651</v>
      </c>
      <c r="AA82" s="46" t="s">
        <v>95</v>
      </c>
      <c r="AB82" s="46" t="s">
        <v>651</v>
      </c>
      <c r="AC82" s="47" t="s">
        <v>95</v>
      </c>
      <c r="AD82" s="47" t="s">
        <v>3</v>
      </c>
      <c r="AE82" s="47" t="s">
        <v>95</v>
      </c>
      <c r="AF82" s="47" t="s">
        <v>363</v>
      </c>
      <c r="AG82" s="47" t="s">
        <v>363</v>
      </c>
      <c r="AH82" s="46" t="s">
        <v>95</v>
      </c>
      <c r="AI82" s="46" t="s">
        <v>95</v>
      </c>
      <c r="AJ82" s="46" t="s">
        <v>95</v>
      </c>
      <c r="AK82" s="46"/>
      <c r="AL82" s="46"/>
      <c r="AM82" s="46"/>
      <c r="AN82" s="46"/>
      <c r="AO82" s="46" t="s">
        <v>788</v>
      </c>
      <c r="AP82" s="46" t="s">
        <v>95</v>
      </c>
      <c r="AQ82" s="20" t="s">
        <v>3203</v>
      </c>
      <c r="AR82" s="20" t="s">
        <v>3203</v>
      </c>
      <c r="AS82" s="20" t="s">
        <v>3203</v>
      </c>
      <c r="AT82" s="46" t="s">
        <v>95</v>
      </c>
      <c r="AU82" s="46" t="s">
        <v>95</v>
      </c>
      <c r="AV82" s="46" t="s">
        <v>95</v>
      </c>
      <c r="AW82" s="46" t="s">
        <v>95</v>
      </c>
      <c r="AX82" s="47" t="s">
        <v>95</v>
      </c>
      <c r="AY82" s="46" t="s">
        <v>95</v>
      </c>
      <c r="AZ82" s="46" t="s">
        <v>3457</v>
      </c>
      <c r="BA82" s="46" t="s">
        <v>95</v>
      </c>
      <c r="BB82" s="46" t="s">
        <v>95</v>
      </c>
      <c r="BC82" s="47" t="s">
        <v>95</v>
      </c>
      <c r="BD82" s="47" t="s">
        <v>95</v>
      </c>
      <c r="BE82" s="46" t="s">
        <v>95</v>
      </c>
    </row>
    <row r="83" spans="1:57" x14ac:dyDescent="0.2">
      <c r="A83" s="76" t="s">
        <v>402</v>
      </c>
      <c r="B83" s="219"/>
      <c r="C83" s="69" t="s">
        <v>3</v>
      </c>
      <c r="D83" s="69" t="s">
        <v>403</v>
      </c>
      <c r="E83" s="69" t="s">
        <v>403</v>
      </c>
      <c r="F83" s="69" t="s">
        <v>403</v>
      </c>
      <c r="G83" s="128"/>
      <c r="H83" s="128"/>
      <c r="I83" s="69" t="s">
        <v>403</v>
      </c>
      <c r="J83" s="69" t="s">
        <v>1334</v>
      </c>
      <c r="K83" s="69" t="s">
        <v>403</v>
      </c>
      <c r="L83" s="69" t="s">
        <v>403</v>
      </c>
      <c r="M83" s="69" t="s">
        <v>403</v>
      </c>
      <c r="N83" s="69" t="s">
        <v>3082</v>
      </c>
      <c r="O83" s="69" t="s">
        <v>3082</v>
      </c>
      <c r="P83" s="69" t="s">
        <v>3082</v>
      </c>
      <c r="Q83" s="69" t="s">
        <v>403</v>
      </c>
      <c r="R83" s="69" t="s">
        <v>403</v>
      </c>
      <c r="S83" s="131"/>
      <c r="T83" s="69"/>
      <c r="U83" s="69"/>
      <c r="V83" s="69" t="s">
        <v>3</v>
      </c>
      <c r="W83" s="69" t="s">
        <v>3</v>
      </c>
      <c r="X83" s="69" t="s">
        <v>851</v>
      </c>
      <c r="Y83" s="69" t="s">
        <v>851</v>
      </c>
      <c r="Z83" s="69" t="s">
        <v>851</v>
      </c>
      <c r="AA83" s="69" t="s">
        <v>2460</v>
      </c>
      <c r="AB83" s="69" t="s">
        <v>2337</v>
      </c>
      <c r="AC83" s="69" t="s">
        <v>602</v>
      </c>
      <c r="AD83" s="69" t="s">
        <v>3</v>
      </c>
      <c r="AE83" s="69"/>
      <c r="AF83" s="69"/>
      <c r="AG83" s="69"/>
      <c r="AH83" s="69" t="s">
        <v>3</v>
      </c>
      <c r="AI83" s="69" t="s">
        <v>3</v>
      </c>
      <c r="AJ83" s="69" t="s">
        <v>3</v>
      </c>
      <c r="AK83" s="69" t="s">
        <v>3</v>
      </c>
      <c r="AL83" s="69" t="s">
        <v>3</v>
      </c>
      <c r="AM83" s="69" t="s">
        <v>3</v>
      </c>
      <c r="AN83" s="69" t="s">
        <v>3</v>
      </c>
      <c r="AO83" s="69" t="s">
        <v>789</v>
      </c>
      <c r="AP83" s="69" t="s">
        <v>789</v>
      </c>
      <c r="AQ83" s="69" t="s">
        <v>3163</v>
      </c>
      <c r="AR83" s="69" t="s">
        <v>3174</v>
      </c>
      <c r="AS83" s="69" t="s">
        <v>3174</v>
      </c>
      <c r="AT83" s="69" t="s">
        <v>1222</v>
      </c>
      <c r="AU83" s="69" t="s">
        <v>3</v>
      </c>
      <c r="AV83" s="69" t="s">
        <v>3</v>
      </c>
      <c r="AW83" s="69" t="s">
        <v>3</v>
      </c>
      <c r="AX83" s="69" t="s">
        <v>1021</v>
      </c>
      <c r="AY83" s="69" t="s">
        <v>1947</v>
      </c>
      <c r="AZ83" s="69" t="s">
        <v>3468</v>
      </c>
      <c r="BA83" s="69"/>
      <c r="BB83" s="69"/>
      <c r="BC83" s="69" t="s">
        <v>1163</v>
      </c>
      <c r="BD83" s="69" t="s">
        <v>1163</v>
      </c>
      <c r="BE83" s="69" t="s">
        <v>1496</v>
      </c>
    </row>
    <row r="84" spans="1:57" ht="18" x14ac:dyDescent="0.2">
      <c r="A84" s="162" t="s">
        <v>3659</v>
      </c>
      <c r="B84" s="218"/>
      <c r="C84" s="186" t="s">
        <v>95</v>
      </c>
      <c r="D84" s="186" t="s">
        <v>95</v>
      </c>
      <c r="E84" s="186" t="s">
        <v>95</v>
      </c>
      <c r="F84" s="186" t="s">
        <v>95</v>
      </c>
      <c r="G84" s="184" t="s">
        <v>95</v>
      </c>
      <c r="H84" s="184" t="s">
        <v>95</v>
      </c>
      <c r="I84" s="186" t="s">
        <v>95</v>
      </c>
      <c r="J84" s="186" t="s">
        <v>95</v>
      </c>
      <c r="K84" s="186" t="s">
        <v>3</v>
      </c>
      <c r="L84" s="186" t="s">
        <v>95</v>
      </c>
      <c r="M84" s="186" t="s">
        <v>95</v>
      </c>
      <c r="N84" s="183" t="s">
        <v>2989</v>
      </c>
      <c r="O84" s="183" t="s">
        <v>2989</v>
      </c>
      <c r="P84" s="186" t="s">
        <v>95</v>
      </c>
      <c r="Q84" s="194" t="s">
        <v>95</v>
      </c>
      <c r="R84" s="194" t="s">
        <v>95</v>
      </c>
      <c r="S84" s="185" t="s">
        <v>95</v>
      </c>
      <c r="T84" s="195" t="s">
        <v>95</v>
      </c>
      <c r="U84" s="195" t="s">
        <v>95</v>
      </c>
      <c r="V84" s="194" t="s">
        <v>194</v>
      </c>
      <c r="W84" s="195" t="s">
        <v>95</v>
      </c>
      <c r="X84" s="194" t="s">
        <v>95</v>
      </c>
      <c r="Y84" s="194" t="s">
        <v>3100</v>
      </c>
      <c r="Z84" s="194" t="s">
        <v>3100</v>
      </c>
      <c r="AA84" s="186" t="s">
        <v>95</v>
      </c>
      <c r="AB84" s="199" t="s">
        <v>95</v>
      </c>
      <c r="AC84" s="186" t="s">
        <v>95</v>
      </c>
      <c r="AD84" s="186" t="s">
        <v>95</v>
      </c>
      <c r="AE84" s="186" t="s">
        <v>95</v>
      </c>
      <c r="AF84" s="186" t="s">
        <v>95</v>
      </c>
      <c r="AG84" s="186" t="s">
        <v>95</v>
      </c>
      <c r="AH84" s="186" t="s">
        <v>95</v>
      </c>
      <c r="AI84" s="186" t="s">
        <v>95</v>
      </c>
      <c r="AJ84" s="186" t="s">
        <v>95</v>
      </c>
      <c r="AK84" s="186" t="s">
        <v>95</v>
      </c>
      <c r="AL84" s="186" t="s">
        <v>95</v>
      </c>
      <c r="AM84" s="186" t="s">
        <v>95</v>
      </c>
      <c r="AN84" s="186" t="s">
        <v>95</v>
      </c>
      <c r="AO84" s="186" t="s">
        <v>95</v>
      </c>
      <c r="AP84" s="186" t="s">
        <v>95</v>
      </c>
      <c r="AQ84" s="186" t="s">
        <v>95</v>
      </c>
      <c r="AR84" s="194" t="s">
        <v>3178</v>
      </c>
      <c r="AS84" s="194" t="s">
        <v>3178</v>
      </c>
      <c r="AT84" s="186" t="s">
        <v>95</v>
      </c>
      <c r="AU84" s="186" t="s">
        <v>95</v>
      </c>
      <c r="AV84" s="186" t="s">
        <v>95</v>
      </c>
      <c r="AW84" s="186" t="s">
        <v>95</v>
      </c>
      <c r="AX84" s="186" t="s">
        <v>95</v>
      </c>
      <c r="AY84" s="186" t="s">
        <v>95</v>
      </c>
      <c r="AZ84" s="186" t="s">
        <v>95</v>
      </c>
      <c r="BA84" s="186" t="s">
        <v>95</v>
      </c>
      <c r="BB84" s="186" t="s">
        <v>95</v>
      </c>
      <c r="BC84" s="183" t="s">
        <v>95</v>
      </c>
      <c r="BD84" s="183" t="s">
        <v>95</v>
      </c>
      <c r="BE84" s="186" t="s">
        <v>95</v>
      </c>
    </row>
    <row r="85" spans="1:57" ht="18" x14ac:dyDescent="0.2">
      <c r="A85" s="76" t="s">
        <v>402</v>
      </c>
      <c r="B85" s="219"/>
      <c r="C85" s="69" t="s">
        <v>2785</v>
      </c>
      <c r="D85" s="69" t="s">
        <v>1600</v>
      </c>
      <c r="E85" s="69" t="s">
        <v>1471</v>
      </c>
      <c r="F85" s="69" t="s">
        <v>1471</v>
      </c>
      <c r="G85" s="128"/>
      <c r="H85" s="128"/>
      <c r="I85" s="69" t="s">
        <v>2549</v>
      </c>
      <c r="J85" s="69" t="s">
        <v>1329</v>
      </c>
      <c r="K85" s="69" t="s">
        <v>707</v>
      </c>
      <c r="L85" s="69" t="s">
        <v>707</v>
      </c>
      <c r="M85" s="69" t="s">
        <v>707</v>
      </c>
      <c r="N85" s="69" t="s">
        <v>3084</v>
      </c>
      <c r="O85" s="69" t="s">
        <v>3085</v>
      </c>
      <c r="P85" s="69" t="s">
        <v>3082</v>
      </c>
      <c r="Q85" s="69" t="s">
        <v>483</v>
      </c>
      <c r="R85" s="69" t="s">
        <v>483</v>
      </c>
      <c r="S85" s="131"/>
      <c r="T85" s="69"/>
      <c r="U85" s="69"/>
      <c r="V85" s="69" t="s">
        <v>522</v>
      </c>
      <c r="W85" s="69" t="s">
        <v>523</v>
      </c>
      <c r="X85" s="69" t="s">
        <v>2264</v>
      </c>
      <c r="Y85" s="69" t="s">
        <v>3111</v>
      </c>
      <c r="Z85" s="69" t="s">
        <v>3111</v>
      </c>
      <c r="AA85" s="69" t="s">
        <v>2463</v>
      </c>
      <c r="AB85" s="69" t="s">
        <v>2142</v>
      </c>
      <c r="AC85" s="69" t="s">
        <v>624</v>
      </c>
      <c r="AD85" s="69" t="s">
        <v>624</v>
      </c>
      <c r="AE85" s="69"/>
      <c r="AF85" s="69"/>
      <c r="AG85" s="69"/>
      <c r="AH85" s="69" t="s">
        <v>2748</v>
      </c>
      <c r="AI85" s="69" t="s">
        <v>1686</v>
      </c>
      <c r="AJ85" s="69" t="s">
        <v>1737</v>
      </c>
      <c r="AK85" s="69" t="s">
        <v>3555</v>
      </c>
      <c r="AL85" s="69" t="s">
        <v>1737</v>
      </c>
      <c r="AM85" s="69" t="s">
        <v>3555</v>
      </c>
      <c r="AN85" s="69" t="s">
        <v>3608</v>
      </c>
      <c r="AO85" s="69" t="s">
        <v>769</v>
      </c>
      <c r="AP85" s="69" t="s">
        <v>769</v>
      </c>
      <c r="AQ85" s="69" t="s">
        <v>3180</v>
      </c>
      <c r="AR85" s="69" t="s">
        <v>3179</v>
      </c>
      <c r="AS85" s="69" t="s">
        <v>3179</v>
      </c>
      <c r="AT85" s="69" t="s">
        <v>707</v>
      </c>
      <c r="AU85" s="69" t="s">
        <v>926</v>
      </c>
      <c r="AV85" s="69" t="s">
        <v>926</v>
      </c>
      <c r="AW85" s="69" t="s">
        <v>926</v>
      </c>
      <c r="AX85" s="69" t="s">
        <v>1024</v>
      </c>
      <c r="AY85" s="69" t="s">
        <v>1978</v>
      </c>
      <c r="AZ85" s="69" t="s">
        <v>3471</v>
      </c>
      <c r="BA85" s="69"/>
      <c r="BB85" s="69"/>
      <c r="BC85" s="69" t="s">
        <v>1204</v>
      </c>
      <c r="BD85" s="69" t="s">
        <v>1204</v>
      </c>
      <c r="BE85" s="69" t="s">
        <v>1512</v>
      </c>
    </row>
    <row r="86" spans="1:57" ht="18" x14ac:dyDescent="0.2">
      <c r="A86" s="25" t="s">
        <v>4537</v>
      </c>
      <c r="B86" s="218"/>
      <c r="C86" s="46" t="s">
        <v>3</v>
      </c>
      <c r="D86" s="46" t="s">
        <v>95</v>
      </c>
      <c r="E86" s="46" t="s">
        <v>95</v>
      </c>
      <c r="F86" s="46" t="s">
        <v>95</v>
      </c>
      <c r="G86" s="117" t="s">
        <v>95</v>
      </c>
      <c r="H86" s="117" t="s">
        <v>95</v>
      </c>
      <c r="I86" s="46" t="s">
        <v>95</v>
      </c>
      <c r="J86" s="46" t="s">
        <v>95</v>
      </c>
      <c r="K86" s="46" t="s">
        <v>94</v>
      </c>
      <c r="L86" s="46" t="s">
        <v>94</v>
      </c>
      <c r="M86" s="46" t="s">
        <v>94</v>
      </c>
      <c r="N86" s="47" t="s">
        <v>2980</v>
      </c>
      <c r="O86" s="47" t="s">
        <v>2980</v>
      </c>
      <c r="P86" s="47" t="s">
        <v>2980</v>
      </c>
      <c r="Q86" s="20" t="s">
        <v>95</v>
      </c>
      <c r="R86" s="20" t="s">
        <v>95</v>
      </c>
      <c r="S86" s="130" t="s">
        <v>95</v>
      </c>
      <c r="T86" s="20" t="s">
        <v>95</v>
      </c>
      <c r="U86" s="20" t="s">
        <v>95</v>
      </c>
      <c r="V86" s="20" t="s">
        <v>94</v>
      </c>
      <c r="W86" s="20" t="s">
        <v>94</v>
      </c>
      <c r="X86" s="20" t="s">
        <v>651</v>
      </c>
      <c r="Y86" s="20" t="s">
        <v>651</v>
      </c>
      <c r="Z86" s="20" t="s">
        <v>651</v>
      </c>
      <c r="AA86" s="46" t="s">
        <v>95</v>
      </c>
      <c r="AB86" s="46" t="s">
        <v>651</v>
      </c>
      <c r="AC86" s="46" t="s">
        <v>95</v>
      </c>
      <c r="AD86" s="46" t="s">
        <v>3</v>
      </c>
      <c r="AE86" s="46" t="s">
        <v>95</v>
      </c>
      <c r="AF86" s="46" t="s">
        <v>3</v>
      </c>
      <c r="AG86" s="46" t="s">
        <v>3</v>
      </c>
      <c r="AH86" s="46" t="s">
        <v>95</v>
      </c>
      <c r="AI86" s="46" t="s">
        <v>95</v>
      </c>
      <c r="AJ86" s="46" t="s">
        <v>95</v>
      </c>
      <c r="AK86" s="46" t="s">
        <v>95</v>
      </c>
      <c r="AL86" s="46" t="s">
        <v>95</v>
      </c>
      <c r="AM86" s="46" t="s">
        <v>95</v>
      </c>
      <c r="AN86" s="46" t="s">
        <v>95</v>
      </c>
      <c r="AO86" s="50" t="s">
        <v>94</v>
      </c>
      <c r="AP86" s="50" t="s">
        <v>94</v>
      </c>
      <c r="AQ86" s="46" t="s">
        <v>94</v>
      </c>
      <c r="AR86" s="46" t="s">
        <v>94</v>
      </c>
      <c r="AS86" s="46" t="s">
        <v>94</v>
      </c>
      <c r="AT86" s="46" t="s">
        <v>94</v>
      </c>
      <c r="AU86" s="46" t="s">
        <v>94</v>
      </c>
      <c r="AV86" s="46" t="s">
        <v>94</v>
      </c>
      <c r="AW86" s="46" t="s">
        <v>94</v>
      </c>
      <c r="AX86" s="46" t="s">
        <v>3</v>
      </c>
      <c r="AY86" s="46" t="s">
        <v>95</v>
      </c>
      <c r="AZ86" s="46" t="s">
        <v>3</v>
      </c>
      <c r="BA86" s="46" t="s">
        <v>94</v>
      </c>
      <c r="BB86" s="46" t="s">
        <v>94</v>
      </c>
      <c r="BC86" s="47" t="s">
        <v>272</v>
      </c>
      <c r="BD86" s="47" t="s">
        <v>272</v>
      </c>
      <c r="BE86" s="46" t="s">
        <v>3</v>
      </c>
    </row>
    <row r="87" spans="1:57" ht="18" x14ac:dyDescent="0.2">
      <c r="A87" s="76" t="s">
        <v>402</v>
      </c>
      <c r="B87" s="219"/>
      <c r="C87" s="69" t="s">
        <v>3</v>
      </c>
      <c r="D87" s="69" t="s">
        <v>1591</v>
      </c>
      <c r="E87" s="69" t="s">
        <v>1463</v>
      </c>
      <c r="F87" s="69" t="s">
        <v>1463</v>
      </c>
      <c r="G87" s="128"/>
      <c r="H87" s="128"/>
      <c r="I87" s="69" t="s">
        <v>1737</v>
      </c>
      <c r="J87" s="69" t="s">
        <v>1300</v>
      </c>
      <c r="K87" s="69" t="s">
        <v>403</v>
      </c>
      <c r="L87" s="69" t="s">
        <v>403</v>
      </c>
      <c r="M87" s="69" t="s">
        <v>403</v>
      </c>
      <c r="N87" s="69" t="s">
        <v>3086</v>
      </c>
      <c r="O87" s="69" t="s">
        <v>3086</v>
      </c>
      <c r="P87" s="69" t="s">
        <v>3086</v>
      </c>
      <c r="Q87" s="69" t="s">
        <v>483</v>
      </c>
      <c r="R87" s="69" t="s">
        <v>483</v>
      </c>
      <c r="S87" s="131"/>
      <c r="T87" s="69"/>
      <c r="U87" s="69"/>
      <c r="V87" s="69" t="s">
        <v>561</v>
      </c>
      <c r="W87" s="69" t="s">
        <v>561</v>
      </c>
      <c r="X87" s="69" t="s">
        <v>851</v>
      </c>
      <c r="Y87" s="69" t="s">
        <v>851</v>
      </c>
      <c r="Z87" s="69" t="s">
        <v>851</v>
      </c>
      <c r="AA87" s="69" t="s">
        <v>2464</v>
      </c>
      <c r="AB87" s="69" t="s">
        <v>2365</v>
      </c>
      <c r="AC87" s="69" t="s">
        <v>601</v>
      </c>
      <c r="AD87" s="69" t="s">
        <v>3</v>
      </c>
      <c r="AE87" s="69"/>
      <c r="AF87" s="69"/>
      <c r="AG87" s="69"/>
      <c r="AH87" s="69" t="s">
        <v>2748</v>
      </c>
      <c r="AI87" s="69" t="s">
        <v>1686</v>
      </c>
      <c r="AJ87" s="69" t="s">
        <v>1737</v>
      </c>
      <c r="AK87" s="69" t="s">
        <v>3622</v>
      </c>
      <c r="AL87" s="69" t="s">
        <v>1737</v>
      </c>
      <c r="AM87" s="69" t="s">
        <v>3555</v>
      </c>
      <c r="AN87" s="69" t="s">
        <v>3608</v>
      </c>
      <c r="AO87" s="69" t="s">
        <v>789</v>
      </c>
      <c r="AP87" s="69" t="s">
        <v>789</v>
      </c>
      <c r="AQ87" s="69" t="s">
        <v>405</v>
      </c>
      <c r="AR87" s="69" t="s">
        <v>405</v>
      </c>
      <c r="AS87" s="69" t="s">
        <v>405</v>
      </c>
      <c r="AT87" s="69" t="s">
        <v>405</v>
      </c>
      <c r="AU87" s="69" t="s">
        <v>927</v>
      </c>
      <c r="AV87" s="69" t="s">
        <v>927</v>
      </c>
      <c r="AW87" s="69" t="s">
        <v>927</v>
      </c>
      <c r="AX87" s="69" t="s">
        <v>3</v>
      </c>
      <c r="AY87" s="69" t="s">
        <v>1979</v>
      </c>
      <c r="AZ87" s="69"/>
      <c r="BA87" s="69"/>
      <c r="BB87" s="69"/>
      <c r="BC87" s="69" t="s">
        <v>1163</v>
      </c>
      <c r="BD87" s="69" t="s">
        <v>1163</v>
      </c>
      <c r="BE87" s="69" t="s">
        <v>3</v>
      </c>
    </row>
    <row r="88" spans="1:57" x14ac:dyDescent="0.2">
      <c r="A88" s="25" t="s">
        <v>143</v>
      </c>
      <c r="B88" s="218"/>
      <c r="C88" s="46" t="s">
        <v>3</v>
      </c>
      <c r="D88" s="46" t="s">
        <v>3</v>
      </c>
      <c r="E88" s="46" t="s">
        <v>3</v>
      </c>
      <c r="F88" s="46" t="s">
        <v>3</v>
      </c>
      <c r="G88" s="117" t="s">
        <v>3239</v>
      </c>
      <c r="H88" s="117" t="s">
        <v>3239</v>
      </c>
      <c r="I88" s="46" t="s">
        <v>3</v>
      </c>
      <c r="J88" s="46" t="s">
        <v>3</v>
      </c>
      <c r="K88" s="46" t="s">
        <v>3</v>
      </c>
      <c r="L88" s="46" t="s">
        <v>3</v>
      </c>
      <c r="M88" s="46" t="s">
        <v>3</v>
      </c>
      <c r="N88" s="46" t="s">
        <v>3</v>
      </c>
      <c r="O88" s="46" t="s">
        <v>3</v>
      </c>
      <c r="P88" s="46" t="s">
        <v>3</v>
      </c>
      <c r="Q88" s="20" t="s">
        <v>3</v>
      </c>
      <c r="R88" s="20" t="s">
        <v>3</v>
      </c>
      <c r="S88" s="130" t="s">
        <v>3239</v>
      </c>
      <c r="T88" s="44" t="s">
        <v>3</v>
      </c>
      <c r="U88" s="44" t="s">
        <v>3</v>
      </c>
      <c r="V88" s="20" t="s">
        <v>3</v>
      </c>
      <c r="W88" s="20" t="s">
        <v>3</v>
      </c>
      <c r="X88" s="47" t="s">
        <v>3</v>
      </c>
      <c r="Y88" s="47" t="s">
        <v>3</v>
      </c>
      <c r="Z88" s="47" t="s">
        <v>3</v>
      </c>
      <c r="AA88" s="46" t="s">
        <v>3</v>
      </c>
      <c r="AB88" s="46" t="s">
        <v>3</v>
      </c>
      <c r="AC88" s="46" t="s">
        <v>3</v>
      </c>
      <c r="AD88" s="46" t="s">
        <v>3</v>
      </c>
      <c r="AE88" s="46" t="s">
        <v>95</v>
      </c>
      <c r="AF88" s="46" t="s">
        <v>3</v>
      </c>
      <c r="AG88" s="46" t="s">
        <v>3</v>
      </c>
      <c r="AH88" s="46" t="s">
        <v>3</v>
      </c>
      <c r="AI88" s="46" t="s">
        <v>3</v>
      </c>
      <c r="AJ88" s="46" t="s">
        <v>3</v>
      </c>
      <c r="AK88" s="46" t="s">
        <v>3</v>
      </c>
      <c r="AL88" s="46" t="s">
        <v>3</v>
      </c>
      <c r="AM88" s="46" t="s">
        <v>3</v>
      </c>
      <c r="AN88" s="46" t="s">
        <v>95</v>
      </c>
      <c r="AO88" s="50" t="s">
        <v>3</v>
      </c>
      <c r="AP88" s="50" t="s">
        <v>3</v>
      </c>
      <c r="AQ88" s="46" t="s">
        <v>3</v>
      </c>
      <c r="AR88" s="46" t="s">
        <v>3</v>
      </c>
      <c r="AS88" s="46" t="s">
        <v>3</v>
      </c>
      <c r="AT88" s="46" t="s">
        <v>3</v>
      </c>
      <c r="AU88" s="46" t="s">
        <v>3</v>
      </c>
      <c r="AV88" s="46" t="s">
        <v>3</v>
      </c>
      <c r="AW88" s="46" t="s">
        <v>3</v>
      </c>
      <c r="AX88" s="46" t="s">
        <v>3</v>
      </c>
      <c r="AY88" s="46" t="s">
        <v>3</v>
      </c>
      <c r="AZ88" s="46" t="s">
        <v>3</v>
      </c>
      <c r="BA88" s="46" t="s">
        <v>3</v>
      </c>
      <c r="BB88" s="46" t="s">
        <v>3</v>
      </c>
      <c r="BC88" s="47" t="s">
        <v>3</v>
      </c>
      <c r="BD88" s="47" t="s">
        <v>3</v>
      </c>
      <c r="BE88" s="46" t="s">
        <v>3</v>
      </c>
    </row>
    <row r="89" spans="1:57" x14ac:dyDescent="0.2">
      <c r="A89" s="76" t="s">
        <v>402</v>
      </c>
      <c r="B89" s="219"/>
      <c r="C89" s="69" t="s">
        <v>2790</v>
      </c>
      <c r="D89" s="69" t="s">
        <v>1601</v>
      </c>
      <c r="E89" s="69" t="s">
        <v>1472</v>
      </c>
      <c r="F89" s="69" t="s">
        <v>1472</v>
      </c>
      <c r="G89" s="128"/>
      <c r="H89" s="128"/>
      <c r="I89" s="69" t="s">
        <v>2551</v>
      </c>
      <c r="J89" s="69" t="s">
        <v>1330</v>
      </c>
      <c r="K89" s="69" t="s">
        <v>708</v>
      </c>
      <c r="L89" s="69" t="s">
        <v>708</v>
      </c>
      <c r="M89" s="69" t="s">
        <v>708</v>
      </c>
      <c r="N89" s="69" t="s">
        <v>3087</v>
      </c>
      <c r="O89" s="69" t="s">
        <v>3087</v>
      </c>
      <c r="P89" s="69" t="s">
        <v>3087</v>
      </c>
      <c r="Q89" s="69" t="s">
        <v>485</v>
      </c>
      <c r="R89" s="69" t="s">
        <v>485</v>
      </c>
      <c r="S89" s="131"/>
      <c r="T89" s="69"/>
      <c r="U89" s="69"/>
      <c r="V89" s="69" t="s">
        <v>555</v>
      </c>
      <c r="W89" s="69" t="s">
        <v>555</v>
      </c>
      <c r="X89" s="69" t="s">
        <v>2265</v>
      </c>
      <c r="Y89" s="69" t="s">
        <v>2265</v>
      </c>
      <c r="Z89" s="69" t="s">
        <v>2265</v>
      </c>
      <c r="AA89" s="69" t="s">
        <v>2465</v>
      </c>
      <c r="AB89" s="69" t="s">
        <v>2364</v>
      </c>
      <c r="AC89" s="69" t="s">
        <v>626</v>
      </c>
      <c r="AD89" s="69" t="s">
        <v>626</v>
      </c>
      <c r="AE89" s="69"/>
      <c r="AF89" s="69"/>
      <c r="AG89" s="69"/>
      <c r="AH89" s="69" t="s">
        <v>2749</v>
      </c>
      <c r="AI89" s="69" t="s">
        <v>1687</v>
      </c>
      <c r="AJ89" s="69" t="s">
        <v>1738</v>
      </c>
      <c r="AK89" s="69" t="s">
        <v>1738</v>
      </c>
      <c r="AL89" s="69" t="s">
        <v>1738</v>
      </c>
      <c r="AM89" s="69" t="s">
        <v>2551</v>
      </c>
      <c r="AN89" s="69" t="s">
        <v>3607</v>
      </c>
      <c r="AO89" s="69" t="s">
        <v>771</v>
      </c>
      <c r="AP89" s="69" t="s">
        <v>771</v>
      </c>
      <c r="AQ89" s="69" t="s">
        <v>3228</v>
      </c>
      <c r="AR89" s="69" t="s">
        <v>3228</v>
      </c>
      <c r="AS89" s="69" t="s">
        <v>3228</v>
      </c>
      <c r="AT89" s="69" t="s">
        <v>1266</v>
      </c>
      <c r="AU89" s="69" t="s">
        <v>928</v>
      </c>
      <c r="AV89" s="69" t="s">
        <v>928</v>
      </c>
      <c r="AW89" s="69" t="s">
        <v>928</v>
      </c>
      <c r="AX89" s="69" t="s">
        <v>1025</v>
      </c>
      <c r="AY89" s="69" t="s">
        <v>1980</v>
      </c>
      <c r="AZ89" s="69" t="s">
        <v>3472</v>
      </c>
      <c r="BA89" s="69"/>
      <c r="BB89" s="69"/>
      <c r="BC89" s="69" t="s">
        <v>431</v>
      </c>
      <c r="BD89" s="69" t="s">
        <v>431</v>
      </c>
      <c r="BE89" s="69" t="s">
        <v>1513</v>
      </c>
    </row>
    <row r="90" spans="1:57" x14ac:dyDescent="0.2">
      <c r="A90" s="25" t="s">
        <v>3689</v>
      </c>
      <c r="B90" s="218"/>
      <c r="C90" s="46"/>
      <c r="D90" s="46"/>
      <c r="E90" s="46"/>
      <c r="F90" s="46"/>
      <c r="G90" s="117"/>
      <c r="H90" s="117"/>
      <c r="I90" s="46"/>
      <c r="J90" s="46"/>
      <c r="K90" s="46"/>
      <c r="L90" s="46"/>
      <c r="M90" s="46"/>
      <c r="N90" s="46"/>
      <c r="O90" s="46"/>
      <c r="P90" s="46"/>
      <c r="Q90" s="20"/>
      <c r="R90" s="20"/>
      <c r="S90" s="130"/>
      <c r="T90" s="44"/>
      <c r="U90" s="44"/>
      <c r="V90" s="20"/>
      <c r="W90" s="20"/>
      <c r="X90" s="20"/>
      <c r="Y90" s="20"/>
      <c r="Z90" s="20"/>
      <c r="AA90" s="46"/>
      <c r="AB90" s="50"/>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7"/>
      <c r="BD90" s="47"/>
      <c r="BE90" s="46"/>
    </row>
    <row r="91" spans="1:57" x14ac:dyDescent="0.2">
      <c r="A91" s="76" t="s">
        <v>402</v>
      </c>
      <c r="B91" s="219"/>
      <c r="C91" s="69"/>
      <c r="D91" s="69"/>
      <c r="E91" s="69"/>
      <c r="F91" s="69"/>
      <c r="G91" s="128"/>
      <c r="H91" s="128"/>
      <c r="I91" s="69"/>
      <c r="J91" s="69"/>
      <c r="K91" s="69"/>
      <c r="L91" s="69"/>
      <c r="M91" s="69"/>
      <c r="N91" s="69"/>
      <c r="O91" s="69"/>
      <c r="P91" s="69"/>
      <c r="Q91" s="69"/>
      <c r="R91" s="69"/>
      <c r="S91" s="131"/>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row>
    <row r="92" spans="1:57" x14ac:dyDescent="0.2">
      <c r="A92" s="25" t="s">
        <v>3690</v>
      </c>
      <c r="B92" s="218"/>
      <c r="C92" s="46"/>
      <c r="D92" s="46"/>
      <c r="E92" s="46"/>
      <c r="F92" s="46"/>
      <c r="G92" s="117"/>
      <c r="H92" s="117"/>
      <c r="I92" s="46"/>
      <c r="J92" s="46"/>
      <c r="K92" s="47"/>
      <c r="L92" s="47"/>
      <c r="M92" s="47"/>
      <c r="N92" s="47"/>
      <c r="O92" s="47"/>
      <c r="P92" s="46"/>
      <c r="Q92" s="20"/>
      <c r="R92" s="44"/>
      <c r="S92" s="130"/>
      <c r="T92" s="44"/>
      <c r="U92" s="44"/>
      <c r="V92" s="20"/>
      <c r="W92" s="44"/>
      <c r="X92" s="47"/>
      <c r="Y92" s="44"/>
      <c r="Z92" s="44"/>
      <c r="AA92" s="50"/>
      <c r="AB92" s="50"/>
      <c r="AC92" s="46"/>
      <c r="AD92" s="46"/>
      <c r="AE92" s="46"/>
      <c r="AF92" s="46"/>
      <c r="AG92" s="46"/>
      <c r="AH92" s="46"/>
      <c r="AI92" s="46"/>
      <c r="AJ92" s="46"/>
      <c r="AK92" s="47"/>
      <c r="AL92" s="46"/>
      <c r="AM92" s="47"/>
      <c r="AN92" s="47"/>
      <c r="AO92" s="50"/>
      <c r="AP92" s="50"/>
      <c r="AQ92" s="47"/>
      <c r="AR92" s="46"/>
      <c r="AS92" s="46"/>
      <c r="AT92" s="46"/>
      <c r="AU92" s="46"/>
      <c r="AV92" s="46"/>
      <c r="AW92" s="46"/>
      <c r="AX92" s="46"/>
      <c r="AY92" s="46"/>
      <c r="AZ92" s="156"/>
      <c r="BA92" s="47"/>
      <c r="BB92" s="46"/>
      <c r="BC92" s="47"/>
      <c r="BD92" s="47"/>
      <c r="BE92" s="46"/>
    </row>
    <row r="93" spans="1:57" x14ac:dyDescent="0.2">
      <c r="A93" s="76" t="s">
        <v>402</v>
      </c>
      <c r="B93" s="219"/>
      <c r="C93" s="69"/>
      <c r="D93" s="69"/>
      <c r="E93" s="69"/>
      <c r="F93" s="69"/>
      <c r="G93" s="128"/>
      <c r="H93" s="128"/>
      <c r="I93" s="69"/>
      <c r="J93" s="69"/>
      <c r="K93" s="69"/>
      <c r="L93" s="69"/>
      <c r="M93" s="69"/>
      <c r="N93" s="69"/>
      <c r="O93" s="69"/>
      <c r="P93" s="69"/>
      <c r="Q93" s="69"/>
      <c r="R93" s="69"/>
      <c r="S93" s="131"/>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row>
    <row r="94" spans="1:57" ht="18" x14ac:dyDescent="0.2">
      <c r="A94" s="25" t="s">
        <v>78</v>
      </c>
      <c r="B94" s="218"/>
      <c r="C94" s="46" t="s">
        <v>95</v>
      </c>
      <c r="D94" s="46" t="s">
        <v>95</v>
      </c>
      <c r="E94" s="46" t="s">
        <v>95</v>
      </c>
      <c r="F94" s="46" t="s">
        <v>95</v>
      </c>
      <c r="G94" s="117"/>
      <c r="H94" s="117" t="s">
        <v>95</v>
      </c>
      <c r="I94" s="46" t="s">
        <v>95</v>
      </c>
      <c r="J94" s="46" t="s">
        <v>95</v>
      </c>
      <c r="K94" s="47" t="s">
        <v>3</v>
      </c>
      <c r="L94" s="47" t="s">
        <v>3</v>
      </c>
      <c r="M94" s="47" t="s">
        <v>95</v>
      </c>
      <c r="N94" s="47" t="s">
        <v>95</v>
      </c>
      <c r="O94" s="47" t="s">
        <v>95</v>
      </c>
      <c r="P94" s="46" t="s">
        <v>3</v>
      </c>
      <c r="Q94" s="20" t="s">
        <v>3</v>
      </c>
      <c r="R94" s="44" t="s">
        <v>95</v>
      </c>
      <c r="S94" s="130" t="s">
        <v>95</v>
      </c>
      <c r="T94" s="44" t="s">
        <v>95</v>
      </c>
      <c r="U94" s="44" t="s">
        <v>95</v>
      </c>
      <c r="V94" s="20" t="s">
        <v>3</v>
      </c>
      <c r="W94" s="44" t="s">
        <v>95</v>
      </c>
      <c r="X94" s="47" t="s">
        <v>3</v>
      </c>
      <c r="Y94" s="44" t="s">
        <v>2209</v>
      </c>
      <c r="Z94" s="44" t="s">
        <v>2209</v>
      </c>
      <c r="AA94" s="50" t="s">
        <v>387</v>
      </c>
      <c r="AB94" s="50" t="s">
        <v>95</v>
      </c>
      <c r="AC94" s="46" t="s">
        <v>95</v>
      </c>
      <c r="AD94" s="46" t="s">
        <v>3</v>
      </c>
      <c r="AE94" s="46" t="s">
        <v>95</v>
      </c>
      <c r="AF94" s="46" t="s">
        <v>95</v>
      </c>
      <c r="AG94" s="46" t="s">
        <v>95</v>
      </c>
      <c r="AH94" s="46" t="s">
        <v>95</v>
      </c>
      <c r="AI94" s="46" t="s">
        <v>95</v>
      </c>
      <c r="AJ94" s="46" t="s">
        <v>95</v>
      </c>
      <c r="AK94" s="47" t="s">
        <v>1785</v>
      </c>
      <c r="AL94" s="46" t="s">
        <v>95</v>
      </c>
      <c r="AM94" s="47" t="s">
        <v>1785</v>
      </c>
      <c r="AN94" s="47" t="s">
        <v>1785</v>
      </c>
      <c r="AO94" s="50" t="s">
        <v>3</v>
      </c>
      <c r="AP94" s="50" t="s">
        <v>3</v>
      </c>
      <c r="AQ94" s="47" t="s">
        <v>3</v>
      </c>
      <c r="AR94" s="46" t="s">
        <v>95</v>
      </c>
      <c r="AS94" s="46" t="s">
        <v>95</v>
      </c>
      <c r="AT94" s="46" t="s">
        <v>95</v>
      </c>
      <c r="AU94" s="46" t="s">
        <v>3</v>
      </c>
      <c r="AV94" s="46" t="s">
        <v>95</v>
      </c>
      <c r="AW94" s="46" t="s">
        <v>95</v>
      </c>
      <c r="AX94" s="46" t="s">
        <v>95</v>
      </c>
      <c r="AY94" s="46" t="s">
        <v>95</v>
      </c>
      <c r="AZ94" s="156" t="s">
        <v>3</v>
      </c>
      <c r="BA94" s="47" t="s">
        <v>12</v>
      </c>
      <c r="BB94" s="46" t="s">
        <v>95</v>
      </c>
      <c r="BC94" s="47" t="s">
        <v>3</v>
      </c>
      <c r="BD94" s="47" t="s">
        <v>0</v>
      </c>
      <c r="BE94" s="46" t="s">
        <v>95</v>
      </c>
    </row>
    <row r="95" spans="1:57" ht="18" x14ac:dyDescent="0.2">
      <c r="A95" s="76" t="s">
        <v>402</v>
      </c>
      <c r="B95" s="219"/>
      <c r="C95" s="69" t="s">
        <v>2785</v>
      </c>
      <c r="D95" s="69" t="s">
        <v>1587</v>
      </c>
      <c r="E95" s="69" t="s">
        <v>1454</v>
      </c>
      <c r="F95" s="69" t="s">
        <v>1430</v>
      </c>
      <c r="G95" s="128"/>
      <c r="H95" s="128"/>
      <c r="I95" s="69" t="s">
        <v>1737</v>
      </c>
      <c r="J95" s="69" t="s">
        <v>1298</v>
      </c>
      <c r="K95" s="69" t="s">
        <v>690</v>
      </c>
      <c r="L95" s="69" t="s">
        <v>690</v>
      </c>
      <c r="M95" s="69" t="s">
        <v>692</v>
      </c>
      <c r="N95" s="69" t="s">
        <v>3026</v>
      </c>
      <c r="O95" s="69" t="s">
        <v>2986</v>
      </c>
      <c r="P95" s="69" t="s">
        <v>3083</v>
      </c>
      <c r="Q95" s="69" t="s">
        <v>484</v>
      </c>
      <c r="R95" s="69" t="s">
        <v>456</v>
      </c>
      <c r="S95" s="131"/>
      <c r="T95" s="69"/>
      <c r="U95" s="69"/>
      <c r="V95" s="69" t="s">
        <v>3</v>
      </c>
      <c r="W95" s="69" t="s">
        <v>2579</v>
      </c>
      <c r="X95" s="69" t="s">
        <v>3141</v>
      </c>
      <c r="Y95" s="69" t="s">
        <v>2241</v>
      </c>
      <c r="Z95" s="69" t="s">
        <v>2241</v>
      </c>
      <c r="AA95" s="69" t="s">
        <v>2432</v>
      </c>
      <c r="AB95" s="69" t="s">
        <v>1498</v>
      </c>
      <c r="AC95" s="69" t="s">
        <v>598</v>
      </c>
      <c r="AD95" s="69" t="s">
        <v>3</v>
      </c>
      <c r="AE95" s="69"/>
      <c r="AF95" s="69"/>
      <c r="AG95" s="69"/>
      <c r="AH95" s="69" t="s">
        <v>2750</v>
      </c>
      <c r="AI95" s="69" t="s">
        <v>1684</v>
      </c>
      <c r="AJ95" s="69" t="s">
        <v>1737</v>
      </c>
      <c r="AK95" s="69" t="s">
        <v>1737</v>
      </c>
      <c r="AL95" s="69" t="s">
        <v>3564</v>
      </c>
      <c r="AM95" s="69" t="s">
        <v>3555</v>
      </c>
      <c r="AN95" s="69" t="s">
        <v>3606</v>
      </c>
      <c r="AO95" s="69" t="s">
        <v>770</v>
      </c>
      <c r="AP95" s="69" t="s">
        <v>770</v>
      </c>
      <c r="AQ95" s="69" t="s">
        <v>3229</v>
      </c>
      <c r="AR95" s="69" t="s">
        <v>3175</v>
      </c>
      <c r="AS95" s="69" t="s">
        <v>3175</v>
      </c>
      <c r="AT95" s="69" t="s">
        <v>1234</v>
      </c>
      <c r="AU95" s="69" t="s">
        <v>3</v>
      </c>
      <c r="AV95" s="69" t="s">
        <v>892</v>
      </c>
      <c r="AW95" s="69" t="s">
        <v>892</v>
      </c>
      <c r="AX95" s="69" t="s">
        <v>1022</v>
      </c>
      <c r="AY95" s="69" t="s">
        <v>1977</v>
      </c>
      <c r="AZ95" s="69"/>
      <c r="BA95" s="69"/>
      <c r="BB95" s="69"/>
      <c r="BC95" s="69" t="s">
        <v>3</v>
      </c>
      <c r="BD95" s="69" t="s">
        <v>1192</v>
      </c>
      <c r="BE95" s="69" t="s">
        <v>1498</v>
      </c>
    </row>
    <row r="96" spans="1:57" x14ac:dyDescent="0.2">
      <c r="A96" s="28"/>
      <c r="B96" s="228"/>
      <c r="C96" s="31"/>
      <c r="D96" s="31"/>
      <c r="E96" s="31"/>
      <c r="F96" s="31"/>
      <c r="G96" s="113"/>
      <c r="H96" s="116"/>
      <c r="I96" s="31"/>
      <c r="J96" s="31"/>
      <c r="K96" s="31"/>
      <c r="L96" s="31"/>
      <c r="M96" s="31"/>
      <c r="N96" s="31"/>
      <c r="O96" s="31"/>
      <c r="P96" s="31"/>
      <c r="Q96" s="31"/>
      <c r="R96" s="31"/>
      <c r="S96" s="132"/>
      <c r="T96" s="31"/>
      <c r="U96" s="31"/>
      <c r="V96" s="31"/>
      <c r="W96" s="31"/>
      <c r="X96" s="32"/>
      <c r="Y96" s="31"/>
      <c r="Z96" s="31"/>
      <c r="AA96" s="32"/>
      <c r="AB96" s="32"/>
      <c r="AC96" s="31"/>
      <c r="AD96" s="31"/>
      <c r="AE96" s="31"/>
      <c r="AF96" s="32"/>
      <c r="AG96" s="32"/>
      <c r="AH96" s="32"/>
      <c r="AI96" s="32"/>
      <c r="AJ96" s="32"/>
      <c r="AK96" s="32"/>
      <c r="AL96" s="32"/>
      <c r="AM96" s="32"/>
      <c r="AN96" s="32"/>
      <c r="AO96" s="32"/>
      <c r="AP96" s="32"/>
      <c r="AQ96" s="32"/>
      <c r="AR96" s="31"/>
      <c r="AS96" s="31"/>
      <c r="AT96" s="31"/>
      <c r="AU96" s="32"/>
      <c r="AV96" s="32"/>
      <c r="AW96" s="32"/>
      <c r="AX96" s="32"/>
      <c r="AY96" s="32"/>
      <c r="AZ96" s="32"/>
      <c r="BA96" s="31"/>
      <c r="BB96" s="31"/>
      <c r="BC96" s="22"/>
      <c r="BE96" s="31"/>
    </row>
    <row r="97" spans="1:103" x14ac:dyDescent="0.2">
      <c r="A97" s="90" t="s">
        <v>144</v>
      </c>
      <c r="B97" s="228"/>
      <c r="C97" s="56"/>
      <c r="D97" s="56"/>
      <c r="E97" s="56"/>
      <c r="F97" s="56"/>
      <c r="G97" s="113"/>
      <c r="H97" s="116"/>
      <c r="I97" s="56"/>
      <c r="J97" s="56"/>
      <c r="K97" s="56"/>
      <c r="L97" s="56"/>
      <c r="M97" s="56"/>
      <c r="N97" s="56"/>
      <c r="O97" s="56"/>
      <c r="P97" s="56"/>
      <c r="Q97" s="56"/>
      <c r="R97" s="56"/>
      <c r="S97" s="132"/>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28"/>
      <c r="BE97" s="56"/>
    </row>
    <row r="98" spans="1:103" x14ac:dyDescent="0.2">
      <c r="A98" s="161" t="s">
        <v>3692</v>
      </c>
      <c r="B98" s="218"/>
      <c r="C98" s="190" t="s">
        <v>95</v>
      </c>
      <c r="D98" s="190" t="s">
        <v>95</v>
      </c>
      <c r="E98" s="190" t="s">
        <v>95</v>
      </c>
      <c r="F98" s="190" t="s">
        <v>95</v>
      </c>
      <c r="G98" s="188" t="s">
        <v>95</v>
      </c>
      <c r="H98" s="188" t="s">
        <v>95</v>
      </c>
      <c r="I98" s="190" t="s">
        <v>95</v>
      </c>
      <c r="J98" s="190" t="s">
        <v>95</v>
      </c>
      <c r="K98" s="190" t="s">
        <v>95</v>
      </c>
      <c r="L98" s="190" t="s">
        <v>95</v>
      </c>
      <c r="M98" s="190" t="s">
        <v>95</v>
      </c>
      <c r="N98" s="187" t="s">
        <v>95</v>
      </c>
      <c r="O98" s="187" t="s">
        <v>95</v>
      </c>
      <c r="P98" s="187" t="s">
        <v>95</v>
      </c>
      <c r="Q98" s="200" t="s">
        <v>95</v>
      </c>
      <c r="R98" s="200" t="s">
        <v>95</v>
      </c>
      <c r="S98" s="189" t="s">
        <v>95</v>
      </c>
      <c r="T98" s="201" t="s">
        <v>95</v>
      </c>
      <c r="U98" s="201" t="s">
        <v>95</v>
      </c>
      <c r="V98" s="200" t="s">
        <v>95</v>
      </c>
      <c r="W98" s="200" t="s">
        <v>95</v>
      </c>
      <c r="X98" s="200" t="s">
        <v>95</v>
      </c>
      <c r="Y98" s="200" t="s">
        <v>95</v>
      </c>
      <c r="Z98" s="200" t="s">
        <v>95</v>
      </c>
      <c r="AA98" s="190" t="s">
        <v>95</v>
      </c>
      <c r="AB98" s="190" t="s">
        <v>95</v>
      </c>
      <c r="AC98" s="190" t="s">
        <v>95</v>
      </c>
      <c r="AD98" s="190" t="s">
        <v>95</v>
      </c>
      <c r="AE98" s="190" t="s">
        <v>95</v>
      </c>
      <c r="AF98" s="190" t="s">
        <v>95</v>
      </c>
      <c r="AG98" s="190" t="s">
        <v>95</v>
      </c>
      <c r="AH98" s="190" t="s">
        <v>95</v>
      </c>
      <c r="AI98" s="190" t="s">
        <v>95</v>
      </c>
      <c r="AJ98" s="190" t="s">
        <v>95</v>
      </c>
      <c r="AK98" s="190" t="s">
        <v>95</v>
      </c>
      <c r="AL98" s="190" t="s">
        <v>95</v>
      </c>
      <c r="AM98" s="190" t="s">
        <v>95</v>
      </c>
      <c r="AN98" s="190" t="s">
        <v>95</v>
      </c>
      <c r="AO98" s="190" t="s">
        <v>95</v>
      </c>
      <c r="AP98" s="190" t="s">
        <v>95</v>
      </c>
      <c r="AQ98" s="190" t="s">
        <v>95</v>
      </c>
      <c r="AR98" s="190" t="s">
        <v>95</v>
      </c>
      <c r="AS98" s="190" t="s">
        <v>95</v>
      </c>
      <c r="AT98" s="190" t="s">
        <v>95</v>
      </c>
      <c r="AU98" s="190" t="s">
        <v>95</v>
      </c>
      <c r="AV98" s="190" t="s">
        <v>95</v>
      </c>
      <c r="AW98" s="190" t="s">
        <v>95</v>
      </c>
      <c r="AX98" s="190" t="s">
        <v>95</v>
      </c>
      <c r="AY98" s="190" t="s">
        <v>95</v>
      </c>
      <c r="AZ98" s="190" t="s">
        <v>95</v>
      </c>
      <c r="BA98" s="190" t="s">
        <v>95</v>
      </c>
      <c r="BB98" s="190" t="s">
        <v>95</v>
      </c>
      <c r="BC98" s="187" t="s">
        <v>95</v>
      </c>
      <c r="BD98" s="187" t="s">
        <v>95</v>
      </c>
      <c r="BE98" s="190" t="s">
        <v>95</v>
      </c>
    </row>
    <row r="99" spans="1:103" x14ac:dyDescent="0.2">
      <c r="A99" s="76" t="s">
        <v>402</v>
      </c>
      <c r="B99" s="219"/>
      <c r="C99" s="69" t="s">
        <v>2785</v>
      </c>
      <c r="D99" s="69" t="s">
        <v>1600</v>
      </c>
      <c r="E99" s="69" t="s">
        <v>1471</v>
      </c>
      <c r="F99" s="69" t="s">
        <v>1471</v>
      </c>
      <c r="G99" s="128"/>
      <c r="H99" s="128"/>
      <c r="I99" s="69" t="s">
        <v>2548</v>
      </c>
      <c r="J99" s="69" t="s">
        <v>1327</v>
      </c>
      <c r="K99" s="69" t="s">
        <v>707</v>
      </c>
      <c r="L99" s="69" t="s">
        <v>707</v>
      </c>
      <c r="M99" s="69" t="s">
        <v>707</v>
      </c>
      <c r="N99" s="69" t="s">
        <v>3082</v>
      </c>
      <c r="O99" s="69" t="s">
        <v>3082</v>
      </c>
      <c r="P99" s="69" t="s">
        <v>3082</v>
      </c>
      <c r="Q99" s="69" t="s">
        <v>483</v>
      </c>
      <c r="R99" s="69" t="s">
        <v>483</v>
      </c>
      <c r="S99" s="131"/>
      <c r="T99" s="69"/>
      <c r="U99" s="69"/>
      <c r="V99" s="69" t="s">
        <v>556</v>
      </c>
      <c r="W99" s="69" t="s">
        <v>556</v>
      </c>
      <c r="X99" s="69" t="s">
        <v>2262</v>
      </c>
      <c r="Y99" s="69" t="s">
        <v>2262</v>
      </c>
      <c r="Z99" s="69" t="s">
        <v>2262</v>
      </c>
      <c r="AA99" s="69" t="s">
        <v>2461</v>
      </c>
      <c r="AB99" s="69" t="s">
        <v>2142</v>
      </c>
      <c r="AC99" s="69" t="s">
        <v>623</v>
      </c>
      <c r="AD99" s="69" t="s">
        <v>623</v>
      </c>
      <c r="AE99" s="69"/>
      <c r="AF99" s="69"/>
      <c r="AG99" s="69"/>
      <c r="AH99" s="69" t="s">
        <v>2746</v>
      </c>
      <c r="AI99" s="69" t="s">
        <v>1683</v>
      </c>
      <c r="AJ99" s="69" t="s">
        <v>1737</v>
      </c>
      <c r="AK99" s="69" t="s">
        <v>3555</v>
      </c>
      <c r="AL99" s="69" t="s">
        <v>3563</v>
      </c>
      <c r="AM99" s="69" t="s">
        <v>1737</v>
      </c>
      <c r="AN99" s="69" t="s">
        <v>3605</v>
      </c>
      <c r="AO99" s="69" t="s">
        <v>769</v>
      </c>
      <c r="AP99" s="69" t="s">
        <v>769</v>
      </c>
      <c r="AQ99" s="69" t="s">
        <v>3180</v>
      </c>
      <c r="AR99" s="69" t="s">
        <v>3226</v>
      </c>
      <c r="AS99" s="69" t="s">
        <v>3226</v>
      </c>
      <c r="AT99" s="69" t="s">
        <v>707</v>
      </c>
      <c r="AU99" s="69" t="s">
        <v>926</v>
      </c>
      <c r="AV99" s="69" t="s">
        <v>926</v>
      </c>
      <c r="AW99" s="69" t="s">
        <v>926</v>
      </c>
      <c r="AX99" s="69" t="s">
        <v>1020</v>
      </c>
      <c r="AY99" s="69" t="s">
        <v>1975</v>
      </c>
      <c r="AZ99" s="69" t="s">
        <v>3469</v>
      </c>
      <c r="BA99" s="69"/>
      <c r="BB99" s="69"/>
      <c r="BC99" s="69" t="s">
        <v>1204</v>
      </c>
      <c r="BD99" s="69" t="s">
        <v>1204</v>
      </c>
      <c r="BE99" s="69" t="s">
        <v>1512</v>
      </c>
    </row>
    <row r="100" spans="1:103" ht="27" x14ac:dyDescent="0.2">
      <c r="A100" s="161" t="s">
        <v>40</v>
      </c>
      <c r="B100" s="218"/>
      <c r="C100" s="190" t="s">
        <v>3</v>
      </c>
      <c r="D100" s="187" t="s">
        <v>3273</v>
      </c>
      <c r="E100" s="187" t="s">
        <v>374</v>
      </c>
      <c r="F100" s="187" t="s">
        <v>374</v>
      </c>
      <c r="G100" s="188" t="s">
        <v>3239</v>
      </c>
      <c r="H100" s="188" t="s">
        <v>3306</v>
      </c>
      <c r="I100" s="187" t="s">
        <v>374</v>
      </c>
      <c r="J100" s="190" t="s">
        <v>95</v>
      </c>
      <c r="K100" s="187" t="s">
        <v>374</v>
      </c>
      <c r="L100" s="187" t="s">
        <v>374</v>
      </c>
      <c r="M100" s="187" t="s">
        <v>374</v>
      </c>
      <c r="N100" s="190" t="s">
        <v>2859</v>
      </c>
      <c r="O100" s="190" t="s">
        <v>2859</v>
      </c>
      <c r="P100" s="187" t="s">
        <v>374</v>
      </c>
      <c r="Q100" s="200" t="s">
        <v>491</v>
      </c>
      <c r="R100" s="200" t="s">
        <v>491</v>
      </c>
      <c r="S100" s="189" t="s">
        <v>95</v>
      </c>
      <c r="T100" s="200" t="s">
        <v>3502</v>
      </c>
      <c r="U100" s="200" t="s">
        <v>3502</v>
      </c>
      <c r="V100" s="187" t="s">
        <v>2350</v>
      </c>
      <c r="W100" s="187" t="s">
        <v>2350</v>
      </c>
      <c r="X100" s="187" t="s">
        <v>374</v>
      </c>
      <c r="Y100" s="187" t="s">
        <v>374</v>
      </c>
      <c r="Z100" s="187" t="s">
        <v>374</v>
      </c>
      <c r="AA100" s="187" t="s">
        <v>2470</v>
      </c>
      <c r="AB100" s="187" t="s">
        <v>2350</v>
      </c>
      <c r="AC100" s="190" t="s">
        <v>95</v>
      </c>
      <c r="AD100" s="190" t="s">
        <v>3</v>
      </c>
      <c r="AE100" s="190" t="s">
        <v>95</v>
      </c>
      <c r="AF100" s="187" t="s">
        <v>374</v>
      </c>
      <c r="AG100" s="187" t="s">
        <v>374</v>
      </c>
      <c r="AH100" s="187" t="s">
        <v>374</v>
      </c>
      <c r="AI100" s="187" t="s">
        <v>374</v>
      </c>
      <c r="AJ100" s="187" t="s">
        <v>16</v>
      </c>
      <c r="AK100" s="187" t="s">
        <v>374</v>
      </c>
      <c r="AL100" s="187" t="s">
        <v>3567</v>
      </c>
      <c r="AM100" s="187" t="s">
        <v>374</v>
      </c>
      <c r="AN100" s="187" t="s">
        <v>374</v>
      </c>
      <c r="AO100" s="187" t="s">
        <v>374</v>
      </c>
      <c r="AP100" s="187" t="s">
        <v>374</v>
      </c>
      <c r="AQ100" s="187" t="s">
        <v>374</v>
      </c>
      <c r="AR100" s="187" t="s">
        <v>2350</v>
      </c>
      <c r="AS100" s="187" t="s">
        <v>2350</v>
      </c>
      <c r="AT100" s="190" t="s">
        <v>95</v>
      </c>
      <c r="AU100" s="190" t="s">
        <v>3</v>
      </c>
      <c r="AV100" s="190" t="s">
        <v>3</v>
      </c>
      <c r="AW100" s="190" t="s">
        <v>3</v>
      </c>
      <c r="AX100" s="187" t="s">
        <v>374</v>
      </c>
      <c r="AY100" s="187" t="s">
        <v>374</v>
      </c>
      <c r="AZ100" s="187" t="s">
        <v>374</v>
      </c>
      <c r="BA100" s="190" t="s">
        <v>95</v>
      </c>
      <c r="BB100" s="190" t="s">
        <v>95</v>
      </c>
      <c r="BC100" s="187" t="s">
        <v>374</v>
      </c>
      <c r="BD100" s="187" t="s">
        <v>374</v>
      </c>
      <c r="BE100" s="190" t="s">
        <v>95</v>
      </c>
    </row>
    <row r="101" spans="1:103" ht="18" x14ac:dyDescent="0.2">
      <c r="A101" s="76" t="s">
        <v>402</v>
      </c>
      <c r="B101" s="219"/>
      <c r="C101" s="69" t="s">
        <v>3</v>
      </c>
      <c r="D101" s="69" t="s">
        <v>3274</v>
      </c>
      <c r="E101" s="69" t="s">
        <v>1473</v>
      </c>
      <c r="F101" s="69" t="s">
        <v>1473</v>
      </c>
      <c r="G101" s="128"/>
      <c r="H101" s="128"/>
      <c r="I101" s="69" t="s">
        <v>1788</v>
      </c>
      <c r="J101" s="69" t="s">
        <v>1309</v>
      </c>
      <c r="K101" s="69" t="s">
        <v>711</v>
      </c>
      <c r="L101" s="69" t="s">
        <v>711</v>
      </c>
      <c r="M101" s="69" t="s">
        <v>711</v>
      </c>
      <c r="N101" s="69" t="s">
        <v>3031</v>
      </c>
      <c r="O101" s="69" t="s">
        <v>2992</v>
      </c>
      <c r="P101" s="69" t="s">
        <v>3091</v>
      </c>
      <c r="Q101" s="69" t="s">
        <v>490</v>
      </c>
      <c r="R101" s="69" t="s">
        <v>490</v>
      </c>
      <c r="S101" s="131"/>
      <c r="T101" s="69"/>
      <c r="U101" s="69"/>
      <c r="V101" s="69" t="s">
        <v>559</v>
      </c>
      <c r="W101" s="69" t="s">
        <v>559</v>
      </c>
      <c r="X101" s="69" t="s">
        <v>2268</v>
      </c>
      <c r="Y101" s="69" t="s">
        <v>2268</v>
      </c>
      <c r="Z101" s="69" t="s">
        <v>2268</v>
      </c>
      <c r="AA101" s="69" t="s">
        <v>2469</v>
      </c>
      <c r="AB101" s="69" t="s">
        <v>2337</v>
      </c>
      <c r="AC101" s="69" t="s">
        <v>603</v>
      </c>
      <c r="AD101" s="69" t="s">
        <v>3</v>
      </c>
      <c r="AE101" s="69"/>
      <c r="AF101" s="69"/>
      <c r="AG101" s="69"/>
      <c r="AH101" s="69" t="s">
        <v>2711</v>
      </c>
      <c r="AI101" s="69" t="s">
        <v>1675</v>
      </c>
      <c r="AJ101" s="69" t="s">
        <v>1732</v>
      </c>
      <c r="AK101" s="69" t="s">
        <v>3555</v>
      </c>
      <c r="AL101" s="69" t="s">
        <v>3568</v>
      </c>
      <c r="AM101" s="69" t="s">
        <v>3589</v>
      </c>
      <c r="AN101" s="69" t="s">
        <v>3612</v>
      </c>
      <c r="AO101" s="69" t="s">
        <v>773</v>
      </c>
      <c r="AP101" s="69" t="s">
        <v>773</v>
      </c>
      <c r="AQ101" s="69" t="s">
        <v>3227</v>
      </c>
      <c r="AR101" s="69" t="s">
        <v>3177</v>
      </c>
      <c r="AS101" s="69" t="s">
        <v>3177</v>
      </c>
      <c r="AT101" s="69" t="s">
        <v>1236</v>
      </c>
      <c r="AU101" s="69" t="s">
        <v>3</v>
      </c>
      <c r="AV101" s="69" t="s">
        <v>3</v>
      </c>
      <c r="AW101" s="69" t="s">
        <v>3</v>
      </c>
      <c r="AX101" s="69" t="s">
        <v>1028</v>
      </c>
      <c r="AY101" s="69" t="s">
        <v>1985</v>
      </c>
      <c r="AZ101" s="69" t="s">
        <v>3479</v>
      </c>
      <c r="BA101" s="69"/>
      <c r="BB101" s="69"/>
      <c r="BC101" s="69" t="s">
        <v>426</v>
      </c>
      <c r="BD101" s="69" t="s">
        <v>426</v>
      </c>
      <c r="BE101" s="69" t="s">
        <v>1496</v>
      </c>
    </row>
    <row r="102" spans="1:103" ht="18" x14ac:dyDescent="0.2">
      <c r="A102" s="161" t="s">
        <v>39</v>
      </c>
      <c r="B102" s="218"/>
      <c r="C102" s="187" t="s">
        <v>208</v>
      </c>
      <c r="D102" s="187" t="s">
        <v>208</v>
      </c>
      <c r="E102" s="187" t="s">
        <v>238</v>
      </c>
      <c r="F102" s="187" t="s">
        <v>238</v>
      </c>
      <c r="G102" s="188" t="s">
        <v>95</v>
      </c>
      <c r="H102" s="188" t="s">
        <v>95</v>
      </c>
      <c r="I102" s="187" t="s">
        <v>208</v>
      </c>
      <c r="J102" s="187" t="s">
        <v>208</v>
      </c>
      <c r="K102" s="187" t="s">
        <v>208</v>
      </c>
      <c r="L102" s="187" t="s">
        <v>208</v>
      </c>
      <c r="M102" s="187" t="s">
        <v>208</v>
      </c>
      <c r="N102" s="187" t="s">
        <v>208</v>
      </c>
      <c r="O102" s="187" t="s">
        <v>208</v>
      </c>
      <c r="P102" s="187" t="s">
        <v>208</v>
      </c>
      <c r="Q102" s="200" t="s">
        <v>95</v>
      </c>
      <c r="R102" s="200" t="s">
        <v>95</v>
      </c>
      <c r="S102" s="189" t="s">
        <v>95</v>
      </c>
      <c r="T102" s="200" t="s">
        <v>95</v>
      </c>
      <c r="U102" s="200" t="s">
        <v>95</v>
      </c>
      <c r="V102" s="187" t="s">
        <v>238</v>
      </c>
      <c r="W102" s="187" t="s">
        <v>238</v>
      </c>
      <c r="X102" s="190" t="s">
        <v>238</v>
      </c>
      <c r="Y102" s="190" t="s">
        <v>238</v>
      </c>
      <c r="Z102" s="190" t="s">
        <v>238</v>
      </c>
      <c r="AA102" s="187" t="s">
        <v>238</v>
      </c>
      <c r="AB102" s="187" t="s">
        <v>2368</v>
      </c>
      <c r="AC102" s="187" t="s">
        <v>208</v>
      </c>
      <c r="AD102" s="187" t="s">
        <v>208</v>
      </c>
      <c r="AE102" s="187" t="s">
        <v>95</v>
      </c>
      <c r="AF102" s="187" t="s">
        <v>238</v>
      </c>
      <c r="AG102" s="187" t="s">
        <v>238</v>
      </c>
      <c r="AH102" s="187" t="s">
        <v>208</v>
      </c>
      <c r="AI102" s="187" t="s">
        <v>208</v>
      </c>
      <c r="AJ102" s="187" t="s">
        <v>16</v>
      </c>
      <c r="AK102" s="187" t="s">
        <v>208</v>
      </c>
      <c r="AL102" s="187" t="s">
        <v>14</v>
      </c>
      <c r="AM102" s="187" t="s">
        <v>95</v>
      </c>
      <c r="AN102" s="187" t="s">
        <v>208</v>
      </c>
      <c r="AO102" s="202" t="s">
        <v>95</v>
      </c>
      <c r="AP102" s="202" t="s">
        <v>95</v>
      </c>
      <c r="AQ102" s="187" t="s">
        <v>208</v>
      </c>
      <c r="AR102" s="187" t="s">
        <v>208</v>
      </c>
      <c r="AS102" s="187" t="s">
        <v>208</v>
      </c>
      <c r="AT102" s="190" t="s">
        <v>238</v>
      </c>
      <c r="AU102" s="187" t="s">
        <v>238</v>
      </c>
      <c r="AV102" s="187" t="s">
        <v>238</v>
      </c>
      <c r="AW102" s="187" t="s">
        <v>238</v>
      </c>
      <c r="AX102" s="187" t="s">
        <v>238</v>
      </c>
      <c r="AY102" s="187" t="s">
        <v>208</v>
      </c>
      <c r="AZ102" s="187" t="s">
        <v>208</v>
      </c>
      <c r="BA102" s="190" t="s">
        <v>95</v>
      </c>
      <c r="BB102" s="190" t="s">
        <v>95</v>
      </c>
      <c r="BC102" s="187" t="s">
        <v>95</v>
      </c>
      <c r="BD102" s="187" t="s">
        <v>95</v>
      </c>
      <c r="BE102" s="190" t="s">
        <v>95</v>
      </c>
    </row>
    <row r="103" spans="1:103" ht="18" x14ac:dyDescent="0.2">
      <c r="A103" s="76" t="s">
        <v>402</v>
      </c>
      <c r="B103" s="219"/>
      <c r="C103" s="69" t="s">
        <v>2793</v>
      </c>
      <c r="D103" s="69" t="s">
        <v>1603</v>
      </c>
      <c r="E103" s="69" t="s">
        <v>1474</v>
      </c>
      <c r="F103" s="69" t="s">
        <v>1474</v>
      </c>
      <c r="G103" s="128"/>
      <c r="H103" s="128"/>
      <c r="I103" s="69" t="s">
        <v>2546</v>
      </c>
      <c r="J103" s="69" t="s">
        <v>1332</v>
      </c>
      <c r="K103" s="69" t="s">
        <v>710</v>
      </c>
      <c r="L103" s="69" t="s">
        <v>710</v>
      </c>
      <c r="M103" s="69" t="s">
        <v>710</v>
      </c>
      <c r="N103" s="69" t="s">
        <v>3089</v>
      </c>
      <c r="O103" s="69" t="s">
        <v>3089</v>
      </c>
      <c r="P103" s="69" t="s">
        <v>3089</v>
      </c>
      <c r="Q103" s="69" t="s">
        <v>488</v>
      </c>
      <c r="R103" s="69" t="s">
        <v>488</v>
      </c>
      <c r="S103" s="131"/>
      <c r="T103" s="69"/>
      <c r="U103" s="69"/>
      <c r="V103" s="69" t="s">
        <v>558</v>
      </c>
      <c r="W103" s="69" t="s">
        <v>558</v>
      </c>
      <c r="X103" s="69" t="s">
        <v>2267</v>
      </c>
      <c r="Y103" s="69" t="s">
        <v>2267</v>
      </c>
      <c r="Z103" s="69" t="s">
        <v>2267</v>
      </c>
      <c r="AA103" s="69" t="s">
        <v>2467</v>
      </c>
      <c r="AB103" s="69" t="s">
        <v>2367</v>
      </c>
      <c r="AC103" s="69" t="s">
        <v>628</v>
      </c>
      <c r="AD103" s="69" t="s">
        <v>628</v>
      </c>
      <c r="AE103" s="69"/>
      <c r="AF103" s="69"/>
      <c r="AG103" s="69"/>
      <c r="AH103" s="69" t="s">
        <v>2710</v>
      </c>
      <c r="AI103" s="69" t="s">
        <v>1677</v>
      </c>
      <c r="AJ103" s="69" t="s">
        <v>1732</v>
      </c>
      <c r="AK103" s="69" t="s">
        <v>3555</v>
      </c>
      <c r="AL103" s="69" t="s">
        <v>3555</v>
      </c>
      <c r="AM103" s="69" t="s">
        <v>3588</v>
      </c>
      <c r="AN103" s="69" t="s">
        <v>3609</v>
      </c>
      <c r="AO103" s="69" t="s">
        <v>773</v>
      </c>
      <c r="AP103" s="69" t="s">
        <v>773</v>
      </c>
      <c r="AQ103" s="69" t="s">
        <v>3231</v>
      </c>
      <c r="AR103" s="69" t="s">
        <v>3231</v>
      </c>
      <c r="AS103" s="69" t="s">
        <v>3231</v>
      </c>
      <c r="AT103" s="69" t="s">
        <v>1264</v>
      </c>
      <c r="AU103" s="69" t="s">
        <v>931</v>
      </c>
      <c r="AV103" s="69" t="s">
        <v>931</v>
      </c>
      <c r="AW103" s="69" t="s">
        <v>931</v>
      </c>
      <c r="AX103" s="69" t="s">
        <v>1019</v>
      </c>
      <c r="AY103" s="69" t="s">
        <v>1984</v>
      </c>
      <c r="AZ103" s="69" t="s">
        <v>3478</v>
      </c>
      <c r="BA103" s="69"/>
      <c r="BB103" s="69"/>
      <c r="BC103" s="69" t="s">
        <v>1205</v>
      </c>
      <c r="BD103" s="69" t="s">
        <v>1205</v>
      </c>
      <c r="BE103" s="69" t="s">
        <v>1515</v>
      </c>
    </row>
    <row r="104" spans="1:103" ht="18" x14ac:dyDescent="0.2">
      <c r="A104" s="161" t="s">
        <v>77</v>
      </c>
      <c r="B104" s="161"/>
      <c r="C104" s="187" t="s">
        <v>2791</v>
      </c>
      <c r="D104" s="190" t="s">
        <v>14</v>
      </c>
      <c r="E104" s="187" t="s">
        <v>238</v>
      </c>
      <c r="F104" s="190" t="s">
        <v>1409</v>
      </c>
      <c r="G104" s="188" t="s">
        <v>95</v>
      </c>
      <c r="H104" s="188" t="s">
        <v>95</v>
      </c>
      <c r="I104" s="190" t="s">
        <v>48</v>
      </c>
      <c r="J104" s="190" t="s">
        <v>796</v>
      </c>
      <c r="K104" s="190" t="s">
        <v>3</v>
      </c>
      <c r="L104" s="187" t="s">
        <v>2411</v>
      </c>
      <c r="M104" s="187" t="s">
        <v>2411</v>
      </c>
      <c r="N104" s="187" t="s">
        <v>48</v>
      </c>
      <c r="O104" s="187" t="s">
        <v>14</v>
      </c>
      <c r="P104" s="187" t="s">
        <v>208</v>
      </c>
      <c r="Q104" s="200" t="s">
        <v>3</v>
      </c>
      <c r="R104" s="236" t="s">
        <v>471</v>
      </c>
      <c r="S104" s="261" t="s">
        <v>95</v>
      </c>
      <c r="T104" s="200" t="s">
        <v>3502</v>
      </c>
      <c r="U104" s="200" t="s">
        <v>3502</v>
      </c>
      <c r="V104" s="200" t="s">
        <v>3</v>
      </c>
      <c r="W104" s="201" t="s">
        <v>95</v>
      </c>
      <c r="X104" s="190" t="s">
        <v>238</v>
      </c>
      <c r="Y104" s="201" t="s">
        <v>0</v>
      </c>
      <c r="Z104" s="201" t="s">
        <v>0</v>
      </c>
      <c r="AA104" s="256" t="s">
        <v>388</v>
      </c>
      <c r="AB104" s="256" t="s">
        <v>95</v>
      </c>
      <c r="AC104" s="190" t="s">
        <v>16</v>
      </c>
      <c r="AD104" s="190" t="s">
        <v>3</v>
      </c>
      <c r="AE104" s="190" t="s">
        <v>95</v>
      </c>
      <c r="AF104" s="190" t="s">
        <v>131</v>
      </c>
      <c r="AG104" s="190" t="s">
        <v>131</v>
      </c>
      <c r="AH104" s="190" t="s">
        <v>48</v>
      </c>
      <c r="AI104" s="190" t="s">
        <v>95</v>
      </c>
      <c r="AJ104" s="187" t="s">
        <v>16</v>
      </c>
      <c r="AK104" s="190" t="s">
        <v>95</v>
      </c>
      <c r="AL104" s="187" t="s">
        <v>14</v>
      </c>
      <c r="AM104" s="190" t="s">
        <v>95</v>
      </c>
      <c r="AN104" s="190" t="s">
        <v>95</v>
      </c>
      <c r="AO104" s="202" t="s">
        <v>3</v>
      </c>
      <c r="AP104" s="202" t="s">
        <v>131</v>
      </c>
      <c r="AQ104" s="187" t="s">
        <v>3</v>
      </c>
      <c r="AR104" s="201" t="s">
        <v>14</v>
      </c>
      <c r="AS104" s="201" t="s">
        <v>131</v>
      </c>
      <c r="AT104" s="190" t="s">
        <v>0</v>
      </c>
      <c r="AU104" s="190" t="s">
        <v>3</v>
      </c>
      <c r="AV104" s="190" t="s">
        <v>131</v>
      </c>
      <c r="AW104" s="190" t="s">
        <v>3</v>
      </c>
      <c r="AX104" s="190" t="s">
        <v>351</v>
      </c>
      <c r="AY104" s="190" t="s">
        <v>16</v>
      </c>
      <c r="AZ104" s="190" t="s">
        <v>3476</v>
      </c>
      <c r="BA104" s="257" t="s">
        <v>3</v>
      </c>
      <c r="BB104" s="187" t="s">
        <v>14</v>
      </c>
      <c r="BC104" s="187" t="s">
        <v>3</v>
      </c>
      <c r="BD104" s="187" t="s">
        <v>264</v>
      </c>
      <c r="BE104" s="202" t="s">
        <v>3</v>
      </c>
    </row>
    <row r="105" spans="1:103" ht="27" x14ac:dyDescent="0.2">
      <c r="A105" s="76" t="s">
        <v>402</v>
      </c>
      <c r="B105" s="219"/>
      <c r="C105" s="69" t="s">
        <v>2769</v>
      </c>
      <c r="D105" s="69" t="s">
        <v>3276</v>
      </c>
      <c r="E105" s="69" t="s">
        <v>1474</v>
      </c>
      <c r="F105" s="69" t="s">
        <v>1616</v>
      </c>
      <c r="G105" s="128"/>
      <c r="H105" s="128"/>
      <c r="I105" s="69" t="s">
        <v>2544</v>
      </c>
      <c r="J105" s="69" t="s">
        <v>1308</v>
      </c>
      <c r="K105" s="69" t="s">
        <v>693</v>
      </c>
      <c r="L105" s="69" t="s">
        <v>693</v>
      </c>
      <c r="M105" s="69" t="s">
        <v>693</v>
      </c>
      <c r="N105" s="69" t="s">
        <v>2983</v>
      </c>
      <c r="O105" s="69" t="s">
        <v>2988</v>
      </c>
      <c r="P105" s="69" t="s">
        <v>3089</v>
      </c>
      <c r="Q105" s="69" t="s">
        <v>488</v>
      </c>
      <c r="R105" s="69" t="s">
        <v>472</v>
      </c>
      <c r="S105" s="262"/>
      <c r="T105" s="69"/>
      <c r="U105" s="69"/>
      <c r="V105" s="69" t="s">
        <v>3</v>
      </c>
      <c r="W105" s="69" t="s">
        <v>538</v>
      </c>
      <c r="X105" s="69" t="s">
        <v>2267</v>
      </c>
      <c r="Y105" s="69" t="s">
        <v>2238</v>
      </c>
      <c r="Z105" s="69" t="s">
        <v>2238</v>
      </c>
      <c r="AA105" s="69" t="s">
        <v>2436</v>
      </c>
      <c r="AB105" s="69" t="s">
        <v>2342</v>
      </c>
      <c r="AC105" s="69" t="s">
        <v>600</v>
      </c>
      <c r="AD105" s="69" t="s">
        <v>3</v>
      </c>
      <c r="AE105" s="69"/>
      <c r="AF105" s="69"/>
      <c r="AG105" s="69"/>
      <c r="AH105" s="69" t="s">
        <v>2709</v>
      </c>
      <c r="AI105" s="69" t="s">
        <v>1658</v>
      </c>
      <c r="AJ105" s="69" t="s">
        <v>1732</v>
      </c>
      <c r="AK105" s="69" t="s">
        <v>3555</v>
      </c>
      <c r="AL105" s="69" t="s">
        <v>3555</v>
      </c>
      <c r="AM105" s="69" t="s">
        <v>3588</v>
      </c>
      <c r="AN105" s="69" t="s">
        <v>3609</v>
      </c>
      <c r="AO105" s="69" t="s">
        <v>3</v>
      </c>
      <c r="AP105" s="69" t="s">
        <v>748</v>
      </c>
      <c r="AQ105" s="69" t="s">
        <v>3</v>
      </c>
      <c r="AR105" s="69" t="s">
        <v>3182</v>
      </c>
      <c r="AS105" s="69" t="s">
        <v>3182</v>
      </c>
      <c r="AT105" s="69" t="s">
        <v>1225</v>
      </c>
      <c r="AU105" s="69" t="s">
        <v>3</v>
      </c>
      <c r="AV105" s="69" t="s">
        <v>905</v>
      </c>
      <c r="AW105" s="69" t="s">
        <v>3</v>
      </c>
      <c r="AX105" s="96" t="s">
        <v>1027</v>
      </c>
      <c r="AY105" s="69" t="s">
        <v>1953</v>
      </c>
      <c r="AZ105" s="69" t="s">
        <v>3477</v>
      </c>
      <c r="BA105" s="69"/>
      <c r="BB105" s="69"/>
      <c r="BC105" s="69" t="s">
        <v>3</v>
      </c>
      <c r="BD105" s="69" t="s">
        <v>1170</v>
      </c>
      <c r="BE105" s="69" t="s">
        <v>1515</v>
      </c>
    </row>
    <row r="106" spans="1:103" ht="27" x14ac:dyDescent="0.2">
      <c r="A106" s="162" t="s">
        <v>4084</v>
      </c>
      <c r="B106" s="161" t="s">
        <v>3786</v>
      </c>
      <c r="C106" s="187" t="s">
        <v>3966</v>
      </c>
      <c r="D106" s="187" t="s">
        <v>191</v>
      </c>
      <c r="E106" s="187" t="s">
        <v>95</v>
      </c>
      <c r="F106" s="187" t="s">
        <v>95</v>
      </c>
      <c r="G106" s="187" t="s">
        <v>3965</v>
      </c>
      <c r="H106" s="187" t="s">
        <v>378</v>
      </c>
      <c r="I106" s="187" t="s">
        <v>95</v>
      </c>
      <c r="J106" s="187"/>
      <c r="K106" s="200" t="s">
        <v>3</v>
      </c>
      <c r="L106" s="189" t="s">
        <v>95</v>
      </c>
      <c r="M106" s="236" t="s">
        <v>471</v>
      </c>
      <c r="N106" s="200" t="s">
        <v>3502</v>
      </c>
      <c r="O106" s="200" t="s">
        <v>3502</v>
      </c>
      <c r="P106" s="200" t="s">
        <v>3</v>
      </c>
      <c r="Q106" s="194"/>
      <c r="R106" s="198"/>
      <c r="S106" s="263"/>
      <c r="T106" s="194"/>
      <c r="U106" s="194"/>
      <c r="V106" s="194"/>
      <c r="W106" s="195"/>
      <c r="X106" s="186"/>
      <c r="Y106" s="195"/>
      <c r="Z106" s="195"/>
      <c r="AA106" s="258"/>
      <c r="AB106" s="258"/>
      <c r="AC106" s="186"/>
      <c r="AD106" s="186"/>
      <c r="AE106" s="186"/>
      <c r="AF106" s="186"/>
      <c r="AG106" s="186"/>
      <c r="AH106" s="186"/>
      <c r="AI106" s="186"/>
      <c r="AJ106" s="183"/>
      <c r="AK106" s="186"/>
      <c r="AL106" s="183"/>
      <c r="AM106" s="186"/>
      <c r="AN106" s="186"/>
      <c r="AO106" s="199"/>
      <c r="AP106" s="199"/>
      <c r="AQ106" s="183"/>
      <c r="AR106" s="195"/>
      <c r="AS106" s="195"/>
      <c r="AT106" s="186"/>
      <c r="AU106" s="186"/>
      <c r="AV106" s="186"/>
      <c r="AW106" s="186"/>
      <c r="AX106" s="186"/>
      <c r="AY106" s="186"/>
      <c r="AZ106" s="186"/>
      <c r="BA106" s="203"/>
      <c r="BB106" s="183"/>
      <c r="BC106" s="183"/>
      <c r="BD106" s="183"/>
      <c r="BE106" s="199"/>
    </row>
    <row r="107" spans="1:103" x14ac:dyDescent="0.2">
      <c r="A107" s="76" t="s">
        <v>402</v>
      </c>
      <c r="B107" s="219"/>
      <c r="C107" s="69" t="s">
        <v>2769</v>
      </c>
      <c r="D107" s="69" t="s">
        <v>2769</v>
      </c>
      <c r="E107" s="69" t="s">
        <v>3857</v>
      </c>
      <c r="F107" s="69" t="s">
        <v>3857</v>
      </c>
      <c r="G107" s="69" t="s">
        <v>4014</v>
      </c>
      <c r="H107" s="69" t="s">
        <v>3976</v>
      </c>
      <c r="I107" s="69" t="s">
        <v>4060</v>
      </c>
      <c r="J107" s="69"/>
      <c r="K107" s="69" t="s">
        <v>488</v>
      </c>
      <c r="L107" s="131"/>
      <c r="M107" s="69" t="s">
        <v>472</v>
      </c>
      <c r="N107" s="69"/>
      <c r="O107" s="69"/>
      <c r="P107" s="69" t="s">
        <v>3</v>
      </c>
      <c r="Q107" s="69"/>
      <c r="R107" s="69"/>
      <c r="S107" s="262"/>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96"/>
      <c r="AY107" s="69"/>
      <c r="AZ107" s="69"/>
      <c r="BA107" s="69"/>
      <c r="BB107" s="69"/>
      <c r="BC107" s="69"/>
      <c r="BD107" s="69"/>
      <c r="BE107" s="69"/>
    </row>
    <row r="108" spans="1:103" s="255" customFormat="1" ht="33" customHeight="1" x14ac:dyDescent="0.2">
      <c r="A108" s="25" t="s">
        <v>3739</v>
      </c>
      <c r="B108" s="218"/>
      <c r="C108" s="46" t="s">
        <v>95</v>
      </c>
      <c r="D108" s="46" t="s">
        <v>95</v>
      </c>
      <c r="E108" s="46" t="s">
        <v>95</v>
      </c>
      <c r="F108" s="46" t="s">
        <v>95</v>
      </c>
      <c r="G108" s="117" t="s">
        <v>95</v>
      </c>
      <c r="H108" s="117"/>
      <c r="I108" s="46" t="s">
        <v>95</v>
      </c>
      <c r="J108" s="46" t="s">
        <v>95</v>
      </c>
      <c r="K108" s="46" t="s">
        <v>95</v>
      </c>
      <c r="L108" s="46" t="s">
        <v>95</v>
      </c>
      <c r="M108" s="46" t="s">
        <v>95</v>
      </c>
      <c r="N108" s="46" t="s">
        <v>95</v>
      </c>
      <c r="O108" s="46" t="s">
        <v>95</v>
      </c>
      <c r="P108" s="46" t="s">
        <v>95</v>
      </c>
      <c r="Q108" s="20" t="s">
        <v>95</v>
      </c>
      <c r="R108" s="20" t="s">
        <v>95</v>
      </c>
      <c r="S108" s="130" t="s">
        <v>95</v>
      </c>
      <c r="T108" s="44" t="s">
        <v>95</v>
      </c>
      <c r="U108" s="44" t="s">
        <v>95</v>
      </c>
      <c r="V108" s="20" t="s">
        <v>95</v>
      </c>
      <c r="W108" s="20" t="s">
        <v>95</v>
      </c>
      <c r="X108" s="20" t="s">
        <v>95</v>
      </c>
      <c r="Y108" s="20" t="s">
        <v>95</v>
      </c>
      <c r="Z108" s="20" t="s">
        <v>95</v>
      </c>
      <c r="AA108" s="46" t="s">
        <v>95</v>
      </c>
      <c r="AB108" s="50" t="s">
        <v>95</v>
      </c>
      <c r="AC108" s="46" t="s">
        <v>95</v>
      </c>
      <c r="AD108" s="46" t="s">
        <v>95</v>
      </c>
      <c r="AE108" s="46" t="s">
        <v>95</v>
      </c>
      <c r="AF108" s="46" t="s">
        <v>95</v>
      </c>
      <c r="AG108" s="46" t="s">
        <v>95</v>
      </c>
      <c r="AH108" s="46" t="s">
        <v>95</v>
      </c>
      <c r="AI108" s="46" t="s">
        <v>95</v>
      </c>
      <c r="AJ108" s="46" t="s">
        <v>95</v>
      </c>
      <c r="AK108" s="46" t="s">
        <v>95</v>
      </c>
      <c r="AL108" s="46" t="s">
        <v>3565</v>
      </c>
      <c r="AM108" s="46" t="s">
        <v>95</v>
      </c>
      <c r="AN108" s="46" t="s">
        <v>95</v>
      </c>
      <c r="AO108" s="46" t="s">
        <v>95</v>
      </c>
      <c r="AP108" s="46" t="s">
        <v>95</v>
      </c>
      <c r="AQ108" s="46" t="s">
        <v>95</v>
      </c>
      <c r="AR108" s="46" t="s">
        <v>95</v>
      </c>
      <c r="AS108" s="46" t="s">
        <v>95</v>
      </c>
      <c r="AT108" s="46" t="s">
        <v>95</v>
      </c>
      <c r="AU108" s="46" t="s">
        <v>95</v>
      </c>
      <c r="AV108" s="46" t="s">
        <v>95</v>
      </c>
      <c r="AW108" s="46" t="s">
        <v>95</v>
      </c>
      <c r="AX108" s="46" t="s">
        <v>95</v>
      </c>
      <c r="AY108" s="46" t="s">
        <v>95</v>
      </c>
      <c r="AZ108" s="46" t="s">
        <v>95</v>
      </c>
      <c r="BA108" s="46" t="s">
        <v>95</v>
      </c>
      <c r="BB108" s="46" t="s">
        <v>95</v>
      </c>
      <c r="BC108" s="47" t="s">
        <v>95</v>
      </c>
      <c r="BD108" s="47" t="s">
        <v>95</v>
      </c>
      <c r="BE108" s="46" t="s">
        <v>95</v>
      </c>
      <c r="BF108" s="264"/>
      <c r="BG108" s="264"/>
      <c r="BH108" s="264"/>
      <c r="BI108" s="264"/>
      <c r="BJ108" s="264"/>
      <c r="BK108" s="264"/>
      <c r="BL108" s="264"/>
      <c r="BM108" s="264"/>
      <c r="BN108" s="264"/>
      <c r="BO108" s="264"/>
      <c r="BP108" s="264"/>
      <c r="BQ108" s="264"/>
      <c r="BR108" s="264"/>
      <c r="BS108" s="264"/>
      <c r="BT108" s="264"/>
      <c r="BU108" s="264"/>
      <c r="BV108" s="264"/>
      <c r="BW108" s="264"/>
      <c r="BX108" s="264"/>
      <c r="BY108" s="264"/>
      <c r="BZ108" s="264"/>
      <c r="CA108" s="264"/>
      <c r="CB108" s="264"/>
      <c r="CC108" s="264"/>
      <c r="CD108" s="264"/>
      <c r="CE108" s="264"/>
      <c r="CF108" s="264"/>
      <c r="CG108" s="264"/>
      <c r="CH108" s="264"/>
      <c r="CI108" s="264"/>
      <c r="CJ108" s="264"/>
      <c r="CK108" s="264"/>
      <c r="CL108" s="264"/>
      <c r="CM108" s="264"/>
      <c r="CN108" s="264"/>
      <c r="CO108" s="264"/>
      <c r="CP108" s="264"/>
      <c r="CQ108" s="264"/>
      <c r="CR108" s="264"/>
      <c r="CS108" s="264"/>
      <c r="CT108" s="264"/>
      <c r="CU108" s="264"/>
      <c r="CV108" s="264"/>
      <c r="CW108" s="264"/>
      <c r="CX108" s="264"/>
      <c r="CY108" s="264"/>
    </row>
    <row r="109" spans="1:103" x14ac:dyDescent="0.2">
      <c r="A109" s="76" t="s">
        <v>402</v>
      </c>
      <c r="B109" s="219"/>
      <c r="C109" s="69" t="s">
        <v>2785</v>
      </c>
      <c r="D109" s="69" t="s">
        <v>1591</v>
      </c>
      <c r="E109" s="69" t="s">
        <v>1471</v>
      </c>
      <c r="F109" s="69" t="s">
        <v>1471</v>
      </c>
      <c r="G109" s="128"/>
      <c r="H109" s="128"/>
      <c r="I109" s="69" t="s">
        <v>2550</v>
      </c>
      <c r="J109" s="69" t="s">
        <v>1328</v>
      </c>
      <c r="K109" s="69" t="s">
        <v>707</v>
      </c>
      <c r="L109" s="69" t="s">
        <v>707</v>
      </c>
      <c r="M109" s="69" t="s">
        <v>707</v>
      </c>
      <c r="N109" s="69" t="s">
        <v>3082</v>
      </c>
      <c r="O109" s="69" t="s">
        <v>3082</v>
      </c>
      <c r="P109" s="69" t="s">
        <v>3082</v>
      </c>
      <c r="Q109" s="69" t="s">
        <v>483</v>
      </c>
      <c r="R109" s="69" t="s">
        <v>483</v>
      </c>
      <c r="S109" s="131"/>
      <c r="T109" s="69"/>
      <c r="U109" s="69"/>
      <c r="V109" s="69" t="s">
        <v>556</v>
      </c>
      <c r="W109" s="69" t="s">
        <v>556</v>
      </c>
      <c r="X109" s="69" t="s">
        <v>2263</v>
      </c>
      <c r="Y109" s="69" t="s">
        <v>2263</v>
      </c>
      <c r="Z109" s="69" t="s">
        <v>2263</v>
      </c>
      <c r="AA109" s="69" t="s">
        <v>2462</v>
      </c>
      <c r="AB109" s="69" t="s">
        <v>2142</v>
      </c>
      <c r="AC109" s="69" t="s">
        <v>625</v>
      </c>
      <c r="AD109" s="69" t="s">
        <v>625</v>
      </c>
      <c r="AE109" s="69"/>
      <c r="AF109" s="69"/>
      <c r="AG109" s="69"/>
      <c r="AH109" s="69" t="s">
        <v>2747</v>
      </c>
      <c r="AI109" s="69" t="s">
        <v>1685</v>
      </c>
      <c r="AJ109" s="69" t="s">
        <v>1737</v>
      </c>
      <c r="AK109" s="69" t="s">
        <v>3555</v>
      </c>
      <c r="AL109" s="69" t="s">
        <v>3566</v>
      </c>
      <c r="AM109" s="69" t="s">
        <v>3555</v>
      </c>
      <c r="AN109" s="69" t="s">
        <v>3606</v>
      </c>
      <c r="AO109" s="69" t="s">
        <v>769</v>
      </c>
      <c r="AP109" s="69" t="s">
        <v>769</v>
      </c>
      <c r="AQ109" s="69" t="s">
        <v>3180</v>
      </c>
      <c r="AR109" s="69" t="s">
        <v>3180</v>
      </c>
      <c r="AS109" s="69" t="s">
        <v>3180</v>
      </c>
      <c r="AT109" s="69" t="s">
        <v>707</v>
      </c>
      <c r="AU109" s="69" t="s">
        <v>926</v>
      </c>
      <c r="AV109" s="69" t="s">
        <v>926</v>
      </c>
      <c r="AW109" s="69" t="s">
        <v>926</v>
      </c>
      <c r="AX109" s="69" t="s">
        <v>1023</v>
      </c>
      <c r="AY109" s="69" t="s">
        <v>1976</v>
      </c>
      <c r="AZ109" s="69" t="s">
        <v>3470</v>
      </c>
      <c r="BA109" s="69"/>
      <c r="BB109" s="69"/>
      <c r="BC109" s="69" t="s">
        <v>1204</v>
      </c>
      <c r="BD109" s="69" t="s">
        <v>1204</v>
      </c>
      <c r="BE109" s="69" t="s">
        <v>1512</v>
      </c>
      <c r="BF109" s="264"/>
      <c r="BG109" s="264"/>
      <c r="BH109" s="264"/>
      <c r="BI109" s="264"/>
      <c r="BJ109" s="264"/>
      <c r="BK109" s="264"/>
      <c r="BL109" s="264"/>
      <c r="BM109" s="264"/>
      <c r="BN109" s="264"/>
      <c r="BO109" s="264"/>
      <c r="BP109" s="264"/>
      <c r="BQ109" s="264"/>
      <c r="BR109" s="264"/>
      <c r="BS109" s="264"/>
      <c r="BT109" s="264"/>
      <c r="BU109" s="264"/>
      <c r="BV109" s="264"/>
      <c r="BW109" s="264"/>
      <c r="BX109" s="264"/>
      <c r="BY109" s="264"/>
      <c r="BZ109" s="264"/>
      <c r="CA109" s="264"/>
      <c r="CB109" s="264"/>
      <c r="CC109" s="264"/>
      <c r="CD109" s="264"/>
      <c r="CE109" s="264"/>
      <c r="CF109" s="264"/>
      <c r="CG109" s="264"/>
      <c r="CH109" s="264"/>
      <c r="CI109" s="264"/>
      <c r="CJ109" s="264"/>
      <c r="CK109" s="264"/>
      <c r="CL109" s="264"/>
      <c r="CM109" s="264"/>
      <c r="CN109" s="264"/>
      <c r="CO109" s="264"/>
      <c r="CP109" s="264"/>
      <c r="CQ109" s="264"/>
      <c r="CR109" s="264"/>
      <c r="CS109" s="264"/>
      <c r="CT109" s="264"/>
      <c r="CU109" s="264"/>
      <c r="CV109" s="264"/>
      <c r="CW109" s="264"/>
      <c r="CX109" s="264"/>
      <c r="CY109" s="264"/>
    </row>
    <row r="110" spans="1:103" s="191" customFormat="1" ht="43.5" customHeight="1" x14ac:dyDescent="0.15">
      <c r="A110" s="25" t="s">
        <v>41</v>
      </c>
      <c r="B110" s="218"/>
      <c r="C110" s="47" t="s">
        <v>208</v>
      </c>
      <c r="D110" s="20" t="s">
        <v>182</v>
      </c>
      <c r="E110" s="47" t="s">
        <v>238</v>
      </c>
      <c r="F110" s="47" t="s">
        <v>238</v>
      </c>
      <c r="G110" s="117" t="s">
        <v>95</v>
      </c>
      <c r="H110" s="117" t="s">
        <v>95</v>
      </c>
      <c r="I110" s="47" t="s">
        <v>208</v>
      </c>
      <c r="J110" s="47" t="s">
        <v>208</v>
      </c>
      <c r="K110" s="47" t="s">
        <v>208</v>
      </c>
      <c r="L110" s="47" t="s">
        <v>208</v>
      </c>
      <c r="M110" s="47" t="s">
        <v>208</v>
      </c>
      <c r="N110" s="47" t="s">
        <v>208</v>
      </c>
      <c r="O110" s="47" t="s">
        <v>208</v>
      </c>
      <c r="P110" s="47" t="s">
        <v>208</v>
      </c>
      <c r="Q110" s="20" t="s">
        <v>3</v>
      </c>
      <c r="R110" s="20" t="s">
        <v>12</v>
      </c>
      <c r="S110" s="130" t="s">
        <v>95</v>
      </c>
      <c r="T110" s="47" t="s">
        <v>208</v>
      </c>
      <c r="U110" s="47" t="s">
        <v>208</v>
      </c>
      <c r="V110" s="20" t="s">
        <v>238</v>
      </c>
      <c r="W110" s="20" t="s">
        <v>238</v>
      </c>
      <c r="X110" s="20" t="s">
        <v>238</v>
      </c>
      <c r="Y110" s="20" t="s">
        <v>238</v>
      </c>
      <c r="Z110" s="20" t="s">
        <v>238</v>
      </c>
      <c r="AA110" s="47" t="s">
        <v>238</v>
      </c>
      <c r="AB110" s="47" t="s">
        <v>95</v>
      </c>
      <c r="AC110" s="46" t="s">
        <v>95</v>
      </c>
      <c r="AD110" s="47" t="s">
        <v>208</v>
      </c>
      <c r="AE110" s="46" t="s">
        <v>95</v>
      </c>
      <c r="AF110" s="46" t="s">
        <v>3</v>
      </c>
      <c r="AG110" s="46" t="s">
        <v>3</v>
      </c>
      <c r="AH110" s="47" t="s">
        <v>208</v>
      </c>
      <c r="AI110" s="47" t="s">
        <v>95</v>
      </c>
      <c r="AJ110" s="47" t="s">
        <v>0</v>
      </c>
      <c r="AK110" s="46" t="s">
        <v>95</v>
      </c>
      <c r="AL110" s="47" t="s">
        <v>0</v>
      </c>
      <c r="AM110" s="46" t="s">
        <v>95</v>
      </c>
      <c r="AN110" s="46" t="s">
        <v>95</v>
      </c>
      <c r="AO110" s="47" t="s">
        <v>208</v>
      </c>
      <c r="AP110" s="47" t="s">
        <v>208</v>
      </c>
      <c r="AQ110" s="47" t="s">
        <v>208</v>
      </c>
      <c r="AR110" s="47" t="s">
        <v>208</v>
      </c>
      <c r="AS110" s="47" t="s">
        <v>208</v>
      </c>
      <c r="AT110" s="46" t="s">
        <v>238</v>
      </c>
      <c r="AU110" s="47" t="s">
        <v>238</v>
      </c>
      <c r="AV110" s="47" t="s">
        <v>238</v>
      </c>
      <c r="AW110" s="47" t="s">
        <v>238</v>
      </c>
      <c r="AX110" s="47" t="s">
        <v>238</v>
      </c>
      <c r="AY110" s="47" t="s">
        <v>208</v>
      </c>
      <c r="AZ110" s="46" t="s">
        <v>95</v>
      </c>
      <c r="BA110" s="57" t="s">
        <v>3</v>
      </c>
      <c r="BB110" s="57" t="s">
        <v>3</v>
      </c>
      <c r="BC110" s="47" t="s">
        <v>238</v>
      </c>
      <c r="BD110" s="47" t="s">
        <v>238</v>
      </c>
      <c r="BE110" s="46" t="s">
        <v>95</v>
      </c>
      <c r="BF110" s="260"/>
      <c r="BG110" s="48"/>
      <c r="BH110" s="48"/>
      <c r="BI110" s="48"/>
      <c r="BJ110" s="48"/>
      <c r="BK110" s="48"/>
      <c r="BL110" s="48"/>
      <c r="BM110" s="48"/>
      <c r="BN110" s="58"/>
      <c r="BO110" s="48"/>
      <c r="BP110" s="48"/>
      <c r="BQ110" s="48"/>
      <c r="BR110" s="58"/>
      <c r="BS110" s="48"/>
      <c r="BT110" s="48"/>
      <c r="BU110" s="48"/>
      <c r="BV110" s="58"/>
      <c r="BW110" s="260"/>
      <c r="BX110" s="260"/>
      <c r="BY110" s="48"/>
      <c r="BZ110" s="48"/>
      <c r="CA110" s="48"/>
      <c r="CB110" s="48"/>
      <c r="CC110" s="48"/>
      <c r="CD110" s="48"/>
      <c r="CE110" s="48"/>
      <c r="CF110" s="59"/>
      <c r="CG110" s="58"/>
      <c r="CH110" s="58"/>
      <c r="CI110" s="58"/>
      <c r="CJ110" s="48"/>
      <c r="CK110" s="18"/>
      <c r="CL110" s="18"/>
      <c r="CM110" s="18"/>
      <c r="CN110" s="176"/>
      <c r="CO110" s="89"/>
      <c r="CP110" s="89"/>
      <c r="CQ110" s="89"/>
      <c r="CR110" s="89"/>
      <c r="CS110" s="18"/>
      <c r="CT110" s="18"/>
      <c r="CU110" s="18"/>
      <c r="CV110" s="18"/>
      <c r="CW110" s="18"/>
      <c r="CX110" s="18"/>
      <c r="CY110" s="18"/>
    </row>
    <row r="111" spans="1:103" s="18" customFormat="1" ht="12" customHeight="1" x14ac:dyDescent="0.15">
      <c r="A111" s="76" t="s">
        <v>402</v>
      </c>
      <c r="B111" s="219"/>
      <c r="C111" s="69" t="s">
        <v>2793</v>
      </c>
      <c r="D111" s="69" t="s">
        <v>1604</v>
      </c>
      <c r="E111" s="69" t="s">
        <v>1474</v>
      </c>
      <c r="F111" s="69" t="s">
        <v>1474</v>
      </c>
      <c r="G111" s="128"/>
      <c r="H111" s="128"/>
      <c r="I111" s="69" t="s">
        <v>2545</v>
      </c>
      <c r="J111" s="69" t="s">
        <v>1333</v>
      </c>
      <c r="K111" s="69" t="s">
        <v>712</v>
      </c>
      <c r="L111" s="69" t="s">
        <v>712</v>
      </c>
      <c r="M111" s="69" t="s">
        <v>712</v>
      </c>
      <c r="N111" s="69" t="s">
        <v>3090</v>
      </c>
      <c r="O111" s="69" t="s">
        <v>3090</v>
      </c>
      <c r="P111" s="69" t="s">
        <v>3090</v>
      </c>
      <c r="Q111" s="69" t="s">
        <v>489</v>
      </c>
      <c r="R111" s="69" t="s">
        <v>456</v>
      </c>
      <c r="S111" s="131"/>
      <c r="T111" s="69"/>
      <c r="U111" s="69"/>
      <c r="V111" s="69" t="s">
        <v>560</v>
      </c>
      <c r="W111" s="69" t="s">
        <v>560</v>
      </c>
      <c r="X111" s="69" t="s">
        <v>2269</v>
      </c>
      <c r="Y111" s="69" t="s">
        <v>2269</v>
      </c>
      <c r="Z111" s="69" t="s">
        <v>2269</v>
      </c>
      <c r="AA111" s="69" t="s">
        <v>2468</v>
      </c>
      <c r="AB111" s="69" t="s">
        <v>2337</v>
      </c>
      <c r="AC111" s="69" t="s">
        <v>599</v>
      </c>
      <c r="AD111" s="69" t="s">
        <v>3322</v>
      </c>
      <c r="AE111" s="69"/>
      <c r="AF111" s="69"/>
      <c r="AG111" s="69"/>
      <c r="AH111" s="69" t="s">
        <v>2712</v>
      </c>
      <c r="AI111" s="69" t="s">
        <v>1676</v>
      </c>
      <c r="AJ111" s="69" t="s">
        <v>1733</v>
      </c>
      <c r="AK111" s="69" t="s">
        <v>3555</v>
      </c>
      <c r="AL111" s="69" t="s">
        <v>3569</v>
      </c>
      <c r="AM111" s="69" t="s">
        <v>3590</v>
      </c>
      <c r="AN111" s="69" t="s">
        <v>3555</v>
      </c>
      <c r="AO111" s="69" t="s">
        <v>774</v>
      </c>
      <c r="AP111" s="69" t="s">
        <v>774</v>
      </c>
      <c r="AQ111" s="69" t="s">
        <v>3232</v>
      </c>
      <c r="AR111" s="69" t="s">
        <v>3232</v>
      </c>
      <c r="AS111" s="69" t="s">
        <v>3232</v>
      </c>
      <c r="AT111" s="69" t="s">
        <v>1265</v>
      </c>
      <c r="AU111" s="69" t="s">
        <v>931</v>
      </c>
      <c r="AV111" s="69" t="s">
        <v>931</v>
      </c>
      <c r="AW111" s="69" t="s">
        <v>931</v>
      </c>
      <c r="AX111" s="69" t="s">
        <v>1018</v>
      </c>
      <c r="AY111" s="69" t="s">
        <v>1986</v>
      </c>
      <c r="AZ111" s="69" t="s">
        <v>3480</v>
      </c>
      <c r="BA111" s="69"/>
      <c r="BB111" s="69"/>
      <c r="BC111" s="69" t="s">
        <v>428</v>
      </c>
      <c r="BD111" s="69" t="s">
        <v>428</v>
      </c>
      <c r="BE111" s="69" t="s">
        <v>1516</v>
      </c>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48"/>
      <c r="CD111" s="58"/>
      <c r="CE111" s="58"/>
      <c r="CF111" s="58"/>
      <c r="CG111" s="58"/>
      <c r="CH111" s="58"/>
      <c r="CI111" s="58"/>
      <c r="CJ111" s="58"/>
      <c r="CN111" s="176"/>
    </row>
    <row r="112" spans="1:103" x14ac:dyDescent="0.2">
      <c r="A112" s="25" t="s">
        <v>3691</v>
      </c>
      <c r="B112" s="218"/>
      <c r="C112" s="46" t="s">
        <v>95</v>
      </c>
      <c r="D112" s="46" t="s">
        <v>95</v>
      </c>
      <c r="E112" s="46" t="s">
        <v>95</v>
      </c>
      <c r="F112" s="46" t="s">
        <v>95</v>
      </c>
      <c r="G112" s="117" t="s">
        <v>95</v>
      </c>
      <c r="H112" s="117"/>
      <c r="I112" s="46" t="s">
        <v>95</v>
      </c>
      <c r="J112" s="46" t="s">
        <v>95</v>
      </c>
      <c r="K112" s="46" t="s">
        <v>95</v>
      </c>
      <c r="L112" s="46" t="s">
        <v>95</v>
      </c>
      <c r="M112" s="46" t="s">
        <v>95</v>
      </c>
      <c r="N112" s="46" t="s">
        <v>95</v>
      </c>
      <c r="O112" s="46" t="s">
        <v>95</v>
      </c>
      <c r="P112" s="46" t="s">
        <v>95</v>
      </c>
      <c r="Q112" s="20" t="s">
        <v>95</v>
      </c>
      <c r="R112" s="20" t="s">
        <v>95</v>
      </c>
      <c r="S112" s="130" t="s">
        <v>95</v>
      </c>
      <c r="T112" s="44" t="s">
        <v>95</v>
      </c>
      <c r="U112" s="44" t="s">
        <v>95</v>
      </c>
      <c r="V112" s="20" t="s">
        <v>95</v>
      </c>
      <c r="W112" s="20" t="s">
        <v>95</v>
      </c>
      <c r="X112" s="20" t="s">
        <v>95</v>
      </c>
      <c r="Y112" s="20" t="s">
        <v>95</v>
      </c>
      <c r="Z112" s="20" t="s">
        <v>95</v>
      </c>
      <c r="AA112" s="46" t="s">
        <v>95</v>
      </c>
      <c r="AB112" s="50" t="s">
        <v>95</v>
      </c>
      <c r="AC112" s="46" t="s">
        <v>95</v>
      </c>
      <c r="AD112" s="46" t="s">
        <v>95</v>
      </c>
      <c r="AE112" s="46" t="s">
        <v>95</v>
      </c>
      <c r="AF112" s="46" t="s">
        <v>95</v>
      </c>
      <c r="AG112" s="46" t="s">
        <v>95</v>
      </c>
      <c r="AH112" s="46" t="s">
        <v>95</v>
      </c>
      <c r="AI112" s="46" t="s">
        <v>95</v>
      </c>
      <c r="AJ112" s="46" t="s">
        <v>95</v>
      </c>
      <c r="AK112" s="46" t="s">
        <v>95</v>
      </c>
      <c r="AL112" s="46" t="s">
        <v>3565</v>
      </c>
      <c r="AM112" s="46" t="s">
        <v>95</v>
      </c>
      <c r="AN112" s="46" t="s">
        <v>95</v>
      </c>
      <c r="AO112" s="46" t="s">
        <v>95</v>
      </c>
      <c r="AP112" s="46" t="s">
        <v>95</v>
      </c>
      <c r="AQ112" s="46" t="s">
        <v>95</v>
      </c>
      <c r="AR112" s="46" t="s">
        <v>95</v>
      </c>
      <c r="AS112" s="46" t="s">
        <v>95</v>
      </c>
      <c r="AT112" s="46" t="s">
        <v>95</v>
      </c>
      <c r="AU112" s="46" t="s">
        <v>95</v>
      </c>
      <c r="AV112" s="46" t="s">
        <v>95</v>
      </c>
      <c r="AW112" s="46" t="s">
        <v>95</v>
      </c>
      <c r="AX112" s="46" t="s">
        <v>95</v>
      </c>
      <c r="AY112" s="46" t="s">
        <v>95</v>
      </c>
      <c r="AZ112" s="46" t="s">
        <v>95</v>
      </c>
      <c r="BA112" s="46" t="s">
        <v>95</v>
      </c>
      <c r="BB112" s="46" t="s">
        <v>95</v>
      </c>
      <c r="BC112" s="47" t="s">
        <v>95</v>
      </c>
      <c r="BD112" s="47" t="s">
        <v>95</v>
      </c>
      <c r="BE112" s="46" t="s">
        <v>95</v>
      </c>
    </row>
    <row r="113" spans="1:96" x14ac:dyDescent="0.2">
      <c r="A113" s="76" t="s">
        <v>402</v>
      </c>
      <c r="B113" s="219"/>
      <c r="C113" s="69" t="s">
        <v>2785</v>
      </c>
      <c r="D113" s="69" t="s">
        <v>1591</v>
      </c>
      <c r="E113" s="69" t="s">
        <v>1471</v>
      </c>
      <c r="F113" s="69" t="s">
        <v>1471</v>
      </c>
      <c r="G113" s="128"/>
      <c r="H113" s="128"/>
      <c r="I113" s="69" t="s">
        <v>2550</v>
      </c>
      <c r="J113" s="69" t="s">
        <v>1328</v>
      </c>
      <c r="K113" s="69" t="s">
        <v>707</v>
      </c>
      <c r="L113" s="69" t="s">
        <v>707</v>
      </c>
      <c r="M113" s="69" t="s">
        <v>707</v>
      </c>
      <c r="N113" s="69" t="s">
        <v>3082</v>
      </c>
      <c r="O113" s="69" t="s">
        <v>3082</v>
      </c>
      <c r="P113" s="69" t="s">
        <v>3082</v>
      </c>
      <c r="Q113" s="69" t="s">
        <v>483</v>
      </c>
      <c r="R113" s="69" t="s">
        <v>483</v>
      </c>
      <c r="S113" s="262"/>
      <c r="T113" s="69"/>
      <c r="U113" s="69"/>
      <c r="V113" s="69" t="s">
        <v>556</v>
      </c>
      <c r="W113" s="69" t="s">
        <v>556</v>
      </c>
      <c r="X113" s="69" t="s">
        <v>2263</v>
      </c>
      <c r="Y113" s="69" t="s">
        <v>2263</v>
      </c>
      <c r="Z113" s="69" t="s">
        <v>2263</v>
      </c>
      <c r="AA113" s="69" t="s">
        <v>2462</v>
      </c>
      <c r="AB113" s="69" t="s">
        <v>2142</v>
      </c>
      <c r="AC113" s="69" t="s">
        <v>625</v>
      </c>
      <c r="AD113" s="69" t="s">
        <v>625</v>
      </c>
      <c r="AE113" s="69"/>
      <c r="AF113" s="69"/>
      <c r="AG113" s="69"/>
      <c r="AH113" s="69" t="s">
        <v>2747</v>
      </c>
      <c r="AI113" s="69" t="s">
        <v>1685</v>
      </c>
      <c r="AJ113" s="69" t="s">
        <v>1737</v>
      </c>
      <c r="AK113" s="69" t="s">
        <v>3555</v>
      </c>
      <c r="AL113" s="69" t="s">
        <v>3566</v>
      </c>
      <c r="AM113" s="69" t="s">
        <v>3555</v>
      </c>
      <c r="AN113" s="69" t="s">
        <v>3606</v>
      </c>
      <c r="AO113" s="69" t="s">
        <v>769</v>
      </c>
      <c r="AP113" s="69" t="s">
        <v>769</v>
      </c>
      <c r="AQ113" s="69" t="s">
        <v>3180</v>
      </c>
      <c r="AR113" s="69" t="s">
        <v>3180</v>
      </c>
      <c r="AS113" s="69" t="s">
        <v>3180</v>
      </c>
      <c r="AT113" s="69" t="s">
        <v>707</v>
      </c>
      <c r="AU113" s="69" t="s">
        <v>926</v>
      </c>
      <c r="AV113" s="69" t="s">
        <v>926</v>
      </c>
      <c r="AW113" s="69" t="s">
        <v>926</v>
      </c>
      <c r="AX113" s="69" t="s">
        <v>1023</v>
      </c>
      <c r="AY113" s="69" t="s">
        <v>1976</v>
      </c>
      <c r="AZ113" s="69" t="s">
        <v>3470</v>
      </c>
      <c r="BA113" s="69"/>
      <c r="BB113" s="69"/>
      <c r="BC113" s="69" t="s">
        <v>1204</v>
      </c>
      <c r="BD113" s="69" t="s">
        <v>1204</v>
      </c>
      <c r="BE113" s="69" t="s">
        <v>1512</v>
      </c>
    </row>
    <row r="114" spans="1:96" x14ac:dyDescent="0.2">
      <c r="A114" s="162" t="s">
        <v>3982</v>
      </c>
      <c r="B114" s="218"/>
      <c r="C114" s="183"/>
      <c r="D114" s="183"/>
      <c r="E114" s="183"/>
      <c r="F114" s="183"/>
      <c r="G114" s="183"/>
      <c r="H114" s="183"/>
      <c r="I114" s="183"/>
      <c r="J114" s="183"/>
      <c r="K114" s="194"/>
      <c r="L114" s="185"/>
      <c r="M114" s="194"/>
      <c r="N114" s="195"/>
      <c r="O114" s="195"/>
      <c r="P114" s="194"/>
      <c r="Q114" s="194"/>
      <c r="R114" s="194"/>
      <c r="S114" s="263"/>
      <c r="T114" s="195"/>
      <c r="U114" s="195"/>
      <c r="V114" s="194"/>
      <c r="W114" s="194"/>
      <c r="X114" s="194"/>
      <c r="Y114" s="194"/>
      <c r="Z114" s="194"/>
      <c r="AA114" s="186"/>
      <c r="AB114" s="199"/>
      <c r="AC114" s="186"/>
      <c r="AD114" s="186"/>
      <c r="AE114" s="186"/>
      <c r="AF114" s="186"/>
      <c r="AG114" s="186"/>
      <c r="AH114" s="186"/>
      <c r="AI114" s="186"/>
      <c r="AJ114" s="186"/>
      <c r="AK114" s="186"/>
      <c r="AL114" s="186"/>
      <c r="AM114" s="186"/>
      <c r="AN114" s="186"/>
      <c r="AO114" s="186"/>
      <c r="AP114" s="186"/>
      <c r="AQ114" s="186"/>
      <c r="AR114" s="186"/>
      <c r="AS114" s="186"/>
      <c r="AT114" s="186"/>
      <c r="AU114" s="186"/>
      <c r="AV114" s="186"/>
      <c r="AW114" s="186"/>
      <c r="AX114" s="186"/>
      <c r="AY114" s="186"/>
      <c r="AZ114" s="186"/>
      <c r="BA114" s="186"/>
      <c r="BB114" s="186"/>
      <c r="BC114" s="183"/>
      <c r="BD114" s="183"/>
      <c r="BE114" s="186"/>
    </row>
    <row r="115" spans="1:96" ht="11.25" customHeight="1" x14ac:dyDescent="0.2">
      <c r="A115" s="76" t="s">
        <v>402</v>
      </c>
      <c r="B115" s="219"/>
      <c r="C115" s="69"/>
      <c r="D115" s="69"/>
      <c r="E115" s="69"/>
      <c r="F115" s="69"/>
      <c r="G115" s="69"/>
      <c r="H115" s="69"/>
      <c r="I115" s="69"/>
      <c r="J115" s="69"/>
      <c r="K115" s="69"/>
      <c r="L115" s="131"/>
      <c r="M115" s="69"/>
      <c r="N115" s="69"/>
      <c r="O115" s="69"/>
      <c r="P115" s="69"/>
      <c r="Q115" s="69"/>
      <c r="R115" s="69"/>
      <c r="S115" s="262"/>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row>
    <row r="116" spans="1:96" ht="27" x14ac:dyDescent="0.2">
      <c r="A116" s="25" t="s">
        <v>13</v>
      </c>
      <c r="B116" s="218"/>
      <c r="C116" s="46" t="s">
        <v>3</v>
      </c>
      <c r="D116" s="47" t="s">
        <v>324</v>
      </c>
      <c r="E116" s="46" t="s">
        <v>95</v>
      </c>
      <c r="F116" s="46" t="s">
        <v>95</v>
      </c>
      <c r="G116" s="117" t="s">
        <v>95</v>
      </c>
      <c r="H116" s="117" t="s">
        <v>95</v>
      </c>
      <c r="I116" s="46" t="s">
        <v>95</v>
      </c>
      <c r="J116" s="46" t="s">
        <v>94</v>
      </c>
      <c r="K116" s="46" t="s">
        <v>95</v>
      </c>
      <c r="L116" s="46" t="s">
        <v>95</v>
      </c>
      <c r="M116" s="46" t="s">
        <v>95</v>
      </c>
      <c r="N116" s="47" t="s">
        <v>95</v>
      </c>
      <c r="O116" s="47" t="s">
        <v>95</v>
      </c>
      <c r="P116" s="47" t="s">
        <v>95</v>
      </c>
      <c r="Q116" s="20" t="s">
        <v>95</v>
      </c>
      <c r="R116" s="44" t="s">
        <v>95</v>
      </c>
      <c r="S116" s="265" t="s">
        <v>95</v>
      </c>
      <c r="T116" s="44" t="s">
        <v>95</v>
      </c>
      <c r="U116" s="44" t="s">
        <v>95</v>
      </c>
      <c r="V116" s="20" t="s">
        <v>95</v>
      </c>
      <c r="W116" s="20" t="s">
        <v>95</v>
      </c>
      <c r="X116" s="46" t="s">
        <v>651</v>
      </c>
      <c r="Y116" s="46" t="s">
        <v>651</v>
      </c>
      <c r="Z116" s="46" t="s">
        <v>651</v>
      </c>
      <c r="AA116" s="46" t="s">
        <v>95</v>
      </c>
      <c r="AB116" s="46" t="s">
        <v>651</v>
      </c>
      <c r="AC116" s="47" t="s">
        <v>95</v>
      </c>
      <c r="AD116" s="47" t="s">
        <v>3</v>
      </c>
      <c r="AE116" s="47" t="s">
        <v>95</v>
      </c>
      <c r="AF116" s="47" t="s">
        <v>363</v>
      </c>
      <c r="AG116" s="47" t="s">
        <v>363</v>
      </c>
      <c r="AH116" s="46" t="s">
        <v>95</v>
      </c>
      <c r="AI116" s="46" t="s">
        <v>95</v>
      </c>
      <c r="AJ116" s="46" t="s">
        <v>95</v>
      </c>
      <c r="AK116" s="46"/>
      <c r="AL116" s="46"/>
      <c r="AM116" s="46"/>
      <c r="AN116" s="46"/>
      <c r="AO116" s="46" t="s">
        <v>788</v>
      </c>
      <c r="AP116" s="46" t="s">
        <v>95</v>
      </c>
      <c r="AQ116" s="20" t="s">
        <v>3203</v>
      </c>
      <c r="AR116" s="20" t="s">
        <v>3203</v>
      </c>
      <c r="AS116" s="20" t="s">
        <v>3203</v>
      </c>
      <c r="AT116" s="46" t="s">
        <v>95</v>
      </c>
      <c r="AU116" s="46" t="s">
        <v>95</v>
      </c>
      <c r="AV116" s="46" t="s">
        <v>95</v>
      </c>
      <c r="AW116" s="46" t="s">
        <v>95</v>
      </c>
      <c r="AX116" s="47" t="s">
        <v>95</v>
      </c>
      <c r="AY116" s="46" t="s">
        <v>95</v>
      </c>
      <c r="AZ116" s="46" t="s">
        <v>3457</v>
      </c>
      <c r="BA116" s="46" t="s">
        <v>95</v>
      </c>
      <c r="BB116" s="46" t="s">
        <v>95</v>
      </c>
      <c r="BC116" s="47" t="s">
        <v>95</v>
      </c>
      <c r="BD116" s="47" t="s">
        <v>95</v>
      </c>
      <c r="BE116" s="46" t="s">
        <v>95</v>
      </c>
      <c r="BF116" s="264"/>
      <c r="BG116" s="264"/>
      <c r="BH116" s="264"/>
      <c r="BI116" s="264"/>
      <c r="BJ116" s="264"/>
      <c r="BK116" s="264"/>
      <c r="BL116" s="264"/>
      <c r="BM116" s="264"/>
      <c r="BN116" s="264"/>
      <c r="BO116" s="264"/>
      <c r="BP116" s="264"/>
      <c r="BQ116" s="264"/>
      <c r="BR116" s="264"/>
      <c r="BS116" s="264"/>
      <c r="BT116" s="264"/>
      <c r="BU116" s="264"/>
      <c r="BV116" s="264"/>
      <c r="BW116" s="264"/>
      <c r="BX116" s="264"/>
      <c r="BY116" s="264"/>
      <c r="BZ116" s="264"/>
      <c r="CA116" s="264"/>
      <c r="CB116" s="264"/>
      <c r="CC116" s="264"/>
      <c r="CD116" s="264"/>
      <c r="CE116" s="264"/>
      <c r="CF116" s="264"/>
      <c r="CG116" s="264"/>
      <c r="CH116" s="264"/>
      <c r="CI116" s="264"/>
      <c r="CJ116" s="264"/>
    </row>
    <row r="117" spans="1:96" x14ac:dyDescent="0.2">
      <c r="A117" s="76" t="s">
        <v>402</v>
      </c>
      <c r="B117" s="219"/>
      <c r="C117" s="69" t="s">
        <v>3</v>
      </c>
      <c r="D117" s="69" t="s">
        <v>403</v>
      </c>
      <c r="E117" s="69" t="s">
        <v>403</v>
      </c>
      <c r="F117" s="69" t="s">
        <v>403</v>
      </c>
      <c r="G117" s="128"/>
      <c r="H117" s="128"/>
      <c r="I117" s="69" t="s">
        <v>403</v>
      </c>
      <c r="J117" s="69" t="s">
        <v>1334</v>
      </c>
      <c r="K117" s="69" t="s">
        <v>403</v>
      </c>
      <c r="L117" s="69" t="s">
        <v>403</v>
      </c>
      <c r="M117" s="69" t="s">
        <v>403</v>
      </c>
      <c r="N117" s="69" t="s">
        <v>3082</v>
      </c>
      <c r="O117" s="69" t="s">
        <v>3082</v>
      </c>
      <c r="P117" s="69" t="s">
        <v>3082</v>
      </c>
      <c r="Q117" s="69" t="s">
        <v>403</v>
      </c>
      <c r="R117" s="69" t="s">
        <v>403</v>
      </c>
      <c r="S117" s="131"/>
      <c r="T117" s="69"/>
      <c r="U117" s="69"/>
      <c r="V117" s="69" t="s">
        <v>3</v>
      </c>
      <c r="W117" s="69" t="s">
        <v>3</v>
      </c>
      <c r="X117" s="69" t="s">
        <v>851</v>
      </c>
      <c r="Y117" s="69" t="s">
        <v>851</v>
      </c>
      <c r="Z117" s="69" t="s">
        <v>851</v>
      </c>
      <c r="AA117" s="69" t="s">
        <v>2460</v>
      </c>
      <c r="AB117" s="69" t="s">
        <v>2337</v>
      </c>
      <c r="AC117" s="69" t="s">
        <v>602</v>
      </c>
      <c r="AD117" s="69" t="s">
        <v>3</v>
      </c>
      <c r="AE117" s="69"/>
      <c r="AF117" s="69"/>
      <c r="AG117" s="69"/>
      <c r="AH117" s="69" t="s">
        <v>3</v>
      </c>
      <c r="AI117" s="69" t="s">
        <v>3</v>
      </c>
      <c r="AJ117" s="69" t="s">
        <v>3</v>
      </c>
      <c r="AK117" s="69" t="s">
        <v>3</v>
      </c>
      <c r="AL117" s="69" t="s">
        <v>3</v>
      </c>
      <c r="AM117" s="69" t="s">
        <v>3</v>
      </c>
      <c r="AN117" s="69" t="s">
        <v>3</v>
      </c>
      <c r="AO117" s="69" t="s">
        <v>789</v>
      </c>
      <c r="AP117" s="69" t="s">
        <v>789</v>
      </c>
      <c r="AQ117" s="69" t="s">
        <v>3163</v>
      </c>
      <c r="AR117" s="69" t="s">
        <v>3174</v>
      </c>
      <c r="AS117" s="69" t="s">
        <v>3174</v>
      </c>
      <c r="AT117" s="69" t="s">
        <v>1222</v>
      </c>
      <c r="AU117" s="69" t="s">
        <v>3</v>
      </c>
      <c r="AV117" s="69" t="s">
        <v>3</v>
      </c>
      <c r="AW117" s="69" t="s">
        <v>3</v>
      </c>
      <c r="AX117" s="69" t="s">
        <v>1021</v>
      </c>
      <c r="AY117" s="69" t="s">
        <v>1947</v>
      </c>
      <c r="AZ117" s="69" t="s">
        <v>3468</v>
      </c>
      <c r="BA117" s="69"/>
      <c r="BB117" s="69"/>
      <c r="BC117" s="69" t="s">
        <v>1163</v>
      </c>
      <c r="BD117" s="69" t="s">
        <v>1163</v>
      </c>
      <c r="BE117" s="69" t="s">
        <v>1496</v>
      </c>
      <c r="BF117" s="264"/>
      <c r="BG117" s="264"/>
      <c r="BH117" s="264"/>
      <c r="BI117" s="264"/>
      <c r="BJ117" s="264"/>
      <c r="BK117" s="264"/>
      <c r="BL117" s="264"/>
      <c r="BM117" s="264"/>
      <c r="BN117" s="264"/>
      <c r="BO117" s="264"/>
      <c r="BP117" s="264"/>
      <c r="BQ117" s="264"/>
      <c r="BR117" s="264"/>
      <c r="BS117" s="264"/>
      <c r="BT117" s="264"/>
      <c r="BU117" s="264"/>
      <c r="BV117" s="264"/>
      <c r="BW117" s="264"/>
      <c r="BX117" s="264"/>
      <c r="BY117" s="264"/>
      <c r="BZ117" s="264"/>
      <c r="CA117" s="264"/>
      <c r="CB117" s="264"/>
      <c r="CC117" s="264"/>
      <c r="CD117" s="264"/>
      <c r="CE117" s="264"/>
      <c r="CF117" s="264"/>
      <c r="CG117" s="264"/>
      <c r="CH117" s="264"/>
      <c r="CI117" s="264"/>
      <c r="CJ117" s="264"/>
    </row>
    <row r="118" spans="1:96" s="18" customFormat="1" ht="44.25" customHeight="1" x14ac:dyDescent="0.15">
      <c r="A118" s="25" t="s">
        <v>3659</v>
      </c>
      <c r="B118" s="218"/>
      <c r="C118" s="46" t="s">
        <v>95</v>
      </c>
      <c r="D118" s="46" t="s">
        <v>95</v>
      </c>
      <c r="E118" s="46" t="s">
        <v>95</v>
      </c>
      <c r="F118" s="46" t="s">
        <v>95</v>
      </c>
      <c r="G118" s="117" t="s">
        <v>95</v>
      </c>
      <c r="H118" s="117" t="s">
        <v>95</v>
      </c>
      <c r="I118" s="46" t="s">
        <v>95</v>
      </c>
      <c r="J118" s="46" t="s">
        <v>95</v>
      </c>
      <c r="K118" s="46" t="s">
        <v>3</v>
      </c>
      <c r="L118" s="46" t="s">
        <v>95</v>
      </c>
      <c r="M118" s="46" t="s">
        <v>95</v>
      </c>
      <c r="N118" s="47" t="s">
        <v>2989</v>
      </c>
      <c r="O118" s="47" t="s">
        <v>2989</v>
      </c>
      <c r="P118" s="46" t="s">
        <v>95</v>
      </c>
      <c r="Q118" s="20" t="s">
        <v>95</v>
      </c>
      <c r="R118" s="20" t="s">
        <v>95</v>
      </c>
      <c r="S118" s="130" t="s">
        <v>95</v>
      </c>
      <c r="T118" s="44" t="s">
        <v>95</v>
      </c>
      <c r="U118" s="44" t="s">
        <v>95</v>
      </c>
      <c r="V118" s="20" t="s">
        <v>194</v>
      </c>
      <c r="W118" s="44" t="s">
        <v>95</v>
      </c>
      <c r="X118" s="20" t="s">
        <v>95</v>
      </c>
      <c r="Y118" s="20" t="s">
        <v>3100</v>
      </c>
      <c r="Z118" s="20" t="s">
        <v>3100</v>
      </c>
      <c r="AA118" s="46" t="s">
        <v>95</v>
      </c>
      <c r="AB118" s="50" t="s">
        <v>95</v>
      </c>
      <c r="AC118" s="46" t="s">
        <v>95</v>
      </c>
      <c r="AD118" s="46" t="s">
        <v>95</v>
      </c>
      <c r="AE118" s="46" t="s">
        <v>95</v>
      </c>
      <c r="AF118" s="46" t="s">
        <v>95</v>
      </c>
      <c r="AG118" s="46" t="s">
        <v>95</v>
      </c>
      <c r="AH118" s="46" t="s">
        <v>95</v>
      </c>
      <c r="AI118" s="46" t="s">
        <v>95</v>
      </c>
      <c r="AJ118" s="46" t="s">
        <v>95</v>
      </c>
      <c r="AK118" s="46" t="s">
        <v>95</v>
      </c>
      <c r="AL118" s="46" t="s">
        <v>95</v>
      </c>
      <c r="AM118" s="46" t="s">
        <v>95</v>
      </c>
      <c r="AN118" s="46" t="s">
        <v>95</v>
      </c>
      <c r="AO118" s="46" t="s">
        <v>95</v>
      </c>
      <c r="AP118" s="46" t="s">
        <v>95</v>
      </c>
      <c r="AQ118" s="46" t="s">
        <v>95</v>
      </c>
      <c r="AR118" s="20" t="s">
        <v>3178</v>
      </c>
      <c r="AS118" s="20" t="s">
        <v>3178</v>
      </c>
      <c r="AT118" s="46" t="s">
        <v>95</v>
      </c>
      <c r="AU118" s="46" t="s">
        <v>95</v>
      </c>
      <c r="AV118" s="46" t="s">
        <v>95</v>
      </c>
      <c r="AW118" s="46" t="s">
        <v>95</v>
      </c>
      <c r="AX118" s="46" t="s">
        <v>95</v>
      </c>
      <c r="AY118" s="46" t="s">
        <v>95</v>
      </c>
      <c r="AZ118" s="46" t="s">
        <v>95</v>
      </c>
      <c r="BA118" s="46" t="s">
        <v>95</v>
      </c>
      <c r="BB118" s="46" t="s">
        <v>95</v>
      </c>
      <c r="BC118" s="47" t="s">
        <v>95</v>
      </c>
      <c r="BD118" s="47" t="s">
        <v>95</v>
      </c>
      <c r="BE118" s="46" t="s">
        <v>95</v>
      </c>
      <c r="BF118" s="27"/>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8"/>
      <c r="CD118" s="48"/>
      <c r="CE118" s="48"/>
      <c r="CF118" s="48"/>
      <c r="CG118" s="48"/>
      <c r="CH118" s="58"/>
      <c r="CI118" s="58"/>
      <c r="CJ118" s="48"/>
      <c r="CN118" s="176"/>
      <c r="CO118" s="89"/>
      <c r="CP118" s="89"/>
      <c r="CQ118" s="89"/>
      <c r="CR118" s="89"/>
    </row>
    <row r="119" spans="1:96" s="18" customFormat="1" ht="12" customHeight="1" x14ac:dyDescent="0.15">
      <c r="A119" s="76" t="s">
        <v>402</v>
      </c>
      <c r="B119" s="219"/>
      <c r="C119" s="69" t="s">
        <v>2785</v>
      </c>
      <c r="D119" s="69" t="s">
        <v>1600</v>
      </c>
      <c r="E119" s="69" t="s">
        <v>1471</v>
      </c>
      <c r="F119" s="69" t="s">
        <v>1471</v>
      </c>
      <c r="G119" s="128"/>
      <c r="H119" s="128"/>
      <c r="I119" s="69" t="s">
        <v>2549</v>
      </c>
      <c r="J119" s="69" t="s">
        <v>1329</v>
      </c>
      <c r="K119" s="69" t="s">
        <v>707</v>
      </c>
      <c r="L119" s="69" t="s">
        <v>707</v>
      </c>
      <c r="M119" s="69" t="s">
        <v>707</v>
      </c>
      <c r="N119" s="69" t="s">
        <v>3084</v>
      </c>
      <c r="O119" s="69" t="s">
        <v>3085</v>
      </c>
      <c r="P119" s="69" t="s">
        <v>3082</v>
      </c>
      <c r="Q119" s="69" t="s">
        <v>483</v>
      </c>
      <c r="R119" s="69" t="s">
        <v>483</v>
      </c>
      <c r="S119" s="131"/>
      <c r="T119" s="69"/>
      <c r="U119" s="69"/>
      <c r="V119" s="69" t="s">
        <v>522</v>
      </c>
      <c r="W119" s="69" t="s">
        <v>523</v>
      </c>
      <c r="X119" s="69" t="s">
        <v>2264</v>
      </c>
      <c r="Y119" s="69" t="s">
        <v>3111</v>
      </c>
      <c r="Z119" s="69" t="s">
        <v>3111</v>
      </c>
      <c r="AA119" s="69" t="s">
        <v>2463</v>
      </c>
      <c r="AB119" s="69" t="s">
        <v>2142</v>
      </c>
      <c r="AC119" s="69" t="s">
        <v>624</v>
      </c>
      <c r="AD119" s="69" t="s">
        <v>624</v>
      </c>
      <c r="AE119" s="69"/>
      <c r="AF119" s="69"/>
      <c r="AG119" s="69"/>
      <c r="AH119" s="69" t="s">
        <v>2748</v>
      </c>
      <c r="AI119" s="69" t="s">
        <v>1686</v>
      </c>
      <c r="AJ119" s="69" t="s">
        <v>1737</v>
      </c>
      <c r="AK119" s="69" t="s">
        <v>3555</v>
      </c>
      <c r="AL119" s="69" t="s">
        <v>1737</v>
      </c>
      <c r="AM119" s="69" t="s">
        <v>3555</v>
      </c>
      <c r="AN119" s="69" t="s">
        <v>3608</v>
      </c>
      <c r="AO119" s="69" t="s">
        <v>769</v>
      </c>
      <c r="AP119" s="69" t="s">
        <v>769</v>
      </c>
      <c r="AQ119" s="69" t="s">
        <v>3180</v>
      </c>
      <c r="AR119" s="69" t="s">
        <v>3179</v>
      </c>
      <c r="AS119" s="69" t="s">
        <v>3179</v>
      </c>
      <c r="AT119" s="69" t="s">
        <v>707</v>
      </c>
      <c r="AU119" s="69" t="s">
        <v>926</v>
      </c>
      <c r="AV119" s="69" t="s">
        <v>926</v>
      </c>
      <c r="AW119" s="69" t="s">
        <v>926</v>
      </c>
      <c r="AX119" s="69" t="s">
        <v>1024</v>
      </c>
      <c r="AY119" s="69" t="s">
        <v>1978</v>
      </c>
      <c r="AZ119" s="69" t="s">
        <v>3471</v>
      </c>
      <c r="BA119" s="69"/>
      <c r="BB119" s="69"/>
      <c r="BC119" s="69" t="s">
        <v>1204</v>
      </c>
      <c r="BD119" s="69" t="s">
        <v>1204</v>
      </c>
      <c r="BE119" s="69" t="s">
        <v>1512</v>
      </c>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M119" s="89"/>
      <c r="CN119" s="176"/>
    </row>
    <row r="120" spans="1:96" ht="18" x14ac:dyDescent="0.2">
      <c r="A120" s="25" t="s">
        <v>3977</v>
      </c>
      <c r="B120" s="218"/>
      <c r="C120" s="46" t="s">
        <v>3</v>
      </c>
      <c r="D120" s="46" t="s">
        <v>95</v>
      </c>
      <c r="E120" s="46" t="s">
        <v>95</v>
      </c>
      <c r="F120" s="46" t="s">
        <v>95</v>
      </c>
      <c r="G120" s="117" t="s">
        <v>95</v>
      </c>
      <c r="H120" s="117" t="s">
        <v>95</v>
      </c>
      <c r="I120" s="46" t="s">
        <v>95</v>
      </c>
      <c r="J120" s="46" t="s">
        <v>95</v>
      </c>
      <c r="K120" s="46" t="s">
        <v>94</v>
      </c>
      <c r="L120" s="46" t="s">
        <v>94</v>
      </c>
      <c r="M120" s="46" t="s">
        <v>94</v>
      </c>
      <c r="N120" s="47" t="s">
        <v>2980</v>
      </c>
      <c r="O120" s="47" t="s">
        <v>2980</v>
      </c>
      <c r="P120" s="47" t="s">
        <v>2980</v>
      </c>
      <c r="Q120" s="20" t="s">
        <v>95</v>
      </c>
      <c r="R120" s="20" t="s">
        <v>95</v>
      </c>
      <c r="S120" s="130" t="s">
        <v>95</v>
      </c>
      <c r="T120" s="20" t="s">
        <v>95</v>
      </c>
      <c r="U120" s="20" t="s">
        <v>95</v>
      </c>
      <c r="V120" s="20" t="s">
        <v>94</v>
      </c>
      <c r="W120" s="20" t="s">
        <v>94</v>
      </c>
      <c r="X120" s="20" t="s">
        <v>651</v>
      </c>
      <c r="Y120" s="20" t="s">
        <v>651</v>
      </c>
      <c r="Z120" s="20" t="s">
        <v>651</v>
      </c>
      <c r="AA120" s="46" t="s">
        <v>95</v>
      </c>
      <c r="AB120" s="46" t="s">
        <v>651</v>
      </c>
      <c r="AC120" s="46" t="s">
        <v>95</v>
      </c>
      <c r="AD120" s="46" t="s">
        <v>3</v>
      </c>
      <c r="AE120" s="46" t="s">
        <v>95</v>
      </c>
      <c r="AF120" s="46" t="s">
        <v>3</v>
      </c>
      <c r="AG120" s="46" t="s">
        <v>3</v>
      </c>
      <c r="AH120" s="46" t="s">
        <v>95</v>
      </c>
      <c r="AI120" s="46" t="s">
        <v>95</v>
      </c>
      <c r="AJ120" s="46" t="s">
        <v>95</v>
      </c>
      <c r="AK120" s="46" t="s">
        <v>95</v>
      </c>
      <c r="AL120" s="46" t="s">
        <v>95</v>
      </c>
      <c r="AM120" s="46" t="s">
        <v>95</v>
      </c>
      <c r="AN120" s="46" t="s">
        <v>95</v>
      </c>
      <c r="AO120" s="50" t="s">
        <v>94</v>
      </c>
      <c r="AP120" s="50" t="s">
        <v>94</v>
      </c>
      <c r="AQ120" s="46" t="s">
        <v>94</v>
      </c>
      <c r="AR120" s="46" t="s">
        <v>94</v>
      </c>
      <c r="AS120" s="46" t="s">
        <v>94</v>
      </c>
      <c r="AT120" s="46" t="s">
        <v>94</v>
      </c>
      <c r="AU120" s="46" t="s">
        <v>94</v>
      </c>
      <c r="AV120" s="46" t="s">
        <v>94</v>
      </c>
      <c r="AW120" s="46" t="s">
        <v>94</v>
      </c>
      <c r="AX120" s="46" t="s">
        <v>3</v>
      </c>
      <c r="AY120" s="46" t="s">
        <v>95</v>
      </c>
      <c r="AZ120" s="46" t="s">
        <v>3</v>
      </c>
      <c r="BA120" s="46" t="s">
        <v>94</v>
      </c>
      <c r="BB120" s="46" t="s">
        <v>94</v>
      </c>
      <c r="BC120" s="47" t="s">
        <v>272</v>
      </c>
      <c r="BD120" s="47" t="s">
        <v>272</v>
      </c>
      <c r="BE120" s="46" t="s">
        <v>3</v>
      </c>
      <c r="BF120" s="264"/>
      <c r="BG120" s="264"/>
      <c r="BH120" s="264"/>
      <c r="BI120" s="264"/>
      <c r="BJ120" s="264"/>
      <c r="BK120" s="264"/>
      <c r="BL120" s="264"/>
      <c r="BM120" s="264"/>
      <c r="BN120" s="264"/>
      <c r="BO120" s="264"/>
      <c r="BP120" s="264"/>
      <c r="BQ120" s="264"/>
      <c r="BR120" s="264"/>
      <c r="BS120" s="264"/>
      <c r="BT120" s="264"/>
      <c r="BU120" s="264"/>
      <c r="BV120" s="264"/>
      <c r="BW120" s="264"/>
      <c r="BX120" s="264"/>
      <c r="BY120" s="264"/>
      <c r="BZ120" s="264"/>
      <c r="CA120" s="264"/>
      <c r="CB120" s="264"/>
      <c r="CC120" s="264"/>
      <c r="CD120" s="264"/>
      <c r="CE120" s="264"/>
      <c r="CF120" s="264"/>
      <c r="CG120" s="264"/>
      <c r="CH120" s="264"/>
      <c r="CI120" s="264"/>
      <c r="CJ120" s="264"/>
    </row>
    <row r="121" spans="1:96" ht="18" x14ac:dyDescent="0.2">
      <c r="A121" s="76" t="s">
        <v>402</v>
      </c>
      <c r="B121" s="219"/>
      <c r="C121" s="69" t="s">
        <v>3</v>
      </c>
      <c r="D121" s="69" t="s">
        <v>1591</v>
      </c>
      <c r="E121" s="69" t="s">
        <v>1463</v>
      </c>
      <c r="F121" s="69" t="s">
        <v>1463</v>
      </c>
      <c r="G121" s="128"/>
      <c r="H121" s="128"/>
      <c r="I121" s="69" t="s">
        <v>1737</v>
      </c>
      <c r="J121" s="69" t="s">
        <v>1300</v>
      </c>
      <c r="K121" s="69" t="s">
        <v>403</v>
      </c>
      <c r="L121" s="69" t="s">
        <v>403</v>
      </c>
      <c r="M121" s="69" t="s">
        <v>403</v>
      </c>
      <c r="N121" s="69" t="s">
        <v>3086</v>
      </c>
      <c r="O121" s="69" t="s">
        <v>3086</v>
      </c>
      <c r="P121" s="69" t="s">
        <v>3086</v>
      </c>
      <c r="Q121" s="69" t="s">
        <v>483</v>
      </c>
      <c r="R121" s="69" t="s">
        <v>483</v>
      </c>
      <c r="S121" s="131"/>
      <c r="T121" s="69"/>
      <c r="U121" s="69"/>
      <c r="V121" s="69" t="s">
        <v>561</v>
      </c>
      <c r="W121" s="69" t="s">
        <v>561</v>
      </c>
      <c r="X121" s="69" t="s">
        <v>851</v>
      </c>
      <c r="Y121" s="69" t="s">
        <v>851</v>
      </c>
      <c r="Z121" s="69" t="s">
        <v>851</v>
      </c>
      <c r="AA121" s="69" t="s">
        <v>2464</v>
      </c>
      <c r="AB121" s="69" t="s">
        <v>2365</v>
      </c>
      <c r="AC121" s="69" t="s">
        <v>601</v>
      </c>
      <c r="AD121" s="69" t="s">
        <v>3</v>
      </c>
      <c r="AE121" s="69"/>
      <c r="AF121" s="69"/>
      <c r="AG121" s="69"/>
      <c r="AH121" s="69" t="s">
        <v>2748</v>
      </c>
      <c r="AI121" s="69" t="s">
        <v>1686</v>
      </c>
      <c r="AJ121" s="69" t="s">
        <v>1737</v>
      </c>
      <c r="AK121" s="69" t="s">
        <v>3622</v>
      </c>
      <c r="AL121" s="69" t="s">
        <v>1737</v>
      </c>
      <c r="AM121" s="69" t="s">
        <v>3555</v>
      </c>
      <c r="AN121" s="69" t="s">
        <v>3608</v>
      </c>
      <c r="AO121" s="69" t="s">
        <v>789</v>
      </c>
      <c r="AP121" s="69" t="s">
        <v>789</v>
      </c>
      <c r="AQ121" s="69" t="s">
        <v>405</v>
      </c>
      <c r="AR121" s="69" t="s">
        <v>405</v>
      </c>
      <c r="AS121" s="69" t="s">
        <v>405</v>
      </c>
      <c r="AT121" s="69" t="s">
        <v>405</v>
      </c>
      <c r="AU121" s="69" t="s">
        <v>927</v>
      </c>
      <c r="AV121" s="69" t="s">
        <v>927</v>
      </c>
      <c r="AW121" s="69" t="s">
        <v>927</v>
      </c>
      <c r="AX121" s="69" t="s">
        <v>3</v>
      </c>
      <c r="AY121" s="69" t="s">
        <v>1979</v>
      </c>
      <c r="AZ121" s="69"/>
      <c r="BA121" s="69"/>
      <c r="BB121" s="69"/>
      <c r="BC121" s="69" t="s">
        <v>1163</v>
      </c>
      <c r="BD121" s="69" t="s">
        <v>1163</v>
      </c>
      <c r="BE121" s="69" t="s">
        <v>3</v>
      </c>
      <c r="BF121" s="264"/>
      <c r="BG121" s="264"/>
      <c r="BH121" s="264"/>
      <c r="BI121" s="264"/>
      <c r="BJ121" s="264"/>
      <c r="BK121" s="264"/>
      <c r="BL121" s="264"/>
      <c r="BM121" s="264"/>
      <c r="BN121" s="264"/>
      <c r="BO121" s="264"/>
      <c r="BP121" s="264"/>
      <c r="BQ121" s="264"/>
      <c r="BR121" s="264"/>
      <c r="BS121" s="264"/>
      <c r="BT121" s="264"/>
      <c r="BU121" s="264"/>
      <c r="BV121" s="264"/>
      <c r="BW121" s="264"/>
      <c r="BX121" s="264"/>
      <c r="BY121" s="264"/>
      <c r="BZ121" s="264"/>
      <c r="CA121" s="264"/>
      <c r="CB121" s="264"/>
      <c r="CC121" s="264"/>
      <c r="CD121" s="264"/>
      <c r="CE121" s="264"/>
      <c r="CF121" s="264"/>
      <c r="CG121" s="264"/>
      <c r="CH121" s="264"/>
      <c r="CI121" s="264"/>
      <c r="CJ121" s="264"/>
    </row>
    <row r="122" spans="1:96" ht="18" x14ac:dyDescent="0.2">
      <c r="A122" s="25" t="s">
        <v>78</v>
      </c>
      <c r="B122" s="218"/>
      <c r="C122" s="46" t="s">
        <v>95</v>
      </c>
      <c r="D122" s="46" t="s">
        <v>95</v>
      </c>
      <c r="E122" s="46" t="s">
        <v>95</v>
      </c>
      <c r="F122" s="46" t="s">
        <v>95</v>
      </c>
      <c r="G122" s="117"/>
      <c r="H122" s="117" t="s">
        <v>95</v>
      </c>
      <c r="I122" s="46" t="s">
        <v>95</v>
      </c>
      <c r="J122" s="46" t="s">
        <v>95</v>
      </c>
      <c r="K122" s="47" t="s">
        <v>3</v>
      </c>
      <c r="L122" s="47" t="s">
        <v>3</v>
      </c>
      <c r="M122" s="47" t="s">
        <v>95</v>
      </c>
      <c r="N122" s="47" t="s">
        <v>95</v>
      </c>
      <c r="O122" s="47" t="s">
        <v>95</v>
      </c>
      <c r="P122" s="46" t="s">
        <v>3</v>
      </c>
      <c r="Q122" s="20" t="s">
        <v>3</v>
      </c>
      <c r="R122" s="44" t="s">
        <v>95</v>
      </c>
      <c r="S122" s="130" t="s">
        <v>95</v>
      </c>
      <c r="T122" s="44" t="s">
        <v>95</v>
      </c>
      <c r="U122" s="44" t="s">
        <v>95</v>
      </c>
      <c r="V122" s="20" t="s">
        <v>3</v>
      </c>
      <c r="W122" s="44" t="s">
        <v>95</v>
      </c>
      <c r="X122" s="47" t="s">
        <v>3</v>
      </c>
      <c r="Y122" s="44" t="s">
        <v>2209</v>
      </c>
      <c r="Z122" s="44" t="s">
        <v>2209</v>
      </c>
      <c r="AA122" s="50" t="s">
        <v>387</v>
      </c>
      <c r="AB122" s="50" t="s">
        <v>95</v>
      </c>
      <c r="AC122" s="46" t="s">
        <v>95</v>
      </c>
      <c r="AD122" s="46" t="s">
        <v>3</v>
      </c>
      <c r="AE122" s="46" t="s">
        <v>95</v>
      </c>
      <c r="AF122" s="46" t="s">
        <v>95</v>
      </c>
      <c r="AG122" s="46" t="s">
        <v>95</v>
      </c>
      <c r="AH122" s="46" t="s">
        <v>95</v>
      </c>
      <c r="AI122" s="46" t="s">
        <v>95</v>
      </c>
      <c r="AJ122" s="190" t="s">
        <v>95</v>
      </c>
      <c r="AK122" s="187" t="s">
        <v>1785</v>
      </c>
      <c r="AL122" s="190" t="s">
        <v>95</v>
      </c>
      <c r="AM122" s="187" t="s">
        <v>1785</v>
      </c>
      <c r="AN122" s="187" t="s">
        <v>1785</v>
      </c>
      <c r="AO122" s="202" t="s">
        <v>3</v>
      </c>
      <c r="AP122" s="202" t="s">
        <v>3</v>
      </c>
      <c r="AQ122" s="187" t="s">
        <v>3</v>
      </c>
      <c r="AR122" s="190" t="s">
        <v>95</v>
      </c>
      <c r="AS122" s="190" t="s">
        <v>95</v>
      </c>
      <c r="AT122" s="190" t="s">
        <v>95</v>
      </c>
      <c r="AU122" s="190" t="s">
        <v>3</v>
      </c>
      <c r="AV122" s="190" t="s">
        <v>95</v>
      </c>
      <c r="AW122" s="190" t="s">
        <v>95</v>
      </c>
      <c r="AX122" s="190" t="s">
        <v>95</v>
      </c>
      <c r="AY122" s="190" t="s">
        <v>95</v>
      </c>
      <c r="AZ122" s="190" t="s">
        <v>3</v>
      </c>
      <c r="BA122" s="47" t="s">
        <v>12</v>
      </c>
      <c r="BB122" s="46" t="s">
        <v>95</v>
      </c>
      <c r="BC122" s="187" t="s">
        <v>3</v>
      </c>
      <c r="BD122" s="187" t="s">
        <v>0</v>
      </c>
      <c r="BE122" s="190" t="s">
        <v>95</v>
      </c>
      <c r="BF122" s="264"/>
      <c r="BG122" s="264"/>
      <c r="BH122" s="264"/>
      <c r="BI122" s="264"/>
      <c r="BJ122" s="264"/>
      <c r="BK122" s="264"/>
      <c r="BL122" s="264"/>
      <c r="BM122" s="264"/>
      <c r="BN122" s="264"/>
      <c r="BO122" s="264"/>
      <c r="BP122" s="264"/>
      <c r="BQ122" s="264"/>
      <c r="BR122" s="264"/>
      <c r="BS122" s="264"/>
      <c r="BT122" s="264"/>
      <c r="BU122" s="264"/>
      <c r="BV122" s="264"/>
      <c r="BW122" s="264"/>
      <c r="BX122" s="264"/>
      <c r="BY122" s="264"/>
      <c r="BZ122" s="264"/>
      <c r="CA122" s="264"/>
      <c r="CB122" s="264"/>
      <c r="CC122" s="264"/>
      <c r="CD122" s="264"/>
      <c r="CE122" s="264"/>
      <c r="CF122" s="264"/>
      <c r="CG122" s="264"/>
      <c r="CH122" s="264"/>
      <c r="CI122" s="264"/>
      <c r="CJ122" s="264"/>
    </row>
    <row r="123" spans="1:96" ht="18" x14ac:dyDescent="0.2">
      <c r="A123" s="76" t="s">
        <v>402</v>
      </c>
      <c r="B123" s="219"/>
      <c r="C123" s="69" t="s">
        <v>2785</v>
      </c>
      <c r="D123" s="69" t="s">
        <v>1587</v>
      </c>
      <c r="E123" s="69" t="s">
        <v>1454</v>
      </c>
      <c r="F123" s="69" t="s">
        <v>1430</v>
      </c>
      <c r="G123" s="128"/>
      <c r="H123" s="128"/>
      <c r="I123" s="69" t="s">
        <v>1737</v>
      </c>
      <c r="J123" s="69" t="s">
        <v>1298</v>
      </c>
      <c r="K123" s="69" t="s">
        <v>690</v>
      </c>
      <c r="L123" s="69" t="s">
        <v>690</v>
      </c>
      <c r="M123" s="69" t="s">
        <v>692</v>
      </c>
      <c r="N123" s="69" t="s">
        <v>3026</v>
      </c>
      <c r="O123" s="69" t="s">
        <v>2986</v>
      </c>
      <c r="P123" s="69" t="s">
        <v>3083</v>
      </c>
      <c r="Q123" s="69" t="s">
        <v>484</v>
      </c>
      <c r="R123" s="69" t="s">
        <v>456</v>
      </c>
      <c r="S123" s="131"/>
      <c r="T123" s="69"/>
      <c r="U123" s="69"/>
      <c r="V123" s="69" t="s">
        <v>3</v>
      </c>
      <c r="W123" s="69" t="s">
        <v>2579</v>
      </c>
      <c r="X123" s="69" t="s">
        <v>3141</v>
      </c>
      <c r="Y123" s="69" t="s">
        <v>2241</v>
      </c>
      <c r="Z123" s="69" t="s">
        <v>2241</v>
      </c>
      <c r="AA123" s="69" t="s">
        <v>2432</v>
      </c>
      <c r="AB123" s="69" t="s">
        <v>1498</v>
      </c>
      <c r="AC123" s="69" t="s">
        <v>598</v>
      </c>
      <c r="AD123" s="69" t="s">
        <v>3</v>
      </c>
      <c r="AE123" s="69"/>
      <c r="AF123" s="69"/>
      <c r="AG123" s="69"/>
      <c r="AH123" s="69" t="s">
        <v>2750</v>
      </c>
      <c r="AI123" s="69" t="s">
        <v>1684</v>
      </c>
      <c r="AJ123" s="69" t="s">
        <v>1737</v>
      </c>
      <c r="AK123" s="69" t="s">
        <v>1737</v>
      </c>
      <c r="AL123" s="69" t="s">
        <v>3564</v>
      </c>
      <c r="AM123" s="69" t="s">
        <v>3555</v>
      </c>
      <c r="AN123" s="69" t="s">
        <v>3606</v>
      </c>
      <c r="AO123" s="69" t="s">
        <v>770</v>
      </c>
      <c r="AP123" s="69" t="s">
        <v>770</v>
      </c>
      <c r="AQ123" s="69" t="s">
        <v>3229</v>
      </c>
      <c r="AR123" s="69" t="s">
        <v>3175</v>
      </c>
      <c r="AS123" s="69" t="s">
        <v>3175</v>
      </c>
      <c r="AT123" s="69" t="s">
        <v>1234</v>
      </c>
      <c r="AU123" s="69" t="s">
        <v>3</v>
      </c>
      <c r="AV123" s="69" t="s">
        <v>892</v>
      </c>
      <c r="AW123" s="69" t="s">
        <v>892</v>
      </c>
      <c r="AX123" s="69" t="s">
        <v>1022</v>
      </c>
      <c r="AY123" s="69" t="s">
        <v>1977</v>
      </c>
      <c r="AZ123" s="69"/>
      <c r="BA123" s="69"/>
      <c r="BB123" s="69"/>
      <c r="BC123" s="69" t="s">
        <v>3</v>
      </c>
      <c r="BD123" s="69" t="s">
        <v>1192</v>
      </c>
      <c r="BE123" s="69" t="s">
        <v>1498</v>
      </c>
      <c r="BF123" s="264"/>
      <c r="BG123" s="264"/>
      <c r="BH123" s="264"/>
      <c r="BI123" s="264"/>
      <c r="BJ123" s="264"/>
      <c r="BK123" s="264"/>
      <c r="BL123" s="264"/>
      <c r="BM123" s="264"/>
      <c r="BN123" s="264"/>
      <c r="BO123" s="264"/>
      <c r="BP123" s="264"/>
      <c r="BQ123" s="264"/>
      <c r="BR123" s="264"/>
      <c r="BS123" s="264"/>
      <c r="BT123" s="264"/>
      <c r="BU123" s="264"/>
      <c r="BV123" s="264"/>
      <c r="BW123" s="264"/>
      <c r="BX123" s="264"/>
      <c r="BY123" s="264"/>
      <c r="BZ123" s="264"/>
      <c r="CA123" s="264"/>
      <c r="CB123" s="264"/>
      <c r="CC123" s="264"/>
      <c r="CD123" s="264"/>
      <c r="CE123" s="264"/>
      <c r="CF123" s="264"/>
      <c r="CG123" s="264"/>
      <c r="CH123" s="264"/>
      <c r="CI123" s="264"/>
      <c r="CJ123" s="264"/>
    </row>
    <row r="124" spans="1:96" x14ac:dyDescent="0.2">
      <c r="A124" s="25" t="s">
        <v>3690</v>
      </c>
      <c r="B124" s="218"/>
      <c r="C124" s="46"/>
      <c r="D124" s="46"/>
      <c r="E124" s="46"/>
      <c r="F124" s="46"/>
      <c r="G124" s="117"/>
      <c r="H124" s="117"/>
      <c r="I124" s="46"/>
      <c r="J124" s="46"/>
      <c r="K124" s="47"/>
      <c r="L124" s="47"/>
      <c r="M124" s="47"/>
      <c r="N124" s="47"/>
      <c r="O124" s="47"/>
      <c r="P124" s="46"/>
      <c r="Q124" s="20"/>
      <c r="R124" s="44"/>
      <c r="S124" s="130"/>
      <c r="T124" s="44"/>
      <c r="U124" s="44"/>
      <c r="V124" s="20"/>
      <c r="W124" s="44"/>
      <c r="X124" s="47"/>
      <c r="Y124" s="44"/>
      <c r="Z124" s="44"/>
      <c r="AA124" s="50"/>
      <c r="AB124" s="50"/>
      <c r="AC124" s="46"/>
      <c r="AD124" s="46"/>
      <c r="AE124" s="46"/>
      <c r="AF124" s="46"/>
      <c r="AG124" s="46"/>
      <c r="AH124" s="46"/>
      <c r="AI124" s="46"/>
      <c r="AJ124" s="46"/>
      <c r="AK124" s="47"/>
      <c r="AL124" s="46"/>
      <c r="AM124" s="47"/>
      <c r="AN124" s="47"/>
      <c r="AO124" s="50"/>
      <c r="AP124" s="50"/>
      <c r="AQ124" s="47"/>
      <c r="AR124" s="46"/>
      <c r="AS124" s="46"/>
      <c r="AT124" s="46"/>
      <c r="AU124" s="46"/>
      <c r="AV124" s="46"/>
      <c r="AW124" s="46"/>
      <c r="AX124" s="46"/>
      <c r="AY124" s="46"/>
      <c r="AZ124" s="156"/>
      <c r="BA124" s="47"/>
      <c r="BB124" s="46"/>
      <c r="BC124" s="47"/>
      <c r="BD124" s="47"/>
      <c r="BE124" s="46"/>
    </row>
    <row r="125" spans="1:96" x14ac:dyDescent="0.2">
      <c r="A125" s="76" t="s">
        <v>402</v>
      </c>
      <c r="B125" s="219"/>
      <c r="C125" s="69"/>
      <c r="D125" s="69"/>
      <c r="E125" s="69"/>
      <c r="F125" s="69"/>
      <c r="G125" s="128"/>
      <c r="H125" s="128"/>
      <c r="I125" s="69"/>
      <c r="J125" s="69"/>
      <c r="K125" s="69"/>
      <c r="L125" s="69"/>
      <c r="M125" s="69"/>
      <c r="N125" s="69"/>
      <c r="O125" s="69"/>
      <c r="P125" s="69"/>
      <c r="Q125" s="69"/>
      <c r="R125" s="69"/>
      <c r="S125" s="131"/>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row>
    <row r="126" spans="1:96" x14ac:dyDescent="0.2">
      <c r="A126" s="25" t="s">
        <v>26</v>
      </c>
      <c r="B126" s="218"/>
      <c r="C126" s="46" t="s">
        <v>95</v>
      </c>
      <c r="D126" s="46" t="s">
        <v>95</v>
      </c>
      <c r="E126" s="46" t="s">
        <v>3</v>
      </c>
      <c r="F126" s="46" t="s">
        <v>95</v>
      </c>
      <c r="G126" s="117" t="s">
        <v>95</v>
      </c>
      <c r="H126" s="117" t="s">
        <v>95</v>
      </c>
      <c r="I126" s="46" t="s">
        <v>95</v>
      </c>
      <c r="J126" s="46" t="s">
        <v>95</v>
      </c>
      <c r="K126" s="46" t="s">
        <v>3</v>
      </c>
      <c r="L126" s="46" t="s">
        <v>3</v>
      </c>
      <c r="M126" s="46" t="s">
        <v>2404</v>
      </c>
      <c r="N126" s="46" t="s">
        <v>95</v>
      </c>
      <c r="O126" s="46" t="s">
        <v>95</v>
      </c>
      <c r="P126" s="46" t="s">
        <v>3</v>
      </c>
      <c r="Q126" s="20" t="s">
        <v>95</v>
      </c>
      <c r="R126" s="20" t="s">
        <v>95</v>
      </c>
      <c r="S126" s="130" t="s">
        <v>95</v>
      </c>
      <c r="T126" s="44" t="s">
        <v>3</v>
      </c>
      <c r="U126" s="44" t="s">
        <v>3</v>
      </c>
      <c r="V126" s="20" t="s">
        <v>3</v>
      </c>
      <c r="W126" s="44" t="s">
        <v>95</v>
      </c>
      <c r="X126" s="46" t="s">
        <v>3</v>
      </c>
      <c r="Y126" s="44" t="s">
        <v>2209</v>
      </c>
      <c r="Z126" s="44" t="s">
        <v>2209</v>
      </c>
      <c r="AA126" s="50" t="s">
        <v>95</v>
      </c>
      <c r="AB126" s="50" t="s">
        <v>95</v>
      </c>
      <c r="AC126" s="46" t="s">
        <v>95</v>
      </c>
      <c r="AD126" s="46" t="s">
        <v>3</v>
      </c>
      <c r="AE126" s="46" t="s">
        <v>95</v>
      </c>
      <c r="AF126" s="46" t="s">
        <v>95</v>
      </c>
      <c r="AG126" s="46" t="s">
        <v>95</v>
      </c>
      <c r="AH126" s="46" t="s">
        <v>95</v>
      </c>
      <c r="AI126" s="46" t="s">
        <v>95</v>
      </c>
      <c r="AJ126" s="46" t="s">
        <v>95</v>
      </c>
      <c r="AK126" s="46" t="s">
        <v>3</v>
      </c>
      <c r="AL126" s="46" t="s">
        <v>95</v>
      </c>
      <c r="AM126" s="46" t="s">
        <v>95</v>
      </c>
      <c r="AN126" s="46" t="s">
        <v>95</v>
      </c>
      <c r="AO126" s="50" t="s">
        <v>3</v>
      </c>
      <c r="AP126" s="50" t="s">
        <v>3442</v>
      </c>
      <c r="AQ126" s="47" t="s">
        <v>3</v>
      </c>
      <c r="AR126" s="44" t="s">
        <v>95</v>
      </c>
      <c r="AS126" s="44" t="s">
        <v>95</v>
      </c>
      <c r="AT126" s="46" t="s">
        <v>95</v>
      </c>
      <c r="AU126" s="46" t="s">
        <v>3</v>
      </c>
      <c r="AV126" s="46" t="s">
        <v>95</v>
      </c>
      <c r="AW126" s="46" t="s">
        <v>95</v>
      </c>
      <c r="AX126" s="46" t="s">
        <v>95</v>
      </c>
      <c r="AY126" s="46" t="s">
        <v>95</v>
      </c>
      <c r="AZ126" s="46" t="s">
        <v>95</v>
      </c>
      <c r="BA126" s="57" t="s">
        <v>3</v>
      </c>
      <c r="BB126" s="46" t="s">
        <v>95</v>
      </c>
      <c r="BC126" s="47" t="s">
        <v>3</v>
      </c>
      <c r="BD126" s="47" t="s">
        <v>95</v>
      </c>
      <c r="BE126" s="50" t="s">
        <v>3</v>
      </c>
    </row>
    <row r="127" spans="1:96" ht="18" x14ac:dyDescent="0.2">
      <c r="A127" s="76" t="s">
        <v>402</v>
      </c>
      <c r="B127" s="219"/>
      <c r="C127" s="69" t="s">
        <v>2792</v>
      </c>
      <c r="D127" s="69" t="s">
        <v>3286</v>
      </c>
      <c r="E127" s="69" t="s">
        <v>3</v>
      </c>
      <c r="F127" s="69" t="s">
        <v>1427</v>
      </c>
      <c r="G127" s="128"/>
      <c r="H127" s="128"/>
      <c r="I127" s="69" t="s">
        <v>2544</v>
      </c>
      <c r="J127" s="69" t="s">
        <v>1291</v>
      </c>
      <c r="K127" s="69" t="s">
        <v>3</v>
      </c>
      <c r="L127" s="69" t="s">
        <v>3</v>
      </c>
      <c r="M127" s="69" t="s">
        <v>2403</v>
      </c>
      <c r="N127" s="69" t="s">
        <v>2996</v>
      </c>
      <c r="O127" s="69" t="s">
        <v>3005</v>
      </c>
      <c r="P127" s="69" t="s">
        <v>3</v>
      </c>
      <c r="Q127" s="69" t="s">
        <v>487</v>
      </c>
      <c r="R127" s="69" t="s">
        <v>487</v>
      </c>
      <c r="S127" s="131"/>
      <c r="T127" s="69"/>
      <c r="U127" s="69"/>
      <c r="V127" s="69" t="s">
        <v>3</v>
      </c>
      <c r="W127" s="69" t="s">
        <v>2594</v>
      </c>
      <c r="X127" s="69" t="s">
        <v>3</v>
      </c>
      <c r="Y127" s="69" t="s">
        <v>2240</v>
      </c>
      <c r="Z127" s="69" t="s">
        <v>2240</v>
      </c>
      <c r="AA127" s="69" t="s">
        <v>2430</v>
      </c>
      <c r="AB127" s="69" t="s">
        <v>2337</v>
      </c>
      <c r="AC127" s="69" t="s">
        <v>586</v>
      </c>
      <c r="AD127" s="69" t="s">
        <v>3</v>
      </c>
      <c r="AE127" s="69"/>
      <c r="AF127" s="69"/>
      <c r="AG127" s="69"/>
      <c r="AH127" s="69" t="s">
        <v>2708</v>
      </c>
      <c r="AI127" s="69" t="s">
        <v>1674</v>
      </c>
      <c r="AJ127" s="69" t="s">
        <v>1730</v>
      </c>
      <c r="AK127" s="69" t="s">
        <v>3</v>
      </c>
      <c r="AL127" s="69" t="s">
        <v>1730</v>
      </c>
      <c r="AM127" s="69" t="s">
        <v>3587</v>
      </c>
      <c r="AN127" s="69" t="s">
        <v>3610</v>
      </c>
      <c r="AO127" s="69"/>
      <c r="AP127" s="69" t="s">
        <v>3441</v>
      </c>
      <c r="AQ127" s="69" t="s">
        <v>3</v>
      </c>
      <c r="AR127" s="69" t="s">
        <v>3163</v>
      </c>
      <c r="AS127" s="69" t="s">
        <v>3163</v>
      </c>
      <c r="AT127" s="69" t="s">
        <v>1237</v>
      </c>
      <c r="AU127" s="69" t="s">
        <v>3</v>
      </c>
      <c r="AV127" s="69" t="s">
        <v>891</v>
      </c>
      <c r="AW127" s="69" t="s">
        <v>891</v>
      </c>
      <c r="AX127" s="69" t="s">
        <v>1016</v>
      </c>
      <c r="AY127" s="69" t="s">
        <v>1982</v>
      </c>
      <c r="AZ127" s="69" t="s">
        <v>3474</v>
      </c>
      <c r="BA127" s="69"/>
      <c r="BB127" s="69"/>
      <c r="BC127" s="69" t="s">
        <v>3</v>
      </c>
      <c r="BD127" s="69" t="s">
        <v>1191</v>
      </c>
      <c r="BE127" s="69" t="s">
        <v>3</v>
      </c>
    </row>
    <row r="128" spans="1:96" x14ac:dyDescent="0.2">
      <c r="A128" s="28"/>
      <c r="B128" s="228"/>
      <c r="C128" s="58"/>
      <c r="D128" s="27"/>
      <c r="E128" s="27"/>
      <c r="F128" s="27"/>
      <c r="G128" s="33"/>
      <c r="H128" s="33"/>
      <c r="I128" s="48"/>
      <c r="J128" s="48"/>
      <c r="K128" s="59"/>
      <c r="L128" s="59"/>
      <c r="M128" s="59"/>
      <c r="N128" s="59"/>
      <c r="O128" s="58"/>
      <c r="P128" s="48"/>
      <c r="Q128" s="27"/>
      <c r="R128" s="27"/>
      <c r="S128" s="132"/>
      <c r="T128" s="27"/>
      <c r="U128" s="27"/>
      <c r="V128" s="27"/>
      <c r="W128" s="27"/>
      <c r="X128" s="48"/>
      <c r="Y128" s="27"/>
      <c r="Z128" s="27"/>
      <c r="AA128" s="58"/>
      <c r="AB128" s="58"/>
      <c r="AC128" s="48"/>
      <c r="AD128" s="59"/>
      <c r="AE128" s="59"/>
      <c r="AF128" s="48"/>
      <c r="AG128" s="48"/>
      <c r="AH128" s="48"/>
      <c r="AI128" s="48"/>
      <c r="AJ128" s="58"/>
      <c r="AK128" s="48"/>
      <c r="AL128" s="58"/>
      <c r="AM128" s="48"/>
      <c r="AN128" s="48"/>
      <c r="AO128" s="48"/>
      <c r="AP128" s="48"/>
      <c r="AQ128" s="48"/>
      <c r="AR128" s="27"/>
      <c r="AS128" s="27"/>
      <c r="AT128" s="48"/>
      <c r="AU128" s="48"/>
      <c r="AV128" s="48"/>
      <c r="AW128" s="48"/>
      <c r="AX128" s="48"/>
      <c r="AY128" s="48"/>
      <c r="AZ128" s="48"/>
      <c r="BA128" s="59"/>
      <c r="BB128" s="59"/>
      <c r="BC128" s="59"/>
      <c r="BD128" s="58"/>
      <c r="BE128" s="59"/>
    </row>
    <row r="129" spans="1:57" ht="18" x14ac:dyDescent="0.2">
      <c r="A129" s="90" t="s">
        <v>3660</v>
      </c>
      <c r="B129" s="228"/>
      <c r="C129" s="21"/>
      <c r="D129" s="21"/>
      <c r="E129" s="21"/>
      <c r="F129" s="21"/>
      <c r="G129" s="113"/>
      <c r="H129" s="116"/>
      <c r="I129" s="21"/>
      <c r="J129" s="21"/>
      <c r="K129" s="21"/>
      <c r="L129" s="21"/>
      <c r="M129" s="21"/>
      <c r="N129" s="21"/>
      <c r="O129" s="21"/>
      <c r="P129" s="21"/>
      <c r="Q129" s="21"/>
      <c r="R129" s="21"/>
      <c r="S129" s="132"/>
      <c r="T129" s="21"/>
      <c r="U129" s="21"/>
      <c r="V129" s="21"/>
      <c r="W129" s="21"/>
      <c r="X129" s="21"/>
      <c r="Y129" s="21"/>
      <c r="Z129" s="21"/>
      <c r="AA129" s="58"/>
      <c r="AB129" s="58"/>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8"/>
      <c r="BE129" s="21"/>
    </row>
    <row r="130" spans="1:57" ht="54" x14ac:dyDescent="0.2">
      <c r="A130" s="272" t="s">
        <v>4402</v>
      </c>
      <c r="B130" s="222" t="s">
        <v>3742</v>
      </c>
      <c r="C130" s="46" t="s">
        <v>95</v>
      </c>
      <c r="D130" s="46" t="s">
        <v>95</v>
      </c>
      <c r="E130" s="46" t="s">
        <v>95</v>
      </c>
      <c r="F130" s="46" t="s">
        <v>95</v>
      </c>
      <c r="G130" s="117" t="s">
        <v>95</v>
      </c>
      <c r="H130" s="117" t="s">
        <v>95</v>
      </c>
      <c r="I130" s="47" t="s">
        <v>2523</v>
      </c>
      <c r="J130" s="47" t="s">
        <v>1301</v>
      </c>
      <c r="K130" s="47" t="s">
        <v>375</v>
      </c>
      <c r="L130" s="47" t="s">
        <v>375</v>
      </c>
      <c r="M130" s="47" t="s">
        <v>2405</v>
      </c>
      <c r="N130" s="47" t="s">
        <v>95</v>
      </c>
      <c r="O130" s="47" t="s">
        <v>95</v>
      </c>
      <c r="P130" s="47" t="s">
        <v>95</v>
      </c>
      <c r="Q130" s="20" t="s">
        <v>95</v>
      </c>
      <c r="R130" s="20" t="s">
        <v>95</v>
      </c>
      <c r="S130" s="130" t="s">
        <v>95</v>
      </c>
      <c r="T130" s="44" t="s">
        <v>95</v>
      </c>
      <c r="U130" s="44" t="s">
        <v>95</v>
      </c>
      <c r="V130" s="20" t="s">
        <v>2576</v>
      </c>
      <c r="W130" s="44" t="s">
        <v>95</v>
      </c>
      <c r="X130" s="47" t="s">
        <v>95</v>
      </c>
      <c r="Y130" s="47" t="s">
        <v>95</v>
      </c>
      <c r="Z130" s="47" t="s">
        <v>95</v>
      </c>
      <c r="AA130" s="47" t="s">
        <v>2425</v>
      </c>
      <c r="AB130" s="47" t="s">
        <v>2344</v>
      </c>
      <c r="AC130" s="47" t="s">
        <v>595</v>
      </c>
      <c r="AD130" s="46" t="s">
        <v>95</v>
      </c>
      <c r="AE130" s="46" t="s">
        <v>95</v>
      </c>
      <c r="AF130" s="47" t="s">
        <v>375</v>
      </c>
      <c r="AG130" s="47" t="s">
        <v>375</v>
      </c>
      <c r="AH130" s="47" t="s">
        <v>2698</v>
      </c>
      <c r="AI130" s="47" t="s">
        <v>95</v>
      </c>
      <c r="AJ130" s="47" t="s">
        <v>1275</v>
      </c>
      <c r="AK130" s="47" t="s">
        <v>95</v>
      </c>
      <c r="AL130" s="47" t="s">
        <v>3457</v>
      </c>
      <c r="AM130" s="47" t="s">
        <v>95</v>
      </c>
      <c r="AN130" s="47" t="s">
        <v>95</v>
      </c>
      <c r="AO130" s="46" t="s">
        <v>95</v>
      </c>
      <c r="AP130" s="47" t="s">
        <v>679</v>
      </c>
      <c r="AQ130" s="47" t="s">
        <v>3166</v>
      </c>
      <c r="AR130" s="47" t="s">
        <v>3167</v>
      </c>
      <c r="AS130" s="47" t="s">
        <v>3199</v>
      </c>
      <c r="AT130" s="47" t="s">
        <v>1269</v>
      </c>
      <c r="AU130" s="47" t="s">
        <v>95</v>
      </c>
      <c r="AV130" s="47" t="s">
        <v>935</v>
      </c>
      <c r="AW130" s="47" t="s">
        <v>935</v>
      </c>
      <c r="AX130" s="47" t="s">
        <v>1004</v>
      </c>
      <c r="AY130" s="47" t="s">
        <v>1954</v>
      </c>
      <c r="AZ130" s="46" t="s">
        <v>3452</v>
      </c>
      <c r="BA130" s="47" t="s">
        <v>12</v>
      </c>
      <c r="BB130" s="46" t="s">
        <v>95</v>
      </c>
      <c r="BC130" s="47" t="s">
        <v>3</v>
      </c>
      <c r="BD130" s="47" t="s">
        <v>271</v>
      </c>
      <c r="BE130" s="47" t="s">
        <v>1500</v>
      </c>
    </row>
    <row r="131" spans="1:57" ht="27" x14ac:dyDescent="0.2">
      <c r="A131" s="76" t="s">
        <v>402</v>
      </c>
      <c r="B131" s="219"/>
      <c r="C131" s="69" t="s">
        <v>2794</v>
      </c>
      <c r="D131" s="69" t="s">
        <v>1596</v>
      </c>
      <c r="E131" s="69" t="s">
        <v>1475</v>
      </c>
      <c r="F131" s="69" t="s">
        <v>1476</v>
      </c>
      <c r="G131" s="128"/>
      <c r="H131" s="128"/>
      <c r="I131" s="69" t="s">
        <v>2547</v>
      </c>
      <c r="J131" s="69" t="s">
        <v>1302</v>
      </c>
      <c r="K131" s="69" t="s">
        <v>680</v>
      </c>
      <c r="L131" s="69" t="s">
        <v>680</v>
      </c>
      <c r="M131" s="69" t="s">
        <v>2406</v>
      </c>
      <c r="N131" s="69" t="s">
        <v>3068</v>
      </c>
      <c r="O131" s="69" t="s">
        <v>3068</v>
      </c>
      <c r="P131" s="69" t="s">
        <v>3068</v>
      </c>
      <c r="Q131" s="69" t="s">
        <v>513</v>
      </c>
      <c r="R131" s="69" t="s">
        <v>513</v>
      </c>
      <c r="S131" s="131"/>
      <c r="T131" s="69"/>
      <c r="U131" s="69"/>
      <c r="V131" s="69" t="s">
        <v>2577</v>
      </c>
      <c r="W131" s="69" t="s">
        <v>2577</v>
      </c>
      <c r="X131" s="69" t="s">
        <v>2270</v>
      </c>
      <c r="Y131" s="69" t="s">
        <v>2270</v>
      </c>
      <c r="Z131" s="69" t="s">
        <v>2270</v>
      </c>
      <c r="AA131" s="69" t="s">
        <v>2471</v>
      </c>
      <c r="AB131" s="69" t="s">
        <v>2343</v>
      </c>
      <c r="AC131" s="69" t="s">
        <v>629</v>
      </c>
      <c r="AD131" s="69" t="s">
        <v>630</v>
      </c>
      <c r="AE131" s="69"/>
      <c r="AF131" s="69"/>
      <c r="AG131" s="69"/>
      <c r="AH131" s="69" t="s">
        <v>2739</v>
      </c>
      <c r="AI131" s="69" t="s">
        <v>1678</v>
      </c>
      <c r="AJ131" s="69" t="s">
        <v>1734</v>
      </c>
      <c r="AK131" s="69" t="s">
        <v>3555</v>
      </c>
      <c r="AL131" s="69" t="s">
        <v>3570</v>
      </c>
      <c r="AM131" s="69" t="s">
        <v>1789</v>
      </c>
      <c r="AN131" s="69" t="s">
        <v>1789</v>
      </c>
      <c r="AO131" s="69" t="s">
        <v>775</v>
      </c>
      <c r="AP131" s="69" t="s">
        <v>776</v>
      </c>
      <c r="AQ131" s="69" t="s">
        <v>2332</v>
      </c>
      <c r="AR131" s="69" t="s">
        <v>3165</v>
      </c>
      <c r="AS131" s="69" t="s">
        <v>3165</v>
      </c>
      <c r="AT131" s="69" t="s">
        <v>1267</v>
      </c>
      <c r="AU131" s="69" t="s">
        <v>933</v>
      </c>
      <c r="AV131" s="69" t="s">
        <v>934</v>
      </c>
      <c r="AW131" s="69" t="s">
        <v>934</v>
      </c>
      <c r="AX131" s="69" t="s">
        <v>1026</v>
      </c>
      <c r="AY131" s="69" t="s">
        <v>1956</v>
      </c>
      <c r="AZ131" s="69" t="s">
        <v>3481</v>
      </c>
      <c r="BA131" s="69"/>
      <c r="BB131" s="69"/>
      <c r="BC131" s="69" t="s">
        <v>3</v>
      </c>
      <c r="BD131" s="69" t="s">
        <v>1179</v>
      </c>
      <c r="BE131" s="69" t="s">
        <v>1517</v>
      </c>
    </row>
    <row r="132" spans="1:57" ht="81" x14ac:dyDescent="0.2">
      <c r="A132" s="162" t="s">
        <v>3743</v>
      </c>
      <c r="B132" s="218" t="s">
        <v>3744</v>
      </c>
      <c r="C132" s="183" t="s">
        <v>2808</v>
      </c>
      <c r="D132" s="183" t="s">
        <v>3261</v>
      </c>
      <c r="E132" s="183" t="s">
        <v>1618</v>
      </c>
      <c r="F132" s="183" t="s">
        <v>1619</v>
      </c>
      <c r="G132" s="184" t="s">
        <v>3294</v>
      </c>
      <c r="H132" s="184" t="s">
        <v>3294</v>
      </c>
      <c r="I132" s="183" t="s">
        <v>2524</v>
      </c>
      <c r="J132" s="183" t="s">
        <v>1307</v>
      </c>
      <c r="K132" s="203" t="s">
        <v>3</v>
      </c>
      <c r="L132" s="203" t="s">
        <v>3</v>
      </c>
      <c r="M132" s="183" t="s">
        <v>2396</v>
      </c>
      <c r="N132" s="194" t="s">
        <v>3064</v>
      </c>
      <c r="O132" s="194" t="s">
        <v>3065</v>
      </c>
      <c r="P132" s="194" t="s">
        <v>3063</v>
      </c>
      <c r="Q132" s="194" t="s">
        <v>3</v>
      </c>
      <c r="R132" s="194" t="s">
        <v>95</v>
      </c>
      <c r="S132" s="185" t="s">
        <v>186</v>
      </c>
      <c r="T132" s="194" t="s">
        <v>95</v>
      </c>
      <c r="U132" s="194" t="s">
        <v>95</v>
      </c>
      <c r="V132" s="194" t="s">
        <v>3</v>
      </c>
      <c r="W132" s="194" t="s">
        <v>2584</v>
      </c>
      <c r="X132" s="183" t="s">
        <v>3</v>
      </c>
      <c r="Y132" s="194" t="s">
        <v>3124</v>
      </c>
      <c r="Z132" s="194" t="s">
        <v>3124</v>
      </c>
      <c r="AA132" s="183" t="s">
        <v>2439</v>
      </c>
      <c r="AB132" s="183" t="s">
        <v>2347</v>
      </c>
      <c r="AC132" s="183" t="s">
        <v>2004</v>
      </c>
      <c r="AD132" s="183" t="s">
        <v>808</v>
      </c>
      <c r="AE132" s="183" t="s">
        <v>95</v>
      </c>
      <c r="AF132" s="183" t="s">
        <v>376</v>
      </c>
      <c r="AG132" s="183" t="s">
        <v>376</v>
      </c>
      <c r="AH132" s="183" t="s">
        <v>3</v>
      </c>
      <c r="AI132" s="183" t="s">
        <v>1680</v>
      </c>
      <c r="AJ132" s="183" t="s">
        <v>1736</v>
      </c>
      <c r="AK132" s="183" t="s">
        <v>3</v>
      </c>
      <c r="AL132" s="183" t="s">
        <v>3571</v>
      </c>
      <c r="AM132" s="183" t="s">
        <v>3591</v>
      </c>
      <c r="AN132" s="183" t="s">
        <v>3591</v>
      </c>
      <c r="AO132" s="183" t="s">
        <v>3</v>
      </c>
      <c r="AP132" s="183" t="s">
        <v>3442</v>
      </c>
      <c r="AQ132" s="183" t="s">
        <v>3</v>
      </c>
      <c r="AR132" s="183" t="s">
        <v>3170</v>
      </c>
      <c r="AS132" s="183" t="s">
        <v>3201</v>
      </c>
      <c r="AT132" s="183" t="s">
        <v>1270</v>
      </c>
      <c r="AU132" s="186" t="s">
        <v>3</v>
      </c>
      <c r="AV132" s="186" t="s">
        <v>3</v>
      </c>
      <c r="AW132" s="186" t="s">
        <v>3</v>
      </c>
      <c r="AX132" s="183" t="s">
        <v>1065</v>
      </c>
      <c r="AY132" s="183" t="s">
        <v>2000</v>
      </c>
      <c r="AZ132" s="186" t="s">
        <v>3452</v>
      </c>
      <c r="BA132" s="203" t="s">
        <v>3</v>
      </c>
      <c r="BB132" s="183" t="s">
        <v>12</v>
      </c>
      <c r="BC132" s="183" t="s">
        <v>261</v>
      </c>
      <c r="BD132" s="183" t="s">
        <v>261</v>
      </c>
      <c r="BE132" s="186" t="s">
        <v>3</v>
      </c>
    </row>
    <row r="133" spans="1:57" ht="18" x14ac:dyDescent="0.2">
      <c r="A133" s="76" t="s">
        <v>402</v>
      </c>
      <c r="B133" s="219"/>
      <c r="C133" s="69" t="s">
        <v>2810</v>
      </c>
      <c r="D133" s="69" t="s">
        <v>3258</v>
      </c>
      <c r="E133" s="69" t="s">
        <v>1435</v>
      </c>
      <c r="F133" s="69" t="s">
        <v>1449</v>
      </c>
      <c r="G133" s="128"/>
      <c r="H133" s="128"/>
      <c r="I133" s="69" t="s">
        <v>2547</v>
      </c>
      <c r="J133" s="69" t="s">
        <v>1305</v>
      </c>
      <c r="K133" s="69" t="s">
        <v>685</v>
      </c>
      <c r="L133" s="69" t="s">
        <v>685</v>
      </c>
      <c r="M133" s="69" t="s">
        <v>2409</v>
      </c>
      <c r="N133" s="69" t="s">
        <v>3066</v>
      </c>
      <c r="O133" s="69" t="s">
        <v>3066</v>
      </c>
      <c r="P133" s="69" t="s">
        <v>3066</v>
      </c>
      <c r="Q133" s="69" t="s">
        <v>3</v>
      </c>
      <c r="R133" s="69" t="s">
        <v>456</v>
      </c>
      <c r="S133" s="131"/>
      <c r="T133" s="69"/>
      <c r="U133" s="69"/>
      <c r="V133" s="69" t="s">
        <v>552</v>
      </c>
      <c r="W133" s="69" t="s">
        <v>2583</v>
      </c>
      <c r="X133" s="69" t="s">
        <v>3</v>
      </c>
      <c r="Y133" s="69" t="s">
        <v>3123</v>
      </c>
      <c r="Z133" s="69" t="s">
        <v>3123</v>
      </c>
      <c r="AA133" s="69" t="s">
        <v>2438</v>
      </c>
      <c r="AB133" s="69" t="s">
        <v>2346</v>
      </c>
      <c r="AC133" s="69" t="s">
        <v>2002</v>
      </c>
      <c r="AD133" s="69" t="s">
        <v>809</v>
      </c>
      <c r="AE133" s="69"/>
      <c r="AF133" s="69"/>
      <c r="AG133" s="69"/>
      <c r="AH133" s="69" t="s">
        <v>3</v>
      </c>
      <c r="AI133" s="69" t="s">
        <v>1679</v>
      </c>
      <c r="AJ133" s="69" t="s">
        <v>1819</v>
      </c>
      <c r="AK133" s="69" t="s">
        <v>3</v>
      </c>
      <c r="AL133" s="69" t="s">
        <v>3572</v>
      </c>
      <c r="AM133" s="69" t="s">
        <v>3592</v>
      </c>
      <c r="AN133" s="69" t="s">
        <v>3592</v>
      </c>
      <c r="AO133" s="69" t="s">
        <v>3</v>
      </c>
      <c r="AP133" s="69" t="s">
        <v>3444</v>
      </c>
      <c r="AQ133" s="69" t="s">
        <v>2332</v>
      </c>
      <c r="AR133" s="69" t="s">
        <v>3169</v>
      </c>
      <c r="AS133" s="69" t="s">
        <v>3169</v>
      </c>
      <c r="AT133" s="69" t="s">
        <v>1271</v>
      </c>
      <c r="AU133" s="69" t="s">
        <v>3</v>
      </c>
      <c r="AV133" s="69" t="s">
        <v>3</v>
      </c>
      <c r="AW133" s="69" t="s">
        <v>3</v>
      </c>
      <c r="AX133" s="69" t="s">
        <v>1030</v>
      </c>
      <c r="AY133" s="69" t="s">
        <v>1956</v>
      </c>
      <c r="AZ133" s="69" t="s">
        <v>3499</v>
      </c>
      <c r="BA133" s="69"/>
      <c r="BB133" s="69"/>
      <c r="BC133" s="69" t="s">
        <v>1185</v>
      </c>
      <c r="BD133" s="69" t="s">
        <v>1185</v>
      </c>
      <c r="BE133" s="69" t="s">
        <v>3</v>
      </c>
    </row>
    <row r="134" spans="1:57" ht="18" x14ac:dyDescent="0.2">
      <c r="A134" s="25" t="s">
        <v>3678</v>
      </c>
      <c r="B134" s="218"/>
      <c r="C134" s="47"/>
      <c r="D134" s="47"/>
      <c r="E134" s="47"/>
      <c r="F134" s="47"/>
      <c r="G134" s="117"/>
      <c r="H134" s="117"/>
      <c r="I134" s="47"/>
      <c r="J134" s="47"/>
      <c r="K134" s="57"/>
      <c r="L134" s="57"/>
      <c r="M134" s="47"/>
      <c r="N134" s="20"/>
      <c r="O134" s="20"/>
      <c r="P134" s="20"/>
      <c r="Q134" s="20"/>
      <c r="R134" s="20"/>
      <c r="S134" s="130"/>
      <c r="T134" s="20"/>
      <c r="U134" s="20"/>
      <c r="V134" s="20"/>
      <c r="W134" s="20"/>
      <c r="X134" s="47"/>
      <c r="Y134" s="20"/>
      <c r="Z134" s="20"/>
      <c r="AA134" s="47"/>
      <c r="AB134" s="47"/>
      <c r="AC134" s="47"/>
      <c r="AD134" s="47"/>
      <c r="AE134" s="47"/>
      <c r="AF134" s="47"/>
      <c r="AG134" s="47"/>
      <c r="AH134" s="47"/>
      <c r="AI134" s="47"/>
      <c r="AJ134" s="47"/>
      <c r="AK134" s="47"/>
      <c r="AL134" s="47"/>
      <c r="AM134" s="47"/>
      <c r="AN134" s="47"/>
      <c r="AO134" s="47"/>
      <c r="AP134" s="47"/>
      <c r="AQ134" s="47"/>
      <c r="AR134" s="47"/>
      <c r="AS134" s="47"/>
      <c r="AT134" s="47"/>
      <c r="AU134" s="46"/>
      <c r="AV134" s="46"/>
      <c r="AW134" s="46"/>
      <c r="AX134" s="47"/>
      <c r="AY134" s="47"/>
      <c r="AZ134" s="46"/>
      <c r="BA134" s="57"/>
      <c r="BB134" s="155"/>
      <c r="BC134" s="47"/>
      <c r="BD134" s="47"/>
      <c r="BE134" s="46"/>
    </row>
    <row r="135" spans="1:57" x14ac:dyDescent="0.2">
      <c r="A135" s="76" t="s">
        <v>402</v>
      </c>
      <c r="B135" s="219"/>
      <c r="C135" s="69"/>
      <c r="D135" s="69"/>
      <c r="E135" s="69"/>
      <c r="F135" s="69"/>
      <c r="G135" s="128"/>
      <c r="H135" s="128"/>
      <c r="I135" s="69"/>
      <c r="J135" s="69"/>
      <c r="K135" s="69"/>
      <c r="L135" s="69"/>
      <c r="M135" s="69"/>
      <c r="N135" s="69"/>
      <c r="O135" s="69"/>
      <c r="P135" s="69"/>
      <c r="Q135" s="69"/>
      <c r="R135" s="69"/>
      <c r="S135" s="131"/>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row>
    <row r="136" spans="1:57" x14ac:dyDescent="0.2">
      <c r="A136" s="28"/>
      <c r="B136" s="228"/>
      <c r="C136" s="58"/>
      <c r="D136" s="48"/>
      <c r="E136" s="48"/>
      <c r="F136" s="48"/>
      <c r="G136" s="33"/>
      <c r="H136" s="33"/>
      <c r="I136" s="48"/>
      <c r="J136" s="48"/>
      <c r="K136" s="59"/>
      <c r="L136" s="59"/>
      <c r="M136" s="59"/>
      <c r="N136" s="48"/>
      <c r="O136" s="58"/>
      <c r="P136" s="48"/>
      <c r="Q136" s="27"/>
      <c r="R136" s="27"/>
      <c r="S136" s="132"/>
      <c r="T136" s="27"/>
      <c r="U136" s="27"/>
      <c r="V136" s="27"/>
      <c r="W136" s="27"/>
      <c r="X136" s="58"/>
      <c r="Y136" s="27"/>
      <c r="Z136" s="27"/>
      <c r="AA136" s="58"/>
      <c r="AB136" s="58"/>
      <c r="AC136" s="48"/>
      <c r="AD136" s="48"/>
      <c r="AE136" s="48"/>
      <c r="AF136" s="48"/>
      <c r="AG136" s="48"/>
      <c r="AH136" s="48"/>
      <c r="AI136" s="48"/>
      <c r="AJ136" s="58"/>
      <c r="AK136" s="58"/>
      <c r="AL136" s="58"/>
      <c r="AM136" s="58"/>
      <c r="AN136" s="58"/>
      <c r="AO136" s="58"/>
      <c r="AP136" s="58"/>
      <c r="AQ136" s="58"/>
      <c r="AR136" s="27"/>
      <c r="AS136" s="27"/>
      <c r="AT136" s="48"/>
      <c r="AU136" s="48"/>
      <c r="AV136" s="48"/>
      <c r="AW136" s="48"/>
      <c r="AX136" s="48"/>
      <c r="AY136" s="48"/>
      <c r="AZ136" s="48"/>
      <c r="BA136" s="59"/>
      <c r="BB136" s="58"/>
      <c r="BC136" s="59"/>
      <c r="BD136" s="58"/>
      <c r="BE136" s="59"/>
    </row>
    <row r="137" spans="1:57" ht="18" x14ac:dyDescent="0.2">
      <c r="A137" s="80" t="s">
        <v>3661</v>
      </c>
      <c r="B137" s="228"/>
      <c r="C137" s="21"/>
      <c r="D137" s="21"/>
      <c r="E137" s="21"/>
      <c r="F137" s="21"/>
      <c r="G137" s="113"/>
      <c r="H137" s="116"/>
      <c r="I137" s="21"/>
      <c r="J137" s="21"/>
      <c r="K137" s="21"/>
      <c r="L137" s="21"/>
      <c r="M137" s="21"/>
      <c r="N137" s="21"/>
      <c r="O137" s="21"/>
      <c r="P137" s="21"/>
      <c r="Q137" s="21"/>
      <c r="R137" s="21"/>
      <c r="S137" s="132"/>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8"/>
      <c r="BE137" s="21"/>
    </row>
    <row r="138" spans="1:57" ht="54" x14ac:dyDescent="0.2">
      <c r="A138" s="25" t="s">
        <v>4145</v>
      </c>
      <c r="B138" s="222" t="s">
        <v>3742</v>
      </c>
      <c r="C138" s="47" t="s">
        <v>1275</v>
      </c>
      <c r="D138" s="47" t="s">
        <v>3287</v>
      </c>
      <c r="E138" s="46" t="s">
        <v>3</v>
      </c>
      <c r="F138" s="47" t="s">
        <v>1275</v>
      </c>
      <c r="G138" s="117" t="s">
        <v>95</v>
      </c>
      <c r="H138" s="117" t="s">
        <v>95</v>
      </c>
      <c r="I138" s="47" t="s">
        <v>2525</v>
      </c>
      <c r="J138" s="47" t="s">
        <v>1304</v>
      </c>
      <c r="K138" s="47" t="s">
        <v>3</v>
      </c>
      <c r="L138" s="47" t="s">
        <v>3</v>
      </c>
      <c r="M138" s="47" t="s">
        <v>2408</v>
      </c>
      <c r="N138" s="47" t="s">
        <v>95</v>
      </c>
      <c r="O138" s="47" t="s">
        <v>95</v>
      </c>
      <c r="P138" s="47" t="s">
        <v>95</v>
      </c>
      <c r="Q138" s="20" t="s">
        <v>95</v>
      </c>
      <c r="R138" s="20" t="s">
        <v>95</v>
      </c>
      <c r="S138" s="130" t="s">
        <v>3239</v>
      </c>
      <c r="T138" s="44" t="s">
        <v>95</v>
      </c>
      <c r="U138" s="44" t="s">
        <v>95</v>
      </c>
      <c r="V138" s="20" t="s">
        <v>2157</v>
      </c>
      <c r="W138" s="47" t="s">
        <v>1275</v>
      </c>
      <c r="X138" s="47" t="s">
        <v>1275</v>
      </c>
      <c r="Y138" s="47" t="s">
        <v>1275</v>
      </c>
      <c r="Z138" s="47" t="s">
        <v>1275</v>
      </c>
      <c r="AA138" s="47" t="s">
        <v>2473</v>
      </c>
      <c r="AB138" s="47" t="s">
        <v>2345</v>
      </c>
      <c r="AC138" s="46" t="s">
        <v>95</v>
      </c>
      <c r="AD138" s="46" t="s">
        <v>3</v>
      </c>
      <c r="AE138" s="46" t="s">
        <v>95</v>
      </c>
      <c r="AF138" s="47" t="s">
        <v>376</v>
      </c>
      <c r="AG138" s="47" t="s">
        <v>376</v>
      </c>
      <c r="AH138" s="47" t="s">
        <v>2699</v>
      </c>
      <c r="AI138" s="47" t="s">
        <v>1275</v>
      </c>
      <c r="AJ138" s="47" t="s">
        <v>1275</v>
      </c>
      <c r="AK138" s="47" t="s">
        <v>1275</v>
      </c>
      <c r="AL138" s="47" t="s">
        <v>1275</v>
      </c>
      <c r="AM138" s="47" t="s">
        <v>1275</v>
      </c>
      <c r="AN138" s="47" t="s">
        <v>1275</v>
      </c>
      <c r="AO138" s="46" t="s">
        <v>3</v>
      </c>
      <c r="AP138" s="47" t="s">
        <v>3445</v>
      </c>
      <c r="AQ138" s="47" t="s">
        <v>3</v>
      </c>
      <c r="AR138" s="47" t="s">
        <v>3172</v>
      </c>
      <c r="AS138" s="47" t="s">
        <v>3200</v>
      </c>
      <c r="AT138" s="47" t="s">
        <v>1268</v>
      </c>
      <c r="AU138" s="47" t="s">
        <v>3</v>
      </c>
      <c r="AV138" s="47" t="s">
        <v>186</v>
      </c>
      <c r="AW138" s="47" t="s">
        <v>186</v>
      </c>
      <c r="AX138" s="47" t="s">
        <v>1065</v>
      </c>
      <c r="AY138" s="47" t="s">
        <v>1955</v>
      </c>
      <c r="AZ138" s="46" t="s">
        <v>3452</v>
      </c>
      <c r="BA138" s="47" t="s">
        <v>12</v>
      </c>
      <c r="BB138" s="46" t="s">
        <v>95</v>
      </c>
      <c r="BC138" s="47" t="s">
        <v>3</v>
      </c>
      <c r="BD138" s="47" t="s">
        <v>267</v>
      </c>
      <c r="BE138" s="47" t="s">
        <v>1488</v>
      </c>
    </row>
    <row r="139" spans="1:57" ht="18" x14ac:dyDescent="0.2">
      <c r="A139" s="76" t="s">
        <v>402</v>
      </c>
      <c r="B139" s="219"/>
      <c r="C139" s="69" t="s">
        <v>2794</v>
      </c>
      <c r="D139" s="69" t="s">
        <v>1592</v>
      </c>
      <c r="E139" s="69" t="s">
        <v>3</v>
      </c>
      <c r="F139" s="69" t="s">
        <v>1426</v>
      </c>
      <c r="G139" s="128"/>
      <c r="H139" s="128"/>
      <c r="I139" s="69" t="s">
        <v>2547</v>
      </c>
      <c r="J139" s="69" t="s">
        <v>1303</v>
      </c>
      <c r="K139" s="69" t="s">
        <v>682</v>
      </c>
      <c r="L139" s="69" t="s">
        <v>682</v>
      </c>
      <c r="M139" s="69" t="s">
        <v>2407</v>
      </c>
      <c r="N139" s="69" t="s">
        <v>3069</v>
      </c>
      <c r="O139" s="69" t="s">
        <v>3069</v>
      </c>
      <c r="P139" s="69" t="s">
        <v>3069</v>
      </c>
      <c r="Q139" s="69" t="s">
        <v>513</v>
      </c>
      <c r="R139" s="69" t="s">
        <v>513</v>
      </c>
      <c r="S139" s="131"/>
      <c r="T139" s="69"/>
      <c r="U139" s="69"/>
      <c r="V139" s="69" t="s">
        <v>519</v>
      </c>
      <c r="W139" s="69" t="s">
        <v>519</v>
      </c>
      <c r="X139" s="69" t="s">
        <v>2271</v>
      </c>
      <c r="Y139" s="69" t="s">
        <v>2271</v>
      </c>
      <c r="Z139" s="69" t="s">
        <v>2271</v>
      </c>
      <c r="AA139" s="69" t="s">
        <v>2472</v>
      </c>
      <c r="AB139" s="69" t="s">
        <v>1489</v>
      </c>
      <c r="AC139" s="69" t="s">
        <v>596</v>
      </c>
      <c r="AD139" s="69" t="s">
        <v>3</v>
      </c>
      <c r="AE139" s="69"/>
      <c r="AF139" s="69"/>
      <c r="AG139" s="69"/>
      <c r="AH139" s="69" t="s">
        <v>2740</v>
      </c>
      <c r="AI139" s="69" t="s">
        <v>1681</v>
      </c>
      <c r="AJ139" s="69" t="s">
        <v>1734</v>
      </c>
      <c r="AK139" s="69" t="s">
        <v>3555</v>
      </c>
      <c r="AL139" s="69" t="s">
        <v>1734</v>
      </c>
      <c r="AM139" s="69" t="s">
        <v>1790</v>
      </c>
      <c r="AN139" s="69" t="s">
        <v>1790</v>
      </c>
      <c r="AO139" s="69" t="s">
        <v>3</v>
      </c>
      <c r="AP139" s="69" t="s">
        <v>747</v>
      </c>
      <c r="AQ139" s="69" t="s">
        <v>2332</v>
      </c>
      <c r="AR139" s="69" t="s">
        <v>3168</v>
      </c>
      <c r="AS139" s="69" t="s">
        <v>3168</v>
      </c>
      <c r="AT139" s="69" t="s">
        <v>1224</v>
      </c>
      <c r="AU139" s="69" t="s">
        <v>933</v>
      </c>
      <c r="AV139" s="69" t="s">
        <v>893</v>
      </c>
      <c r="AW139" s="69" t="s">
        <v>893</v>
      </c>
      <c r="AX139" s="69" t="s">
        <v>1029</v>
      </c>
      <c r="AY139" s="69" t="s">
        <v>1956</v>
      </c>
      <c r="AZ139" s="69" t="s">
        <v>3481</v>
      </c>
      <c r="BA139" s="69"/>
      <c r="BB139" s="69"/>
      <c r="BC139" s="69" t="s">
        <v>3</v>
      </c>
      <c r="BD139" s="69" t="s">
        <v>1180</v>
      </c>
      <c r="BE139" s="69" t="s">
        <v>1489</v>
      </c>
    </row>
    <row r="140" spans="1:57" ht="72" x14ac:dyDescent="0.2">
      <c r="A140" s="162" t="s">
        <v>3743</v>
      </c>
      <c r="B140" s="218" t="s">
        <v>3744</v>
      </c>
      <c r="C140" s="47" t="s">
        <v>2809</v>
      </c>
      <c r="D140" s="47" t="s">
        <v>3261</v>
      </c>
      <c r="E140" s="47" t="s">
        <v>1618</v>
      </c>
      <c r="F140" s="47" t="s">
        <v>1619</v>
      </c>
      <c r="G140" s="117" t="s">
        <v>95</v>
      </c>
      <c r="H140" s="117" t="s">
        <v>3294</v>
      </c>
      <c r="I140" s="20" t="s">
        <v>94</v>
      </c>
      <c r="J140" s="47" t="s">
        <v>1307</v>
      </c>
      <c r="K140" s="57" t="s">
        <v>3</v>
      </c>
      <c r="L140" s="57" t="s">
        <v>3</v>
      </c>
      <c r="M140" s="47" t="s">
        <v>2408</v>
      </c>
      <c r="N140" s="20" t="s">
        <v>3064</v>
      </c>
      <c r="O140" s="20" t="s">
        <v>3065</v>
      </c>
      <c r="P140" s="20" t="s">
        <v>3063</v>
      </c>
      <c r="Q140" s="20" t="s">
        <v>3</v>
      </c>
      <c r="R140" s="20" t="s">
        <v>95</v>
      </c>
      <c r="S140" s="130" t="s">
        <v>3239</v>
      </c>
      <c r="T140" s="20" t="s">
        <v>95</v>
      </c>
      <c r="U140" s="20" t="s">
        <v>95</v>
      </c>
      <c r="V140" s="20" t="s">
        <v>3</v>
      </c>
      <c r="W140" s="20" t="s">
        <v>2584</v>
      </c>
      <c r="X140" s="47" t="s">
        <v>3</v>
      </c>
      <c r="Y140" s="20" t="s">
        <v>3124</v>
      </c>
      <c r="Z140" s="20" t="s">
        <v>3124</v>
      </c>
      <c r="AA140" s="47" t="s">
        <v>2439</v>
      </c>
      <c r="AB140" s="47" t="s">
        <v>2349</v>
      </c>
      <c r="AC140" s="47" t="s">
        <v>2004</v>
      </c>
      <c r="AD140" s="46" t="s">
        <v>3</v>
      </c>
      <c r="AE140" s="46" t="s">
        <v>95</v>
      </c>
      <c r="AF140" s="46" t="s">
        <v>0</v>
      </c>
      <c r="AG140" s="46" t="s">
        <v>0</v>
      </c>
      <c r="AH140" s="47" t="s">
        <v>3</v>
      </c>
      <c r="AI140" s="47" t="s">
        <v>1680</v>
      </c>
      <c r="AJ140" s="47" t="s">
        <v>1736</v>
      </c>
      <c r="AK140" s="47" t="s">
        <v>3</v>
      </c>
      <c r="AL140" s="47" t="s">
        <v>3571</v>
      </c>
      <c r="AM140" s="47" t="s">
        <v>1792</v>
      </c>
      <c r="AN140" s="47" t="s">
        <v>1792</v>
      </c>
      <c r="AO140" s="47" t="s">
        <v>3</v>
      </c>
      <c r="AP140" s="47" t="s">
        <v>3447</v>
      </c>
      <c r="AQ140" s="47" t="s">
        <v>3</v>
      </c>
      <c r="AR140" s="47" t="s">
        <v>3173</v>
      </c>
      <c r="AS140" s="47" t="s">
        <v>3202</v>
      </c>
      <c r="AT140" s="47" t="s">
        <v>1270</v>
      </c>
      <c r="AU140" s="46" t="s">
        <v>3</v>
      </c>
      <c r="AV140" s="46" t="s">
        <v>3</v>
      </c>
      <c r="AW140" s="46" t="s">
        <v>3</v>
      </c>
      <c r="AX140" s="46" t="s">
        <v>3</v>
      </c>
      <c r="AY140" s="47" t="s">
        <v>2000</v>
      </c>
      <c r="AZ140" s="47" t="s">
        <v>3498</v>
      </c>
      <c r="BA140" s="57" t="s">
        <v>3</v>
      </c>
      <c r="BB140" s="47" t="s">
        <v>12</v>
      </c>
      <c r="BC140" s="47" t="s">
        <v>261</v>
      </c>
      <c r="BD140" s="47" t="s">
        <v>261</v>
      </c>
      <c r="BE140" s="46" t="s">
        <v>3</v>
      </c>
    </row>
    <row r="141" spans="1:57" ht="18" x14ac:dyDescent="0.2">
      <c r="A141" s="76" t="s">
        <v>402</v>
      </c>
      <c r="B141" s="219"/>
      <c r="C141" s="69" t="s">
        <v>2811</v>
      </c>
      <c r="D141" s="69" t="s">
        <v>3258</v>
      </c>
      <c r="E141" s="69" t="s">
        <v>1436</v>
      </c>
      <c r="F141" s="69" t="s">
        <v>1450</v>
      </c>
      <c r="G141" s="128"/>
      <c r="H141" s="128"/>
      <c r="I141" s="69" t="s">
        <v>2532</v>
      </c>
      <c r="J141" s="69" t="s">
        <v>1306</v>
      </c>
      <c r="K141" s="69" t="s">
        <v>687</v>
      </c>
      <c r="L141" s="69" t="s">
        <v>687</v>
      </c>
      <c r="M141" s="69" t="s">
        <v>2410</v>
      </c>
      <c r="N141" s="69" t="s">
        <v>3066</v>
      </c>
      <c r="O141" s="69" t="s">
        <v>3066</v>
      </c>
      <c r="P141" s="69" t="s">
        <v>3066</v>
      </c>
      <c r="Q141" s="69" t="s">
        <v>3</v>
      </c>
      <c r="R141" s="69" t="s">
        <v>456</v>
      </c>
      <c r="S141" s="131"/>
      <c r="T141" s="69"/>
      <c r="U141" s="69"/>
      <c r="V141" s="69" t="s">
        <v>552</v>
      </c>
      <c r="W141" s="69" t="s">
        <v>2583</v>
      </c>
      <c r="X141" s="69" t="s">
        <v>3</v>
      </c>
      <c r="Y141" s="69" t="s">
        <v>3123</v>
      </c>
      <c r="Z141" s="69" t="s">
        <v>3123</v>
      </c>
      <c r="AA141" s="69" t="s">
        <v>2438</v>
      </c>
      <c r="AB141" s="69" t="s">
        <v>2348</v>
      </c>
      <c r="AC141" s="69" t="s">
        <v>2003</v>
      </c>
      <c r="AD141" s="69" t="s">
        <v>2003</v>
      </c>
      <c r="AE141" s="69"/>
      <c r="AF141" s="69"/>
      <c r="AG141" s="69"/>
      <c r="AH141" s="69" t="s">
        <v>3</v>
      </c>
      <c r="AI141" s="69" t="s">
        <v>1681</v>
      </c>
      <c r="AJ141" s="69" t="s">
        <v>1819</v>
      </c>
      <c r="AK141" s="69" t="s">
        <v>3</v>
      </c>
      <c r="AL141" s="69" t="s">
        <v>3555</v>
      </c>
      <c r="AM141" s="69" t="s">
        <v>1790</v>
      </c>
      <c r="AN141" s="69" t="s">
        <v>3555</v>
      </c>
      <c r="AO141" s="69" t="s">
        <v>3</v>
      </c>
      <c r="AP141" s="69" t="s">
        <v>3446</v>
      </c>
      <c r="AQ141" s="69" t="s">
        <v>2332</v>
      </c>
      <c r="AR141" s="69" t="s">
        <v>3171</v>
      </c>
      <c r="AS141" s="69" t="s">
        <v>3171</v>
      </c>
      <c r="AT141" s="69" t="s">
        <v>1271</v>
      </c>
      <c r="AU141" s="69" t="s">
        <v>3</v>
      </c>
      <c r="AV141" s="69" t="s">
        <v>3</v>
      </c>
      <c r="AW141" s="69" t="s">
        <v>3</v>
      </c>
      <c r="AX141" s="69" t="s">
        <v>3</v>
      </c>
      <c r="AY141" s="69" t="s">
        <v>1956</v>
      </c>
      <c r="AZ141" s="69" t="s">
        <v>3481</v>
      </c>
      <c r="BA141" s="69"/>
      <c r="BB141" s="69"/>
      <c r="BC141" s="69" t="s">
        <v>1185</v>
      </c>
      <c r="BD141" s="69" t="s">
        <v>1185</v>
      </c>
      <c r="BE141" s="69" t="s">
        <v>3</v>
      </c>
    </row>
    <row r="142" spans="1:57" x14ac:dyDescent="0.2">
      <c r="A142" s="28"/>
      <c r="B142" s="228"/>
      <c r="C142" s="48"/>
      <c r="D142" s="48"/>
      <c r="E142" s="48"/>
      <c r="F142" s="48"/>
      <c r="G142" s="113"/>
      <c r="H142" s="116"/>
      <c r="I142" s="48"/>
      <c r="J142" s="48"/>
      <c r="K142" s="82"/>
      <c r="L142" s="82"/>
      <c r="M142" s="82"/>
      <c r="N142" s="48"/>
      <c r="O142" s="48"/>
      <c r="P142" s="48"/>
      <c r="Q142" s="48"/>
      <c r="R142" s="48"/>
      <c r="S142" s="132"/>
      <c r="T142" s="48"/>
      <c r="U142" s="48"/>
      <c r="V142" s="48"/>
      <c r="W142" s="48"/>
      <c r="X142" s="58"/>
      <c r="Y142" s="48"/>
      <c r="Z142" s="48"/>
      <c r="AA142" s="58"/>
      <c r="AB142" s="58"/>
      <c r="AC142" s="48"/>
      <c r="AD142" s="48"/>
      <c r="AE142" s="48"/>
      <c r="AF142" s="48"/>
      <c r="AG142" s="48"/>
      <c r="AH142" s="48"/>
      <c r="AI142" s="48"/>
      <c r="AJ142" s="58"/>
      <c r="AK142" s="58"/>
      <c r="AL142" s="58"/>
      <c r="AM142" s="58"/>
      <c r="AN142" s="58"/>
      <c r="AO142" s="58"/>
      <c r="AP142" s="58"/>
      <c r="AQ142" s="58"/>
      <c r="AR142" s="48"/>
      <c r="AS142" s="48"/>
      <c r="AT142" s="48"/>
      <c r="AU142" s="48"/>
      <c r="AV142" s="48"/>
      <c r="AW142" s="48"/>
      <c r="AX142" s="48"/>
      <c r="AY142" s="48"/>
      <c r="AZ142" s="48"/>
      <c r="BA142" s="82"/>
      <c r="BB142" s="58"/>
      <c r="BC142" s="82"/>
      <c r="BE142" s="82"/>
    </row>
    <row r="143" spans="1:57" ht="18" x14ac:dyDescent="0.2">
      <c r="A143" s="75" t="s">
        <v>3656</v>
      </c>
      <c r="B143" s="224"/>
      <c r="C143" s="45" t="str">
        <f>C89</f>
        <v>A.; Ziff. 2.1 (3) a)</v>
      </c>
      <c r="D143" s="45" t="str">
        <f>D89</f>
        <v>VGB; II.; A.; Ziff. 3.4 a) bb)</v>
      </c>
      <c r="E143" s="45" t="str">
        <f>E89</f>
        <v>VGB; B.; Ziff. 3.4.1</v>
      </c>
      <c r="F143" s="126" t="str">
        <f>F89</f>
        <v>VGB; B.; Ziff. 3.4.1</v>
      </c>
      <c r="G143" s="53" t="s">
        <v>3310</v>
      </c>
      <c r="H143" s="53" t="s">
        <v>3311</v>
      </c>
      <c r="I143" s="127" t="str">
        <f t="shared" ref="I143:P143" si="11">I89</f>
        <v>VGB; A; §3, Ziff. 4 a) bb)</v>
      </c>
      <c r="J143" s="45" t="str">
        <f t="shared" si="11"/>
        <v>VGB; §6, Ziff. 3 a)</v>
      </c>
      <c r="K143" s="45" t="str">
        <f t="shared" si="11"/>
        <v>VGB; A; § 3, Ziff. 4.1 b)</v>
      </c>
      <c r="L143" s="45" t="str">
        <f t="shared" si="11"/>
        <v>VGB; A; § 3, Ziff. 4.1 b)</v>
      </c>
      <c r="M143" s="45" t="str">
        <f t="shared" si="11"/>
        <v>VGB; A; § 3, Ziff. 4.1 b)</v>
      </c>
      <c r="N143" s="45" t="str">
        <f t="shared" si="11"/>
        <v>VGB; A; §3; Ziff. 4 a) bb)</v>
      </c>
      <c r="O143" s="45" t="str">
        <f t="shared" si="11"/>
        <v>VGB; A; §3; Ziff. 4 a) bb)</v>
      </c>
      <c r="P143" s="45" t="str">
        <f t="shared" si="11"/>
        <v>VGB; A; §3; Ziff. 4 a) bb)</v>
      </c>
      <c r="Q143" s="245" t="str">
        <f>Q89</f>
        <v>VGB; B1; § 3, Ziff. 4 a) bb)</v>
      </c>
      <c r="R143" s="245" t="str">
        <f>R89</f>
        <v>VGB; B1; § 3, Ziff. 4 a) bb)</v>
      </c>
      <c r="S143" s="129" t="s">
        <v>3312</v>
      </c>
      <c r="T143" s="245">
        <f t="shared" ref="T143:AB143" si="12">T89</f>
        <v>0</v>
      </c>
      <c r="U143" s="245">
        <f t="shared" si="12"/>
        <v>0</v>
      </c>
      <c r="V143" s="245" t="str">
        <f t="shared" si="12"/>
        <v>VGB; Ziff. 6.3.3</v>
      </c>
      <c r="W143" s="245" t="str">
        <f t="shared" si="12"/>
        <v>VGB; Ziff. 6.3.3</v>
      </c>
      <c r="X143" s="245" t="str">
        <f t="shared" si="12"/>
        <v>WEZ; A.; §3; Ziff. 4 a) bb)</v>
      </c>
      <c r="Y143" s="245" t="str">
        <f t="shared" si="12"/>
        <v>WEZ; A.; §3; Ziff. 4 a) bb)</v>
      </c>
      <c r="Z143" s="245" t="str">
        <f t="shared" si="12"/>
        <v>WEZ; A.; §3; Ziff. 4 a) bb)</v>
      </c>
      <c r="AA143" s="245" t="str">
        <f t="shared" si="12"/>
        <v>GB 3300; §6, Ziff. 3 a)</v>
      </c>
      <c r="AB143" s="245" t="str">
        <f t="shared" si="12"/>
        <v>VGB; §3, Ziff. 4 a) bb)</v>
      </c>
      <c r="AC143" s="245" t="str">
        <f>AC89</f>
        <v>VHB; § 6; Ziff. 3 a)</v>
      </c>
      <c r="AD143" s="245" t="str">
        <f>AD89</f>
        <v>VHB; § 6; Ziff. 3 a)</v>
      </c>
      <c r="AE143" s="245">
        <f>AE89</f>
        <v>0</v>
      </c>
      <c r="AF143" s="245">
        <f>AF89</f>
        <v>0</v>
      </c>
      <c r="AG143" s="245">
        <f>AG89</f>
        <v>0</v>
      </c>
      <c r="AH143" s="245" t="str">
        <f>AH1</f>
        <v>InterRisk XL</v>
      </c>
      <c r="AI143" s="245" t="str">
        <f>AI1</f>
        <v>InterRisk XXL</v>
      </c>
      <c r="AJ143" s="245" t="str">
        <f>AJ1</f>
        <v>ITL afm Eurosecure 2009</v>
      </c>
      <c r="AK143" s="245" t="s">
        <v>3552</v>
      </c>
      <c r="AL143" s="245" t="s">
        <v>3551</v>
      </c>
      <c r="AM143" s="245" t="s">
        <v>3550</v>
      </c>
      <c r="AN143" s="245" t="s">
        <v>3549</v>
      </c>
      <c r="AO143" s="245" t="str">
        <f>AO89</f>
        <v>VGB; B; § 3, Ziff. 4 a) bb)</v>
      </c>
      <c r="AP143" s="245" t="str">
        <f>AP89</f>
        <v>VGB; B; § 3, Ziff. 4 a) bb)</v>
      </c>
      <c r="AQ143" s="245" t="str">
        <f t="shared" ref="AQ143:AZ143" si="13">AQ1</f>
        <v>Medien-Versicherung Klassik (qm)</v>
      </c>
      <c r="AR143" s="245" t="str">
        <f t="shared" si="13"/>
        <v>Medien-Versicherung Premium (qm)</v>
      </c>
      <c r="AS143" s="245" t="str">
        <f t="shared" si="13"/>
        <v>Medien-Versicherung Top (qm)</v>
      </c>
      <c r="AT143" s="245" t="str">
        <f t="shared" si="13"/>
        <v>Nürnberger KomplettSchutz (Wert 1914)</v>
      </c>
      <c r="AU143" s="245" t="str">
        <f t="shared" si="13"/>
        <v>Provinzial Kompaktschutz</v>
      </c>
      <c r="AV143" s="245" t="str">
        <f t="shared" si="13"/>
        <v>Provinzial Rundum inkl. Plus</v>
      </c>
      <c r="AW143" s="245" t="str">
        <f t="shared" si="13"/>
        <v>Provinzial Rundumschutz</v>
      </c>
      <c r="AX143" s="245" t="str">
        <f t="shared" si="13"/>
        <v>R+V PrivatPolice (Fläche)</v>
      </c>
      <c r="AY143" s="245" t="str">
        <f t="shared" si="13"/>
        <v>VdVA</v>
      </c>
      <c r="AZ143" s="245" t="str">
        <f t="shared" si="13"/>
        <v>VGH Spezial</v>
      </c>
      <c r="BA143" s="245">
        <f>BA89</f>
        <v>0</v>
      </c>
      <c r="BB143" s="245">
        <f>BB89</f>
        <v>0</v>
      </c>
      <c r="BC143" s="245" t="str">
        <f>BC1</f>
        <v>VKB Kompakt</v>
      </c>
      <c r="BD143" s="245" t="str">
        <f>BD1</f>
        <v>VKB Optimal</v>
      </c>
      <c r="BE143" s="245" t="str">
        <f>BE1</f>
        <v>WÜBA Plus</v>
      </c>
    </row>
    <row r="144" spans="1:57" ht="18" x14ac:dyDescent="0.2">
      <c r="A144" s="25" t="s">
        <v>3657</v>
      </c>
      <c r="B144" s="218"/>
      <c r="C144" s="47"/>
      <c r="D144" s="47"/>
      <c r="E144" s="46"/>
      <c r="F144" s="47"/>
      <c r="G144" s="117"/>
      <c r="H144" s="117"/>
      <c r="I144" s="46"/>
      <c r="J144" s="46"/>
      <c r="K144" s="46"/>
      <c r="L144" s="46"/>
      <c r="M144" s="47"/>
      <c r="N144" s="47"/>
      <c r="O144" s="47"/>
      <c r="P144" s="44"/>
      <c r="Q144" s="44"/>
      <c r="R144" s="44"/>
      <c r="S144" s="44"/>
      <c r="T144" s="43"/>
      <c r="U144" s="43"/>
      <c r="V144" s="20"/>
      <c r="W144" s="20"/>
      <c r="X144" s="46"/>
      <c r="Y144" s="46"/>
      <c r="Z144" s="46"/>
      <c r="AA144" s="46"/>
      <c r="AB144" s="46"/>
      <c r="AC144" s="47"/>
      <c r="AD144" s="47"/>
      <c r="AE144" s="47"/>
      <c r="AF144" s="47"/>
      <c r="AG144" s="47"/>
      <c r="AH144" s="46"/>
      <c r="AI144" s="46"/>
      <c r="AJ144" s="47" t="s">
        <v>3745</v>
      </c>
      <c r="AK144" s="46"/>
      <c r="AL144" s="47"/>
      <c r="AM144" s="47"/>
      <c r="AN144" s="47"/>
      <c r="AO144" s="46"/>
      <c r="AP144" s="46"/>
      <c r="AQ144" s="20"/>
      <c r="AR144" s="20"/>
      <c r="AS144" s="20"/>
      <c r="AT144" s="46"/>
      <c r="AU144" s="46"/>
      <c r="AV144" s="46"/>
      <c r="AW144" s="46"/>
      <c r="AX144" s="47"/>
      <c r="AY144" s="46"/>
      <c r="AZ144" s="46"/>
      <c r="BA144" s="46"/>
      <c r="BB144" s="47"/>
      <c r="BC144" s="47"/>
      <c r="BD144" s="47"/>
      <c r="BE144" s="46"/>
    </row>
    <row r="145" spans="1:90" x14ac:dyDescent="0.2">
      <c r="A145" s="76" t="s">
        <v>402</v>
      </c>
      <c r="B145" s="219"/>
      <c r="C145" s="69"/>
      <c r="D145" s="69"/>
      <c r="E145" s="69"/>
      <c r="F145" s="69"/>
      <c r="G145" s="128"/>
      <c r="H145" s="128"/>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t="s">
        <v>1819</v>
      </c>
      <c r="AK145" s="69"/>
      <c r="AL145" s="69"/>
      <c r="AM145" s="69"/>
      <c r="AN145" s="69"/>
      <c r="AO145" s="69"/>
      <c r="AP145" s="69"/>
      <c r="AQ145" s="69"/>
      <c r="AR145" s="69"/>
      <c r="AS145" s="69"/>
      <c r="AT145" s="69"/>
      <c r="AU145" s="69"/>
      <c r="AV145" s="69"/>
      <c r="AW145" s="69"/>
      <c r="AX145" s="69"/>
      <c r="AY145" s="69"/>
      <c r="AZ145" s="69"/>
      <c r="BA145" s="69"/>
      <c r="BB145" s="69"/>
      <c r="BC145" s="69"/>
      <c r="BD145" s="69"/>
      <c r="BE145" s="69"/>
    </row>
    <row r="146" spans="1:90" ht="27" x14ac:dyDescent="0.2">
      <c r="A146" s="25" t="s">
        <v>3679</v>
      </c>
      <c r="B146" s="218"/>
      <c r="C146" s="47"/>
      <c r="D146" s="47"/>
      <c r="E146" s="46"/>
      <c r="F146" s="47"/>
      <c r="G146" s="117"/>
      <c r="H146" s="117"/>
      <c r="I146" s="46"/>
      <c r="J146" s="46"/>
      <c r="K146" s="46"/>
      <c r="L146" s="46"/>
      <c r="M146" s="47"/>
      <c r="N146" s="47"/>
      <c r="O146" s="47"/>
      <c r="P146" s="44"/>
      <c r="Q146" s="44"/>
      <c r="R146" s="44"/>
      <c r="S146" s="44"/>
      <c r="T146" s="43"/>
      <c r="U146" s="43"/>
      <c r="V146" s="20"/>
      <c r="W146" s="20"/>
      <c r="X146" s="46"/>
      <c r="Y146" s="46"/>
      <c r="Z146" s="46"/>
      <c r="AA146" s="46"/>
      <c r="AB146" s="46"/>
      <c r="AC146" s="47"/>
      <c r="AD146" s="47"/>
      <c r="AE146" s="47"/>
      <c r="AF146" s="47"/>
      <c r="AG146" s="47"/>
      <c r="AH146" s="46"/>
      <c r="AI146" s="46"/>
      <c r="AJ146" s="46"/>
      <c r="AK146" s="46"/>
      <c r="AL146" s="47"/>
      <c r="AM146" s="47"/>
      <c r="AN146" s="47"/>
      <c r="AO146" s="46"/>
      <c r="AP146" s="46"/>
      <c r="AQ146" s="20"/>
      <c r="AR146" s="20"/>
      <c r="AS146" s="20"/>
      <c r="AT146" s="46"/>
      <c r="AU146" s="46"/>
      <c r="AV146" s="46"/>
      <c r="AW146" s="46"/>
      <c r="AX146" s="47"/>
      <c r="AY146" s="46"/>
      <c r="AZ146" s="46"/>
      <c r="BA146" s="46"/>
      <c r="BB146" s="47"/>
      <c r="BC146" s="47"/>
      <c r="BD146" s="47"/>
      <c r="BE146" s="46"/>
    </row>
    <row r="147" spans="1:90" s="167" customFormat="1" x14ac:dyDescent="0.2">
      <c r="A147" s="76" t="s">
        <v>402</v>
      </c>
      <c r="B147" s="219"/>
      <c r="C147" s="69"/>
      <c r="D147" s="69"/>
      <c r="E147" s="69"/>
      <c r="F147" s="69"/>
      <c r="G147" s="128"/>
      <c r="H147" s="128"/>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row>
    <row r="148" spans="1:90" x14ac:dyDescent="0.2">
      <c r="A148" s="28"/>
      <c r="B148" s="228"/>
      <c r="C148" s="48"/>
      <c r="D148" s="48"/>
      <c r="E148" s="48"/>
      <c r="F148" s="48"/>
      <c r="G148" s="113"/>
      <c r="H148" s="116"/>
      <c r="I148" s="48"/>
      <c r="J148" s="48"/>
      <c r="K148" s="82"/>
      <c r="L148" s="82"/>
      <c r="M148" s="82"/>
      <c r="N148" s="48"/>
      <c r="O148" s="48"/>
      <c r="P148" s="48"/>
      <c r="Q148" s="48"/>
      <c r="R148" s="48"/>
      <c r="S148" s="132"/>
      <c r="T148" s="48"/>
      <c r="U148" s="48"/>
      <c r="V148" s="48"/>
      <c r="W148" s="48"/>
      <c r="X148" s="58"/>
      <c r="Y148" s="48"/>
      <c r="Z148" s="48"/>
      <c r="AA148" s="58"/>
      <c r="AB148" s="58"/>
      <c r="AC148" s="48"/>
      <c r="AD148" s="48"/>
      <c r="AE148" s="48"/>
      <c r="AF148" s="48"/>
      <c r="AG148" s="48"/>
      <c r="AH148" s="48"/>
      <c r="AI148" s="48"/>
      <c r="AJ148" s="58"/>
      <c r="AK148" s="58"/>
      <c r="AL148" s="58"/>
      <c r="AM148" s="58"/>
      <c r="AN148" s="58"/>
      <c r="AO148" s="58"/>
      <c r="AP148" s="58"/>
      <c r="AQ148" s="58"/>
      <c r="AR148" s="48"/>
      <c r="AS148" s="48"/>
      <c r="AT148" s="48"/>
      <c r="AU148" s="48"/>
      <c r="AV148" s="48"/>
      <c r="AW148" s="48"/>
      <c r="AX148" s="48"/>
      <c r="AY148" s="48"/>
      <c r="AZ148" s="48"/>
      <c r="BA148" s="82"/>
      <c r="BB148" s="58"/>
      <c r="BC148" s="82"/>
      <c r="BE148" s="82"/>
    </row>
    <row r="149" spans="1:90" ht="18" x14ac:dyDescent="0.2">
      <c r="A149" s="75" t="s">
        <v>3641</v>
      </c>
      <c r="B149" s="224"/>
      <c r="C149" s="45" t="str">
        <f>C49</f>
        <v>Allianz inkl. SicherheitPlus</v>
      </c>
      <c r="D149" s="45" t="str">
        <f>D49</f>
        <v>Alte Leipziger comfort</v>
      </c>
      <c r="E149" s="45" t="str">
        <f>E49</f>
        <v>ARAG Basis (Wohnfläche)</v>
      </c>
      <c r="F149" s="126" t="str">
        <f>F49</f>
        <v>ARAG Comfort (Wohnfläche)</v>
      </c>
      <c r="G149" s="243" t="s">
        <v>3310</v>
      </c>
      <c r="H149" s="243" t="s">
        <v>3311</v>
      </c>
      <c r="I149" s="249" t="str">
        <f t="shared" ref="I149:P149" si="14">I49</f>
        <v>Baden Badener TOP (WF)</v>
      </c>
      <c r="J149" s="245" t="str">
        <f t="shared" si="14"/>
        <v>Basler Ambiente Top</v>
      </c>
      <c r="K149" s="245" t="str">
        <f t="shared" si="14"/>
        <v>Debeka Basis</v>
      </c>
      <c r="L149" s="245" t="str">
        <f t="shared" si="14"/>
        <v>Debeka Standard</v>
      </c>
      <c r="M149" s="245" t="str">
        <f t="shared" si="14"/>
        <v>Debeka Top</v>
      </c>
      <c r="N149" s="245" t="str">
        <f t="shared" si="14"/>
        <v>die Bayerische Komfort</v>
      </c>
      <c r="O149" s="245" t="str">
        <f t="shared" si="14"/>
        <v>die Bayerische Prestige</v>
      </c>
      <c r="P149" s="245" t="str">
        <f t="shared" si="14"/>
        <v>die Bayerische Smart</v>
      </c>
      <c r="Q149" s="245" t="str">
        <f>Q49</f>
        <v>Domcura Komfort</v>
      </c>
      <c r="R149" s="245" t="str">
        <f>R49</f>
        <v>Domcura Top</v>
      </c>
      <c r="S149" s="129" t="s">
        <v>3312</v>
      </c>
      <c r="T149" s="245" t="str">
        <f t="shared" ref="T149:AB149" si="15">T49</f>
        <v>ERGO</v>
      </c>
      <c r="U149" s="245" t="str">
        <f t="shared" si="15"/>
        <v>ERGO spezial</v>
      </c>
      <c r="V149" s="245" t="str">
        <f t="shared" si="15"/>
        <v>Generali Basis (qm)</v>
      </c>
      <c r="W149" s="245" t="str">
        <f t="shared" si="15"/>
        <v>Generali KomfortPlus (qm)</v>
      </c>
      <c r="X149" s="245" t="str">
        <f t="shared" si="15"/>
        <v>Gothaer (qm)</v>
      </c>
      <c r="Y149" s="245" t="str">
        <f t="shared" si="15"/>
        <v>Gothaer Top (qm)</v>
      </c>
      <c r="Z149" s="245" t="str">
        <f t="shared" si="15"/>
        <v>Gothaer Top Plus (qm)</v>
      </c>
      <c r="AA149" s="245" t="str">
        <f t="shared" si="15"/>
        <v>HDI Privatschutz (Wohnfläche)</v>
      </c>
      <c r="AB149" s="245" t="str">
        <f t="shared" si="15"/>
        <v>Helvetia Komfort</v>
      </c>
      <c r="AC149" s="245" t="str">
        <f t="shared" ref="AC149:AJ149" si="16">AC49</f>
        <v>HFK afm mit Zusatzdeckung</v>
      </c>
      <c r="AD149" s="245" t="str">
        <f t="shared" si="16"/>
        <v>HFK afm ohne Zusatzdeckung</v>
      </c>
      <c r="AE149" s="245" t="str">
        <f t="shared" si="16"/>
        <v>Hiscox Haus &amp; Kunst</v>
      </c>
      <c r="AF149" s="245" t="str">
        <f t="shared" si="16"/>
        <v>HUK Classic</v>
      </c>
      <c r="AG149" s="245" t="str">
        <f t="shared" si="16"/>
        <v>HUK Plus</v>
      </c>
      <c r="AH149" s="245" t="str">
        <f t="shared" si="16"/>
        <v>InterRisk XL</v>
      </c>
      <c r="AI149" s="245" t="str">
        <f t="shared" si="16"/>
        <v>InterRisk XXL</v>
      </c>
      <c r="AJ149" s="245" t="str">
        <f t="shared" si="16"/>
        <v>ITL afm Eurosecure 2009</v>
      </c>
      <c r="AK149" s="245" t="s">
        <v>3552</v>
      </c>
      <c r="AL149" s="245" t="s">
        <v>3551</v>
      </c>
      <c r="AM149" s="245" t="s">
        <v>3550</v>
      </c>
      <c r="AN149" s="245" t="s">
        <v>3549</v>
      </c>
      <c r="AO149" s="245" t="str">
        <f>AO49</f>
        <v>Itzehoer Basis</v>
      </c>
      <c r="AP149" s="245" t="str">
        <f>AP49</f>
        <v>Itzehoer Plus</v>
      </c>
      <c r="AQ149" s="245" t="str">
        <f>AQ1</f>
        <v>Medien-Versicherung Klassik (qm)</v>
      </c>
      <c r="AR149" s="245" t="str">
        <f>AR1</f>
        <v>Medien-Versicherung Premium (qm)</v>
      </c>
      <c r="AS149" s="245" t="str">
        <f>AS1</f>
        <v>Medien-Versicherung Top (qm)</v>
      </c>
      <c r="AT149" s="245" t="str">
        <f t="shared" ref="AT149:BE149" si="17">AT49</f>
        <v>Nürnberger KomplettSchutz (Wert 1914)</v>
      </c>
      <c r="AU149" s="245" t="str">
        <f t="shared" si="17"/>
        <v>Provinzial Kompaktschutz</v>
      </c>
      <c r="AV149" s="245" t="str">
        <f t="shared" si="17"/>
        <v>Provinzial Rundum inkl. Plus</v>
      </c>
      <c r="AW149" s="245" t="str">
        <f t="shared" si="17"/>
        <v>Provinzial Rundumschutz</v>
      </c>
      <c r="AX149" s="245" t="str">
        <f t="shared" si="17"/>
        <v>R+V PrivatPolice (Fläche)</v>
      </c>
      <c r="AY149" s="245" t="str">
        <f t="shared" si="17"/>
        <v>VdVA</v>
      </c>
      <c r="AZ149" s="245" t="str">
        <f t="shared" si="17"/>
        <v>VGH- Spezial</v>
      </c>
      <c r="BA149" s="245" t="str">
        <f t="shared" si="17"/>
        <v>VHV Klassik Garant</v>
      </c>
      <c r="BB149" s="245" t="str">
        <f t="shared" si="17"/>
        <v>VHV Klassik Garant Exklusiv</v>
      </c>
      <c r="BC149" s="245" t="str">
        <f t="shared" si="17"/>
        <v>VKB Kompakt</v>
      </c>
      <c r="BD149" s="245" t="str">
        <f t="shared" si="17"/>
        <v>VKB Optimal</v>
      </c>
      <c r="BE149" s="245" t="str">
        <f t="shared" si="17"/>
        <v>WÜBA Plus</v>
      </c>
    </row>
    <row r="150" spans="1:90" ht="18" x14ac:dyDescent="0.2">
      <c r="A150" s="25" t="s">
        <v>2815</v>
      </c>
      <c r="B150" s="218" t="s">
        <v>3730</v>
      </c>
      <c r="C150" s="46" t="s">
        <v>2757</v>
      </c>
      <c r="D150" s="46" t="s">
        <v>3</v>
      </c>
      <c r="E150" s="46" t="s">
        <v>3</v>
      </c>
      <c r="F150" s="46" t="s">
        <v>3</v>
      </c>
      <c r="G150" s="117" t="s">
        <v>3239</v>
      </c>
      <c r="H150" s="117" t="s">
        <v>3239</v>
      </c>
      <c r="I150" s="46" t="s">
        <v>3</v>
      </c>
      <c r="J150" s="47" t="s">
        <v>3</v>
      </c>
      <c r="K150" s="46" t="s">
        <v>3</v>
      </c>
      <c r="L150" s="46" t="s">
        <v>3</v>
      </c>
      <c r="M150" s="46" t="s">
        <v>3</v>
      </c>
      <c r="N150" s="47" t="s">
        <v>3</v>
      </c>
      <c r="O150" s="47" t="s">
        <v>3</v>
      </c>
      <c r="P150" s="47" t="s">
        <v>3</v>
      </c>
      <c r="Q150" s="20" t="s">
        <v>3</v>
      </c>
      <c r="R150" s="20" t="s">
        <v>14</v>
      </c>
      <c r="S150" s="130" t="s">
        <v>231</v>
      </c>
      <c r="T150" s="20" t="s">
        <v>3</v>
      </c>
      <c r="U150" s="20" t="s">
        <v>3</v>
      </c>
      <c r="V150" s="20" t="s">
        <v>3</v>
      </c>
      <c r="W150" s="20" t="s">
        <v>3</v>
      </c>
      <c r="X150" s="20" t="s">
        <v>3</v>
      </c>
      <c r="Y150" s="20" t="s">
        <v>3</v>
      </c>
      <c r="Z150" s="20" t="s">
        <v>3121</v>
      </c>
      <c r="AA150" s="47" t="s">
        <v>3</v>
      </c>
      <c r="AB150" s="47" t="s">
        <v>3</v>
      </c>
      <c r="AC150" s="47" t="s">
        <v>580</v>
      </c>
      <c r="AD150" s="57" t="s">
        <v>3</v>
      </c>
      <c r="AE150" s="46" t="s">
        <v>95</v>
      </c>
      <c r="AF150" s="47" t="s">
        <v>364</v>
      </c>
      <c r="AG150" s="47" t="s">
        <v>364</v>
      </c>
      <c r="AH150" s="47" t="s">
        <v>3</v>
      </c>
      <c r="AI150" s="47" t="s">
        <v>1672</v>
      </c>
      <c r="AJ150" s="47" t="s">
        <v>14</v>
      </c>
      <c r="AK150" s="47" t="s">
        <v>3</v>
      </c>
      <c r="AL150" s="47" t="s">
        <v>3562</v>
      </c>
      <c r="AM150" s="47" t="s">
        <v>3562</v>
      </c>
      <c r="AN150" s="47" t="s">
        <v>3604</v>
      </c>
      <c r="AO150" s="47" t="s">
        <v>3</v>
      </c>
      <c r="AP150" s="47" t="s">
        <v>3</v>
      </c>
      <c r="AQ150" s="20" t="s">
        <v>3</v>
      </c>
      <c r="AR150" s="20" t="s">
        <v>3196</v>
      </c>
      <c r="AS150" s="20" t="s">
        <v>3</v>
      </c>
      <c r="AT150" s="46" t="s">
        <v>3</v>
      </c>
      <c r="AU150" s="46" t="s">
        <v>3</v>
      </c>
      <c r="AV150" s="46" t="s">
        <v>131</v>
      </c>
      <c r="AW150" s="46" t="s">
        <v>131</v>
      </c>
      <c r="AX150" s="46" t="s">
        <v>14</v>
      </c>
      <c r="AY150" s="46" t="s">
        <v>3</v>
      </c>
      <c r="AZ150" s="47" t="s">
        <v>364</v>
      </c>
      <c r="BA150" s="46" t="s">
        <v>3</v>
      </c>
      <c r="BB150" s="46" t="s">
        <v>1</v>
      </c>
      <c r="BC150" s="57" t="s">
        <v>3</v>
      </c>
      <c r="BD150" s="47" t="s">
        <v>263</v>
      </c>
      <c r="BE150" s="46" t="s">
        <v>3</v>
      </c>
    </row>
    <row r="151" spans="1:90" x14ac:dyDescent="0.2">
      <c r="A151" s="76" t="s">
        <v>402</v>
      </c>
      <c r="B151" s="219"/>
      <c r="C151" s="69" t="s">
        <v>2787</v>
      </c>
      <c r="D151" s="69" t="s">
        <v>3</v>
      </c>
      <c r="E151" s="69" t="s">
        <v>3</v>
      </c>
      <c r="F151" s="69" t="s">
        <v>3</v>
      </c>
      <c r="G151" s="128"/>
      <c r="H151" s="128"/>
      <c r="I151" s="69" t="s">
        <v>3</v>
      </c>
      <c r="J151" s="69" t="s">
        <v>1642</v>
      </c>
      <c r="K151" s="69" t="s">
        <v>3</v>
      </c>
      <c r="L151" s="69" t="s">
        <v>3</v>
      </c>
      <c r="M151" s="69" t="s">
        <v>3</v>
      </c>
      <c r="N151" s="69" t="s">
        <v>3</v>
      </c>
      <c r="O151" s="69" t="s">
        <v>3</v>
      </c>
      <c r="P151" s="69" t="s">
        <v>3</v>
      </c>
      <c r="Q151" s="69" t="s">
        <v>3</v>
      </c>
      <c r="R151" s="69" t="s">
        <v>455</v>
      </c>
      <c r="S151" s="131"/>
      <c r="T151" s="69"/>
      <c r="U151" s="69"/>
      <c r="V151" s="69" t="s">
        <v>3</v>
      </c>
      <c r="W151" s="69" t="s">
        <v>3</v>
      </c>
      <c r="X151" s="69" t="s">
        <v>3</v>
      </c>
      <c r="Y151" s="69" t="s">
        <v>3</v>
      </c>
      <c r="Z151" s="69" t="s">
        <v>2222</v>
      </c>
      <c r="AA151" s="69" t="s">
        <v>3</v>
      </c>
      <c r="AB151" s="69" t="s">
        <v>3</v>
      </c>
      <c r="AC151" s="69" t="s">
        <v>579</v>
      </c>
      <c r="AD151" s="69" t="s">
        <v>3</v>
      </c>
      <c r="AE151" s="69"/>
      <c r="AF151" s="69"/>
      <c r="AG151" s="69"/>
      <c r="AH151" s="69" t="s">
        <v>3</v>
      </c>
      <c r="AI151" s="69" t="s">
        <v>1671</v>
      </c>
      <c r="AJ151" s="69" t="s">
        <v>1782</v>
      </c>
      <c r="AK151" s="69" t="s">
        <v>3</v>
      </c>
      <c r="AL151" s="69" t="s">
        <v>3555</v>
      </c>
      <c r="AM151" s="69" t="s">
        <v>3555</v>
      </c>
      <c r="AN151" s="69" t="s">
        <v>3555</v>
      </c>
      <c r="AO151" s="69" t="s">
        <v>3</v>
      </c>
      <c r="AP151" s="69" t="s">
        <v>3</v>
      </c>
      <c r="AQ151" s="69" t="s">
        <v>3</v>
      </c>
      <c r="AR151" s="69" t="s">
        <v>3012</v>
      </c>
      <c r="AS151" s="69" t="s">
        <v>3</v>
      </c>
      <c r="AT151" s="69" t="s">
        <v>3</v>
      </c>
      <c r="AU151" s="69" t="s">
        <v>3</v>
      </c>
      <c r="AV151" s="69" t="s">
        <v>890</v>
      </c>
      <c r="AW151" s="69" t="s">
        <v>890</v>
      </c>
      <c r="AX151" s="96" t="s">
        <v>1051</v>
      </c>
      <c r="AY151" s="96" t="s">
        <v>3</v>
      </c>
      <c r="AZ151" s="69" t="s">
        <v>3467</v>
      </c>
      <c r="BA151" s="69"/>
      <c r="BB151" s="69"/>
      <c r="BC151" s="69" t="s">
        <v>3</v>
      </c>
      <c r="BD151" s="69" t="s">
        <v>1169</v>
      </c>
      <c r="BE151" s="69" t="s">
        <v>3</v>
      </c>
    </row>
    <row r="152" spans="1:90" ht="27" x14ac:dyDescent="0.2">
      <c r="A152" s="25" t="s">
        <v>3677</v>
      </c>
      <c r="B152" s="218"/>
      <c r="C152" s="47" t="s">
        <v>95</v>
      </c>
      <c r="D152" s="47" t="s">
        <v>12</v>
      </c>
      <c r="E152" s="47" t="s">
        <v>95</v>
      </c>
      <c r="F152" s="62" t="s">
        <v>95</v>
      </c>
      <c r="G152" s="117" t="s">
        <v>3297</v>
      </c>
      <c r="H152" s="117" t="s">
        <v>105</v>
      </c>
      <c r="I152" s="121" t="s">
        <v>95</v>
      </c>
      <c r="J152" s="47" t="s">
        <v>12</v>
      </c>
      <c r="K152" s="46" t="s">
        <v>3</v>
      </c>
      <c r="L152" s="46" t="s">
        <v>3</v>
      </c>
      <c r="M152" s="46" t="s">
        <v>2398</v>
      </c>
      <c r="N152" s="47" t="s">
        <v>95</v>
      </c>
      <c r="O152" s="47" t="s">
        <v>95</v>
      </c>
      <c r="P152" s="47" t="s">
        <v>3</v>
      </c>
      <c r="Q152" s="20" t="s">
        <v>0</v>
      </c>
      <c r="R152" s="44" t="s">
        <v>12</v>
      </c>
      <c r="S152" s="130" t="s">
        <v>95</v>
      </c>
      <c r="T152" s="43" t="s">
        <v>3507</v>
      </c>
      <c r="U152" s="43" t="s">
        <v>3507</v>
      </c>
      <c r="V152" s="20" t="s">
        <v>3</v>
      </c>
      <c r="W152" s="44" t="s">
        <v>95</v>
      </c>
      <c r="X152" s="47" t="s">
        <v>3</v>
      </c>
      <c r="Y152" s="43" t="s">
        <v>2209</v>
      </c>
      <c r="Z152" s="43" t="s">
        <v>2209</v>
      </c>
      <c r="AA152" s="47" t="s">
        <v>2433</v>
      </c>
      <c r="AB152" s="47" t="s">
        <v>2351</v>
      </c>
      <c r="AC152" s="47" t="s">
        <v>95</v>
      </c>
      <c r="AD152" s="47" t="s">
        <v>3</v>
      </c>
      <c r="AE152" s="47" t="s">
        <v>95</v>
      </c>
      <c r="AF152" s="46" t="s">
        <v>3</v>
      </c>
      <c r="AG152" s="46" t="s">
        <v>95</v>
      </c>
      <c r="AH152" s="46" t="s">
        <v>186</v>
      </c>
      <c r="AI152" s="46" t="s">
        <v>95</v>
      </c>
      <c r="AJ152" s="47" t="s">
        <v>0</v>
      </c>
      <c r="AK152" s="47" t="s">
        <v>3</v>
      </c>
      <c r="AL152" s="47" t="s">
        <v>0</v>
      </c>
      <c r="AM152" s="47" t="s">
        <v>95</v>
      </c>
      <c r="AN152" s="47" t="s">
        <v>95</v>
      </c>
      <c r="AO152" s="47" t="s">
        <v>3</v>
      </c>
      <c r="AP152" s="47" t="s">
        <v>787</v>
      </c>
      <c r="AQ152" s="47" t="s">
        <v>3</v>
      </c>
      <c r="AR152" s="43" t="s">
        <v>3149</v>
      </c>
      <c r="AS152" s="43" t="s">
        <v>0</v>
      </c>
      <c r="AT152" s="47" t="s">
        <v>95</v>
      </c>
      <c r="AU152" s="46" t="s">
        <v>3</v>
      </c>
      <c r="AV152" s="46" t="s">
        <v>95</v>
      </c>
      <c r="AW152" s="46" t="s">
        <v>3</v>
      </c>
      <c r="AX152" s="47" t="s">
        <v>95</v>
      </c>
      <c r="AY152" s="47" t="s">
        <v>95</v>
      </c>
      <c r="AZ152" s="47" t="s">
        <v>95</v>
      </c>
      <c r="BA152" s="46" t="s">
        <v>3</v>
      </c>
      <c r="BB152" s="47" t="s">
        <v>115</v>
      </c>
      <c r="BC152" s="46" t="s">
        <v>3</v>
      </c>
      <c r="BD152" s="47" t="s">
        <v>16</v>
      </c>
      <c r="BE152" s="46" t="s">
        <v>1</v>
      </c>
    </row>
    <row r="153" spans="1:90" ht="18" x14ac:dyDescent="0.2">
      <c r="A153" s="76" t="s">
        <v>402</v>
      </c>
      <c r="B153" s="219"/>
      <c r="C153" s="69" t="s">
        <v>2786</v>
      </c>
      <c r="D153" s="69" t="s">
        <v>3276</v>
      </c>
      <c r="E153" s="69" t="s">
        <v>1623</v>
      </c>
      <c r="F153" s="106" t="s">
        <v>1432</v>
      </c>
      <c r="G153" s="128"/>
      <c r="H153" s="128"/>
      <c r="I153" s="107" t="s">
        <v>2557</v>
      </c>
      <c r="J153" s="69" t="s">
        <v>1286</v>
      </c>
      <c r="K153" s="69" t="s">
        <v>669</v>
      </c>
      <c r="L153" s="69" t="s">
        <v>669</v>
      </c>
      <c r="M153" s="69" t="s">
        <v>2397</v>
      </c>
      <c r="N153" s="69" t="s">
        <v>3034</v>
      </c>
      <c r="O153" s="69" t="s">
        <v>3006</v>
      </c>
      <c r="P153" s="69" t="s">
        <v>3</v>
      </c>
      <c r="Q153" s="69" t="s">
        <v>505</v>
      </c>
      <c r="R153" s="69" t="s">
        <v>459</v>
      </c>
      <c r="S153" s="131"/>
      <c r="T153" s="69"/>
      <c r="U153" s="69"/>
      <c r="V153" s="69" t="s">
        <v>3</v>
      </c>
      <c r="W153" s="69" t="s">
        <v>530</v>
      </c>
      <c r="X153" s="69" t="s">
        <v>3</v>
      </c>
      <c r="Y153" s="69" t="s">
        <v>2229</v>
      </c>
      <c r="Z153" s="69" t="s">
        <v>2229</v>
      </c>
      <c r="AA153" s="69" t="s">
        <v>2432</v>
      </c>
      <c r="AB153" s="69" t="s">
        <v>1492</v>
      </c>
      <c r="AC153" s="69" t="s">
        <v>575</v>
      </c>
      <c r="AD153" s="69" t="s">
        <v>3</v>
      </c>
      <c r="AE153" s="69"/>
      <c r="AF153" s="69"/>
      <c r="AG153" s="69"/>
      <c r="AH153" s="69" t="s">
        <v>2725</v>
      </c>
      <c r="AI153" s="69" t="s">
        <v>1673</v>
      </c>
      <c r="AJ153" s="69" t="s">
        <v>1823</v>
      </c>
      <c r="AK153" s="69" t="s">
        <v>3</v>
      </c>
      <c r="AL153" s="69" t="s">
        <v>3555</v>
      </c>
      <c r="AM153" s="69" t="s">
        <v>3555</v>
      </c>
      <c r="AN153" s="69" t="s">
        <v>3555</v>
      </c>
      <c r="AO153" s="69" t="s">
        <v>3</v>
      </c>
      <c r="AP153" s="69" t="s">
        <v>751</v>
      </c>
      <c r="AQ153" s="69" t="s">
        <v>3</v>
      </c>
      <c r="AR153" s="69" t="s">
        <v>3190</v>
      </c>
      <c r="AS153" s="69" t="s">
        <v>3190</v>
      </c>
      <c r="AT153" s="69" t="s">
        <v>1230</v>
      </c>
      <c r="AU153" s="69" t="s">
        <v>3</v>
      </c>
      <c r="AV153" s="69" t="s">
        <v>901</v>
      </c>
      <c r="AW153" s="69" t="s">
        <v>3</v>
      </c>
      <c r="AX153" s="96" t="s">
        <v>1050</v>
      </c>
      <c r="AY153" s="69" t="s">
        <v>1965</v>
      </c>
      <c r="AZ153" s="69" t="s">
        <v>3491</v>
      </c>
      <c r="BA153" s="69"/>
      <c r="BB153" s="69"/>
      <c r="BC153" s="69" t="s">
        <v>3</v>
      </c>
      <c r="BD153" s="69" t="s">
        <v>1195</v>
      </c>
      <c r="BE153" s="69" t="s">
        <v>1492</v>
      </c>
    </row>
    <row r="154" spans="1:90" ht="18" x14ac:dyDescent="0.2">
      <c r="A154" s="162" t="s">
        <v>4097</v>
      </c>
      <c r="B154" s="218" t="s">
        <v>4099</v>
      </c>
      <c r="C154" s="47"/>
      <c r="D154" s="47"/>
      <c r="E154" s="47"/>
      <c r="F154" s="47"/>
      <c r="G154" s="47" t="s">
        <v>3</v>
      </c>
      <c r="H154" s="47" t="s">
        <v>3</v>
      </c>
      <c r="I154" s="47" t="s">
        <v>4082</v>
      </c>
      <c r="J154" s="47"/>
      <c r="K154" s="18"/>
      <c r="L154" s="18"/>
      <c r="M154" s="195"/>
      <c r="N154" s="198"/>
      <c r="O154" s="198"/>
      <c r="P154" s="194"/>
      <c r="Q154" s="195"/>
      <c r="R154" s="195"/>
      <c r="S154" s="192"/>
      <c r="T154" s="198"/>
      <c r="U154" s="198"/>
      <c r="V154" s="194"/>
      <c r="W154" s="195"/>
      <c r="X154" s="183"/>
      <c r="Y154" s="198"/>
      <c r="Z154" s="198"/>
      <c r="AA154" s="183"/>
      <c r="AB154" s="183"/>
      <c r="AC154" s="183"/>
      <c r="AD154" s="183"/>
      <c r="AE154" s="183"/>
      <c r="AF154" s="186"/>
      <c r="AG154" s="186"/>
      <c r="AH154" s="186"/>
      <c r="AI154" s="186"/>
      <c r="AJ154" s="183"/>
      <c r="AK154" s="183"/>
      <c r="AL154" s="183"/>
      <c r="AM154" s="183"/>
      <c r="AN154" s="183"/>
      <c r="AO154" s="183"/>
      <c r="AP154" s="183"/>
      <c r="AQ154" s="183"/>
      <c r="AR154" s="198"/>
      <c r="AS154" s="198"/>
      <c r="AT154" s="183"/>
      <c r="AU154" s="186"/>
      <c r="AV154" s="186"/>
      <c r="AW154" s="186"/>
      <c r="AX154" s="183"/>
      <c r="AY154" s="183"/>
      <c r="AZ154" s="183"/>
      <c r="BA154" s="186"/>
      <c r="BB154" s="183"/>
      <c r="BC154" s="186"/>
      <c r="BD154" s="183"/>
      <c r="BE154" s="186"/>
    </row>
    <row r="155" spans="1:90" x14ac:dyDescent="0.2">
      <c r="A155" s="76" t="s">
        <v>402</v>
      </c>
      <c r="B155" s="219"/>
      <c r="C155" s="69"/>
      <c r="D155" s="69"/>
      <c r="E155" s="69"/>
      <c r="F155" s="69"/>
      <c r="G155" s="69" t="s">
        <v>3</v>
      </c>
      <c r="H155" s="69" t="s">
        <v>3</v>
      </c>
      <c r="I155" s="69" t="s">
        <v>4098</v>
      </c>
      <c r="J155" s="69"/>
      <c r="K155" s="18"/>
      <c r="L155" s="18"/>
      <c r="M155" s="183"/>
      <c r="N155" s="183"/>
      <c r="O155" s="183"/>
      <c r="P155" s="183"/>
      <c r="Q155" s="183"/>
      <c r="R155" s="183"/>
      <c r="S155" s="192"/>
      <c r="T155" s="183"/>
      <c r="U155" s="183"/>
      <c r="V155" s="183"/>
      <c r="W155" s="183"/>
      <c r="X155" s="183"/>
      <c r="Y155" s="183"/>
      <c r="Z155" s="183"/>
      <c r="AA155" s="183"/>
      <c r="AB155" s="183"/>
      <c r="AC155" s="183"/>
      <c r="AD155" s="183"/>
      <c r="AE155" s="183"/>
      <c r="AF155" s="183"/>
      <c r="AG155" s="183"/>
      <c r="AH155" s="183"/>
      <c r="AI155" s="183"/>
      <c r="AJ155" s="183"/>
      <c r="AK155" s="183"/>
      <c r="AL155" s="183"/>
      <c r="AM155" s="183"/>
      <c r="AN155" s="183"/>
      <c r="AO155" s="183"/>
      <c r="AP155" s="183"/>
      <c r="AQ155" s="183"/>
      <c r="AR155" s="183"/>
      <c r="AS155" s="183"/>
      <c r="AT155" s="183"/>
      <c r="AU155" s="183"/>
      <c r="AV155" s="183"/>
      <c r="AW155" s="183"/>
      <c r="AX155" s="186"/>
      <c r="AY155" s="183"/>
      <c r="AZ155" s="183"/>
      <c r="BA155" s="183"/>
      <c r="BB155" s="183"/>
      <c r="BC155" s="183"/>
      <c r="BD155" s="183"/>
      <c r="BE155" s="183"/>
    </row>
    <row r="156" spans="1:90" ht="18" x14ac:dyDescent="0.2">
      <c r="A156" s="25" t="s">
        <v>18</v>
      </c>
      <c r="B156" s="218"/>
      <c r="C156" s="47" t="s">
        <v>3</v>
      </c>
      <c r="D156" s="47" t="s">
        <v>326</v>
      </c>
      <c r="E156" s="47" t="s">
        <v>3</v>
      </c>
      <c r="F156" s="62" t="s">
        <v>3</v>
      </c>
      <c r="G156" s="117" t="s">
        <v>3297</v>
      </c>
      <c r="H156" s="117" t="s">
        <v>3297</v>
      </c>
      <c r="I156" s="121" t="s">
        <v>3</v>
      </c>
      <c r="J156" s="47" t="s">
        <v>3</v>
      </c>
      <c r="K156" s="46" t="s">
        <v>3</v>
      </c>
      <c r="L156" s="46" t="s">
        <v>3</v>
      </c>
      <c r="M156" s="46" t="s">
        <v>3</v>
      </c>
      <c r="N156" s="47" t="s">
        <v>2978</v>
      </c>
      <c r="O156" s="47" t="s">
        <v>2979</v>
      </c>
      <c r="P156" s="47" t="s">
        <v>3</v>
      </c>
      <c r="Q156" s="20" t="s">
        <v>3</v>
      </c>
      <c r="R156" s="44" t="s">
        <v>186</v>
      </c>
      <c r="S156" s="265" t="s">
        <v>95</v>
      </c>
      <c r="T156" s="43" t="s">
        <v>3500</v>
      </c>
      <c r="U156" s="43" t="s">
        <v>3500</v>
      </c>
      <c r="V156" s="20" t="s">
        <v>3</v>
      </c>
      <c r="W156" s="43" t="s">
        <v>3</v>
      </c>
      <c r="X156" s="47" t="s">
        <v>3</v>
      </c>
      <c r="Y156" s="43" t="s">
        <v>3</v>
      </c>
      <c r="Z156" s="43" t="s">
        <v>0</v>
      </c>
      <c r="AA156" s="47" t="s">
        <v>381</v>
      </c>
      <c r="AB156" s="47" t="s">
        <v>2354</v>
      </c>
      <c r="AC156" s="47" t="s">
        <v>95</v>
      </c>
      <c r="AD156" s="47" t="s">
        <v>3</v>
      </c>
      <c r="AE156" s="47" t="s">
        <v>95</v>
      </c>
      <c r="AF156" s="46" t="s">
        <v>3</v>
      </c>
      <c r="AG156" s="46" t="s">
        <v>3</v>
      </c>
      <c r="AH156" s="46" t="s">
        <v>186</v>
      </c>
      <c r="AI156" s="46" t="s">
        <v>95</v>
      </c>
      <c r="AJ156" s="47" t="s">
        <v>119</v>
      </c>
      <c r="AK156" s="47" t="s">
        <v>3</v>
      </c>
      <c r="AL156" s="47" t="s">
        <v>119</v>
      </c>
      <c r="AM156" s="47" t="s">
        <v>95</v>
      </c>
      <c r="AN156" s="47" t="s">
        <v>95</v>
      </c>
      <c r="AO156" s="47" t="s">
        <v>3</v>
      </c>
      <c r="AP156" s="47" t="s">
        <v>3</v>
      </c>
      <c r="AQ156" s="47" t="s">
        <v>3164</v>
      </c>
      <c r="AR156" s="110" t="s">
        <v>0</v>
      </c>
      <c r="AS156" s="110" t="s">
        <v>1</v>
      </c>
      <c r="AT156" s="46" t="s">
        <v>3</v>
      </c>
      <c r="AU156" s="46" t="s">
        <v>3</v>
      </c>
      <c r="AV156" s="47" t="s">
        <v>877</v>
      </c>
      <c r="AW156" s="46" t="s">
        <v>3</v>
      </c>
      <c r="AX156" s="47" t="s">
        <v>3</v>
      </c>
      <c r="AY156" s="47" t="s">
        <v>1998</v>
      </c>
      <c r="AZ156" s="47" t="s">
        <v>3</v>
      </c>
      <c r="BA156" s="46" t="s">
        <v>3</v>
      </c>
      <c r="BB156" s="47" t="s">
        <v>115</v>
      </c>
      <c r="BC156" s="46" t="s">
        <v>3</v>
      </c>
      <c r="BD156" s="47" t="s">
        <v>275</v>
      </c>
      <c r="BE156" s="46" t="s">
        <v>3</v>
      </c>
    </row>
    <row r="157" spans="1:90" ht="18" x14ac:dyDescent="0.2">
      <c r="A157" s="76" t="s">
        <v>402</v>
      </c>
      <c r="B157" s="219"/>
      <c r="C157" s="69" t="s">
        <v>3</v>
      </c>
      <c r="D157" s="69" t="s">
        <v>3276</v>
      </c>
      <c r="E157" s="69" t="s">
        <v>3</v>
      </c>
      <c r="F157" s="106" t="s">
        <v>3</v>
      </c>
      <c r="G157" s="128"/>
      <c r="H157" s="128"/>
      <c r="I157" s="107" t="s">
        <v>3</v>
      </c>
      <c r="J157" s="69" t="s">
        <v>1286</v>
      </c>
      <c r="K157" s="69" t="s">
        <v>3</v>
      </c>
      <c r="L157" s="69" t="s">
        <v>3</v>
      </c>
      <c r="M157" s="69" t="s">
        <v>3</v>
      </c>
      <c r="N157" s="69" t="s">
        <v>3001</v>
      </c>
      <c r="O157" s="69" t="s">
        <v>3011</v>
      </c>
      <c r="P157" s="69" t="s">
        <v>3</v>
      </c>
      <c r="Q157" s="69" t="s">
        <v>3</v>
      </c>
      <c r="R157" s="69" t="s">
        <v>455</v>
      </c>
      <c r="S157" s="262"/>
      <c r="T157" s="69"/>
      <c r="U157" s="69"/>
      <c r="V157" s="69" t="s">
        <v>3</v>
      </c>
      <c r="W157" s="69" t="s">
        <v>530</v>
      </c>
      <c r="X157" s="69" t="s">
        <v>3</v>
      </c>
      <c r="Y157" s="69" t="s">
        <v>3</v>
      </c>
      <c r="Z157" s="69" t="s">
        <v>2221</v>
      </c>
      <c r="AA157" s="69" t="s">
        <v>2432</v>
      </c>
      <c r="AB157" s="69" t="s">
        <v>2353</v>
      </c>
      <c r="AC157" s="69" t="s">
        <v>576</v>
      </c>
      <c r="AD157" s="69" t="s">
        <v>3</v>
      </c>
      <c r="AE157" s="69"/>
      <c r="AF157" s="69"/>
      <c r="AG157" s="69"/>
      <c r="AH157" s="69" t="s">
        <v>2725</v>
      </c>
      <c r="AI157" s="69" t="s">
        <v>1673</v>
      </c>
      <c r="AJ157" s="69" t="s">
        <v>1824</v>
      </c>
      <c r="AK157" s="69" t="s">
        <v>3</v>
      </c>
      <c r="AL157" s="69" t="s">
        <v>3555</v>
      </c>
      <c r="AM157" s="69" t="s">
        <v>3555</v>
      </c>
      <c r="AN157" s="69" t="s">
        <v>3555</v>
      </c>
      <c r="AO157" s="69" t="s">
        <v>3</v>
      </c>
      <c r="AP157" s="69" t="s">
        <v>3</v>
      </c>
      <c r="AQ157" s="69" t="s">
        <v>3210</v>
      </c>
      <c r="AR157" s="69" t="s">
        <v>3198</v>
      </c>
      <c r="AS157" s="69" t="s">
        <v>3014</v>
      </c>
      <c r="AT157" s="69" t="s">
        <v>3</v>
      </c>
      <c r="AU157" s="69" t="s">
        <v>3</v>
      </c>
      <c r="AV157" s="69" t="s">
        <v>902</v>
      </c>
      <c r="AW157" s="69" t="s">
        <v>3</v>
      </c>
      <c r="AX157" s="69" t="s">
        <v>3</v>
      </c>
      <c r="AY157" s="69" t="s">
        <v>1999</v>
      </c>
      <c r="AZ157" s="69"/>
      <c r="BA157" s="69"/>
      <c r="BB157" s="69"/>
      <c r="BC157" s="69" t="s">
        <v>3</v>
      </c>
      <c r="BD157" s="69"/>
      <c r="BE157" s="69" t="s">
        <v>3</v>
      </c>
    </row>
    <row r="158" spans="1:90" s="18" customFormat="1" ht="31.5" customHeight="1" x14ac:dyDescent="0.15">
      <c r="A158" s="25" t="s">
        <v>37</v>
      </c>
      <c r="B158" s="218"/>
      <c r="C158" s="47" t="s">
        <v>2759</v>
      </c>
      <c r="D158" s="47" t="s">
        <v>3259</v>
      </c>
      <c r="E158" s="47" t="s">
        <v>3</v>
      </c>
      <c r="F158" s="62" t="s">
        <v>12</v>
      </c>
      <c r="G158" s="117" t="s">
        <v>0</v>
      </c>
      <c r="H158" s="117" t="s">
        <v>3297</v>
      </c>
      <c r="I158" s="105" t="s">
        <v>2527</v>
      </c>
      <c r="J158" s="47" t="s">
        <v>802</v>
      </c>
      <c r="K158" s="46" t="s">
        <v>3</v>
      </c>
      <c r="L158" s="46" t="s">
        <v>3</v>
      </c>
      <c r="M158" s="47" t="s">
        <v>2401</v>
      </c>
      <c r="N158" s="47" t="s">
        <v>2978</v>
      </c>
      <c r="O158" s="47" t="s">
        <v>2979</v>
      </c>
      <c r="P158" s="47" t="s">
        <v>3</v>
      </c>
      <c r="Q158" s="20" t="s">
        <v>3</v>
      </c>
      <c r="R158" s="44" t="s">
        <v>186</v>
      </c>
      <c r="S158" s="265" t="s">
        <v>3239</v>
      </c>
      <c r="T158" s="43" t="s">
        <v>3500</v>
      </c>
      <c r="U158" s="43" t="s">
        <v>3511</v>
      </c>
      <c r="V158" s="20" t="s">
        <v>3</v>
      </c>
      <c r="W158" s="44" t="s">
        <v>12</v>
      </c>
      <c r="X158" s="47" t="s">
        <v>3</v>
      </c>
      <c r="Y158" s="43" t="s">
        <v>2214</v>
      </c>
      <c r="Z158" s="43" t="s">
        <v>0</v>
      </c>
      <c r="AA158" s="47" t="s">
        <v>2434</v>
      </c>
      <c r="AB158" s="47" t="s">
        <v>2354</v>
      </c>
      <c r="AC158" s="47" t="s">
        <v>578</v>
      </c>
      <c r="AD158" s="47" t="s">
        <v>3</v>
      </c>
      <c r="AE158" s="47" t="s">
        <v>95</v>
      </c>
      <c r="AF158" s="46" t="s">
        <v>3</v>
      </c>
      <c r="AG158" s="47" t="s">
        <v>368</v>
      </c>
      <c r="AH158" s="46" t="s">
        <v>186</v>
      </c>
      <c r="AI158" s="46" t="s">
        <v>95</v>
      </c>
      <c r="AJ158" s="47" t="s">
        <v>1751</v>
      </c>
      <c r="AK158" s="47" t="s">
        <v>3</v>
      </c>
      <c r="AL158" s="47" t="s">
        <v>1751</v>
      </c>
      <c r="AM158" s="47" t="s">
        <v>1751</v>
      </c>
      <c r="AN158" s="47" t="s">
        <v>1751</v>
      </c>
      <c r="AO158" s="47" t="s">
        <v>3</v>
      </c>
      <c r="AP158" s="155" t="s">
        <v>141</v>
      </c>
      <c r="AQ158" s="47" t="s">
        <v>3164</v>
      </c>
      <c r="AR158" s="110" t="s">
        <v>0</v>
      </c>
      <c r="AS158" s="110" t="s">
        <v>1</v>
      </c>
      <c r="AT158" s="46" t="s">
        <v>3</v>
      </c>
      <c r="AU158" s="46" t="s">
        <v>3</v>
      </c>
      <c r="AV158" s="46" t="s">
        <v>186</v>
      </c>
      <c r="AW158" s="46" t="s">
        <v>3</v>
      </c>
      <c r="AX158" s="46" t="s">
        <v>3</v>
      </c>
      <c r="AY158" s="47" t="s">
        <v>1935</v>
      </c>
      <c r="AZ158" s="47" t="s">
        <v>3492</v>
      </c>
      <c r="BA158" s="46" t="s">
        <v>3</v>
      </c>
      <c r="BB158" s="47" t="s">
        <v>12</v>
      </c>
      <c r="BC158" s="46" t="s">
        <v>3</v>
      </c>
      <c r="BD158" s="47" t="s">
        <v>231</v>
      </c>
      <c r="BE158" s="47" t="s">
        <v>3</v>
      </c>
      <c r="BF158" s="58"/>
      <c r="BG158" s="58"/>
      <c r="BH158" s="48"/>
      <c r="BI158" s="48"/>
      <c r="BJ158" s="48"/>
      <c r="BK158" s="48"/>
      <c r="BL158" s="58"/>
      <c r="BM158" s="58"/>
      <c r="BN158" s="58"/>
      <c r="BO158" s="58"/>
      <c r="BP158" s="58"/>
      <c r="BQ158" s="58"/>
      <c r="BR158" s="58"/>
      <c r="BS158" s="48"/>
      <c r="BT158" s="58"/>
      <c r="BU158" s="266"/>
      <c r="BV158" s="266"/>
      <c r="BW158" s="58"/>
      <c r="BX158" s="48"/>
      <c r="BY158" s="48"/>
      <c r="BZ158" s="48"/>
      <c r="CA158" s="58"/>
      <c r="CB158" s="58"/>
      <c r="CC158" s="58"/>
      <c r="CD158" s="48"/>
      <c r="CE158" s="58"/>
      <c r="CF158" s="48"/>
      <c r="CG158" s="58"/>
      <c r="CH158" s="48"/>
      <c r="CL158" s="176"/>
    </row>
    <row r="159" spans="1:90" s="18" customFormat="1" ht="20.100000000000001" customHeight="1" x14ac:dyDescent="0.15">
      <c r="A159" s="76" t="s">
        <v>402</v>
      </c>
      <c r="B159" s="219"/>
      <c r="C159" s="69" t="s">
        <v>2760</v>
      </c>
      <c r="D159" s="69" t="s">
        <v>3258</v>
      </c>
      <c r="E159" s="69" t="s">
        <v>3</v>
      </c>
      <c r="F159" s="106" t="s">
        <v>1431</v>
      </c>
      <c r="G159" s="128"/>
      <c r="H159" s="128"/>
      <c r="I159" s="107" t="s">
        <v>2533</v>
      </c>
      <c r="J159" s="69" t="s">
        <v>1285</v>
      </c>
      <c r="K159" s="69" t="s">
        <v>3</v>
      </c>
      <c r="L159" s="69" t="s">
        <v>3</v>
      </c>
      <c r="M159" s="69" t="s">
        <v>2402</v>
      </c>
      <c r="N159" s="69" t="s">
        <v>3042</v>
      </c>
      <c r="O159" s="69" t="s">
        <v>3010</v>
      </c>
      <c r="P159" s="69" t="s">
        <v>3</v>
      </c>
      <c r="Q159" s="69" t="s">
        <v>3</v>
      </c>
      <c r="R159" s="69" t="s">
        <v>455</v>
      </c>
      <c r="S159" s="131"/>
      <c r="T159" s="69"/>
      <c r="U159" s="69"/>
      <c r="V159" s="69" t="s">
        <v>3</v>
      </c>
      <c r="W159" s="69" t="s">
        <v>531</v>
      </c>
      <c r="X159" s="69" t="s">
        <v>3</v>
      </c>
      <c r="Y159" s="69" t="s">
        <v>2228</v>
      </c>
      <c r="Z159" s="69" t="s">
        <v>2227</v>
      </c>
      <c r="AA159" s="69" t="s">
        <v>2432</v>
      </c>
      <c r="AB159" s="69" t="s">
        <v>2353</v>
      </c>
      <c r="AC159" s="69" t="s">
        <v>577</v>
      </c>
      <c r="AD159" s="69" t="s">
        <v>3</v>
      </c>
      <c r="AE159" s="69"/>
      <c r="AF159" s="69"/>
      <c r="AG159" s="69"/>
      <c r="AH159" s="69" t="s">
        <v>2725</v>
      </c>
      <c r="AI159" s="69" t="s">
        <v>1673</v>
      </c>
      <c r="AJ159" s="69" t="s">
        <v>1824</v>
      </c>
      <c r="AK159" s="69" t="s">
        <v>3</v>
      </c>
      <c r="AL159" s="69" t="s">
        <v>3579</v>
      </c>
      <c r="AM159" s="69" t="s">
        <v>3555</v>
      </c>
      <c r="AN159" s="69" t="s">
        <v>3555</v>
      </c>
      <c r="AO159" s="69" t="s">
        <v>3</v>
      </c>
      <c r="AP159" s="69" t="s">
        <v>759</v>
      </c>
      <c r="AQ159" s="69" t="s">
        <v>3210</v>
      </c>
      <c r="AR159" s="69" t="s">
        <v>3198</v>
      </c>
      <c r="AS159" s="69" t="s">
        <v>3014</v>
      </c>
      <c r="AT159" s="69" t="s">
        <v>3</v>
      </c>
      <c r="AU159" s="69" t="s">
        <v>3</v>
      </c>
      <c r="AV159" s="69" t="s">
        <v>900</v>
      </c>
      <c r="AW159" s="69" t="s">
        <v>3</v>
      </c>
      <c r="AX159" s="69" t="s">
        <v>3</v>
      </c>
      <c r="AY159" s="69" t="s">
        <v>1952</v>
      </c>
      <c r="AZ159" s="69" t="s">
        <v>3493</v>
      </c>
      <c r="BA159" s="69"/>
      <c r="BB159" s="69"/>
      <c r="BC159" s="69" t="s">
        <v>3</v>
      </c>
      <c r="BD159" s="69" t="s">
        <v>1196</v>
      </c>
      <c r="BE159" s="69" t="s">
        <v>3</v>
      </c>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48"/>
      <c r="CB159" s="58"/>
      <c r="CC159" s="58"/>
      <c r="CD159" s="58"/>
      <c r="CE159" s="58"/>
      <c r="CF159" s="58"/>
      <c r="CG159" s="58"/>
      <c r="CH159" s="58"/>
      <c r="CL159" s="176"/>
    </row>
    <row r="160" spans="1:90" ht="18" x14ac:dyDescent="0.2">
      <c r="A160" s="26" t="s">
        <v>4500</v>
      </c>
      <c r="B160" s="226"/>
      <c r="C160" s="47" t="s">
        <v>2761</v>
      </c>
      <c r="D160" s="47" t="s">
        <v>3270</v>
      </c>
      <c r="E160" s="47" t="s">
        <v>3</v>
      </c>
      <c r="F160" s="46" t="s">
        <v>95</v>
      </c>
      <c r="G160" s="117" t="s">
        <v>3292</v>
      </c>
      <c r="H160" s="117" t="s">
        <v>3292</v>
      </c>
      <c r="I160" s="46" t="s">
        <v>3</v>
      </c>
      <c r="J160" s="47" t="s">
        <v>1337</v>
      </c>
      <c r="K160" s="46" t="s">
        <v>3</v>
      </c>
      <c r="L160" s="46" t="s">
        <v>3</v>
      </c>
      <c r="M160" s="46" t="s">
        <v>3</v>
      </c>
      <c r="N160" s="47" t="s">
        <v>106</v>
      </c>
      <c r="O160" s="47" t="s">
        <v>106</v>
      </c>
      <c r="P160" s="46" t="s">
        <v>3</v>
      </c>
      <c r="Q160" s="20" t="s">
        <v>95</v>
      </c>
      <c r="R160" s="20" t="s">
        <v>95</v>
      </c>
      <c r="S160" s="130" t="s">
        <v>95</v>
      </c>
      <c r="T160" s="44" t="s">
        <v>95</v>
      </c>
      <c r="U160" s="44" t="s">
        <v>95</v>
      </c>
      <c r="V160" s="20" t="s">
        <v>3</v>
      </c>
      <c r="W160" s="44" t="s">
        <v>106</v>
      </c>
      <c r="X160" s="47" t="s">
        <v>3</v>
      </c>
      <c r="Y160" s="44" t="s">
        <v>2209</v>
      </c>
      <c r="Z160" s="44" t="s">
        <v>2209</v>
      </c>
      <c r="AA160" s="47" t="s">
        <v>2455</v>
      </c>
      <c r="AB160" s="47" t="s">
        <v>95</v>
      </c>
      <c r="AC160" s="46" t="s">
        <v>106</v>
      </c>
      <c r="AD160" s="46" t="s">
        <v>3</v>
      </c>
      <c r="AE160" s="46" t="s">
        <v>3</v>
      </c>
      <c r="AF160" s="46" t="s">
        <v>3</v>
      </c>
      <c r="AG160" s="46" t="s">
        <v>3</v>
      </c>
      <c r="AH160" s="46" t="s">
        <v>106</v>
      </c>
      <c r="AI160" s="46" t="s">
        <v>95</v>
      </c>
      <c r="AJ160" s="47" t="s">
        <v>47</v>
      </c>
      <c r="AK160" s="47" t="s">
        <v>95</v>
      </c>
      <c r="AL160" s="47" t="s">
        <v>95</v>
      </c>
      <c r="AM160" s="47" t="s">
        <v>95</v>
      </c>
      <c r="AN160" s="47" t="s">
        <v>95</v>
      </c>
      <c r="AO160" s="47" t="s">
        <v>3</v>
      </c>
      <c r="AP160" s="47" t="s">
        <v>3</v>
      </c>
      <c r="AQ160" s="47" t="s">
        <v>3</v>
      </c>
      <c r="AR160" s="44" t="s">
        <v>3161</v>
      </c>
      <c r="AS160" s="44" t="s">
        <v>3161</v>
      </c>
      <c r="AT160" s="47" t="s">
        <v>3</v>
      </c>
      <c r="AU160" s="46" t="s">
        <v>3</v>
      </c>
      <c r="AV160" s="46" t="s">
        <v>3</v>
      </c>
      <c r="AW160" s="46" t="s">
        <v>3</v>
      </c>
      <c r="AX160" s="46" t="s">
        <v>3</v>
      </c>
      <c r="AY160" s="47" t="s">
        <v>320</v>
      </c>
      <c r="AZ160" s="47" t="s">
        <v>3</v>
      </c>
      <c r="BA160" s="46" t="s">
        <v>95</v>
      </c>
      <c r="BB160" s="46" t="s">
        <v>95</v>
      </c>
      <c r="BC160" s="46" t="s">
        <v>3</v>
      </c>
      <c r="BD160" s="47" t="s">
        <v>3</v>
      </c>
      <c r="BE160" s="46" t="s">
        <v>95</v>
      </c>
      <c r="BF160" s="264"/>
      <c r="BG160" s="264"/>
      <c r="BH160" s="264"/>
      <c r="BI160" s="264"/>
      <c r="BJ160" s="264"/>
      <c r="BK160" s="264"/>
      <c r="BL160" s="264"/>
      <c r="BM160" s="264"/>
      <c r="BN160" s="264"/>
      <c r="BO160" s="264"/>
      <c r="BP160" s="264"/>
      <c r="BQ160" s="264"/>
      <c r="BR160" s="264"/>
      <c r="BS160" s="264"/>
      <c r="BT160" s="264"/>
      <c r="BU160" s="264"/>
      <c r="BV160" s="264"/>
      <c r="BW160" s="264"/>
      <c r="BX160" s="264"/>
      <c r="BY160" s="264"/>
      <c r="BZ160" s="264"/>
      <c r="CA160" s="264"/>
      <c r="CB160" s="264"/>
      <c r="CC160" s="264"/>
      <c r="CD160" s="264"/>
      <c r="CE160" s="264"/>
      <c r="CF160" s="264"/>
      <c r="CG160" s="264"/>
      <c r="CH160" s="264"/>
      <c r="CI160" s="264"/>
    </row>
    <row r="161" spans="1:87" ht="18" x14ac:dyDescent="0.2">
      <c r="A161" s="76" t="s">
        <v>402</v>
      </c>
      <c r="B161" s="219"/>
      <c r="C161" s="69" t="s">
        <v>2784</v>
      </c>
      <c r="D161" s="69" t="s">
        <v>3279</v>
      </c>
      <c r="E161" s="69" t="s">
        <v>3329</v>
      </c>
      <c r="F161" s="69" t="s">
        <v>1433</v>
      </c>
      <c r="G161" s="128"/>
      <c r="H161" s="128"/>
      <c r="I161" s="69" t="s">
        <v>2537</v>
      </c>
      <c r="J161" s="69" t="s">
        <v>1335</v>
      </c>
      <c r="K161" s="69" t="s">
        <v>706</v>
      </c>
      <c r="L161" s="69" t="s">
        <v>706</v>
      </c>
      <c r="M161" s="69" t="s">
        <v>706</v>
      </c>
      <c r="N161" s="69" t="s">
        <v>3043</v>
      </c>
      <c r="O161" s="69" t="s">
        <v>3014</v>
      </c>
      <c r="P161" s="69" t="s">
        <v>3078</v>
      </c>
      <c r="Q161" s="69" t="s">
        <v>492</v>
      </c>
      <c r="R161" s="69" t="s">
        <v>492</v>
      </c>
      <c r="S161" s="131"/>
      <c r="T161" s="69"/>
      <c r="U161" s="69"/>
      <c r="V161" s="69" t="s">
        <v>566</v>
      </c>
      <c r="W161" s="69" t="s">
        <v>541</v>
      </c>
      <c r="X161" s="69" t="s">
        <v>3136</v>
      </c>
      <c r="Y161" s="69" t="s">
        <v>2215</v>
      </c>
      <c r="Z161" s="69" t="s">
        <v>2215</v>
      </c>
      <c r="AA161" s="69" t="s">
        <v>2456</v>
      </c>
      <c r="AB161" s="69" t="s">
        <v>2337</v>
      </c>
      <c r="AC161" s="69" t="s">
        <v>576</v>
      </c>
      <c r="AD161" s="69" t="s">
        <v>644</v>
      </c>
      <c r="AE161" s="69"/>
      <c r="AF161" s="69"/>
      <c r="AG161" s="69"/>
      <c r="AH161" s="69" t="s">
        <v>1673</v>
      </c>
      <c r="AI161" s="69" t="s">
        <v>1656</v>
      </c>
      <c r="AJ161" s="69" t="s">
        <v>1817</v>
      </c>
      <c r="AK161" s="69" t="s">
        <v>3555</v>
      </c>
      <c r="AL161" s="69" t="s">
        <v>3555</v>
      </c>
      <c r="AM161" s="69" t="s">
        <v>3555</v>
      </c>
      <c r="AN161" s="69" t="s">
        <v>3555</v>
      </c>
      <c r="AO161" s="69" t="s">
        <v>767</v>
      </c>
      <c r="AP161" s="69" t="s">
        <v>767</v>
      </c>
      <c r="AQ161" s="69" t="s">
        <v>3224</v>
      </c>
      <c r="AR161" s="69" t="s">
        <v>3160</v>
      </c>
      <c r="AS161" s="69" t="s">
        <v>3160</v>
      </c>
      <c r="AT161" s="69" t="s">
        <v>706</v>
      </c>
      <c r="AU161" s="69" t="s">
        <v>924</v>
      </c>
      <c r="AV161" s="69" t="s">
        <v>924</v>
      </c>
      <c r="AW161" s="69" t="s">
        <v>924</v>
      </c>
      <c r="AX161" s="69" t="s">
        <v>1061</v>
      </c>
      <c r="AY161" s="69" t="s">
        <v>1961</v>
      </c>
      <c r="AZ161" s="69" t="s">
        <v>3463</v>
      </c>
      <c r="BA161" s="69"/>
      <c r="BB161" s="69"/>
      <c r="BC161" s="69" t="s">
        <v>437</v>
      </c>
      <c r="BD161" s="69" t="s">
        <v>437</v>
      </c>
      <c r="BE161" s="69" t="s">
        <v>1496</v>
      </c>
      <c r="BF161" s="264"/>
      <c r="BG161" s="264"/>
      <c r="BH161" s="264"/>
      <c r="BI161" s="264"/>
      <c r="BJ161" s="264"/>
      <c r="BK161" s="264"/>
      <c r="BL161" s="264"/>
      <c r="BM161" s="264"/>
      <c r="BN161" s="264"/>
      <c r="BO161" s="264"/>
      <c r="BP161" s="264"/>
      <c r="BQ161" s="264"/>
      <c r="BR161" s="264"/>
      <c r="BS161" s="264"/>
      <c r="BT161" s="264"/>
      <c r="BU161" s="264"/>
      <c r="BV161" s="264"/>
      <c r="BW161" s="264"/>
      <c r="BX161" s="264"/>
      <c r="BY161" s="264"/>
      <c r="BZ161" s="264"/>
      <c r="CA161" s="264"/>
      <c r="CB161" s="264"/>
      <c r="CC161" s="264"/>
      <c r="CD161" s="264"/>
      <c r="CE161" s="264"/>
      <c r="CF161" s="264"/>
      <c r="CG161" s="264"/>
      <c r="CH161" s="264"/>
      <c r="CI161" s="264"/>
    </row>
    <row r="162" spans="1:87" ht="36" x14ac:dyDescent="0.2">
      <c r="A162" s="162" t="s">
        <v>3680</v>
      </c>
      <c r="B162" s="218" t="s">
        <v>3756</v>
      </c>
      <c r="C162" s="183" t="s">
        <v>3524</v>
      </c>
      <c r="D162" s="183" t="s">
        <v>3526</v>
      </c>
      <c r="E162" s="186" t="s">
        <v>3</v>
      </c>
      <c r="F162" s="183" t="s">
        <v>3632</v>
      </c>
      <c r="G162" s="184" t="s">
        <v>3</v>
      </c>
      <c r="H162" s="184" t="s">
        <v>3</v>
      </c>
      <c r="I162" s="186" t="s">
        <v>3</v>
      </c>
      <c r="J162" s="186" t="s">
        <v>3</v>
      </c>
      <c r="K162" s="186" t="s">
        <v>3</v>
      </c>
      <c r="L162" s="186" t="s">
        <v>3</v>
      </c>
      <c r="M162" s="183" t="s">
        <v>3530</v>
      </c>
      <c r="N162" s="183" t="s">
        <v>3532</v>
      </c>
      <c r="O162" s="183" t="s">
        <v>3534</v>
      </c>
      <c r="P162" s="195" t="s">
        <v>3</v>
      </c>
      <c r="Q162" s="195" t="s">
        <v>3</v>
      </c>
      <c r="R162" s="195" t="s">
        <v>3</v>
      </c>
      <c r="S162" s="195" t="s">
        <v>3</v>
      </c>
      <c r="T162" s="198" t="s">
        <v>3535</v>
      </c>
      <c r="U162" s="198" t="s">
        <v>3536</v>
      </c>
      <c r="V162" s="194" t="s">
        <v>3</v>
      </c>
      <c r="W162" s="194" t="s">
        <v>3</v>
      </c>
      <c r="X162" s="186" t="s">
        <v>3</v>
      </c>
      <c r="Y162" s="186" t="s">
        <v>3</v>
      </c>
      <c r="Z162" s="186" t="s">
        <v>3</v>
      </c>
      <c r="AA162" s="186" t="s">
        <v>3</v>
      </c>
      <c r="AB162" s="186" t="s">
        <v>3</v>
      </c>
      <c r="AC162" s="183" t="s">
        <v>3</v>
      </c>
      <c r="AD162" s="183" t="s">
        <v>3</v>
      </c>
      <c r="AE162" s="183" t="s">
        <v>3</v>
      </c>
      <c r="AF162" s="183" t="s">
        <v>3</v>
      </c>
      <c r="AG162" s="183" t="s">
        <v>3</v>
      </c>
      <c r="AH162" s="186" t="s">
        <v>3</v>
      </c>
      <c r="AI162" s="186" t="s">
        <v>3</v>
      </c>
      <c r="AJ162" s="186" t="s">
        <v>3</v>
      </c>
      <c r="AK162" s="186" t="s">
        <v>3</v>
      </c>
      <c r="AL162" s="183" t="s">
        <v>3637</v>
      </c>
      <c r="AM162" s="183" t="s">
        <v>3637</v>
      </c>
      <c r="AN162" s="183" t="s">
        <v>3637</v>
      </c>
      <c r="AO162" s="186" t="s">
        <v>3</v>
      </c>
      <c r="AP162" s="186" t="s">
        <v>3634</v>
      </c>
      <c r="AQ162" s="194" t="s">
        <v>3</v>
      </c>
      <c r="AR162" s="194" t="s">
        <v>3</v>
      </c>
      <c r="AS162" s="194" t="s">
        <v>3</v>
      </c>
      <c r="AT162" s="186" t="s">
        <v>3</v>
      </c>
      <c r="AU162" s="186" t="s">
        <v>3</v>
      </c>
      <c r="AV162" s="186" t="s">
        <v>3</v>
      </c>
      <c r="AW162" s="186" t="s">
        <v>3</v>
      </c>
      <c r="AX162" s="183" t="s">
        <v>3</v>
      </c>
      <c r="AY162" s="186" t="s">
        <v>3</v>
      </c>
      <c r="AZ162" s="186" t="s">
        <v>3</v>
      </c>
      <c r="BA162" s="186" t="s">
        <v>3</v>
      </c>
      <c r="BB162" s="183" t="s">
        <v>3633</v>
      </c>
      <c r="BC162" s="183" t="s">
        <v>3</v>
      </c>
      <c r="BD162" s="183" t="s">
        <v>3</v>
      </c>
      <c r="BE162" s="186" t="s">
        <v>3</v>
      </c>
      <c r="BF162" s="264"/>
      <c r="BG162" s="264"/>
      <c r="BH162" s="264"/>
      <c r="BI162" s="264"/>
      <c r="BJ162" s="264"/>
      <c r="BK162" s="264"/>
      <c r="BL162" s="264"/>
      <c r="BM162" s="264"/>
      <c r="BN162" s="264"/>
      <c r="BO162" s="264"/>
      <c r="BP162" s="264"/>
      <c r="BQ162" s="264"/>
      <c r="BR162" s="264"/>
      <c r="BS162" s="264"/>
      <c r="BT162" s="264"/>
      <c r="BU162" s="264"/>
      <c r="BV162" s="264"/>
      <c r="BW162" s="264"/>
      <c r="BX162" s="264"/>
      <c r="BY162" s="264"/>
      <c r="BZ162" s="264"/>
      <c r="CA162" s="264"/>
      <c r="CB162" s="264"/>
      <c r="CC162" s="264"/>
      <c r="CD162" s="264"/>
      <c r="CE162" s="264"/>
      <c r="CF162" s="264"/>
      <c r="CG162" s="264"/>
      <c r="CH162" s="264"/>
      <c r="CI162" s="264"/>
    </row>
    <row r="163" spans="1:87" x14ac:dyDescent="0.2">
      <c r="A163" s="76" t="s">
        <v>402</v>
      </c>
      <c r="B163" s="219"/>
      <c r="C163" s="69"/>
      <c r="D163" s="69"/>
      <c r="E163" s="69"/>
      <c r="F163" s="69"/>
      <c r="G163" s="128"/>
      <c r="H163" s="128"/>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row>
    <row r="164" spans="1:87" ht="36" x14ac:dyDescent="0.2">
      <c r="A164" s="162" t="s">
        <v>3728</v>
      </c>
      <c r="B164" s="222" t="s">
        <v>3729</v>
      </c>
      <c r="C164" s="183"/>
      <c r="D164" s="183"/>
      <c r="E164" s="186"/>
      <c r="F164" s="183"/>
      <c r="G164" s="184" t="s">
        <v>3</v>
      </c>
      <c r="H164" s="184" t="s">
        <v>3</v>
      </c>
      <c r="I164" s="186" t="s">
        <v>3</v>
      </c>
      <c r="J164" s="186" t="s">
        <v>3</v>
      </c>
      <c r="K164" s="186" t="s">
        <v>3</v>
      </c>
      <c r="L164" s="186" t="s">
        <v>3</v>
      </c>
      <c r="M164" s="183" t="s">
        <v>3530</v>
      </c>
      <c r="N164" s="183" t="s">
        <v>3532</v>
      </c>
      <c r="O164" s="183" t="s">
        <v>3534</v>
      </c>
      <c r="P164" s="195" t="s">
        <v>3</v>
      </c>
      <c r="Q164" s="195" t="s">
        <v>3</v>
      </c>
      <c r="R164" s="195" t="s">
        <v>3</v>
      </c>
      <c r="S164" s="195" t="s">
        <v>3</v>
      </c>
      <c r="T164" s="198" t="s">
        <v>3535</v>
      </c>
      <c r="U164" s="198" t="s">
        <v>3536</v>
      </c>
      <c r="V164" s="194" t="s">
        <v>3</v>
      </c>
      <c r="W164" s="194" t="s">
        <v>3</v>
      </c>
      <c r="X164" s="186" t="s">
        <v>3</v>
      </c>
      <c r="Y164" s="186" t="s">
        <v>3</v>
      </c>
      <c r="Z164" s="186" t="s">
        <v>3</v>
      </c>
      <c r="AA164" s="186" t="s">
        <v>3</v>
      </c>
      <c r="AB164" s="186" t="s">
        <v>3</v>
      </c>
      <c r="AC164" s="183" t="s">
        <v>3</v>
      </c>
      <c r="AD164" s="183" t="s">
        <v>3</v>
      </c>
      <c r="AE164" s="183" t="s">
        <v>3</v>
      </c>
      <c r="AF164" s="183" t="s">
        <v>3</v>
      </c>
      <c r="AG164" s="183" t="s">
        <v>3</v>
      </c>
      <c r="AH164" s="186" t="s">
        <v>3</v>
      </c>
      <c r="AI164" s="186" t="s">
        <v>3</v>
      </c>
      <c r="AJ164" s="186" t="s">
        <v>3</v>
      </c>
      <c r="AK164" s="186" t="s">
        <v>3</v>
      </c>
      <c r="AL164" s="183" t="s">
        <v>3637</v>
      </c>
      <c r="AM164" s="183" t="s">
        <v>3637</v>
      </c>
      <c r="AN164" s="183" t="s">
        <v>3637</v>
      </c>
      <c r="AO164" s="186" t="s">
        <v>3</v>
      </c>
      <c r="AP164" s="186" t="s">
        <v>3634</v>
      </c>
      <c r="AQ164" s="194" t="s">
        <v>3</v>
      </c>
      <c r="AR164" s="194" t="s">
        <v>3</v>
      </c>
      <c r="AS164" s="194" t="s">
        <v>3</v>
      </c>
      <c r="AT164" s="186" t="s">
        <v>3</v>
      </c>
      <c r="AU164" s="186" t="s">
        <v>3</v>
      </c>
      <c r="AV164" s="186" t="s">
        <v>3</v>
      </c>
      <c r="AW164" s="186" t="s">
        <v>3</v>
      </c>
      <c r="AX164" s="183" t="s">
        <v>3</v>
      </c>
      <c r="AY164" s="186" t="s">
        <v>3</v>
      </c>
      <c r="AZ164" s="186" t="s">
        <v>3</v>
      </c>
      <c r="BA164" s="186" t="s">
        <v>3</v>
      </c>
      <c r="BB164" s="183" t="s">
        <v>3633</v>
      </c>
      <c r="BC164" s="183" t="s">
        <v>3</v>
      </c>
      <c r="BD164" s="183" t="s">
        <v>3</v>
      </c>
      <c r="BE164" s="186" t="s">
        <v>3</v>
      </c>
    </row>
    <row r="165" spans="1:87" x14ac:dyDescent="0.2">
      <c r="A165" s="76" t="s">
        <v>402</v>
      </c>
      <c r="B165" s="219"/>
      <c r="C165" s="69"/>
      <c r="D165" s="69"/>
      <c r="E165" s="69"/>
      <c r="F165" s="69"/>
      <c r="G165" s="128"/>
      <c r="H165" s="128"/>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AZ165" s="69"/>
      <c r="BA165" s="69"/>
      <c r="BB165" s="69"/>
      <c r="BC165" s="69"/>
      <c r="BD165" s="69"/>
      <c r="BE165" s="69"/>
    </row>
    <row r="166" spans="1:87" ht="18" x14ac:dyDescent="0.2">
      <c r="A166" s="25" t="s">
        <v>3908</v>
      </c>
      <c r="B166" s="218"/>
      <c r="C166" s="47"/>
      <c r="D166" s="47"/>
      <c r="E166" s="46"/>
      <c r="F166" s="47"/>
      <c r="G166" s="117"/>
      <c r="H166" s="117"/>
      <c r="I166" s="46"/>
      <c r="J166" s="46"/>
      <c r="K166" s="46"/>
      <c r="L166" s="46"/>
      <c r="M166" s="47"/>
      <c r="N166" s="47"/>
      <c r="O166" s="47"/>
      <c r="P166" s="44"/>
      <c r="Q166" s="44"/>
      <c r="R166" s="44"/>
      <c r="S166" s="44"/>
      <c r="T166" s="43"/>
      <c r="U166" s="43"/>
      <c r="V166" s="20"/>
      <c r="W166" s="20"/>
      <c r="X166" s="46"/>
      <c r="Y166" s="46"/>
      <c r="Z166" s="46"/>
      <c r="AA166" s="46"/>
      <c r="AB166" s="46"/>
      <c r="AC166" s="47"/>
      <c r="AD166" s="47"/>
      <c r="AE166" s="47"/>
      <c r="AF166" s="47"/>
      <c r="AG166" s="47"/>
      <c r="AH166" s="46"/>
      <c r="AI166" s="46"/>
      <c r="AJ166" s="46"/>
      <c r="AK166" s="46"/>
      <c r="AL166" s="47"/>
      <c r="AM166" s="47"/>
      <c r="AN166" s="47"/>
      <c r="AO166" s="46"/>
      <c r="AP166" s="46"/>
      <c r="AQ166" s="20"/>
      <c r="AR166" s="20"/>
      <c r="AS166" s="20"/>
      <c r="AT166" s="46"/>
      <c r="AU166" s="46"/>
      <c r="AV166" s="46"/>
      <c r="AW166" s="46"/>
      <c r="AX166" s="47"/>
      <c r="AY166" s="46"/>
      <c r="AZ166" s="46"/>
      <c r="BA166" s="46"/>
      <c r="BB166" s="47"/>
      <c r="BC166" s="47"/>
      <c r="BD166" s="47"/>
      <c r="BE166" s="46"/>
    </row>
    <row r="167" spans="1:87" x14ac:dyDescent="0.2">
      <c r="A167" s="76" t="s">
        <v>402</v>
      </c>
      <c r="B167" s="219"/>
      <c r="C167" s="69"/>
      <c r="D167" s="69"/>
      <c r="E167" s="69"/>
      <c r="F167" s="69"/>
      <c r="G167" s="128"/>
      <c r="H167" s="128"/>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row>
    <row r="168" spans="1:87" s="281" customFormat="1" x14ac:dyDescent="0.2">
      <c r="A168" s="25" t="s">
        <v>3762</v>
      </c>
      <c r="B168" s="279"/>
      <c r="C168" s="47"/>
      <c r="D168" s="47"/>
      <c r="E168" s="47"/>
      <c r="F168" s="62"/>
      <c r="G168" s="117"/>
      <c r="H168" s="117"/>
      <c r="I168" s="121"/>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row>
    <row r="169" spans="1:87" x14ac:dyDescent="0.2">
      <c r="A169" s="76" t="s">
        <v>402</v>
      </c>
      <c r="B169" s="219"/>
      <c r="C169" s="69"/>
      <c r="D169" s="69"/>
      <c r="E169" s="69"/>
      <c r="F169" s="106"/>
      <c r="G169" s="128"/>
      <c r="H169" s="128"/>
      <c r="I169" s="107"/>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c r="AX169" s="69"/>
      <c r="AY169" s="69"/>
      <c r="AZ169" s="69"/>
      <c r="BA169" s="69"/>
      <c r="BB169" s="69"/>
      <c r="BC169" s="69"/>
      <c r="BD169" s="69"/>
      <c r="BE169" s="69"/>
    </row>
    <row r="170" spans="1:87" x14ac:dyDescent="0.2">
      <c r="A170" s="25" t="s">
        <v>3697</v>
      </c>
      <c r="B170" s="218"/>
      <c r="C170" s="47"/>
      <c r="D170" s="46"/>
      <c r="E170" s="47"/>
      <c r="F170" s="101"/>
      <c r="G170" s="117"/>
      <c r="H170" s="117"/>
      <c r="I170" s="120"/>
      <c r="J170" s="47"/>
      <c r="K170" s="46"/>
      <c r="L170" s="46"/>
      <c r="M170" s="47"/>
      <c r="N170" s="47"/>
      <c r="O170" s="47"/>
      <c r="P170" s="47"/>
      <c r="Q170" s="20"/>
      <c r="R170" s="20"/>
      <c r="S170" s="130"/>
      <c r="T170" s="20"/>
      <c r="U170" s="20"/>
      <c r="V170" s="20"/>
      <c r="W170" s="20"/>
      <c r="X170" s="20"/>
      <c r="Y170" s="20"/>
      <c r="Z170" s="20"/>
      <c r="AA170" s="47"/>
      <c r="AB170" s="47"/>
      <c r="AC170" s="57"/>
      <c r="AD170" s="57"/>
      <c r="AE170" s="46"/>
      <c r="AF170" s="47"/>
      <c r="AG170" s="47"/>
      <c r="AH170" s="47"/>
      <c r="AI170" s="47"/>
      <c r="AJ170" s="46"/>
      <c r="AK170" s="46"/>
      <c r="AL170" s="46"/>
      <c r="AM170" s="46"/>
      <c r="AN170" s="46"/>
      <c r="AO170" s="47"/>
      <c r="AP170" s="47"/>
      <c r="AQ170" s="47"/>
      <c r="AR170" s="47"/>
      <c r="AS170" s="47"/>
      <c r="AT170" s="47"/>
      <c r="AU170" s="46"/>
      <c r="AV170" s="47"/>
      <c r="AW170" s="47"/>
      <c r="AX170" s="47"/>
      <c r="AY170" s="47"/>
      <c r="AZ170" s="47"/>
      <c r="BA170" s="46"/>
      <c r="BB170" s="47"/>
      <c r="BC170" s="47"/>
      <c r="BD170" s="47"/>
      <c r="BE170" s="46"/>
    </row>
    <row r="171" spans="1:87" x14ac:dyDescent="0.2">
      <c r="A171" s="76" t="s">
        <v>402</v>
      </c>
      <c r="B171" s="219"/>
      <c r="C171" s="69"/>
      <c r="D171" s="69"/>
      <c r="E171" s="69"/>
      <c r="F171" s="106"/>
      <c r="G171" s="128"/>
      <c r="H171" s="128"/>
      <c r="I171" s="107"/>
      <c r="J171" s="69"/>
      <c r="K171" s="69"/>
      <c r="L171" s="69"/>
      <c r="M171" s="69"/>
      <c r="N171" s="69"/>
      <c r="O171" s="69"/>
      <c r="P171" s="69"/>
      <c r="Q171" s="69"/>
      <c r="R171" s="69"/>
      <c r="S171" s="131"/>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c r="AX171" s="96"/>
      <c r="AY171" s="69"/>
      <c r="AZ171" s="69"/>
      <c r="BA171" s="69"/>
      <c r="BB171" s="69"/>
      <c r="BC171" s="69"/>
      <c r="BD171" s="69"/>
      <c r="BE171" s="69"/>
    </row>
    <row r="172" spans="1:87" ht="72" x14ac:dyDescent="0.2">
      <c r="A172" s="25" t="s">
        <v>3911</v>
      </c>
      <c r="B172" s="218" t="s">
        <v>3769</v>
      </c>
      <c r="C172" s="47"/>
      <c r="D172" s="60"/>
      <c r="E172" s="47"/>
      <c r="F172" s="62"/>
      <c r="G172" s="117"/>
      <c r="H172" s="117"/>
      <c r="I172" s="121"/>
      <c r="J172" s="47"/>
      <c r="K172" s="46"/>
      <c r="L172" s="46"/>
      <c r="M172" s="47"/>
      <c r="N172" s="47"/>
      <c r="O172" s="47"/>
      <c r="P172" s="47"/>
      <c r="Q172" s="20"/>
      <c r="R172" s="20"/>
      <c r="S172" s="130"/>
      <c r="T172" s="44"/>
      <c r="U172" s="44"/>
      <c r="V172" s="20"/>
      <c r="W172" s="47"/>
      <c r="X172" s="20"/>
      <c r="Y172" s="20"/>
      <c r="Z172" s="20"/>
      <c r="AA172" s="47"/>
      <c r="AB172" s="47"/>
      <c r="AC172" s="47"/>
      <c r="AD172" s="47"/>
      <c r="AE172" s="47"/>
      <c r="AF172" s="47"/>
      <c r="AG172" s="47"/>
      <c r="AH172" s="47"/>
      <c r="AI172" s="47"/>
      <c r="AJ172" s="47"/>
      <c r="AK172" s="47"/>
      <c r="AL172" s="47"/>
      <c r="AM172" s="47"/>
      <c r="AN172" s="47"/>
      <c r="AO172" s="47"/>
      <c r="AP172" s="47"/>
      <c r="AQ172" s="47"/>
      <c r="AR172" s="47"/>
      <c r="AS172" s="47"/>
      <c r="AT172" s="46"/>
      <c r="AU172" s="46"/>
      <c r="AV172" s="46"/>
      <c r="AW172" s="46"/>
      <c r="AX172" s="46"/>
      <c r="AY172" s="46"/>
      <c r="AZ172" s="46"/>
      <c r="BA172" s="47"/>
      <c r="BB172" s="47"/>
      <c r="BC172" s="46"/>
      <c r="BD172" s="47"/>
      <c r="BE172" s="47"/>
    </row>
    <row r="173" spans="1:87" x14ac:dyDescent="0.2">
      <c r="A173" s="76" t="s">
        <v>402</v>
      </c>
      <c r="B173" s="219"/>
      <c r="C173" s="69"/>
      <c r="D173" s="69"/>
      <c r="E173" s="69"/>
      <c r="F173" s="106"/>
      <c r="G173" s="128"/>
      <c r="H173" s="128"/>
      <c r="I173" s="107"/>
      <c r="J173" s="69"/>
      <c r="K173" s="69"/>
      <c r="L173" s="69"/>
      <c r="M173" s="69"/>
      <c r="N173" s="69"/>
      <c r="O173" s="69"/>
      <c r="P173" s="69"/>
      <c r="Q173" s="69"/>
      <c r="R173" s="69"/>
      <c r="S173" s="131"/>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row>
    <row r="174" spans="1:87" x14ac:dyDescent="0.2">
      <c r="A174" s="28"/>
      <c r="B174" s="228"/>
      <c r="C174" s="48"/>
      <c r="D174" s="48"/>
      <c r="E174" s="48"/>
      <c r="F174" s="48"/>
      <c r="G174" s="113"/>
      <c r="H174" s="116"/>
      <c r="I174" s="48"/>
      <c r="J174" s="48"/>
      <c r="K174" s="82"/>
      <c r="L174" s="82"/>
      <c r="M174" s="82"/>
      <c r="N174" s="48"/>
      <c r="O174" s="48"/>
      <c r="P174" s="48"/>
      <c r="Q174" s="48"/>
      <c r="R174" s="48"/>
      <c r="S174" s="132"/>
      <c r="T174" s="48"/>
      <c r="U174" s="48"/>
      <c r="V174" s="48"/>
      <c r="W174" s="48"/>
      <c r="X174" s="58"/>
      <c r="Y174" s="48"/>
      <c r="Z174" s="48"/>
      <c r="AA174" s="58"/>
      <c r="AB174" s="58"/>
      <c r="AC174" s="48"/>
      <c r="AD174" s="48"/>
      <c r="AE174" s="48"/>
      <c r="AF174" s="48"/>
      <c r="AG174" s="48"/>
      <c r="AH174" s="48"/>
      <c r="AI174" s="48"/>
      <c r="AJ174" s="58"/>
      <c r="AK174" s="58"/>
      <c r="AL174" s="58"/>
      <c r="AM174" s="58"/>
      <c r="AN174" s="58"/>
      <c r="AO174" s="58"/>
      <c r="AP174" s="58"/>
      <c r="AQ174" s="58"/>
      <c r="AR174" s="48"/>
      <c r="AS174" s="48"/>
      <c r="AT174" s="48"/>
      <c r="AU174" s="48"/>
      <c r="AV174" s="48"/>
      <c r="AW174" s="48"/>
      <c r="AX174" s="48"/>
      <c r="AY174" s="48"/>
      <c r="AZ174" s="48"/>
      <c r="BA174" s="82"/>
      <c r="BB174" s="58"/>
      <c r="BC174" s="82"/>
      <c r="BE174" s="82"/>
    </row>
    <row r="175" spans="1:87" ht="18" x14ac:dyDescent="0.2">
      <c r="A175" s="91" t="s">
        <v>27</v>
      </c>
      <c r="B175" s="229"/>
      <c r="C175" s="52" t="str">
        <f>C1</f>
        <v>Allianz inkl. SicherheitPlus</v>
      </c>
      <c r="D175" s="52" t="str">
        <f>D1</f>
        <v>Alte Leipziger comfort</v>
      </c>
      <c r="E175" s="52" t="str">
        <f>E1</f>
        <v>ARAG Basis (Wohnfläche)</v>
      </c>
      <c r="F175" s="124" t="str">
        <f>F1</f>
        <v>ARAG Comfort (Wohnfläche)</v>
      </c>
      <c r="G175" s="243" t="s">
        <v>3310</v>
      </c>
      <c r="H175" s="243" t="s">
        <v>3311</v>
      </c>
      <c r="I175" s="244" t="str">
        <f t="shared" ref="I175:P175" si="18">I1</f>
        <v>Baden Badener TOP (WF)</v>
      </c>
      <c r="J175" s="241" t="str">
        <f t="shared" si="18"/>
        <v>Basler Ambiente Top</v>
      </c>
      <c r="K175" s="241" t="str">
        <f t="shared" si="18"/>
        <v>Debeka Basis</v>
      </c>
      <c r="L175" s="241" t="str">
        <f t="shared" si="18"/>
        <v>Debeka Standard</v>
      </c>
      <c r="M175" s="241" t="str">
        <f t="shared" si="18"/>
        <v>Debeka Top</v>
      </c>
      <c r="N175" s="241" t="str">
        <f t="shared" si="18"/>
        <v>die Bayerische Komfort</v>
      </c>
      <c r="O175" s="241" t="str">
        <f t="shared" si="18"/>
        <v>die Bayerische Prestige</v>
      </c>
      <c r="P175" s="241" t="str">
        <f t="shared" si="18"/>
        <v>die Bayerische Smart</v>
      </c>
      <c r="Q175" s="241" t="str">
        <f>Q1</f>
        <v>Domcura Komfort</v>
      </c>
      <c r="R175" s="241" t="str">
        <f>R1</f>
        <v>Domcura Top</v>
      </c>
      <c r="S175" s="135" t="s">
        <v>3316</v>
      </c>
      <c r="T175" s="241" t="str">
        <f t="shared" ref="T175:AB175" si="19">T1</f>
        <v>ERGO</v>
      </c>
      <c r="U175" s="241" t="str">
        <f t="shared" si="19"/>
        <v>ERGO spezial</v>
      </c>
      <c r="V175" s="241" t="str">
        <f t="shared" si="19"/>
        <v>Generali Basis (qm)</v>
      </c>
      <c r="W175" s="241" t="str">
        <f t="shared" si="19"/>
        <v>Generali KomfortPlus (qm)</v>
      </c>
      <c r="X175" s="241" t="str">
        <f t="shared" si="19"/>
        <v>Gothaer (qm)</v>
      </c>
      <c r="Y175" s="241" t="str">
        <f t="shared" si="19"/>
        <v>Gothaer Top (qm)</v>
      </c>
      <c r="Z175" s="241" t="str">
        <f t="shared" si="19"/>
        <v>Gothaer Top Plus (qm)</v>
      </c>
      <c r="AA175" s="241" t="str">
        <f t="shared" si="19"/>
        <v>HDI Privatschutz (Wohnfläche)</v>
      </c>
      <c r="AB175" s="241" t="str">
        <f t="shared" si="19"/>
        <v>Helvetia Komfort</v>
      </c>
      <c r="AC175" s="241" t="str">
        <f t="shared" ref="AC175:AJ175" si="20">AC1</f>
        <v>HFK afm mit Zusatzdeckung</v>
      </c>
      <c r="AD175" s="241" t="str">
        <f t="shared" si="20"/>
        <v>HFK afm ohne Zusatzdeckung</v>
      </c>
      <c r="AE175" s="241" t="str">
        <f t="shared" si="20"/>
        <v>Hiscox Haus &amp; Kunst</v>
      </c>
      <c r="AF175" s="241" t="str">
        <f t="shared" si="20"/>
        <v>HUK Classic</v>
      </c>
      <c r="AG175" s="241" t="str">
        <f t="shared" si="20"/>
        <v>HUK Plus</v>
      </c>
      <c r="AH175" s="241" t="str">
        <f t="shared" si="20"/>
        <v>InterRisk XL</v>
      </c>
      <c r="AI175" s="241" t="str">
        <f t="shared" si="20"/>
        <v>InterRisk XXL</v>
      </c>
      <c r="AJ175" s="241" t="str">
        <f t="shared" si="20"/>
        <v>ITL afm Eurosecure 2009</v>
      </c>
      <c r="AK175" s="245" t="s">
        <v>3552</v>
      </c>
      <c r="AL175" s="245" t="s">
        <v>3551</v>
      </c>
      <c r="AM175" s="245" t="s">
        <v>3550</v>
      </c>
      <c r="AN175" s="245" t="s">
        <v>3549</v>
      </c>
      <c r="AO175" s="241" t="str">
        <f>AO1</f>
        <v>Itzehoer Basis</v>
      </c>
      <c r="AP175" s="241" t="str">
        <f>AP1</f>
        <v>Itzehoer Plus</v>
      </c>
      <c r="AQ175" s="241"/>
      <c r="AR175" s="241"/>
      <c r="AS175" s="241"/>
      <c r="AT175" s="241" t="str">
        <f t="shared" ref="AT175:AY175" si="21">AT1</f>
        <v>Nürnberger KomplettSchutz (Wert 1914)</v>
      </c>
      <c r="AU175" s="241" t="str">
        <f t="shared" si="21"/>
        <v>Provinzial Kompaktschutz</v>
      </c>
      <c r="AV175" s="241" t="str">
        <f t="shared" si="21"/>
        <v>Provinzial Rundum inkl. Plus</v>
      </c>
      <c r="AW175" s="241" t="str">
        <f t="shared" si="21"/>
        <v>Provinzial Rundumschutz</v>
      </c>
      <c r="AX175" s="241" t="str">
        <f t="shared" si="21"/>
        <v>R+V PrivatPolice (Fläche)</v>
      </c>
      <c r="AY175" s="241" t="str">
        <f t="shared" si="21"/>
        <v>VdVA</v>
      </c>
      <c r="AZ175" s="243" t="s">
        <v>3496</v>
      </c>
      <c r="BA175" s="241" t="str">
        <f>BA1</f>
        <v>VHV Klassik Garant</v>
      </c>
      <c r="BB175" s="241" t="str">
        <f>BB1</f>
        <v>VHV Klassik Garant Exklusiv</v>
      </c>
      <c r="BC175" s="246" t="str">
        <f>BC1</f>
        <v>VKB Kompakt</v>
      </c>
      <c r="BD175" s="246" t="str">
        <f>BD1</f>
        <v>VKB Optimal</v>
      </c>
      <c r="BE175" s="241" t="str">
        <f>BE1</f>
        <v>WÜBA Plus</v>
      </c>
    </row>
    <row r="176" spans="1:87" x14ac:dyDescent="0.2">
      <c r="A176" s="25" t="s">
        <v>3675</v>
      </c>
      <c r="B176" s="218"/>
      <c r="C176" s="46"/>
      <c r="D176" s="46"/>
      <c r="E176" s="47"/>
      <c r="F176" s="62"/>
      <c r="G176" s="117"/>
      <c r="H176" s="117"/>
      <c r="I176" s="121"/>
      <c r="J176" s="46"/>
      <c r="K176" s="47"/>
      <c r="L176" s="47"/>
      <c r="M176" s="47"/>
      <c r="N176" s="47"/>
      <c r="O176" s="47"/>
      <c r="P176" s="47"/>
      <c r="Q176" s="20"/>
      <c r="R176" s="20"/>
      <c r="S176" s="130"/>
      <c r="T176" s="20"/>
      <c r="U176" s="20"/>
      <c r="V176" s="20"/>
      <c r="W176" s="44"/>
      <c r="X176" s="46"/>
      <c r="Y176" s="44"/>
      <c r="Z176" s="44"/>
      <c r="AA176" s="47"/>
      <c r="AB176" s="47"/>
      <c r="AC176" s="46"/>
      <c r="AD176" s="46"/>
      <c r="AE176" s="46"/>
      <c r="AF176" s="46"/>
      <c r="AG176" s="46"/>
      <c r="AH176" s="46"/>
      <c r="AI176" s="46"/>
      <c r="AJ176" s="46"/>
      <c r="AK176" s="46"/>
      <c r="AL176" s="46"/>
      <c r="AM176" s="46"/>
      <c r="AN176" s="46"/>
      <c r="AO176" s="47"/>
      <c r="AP176" s="156"/>
      <c r="AQ176" s="46"/>
      <c r="AR176" s="44"/>
      <c r="AS176" s="44"/>
      <c r="AT176" s="46"/>
      <c r="AU176" s="46"/>
      <c r="AV176" s="46"/>
      <c r="AW176" s="46"/>
      <c r="AX176" s="46"/>
      <c r="AY176" s="46"/>
      <c r="AZ176" s="46"/>
      <c r="BA176" s="47"/>
      <c r="BB176" s="46"/>
      <c r="BC176" s="47"/>
      <c r="BD176" s="47"/>
      <c r="BE176" s="47"/>
    </row>
    <row r="177" spans="1:57" x14ac:dyDescent="0.2">
      <c r="A177" s="76" t="s">
        <v>402</v>
      </c>
      <c r="B177" s="219"/>
      <c r="C177" s="69"/>
      <c r="D177" s="69"/>
      <c r="E177" s="69"/>
      <c r="F177" s="106"/>
      <c r="G177" s="128"/>
      <c r="H177" s="128"/>
      <c r="I177" s="107"/>
      <c r="J177" s="69"/>
      <c r="K177" s="69"/>
      <c r="L177" s="69"/>
      <c r="M177" s="69"/>
      <c r="N177" s="69"/>
      <c r="O177" s="69"/>
      <c r="P177" s="69"/>
      <c r="Q177" s="69"/>
      <c r="R177" s="69"/>
      <c r="S177" s="131"/>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96"/>
      <c r="AY177" s="69"/>
      <c r="AZ177" s="69"/>
      <c r="BA177" s="69"/>
      <c r="BB177" s="69"/>
      <c r="BC177" s="69"/>
      <c r="BD177" s="69"/>
      <c r="BE177" s="69"/>
    </row>
    <row r="178" spans="1:57" ht="27" x14ac:dyDescent="0.2">
      <c r="A178" s="25" t="s">
        <v>75</v>
      </c>
      <c r="B178" s="218"/>
      <c r="C178" s="46" t="s">
        <v>95</v>
      </c>
      <c r="D178" s="46" t="s">
        <v>95</v>
      </c>
      <c r="E178" s="47" t="s">
        <v>1410</v>
      </c>
      <c r="F178" s="62" t="s">
        <v>1410</v>
      </c>
      <c r="G178" s="117" t="s">
        <v>95</v>
      </c>
      <c r="H178" s="117" t="s">
        <v>95</v>
      </c>
      <c r="I178" s="121" t="s">
        <v>2528</v>
      </c>
      <c r="J178" s="46" t="s">
        <v>95</v>
      </c>
      <c r="K178" s="47" t="s">
        <v>2394</v>
      </c>
      <c r="L178" s="47" t="s">
        <v>2419</v>
      </c>
      <c r="M178" s="47" t="s">
        <v>2420</v>
      </c>
      <c r="N178" s="47" t="s">
        <v>95</v>
      </c>
      <c r="O178" s="47" t="s">
        <v>95</v>
      </c>
      <c r="P178" s="47" t="s">
        <v>95</v>
      </c>
      <c r="Q178" s="20" t="s">
        <v>183</v>
      </c>
      <c r="R178" s="20" t="s">
        <v>183</v>
      </c>
      <c r="S178" s="130" t="s">
        <v>95</v>
      </c>
      <c r="T178" s="20" t="s">
        <v>105</v>
      </c>
      <c r="U178" s="20" t="s">
        <v>105</v>
      </c>
      <c r="V178" s="20" t="s">
        <v>15</v>
      </c>
      <c r="W178" s="44" t="s">
        <v>95</v>
      </c>
      <c r="X178" s="46" t="s">
        <v>15</v>
      </c>
      <c r="Y178" s="44" t="s">
        <v>2211</v>
      </c>
      <c r="Z178" s="44" t="s">
        <v>2209</v>
      </c>
      <c r="AA178" s="47" t="s">
        <v>2429</v>
      </c>
      <c r="AB178" s="47" t="s">
        <v>95</v>
      </c>
      <c r="AC178" s="46" t="s">
        <v>95</v>
      </c>
      <c r="AD178" s="46" t="s">
        <v>105</v>
      </c>
      <c r="AE178" s="46" t="s">
        <v>95</v>
      </c>
      <c r="AF178" s="46" t="s">
        <v>95</v>
      </c>
      <c r="AG178" s="46" t="s">
        <v>95</v>
      </c>
      <c r="AH178" s="46" t="s">
        <v>2209</v>
      </c>
      <c r="AI178" s="46" t="s">
        <v>95</v>
      </c>
      <c r="AJ178" s="46" t="s">
        <v>95</v>
      </c>
      <c r="AK178" s="46" t="s">
        <v>95</v>
      </c>
      <c r="AL178" s="46" t="s">
        <v>95</v>
      </c>
      <c r="AM178" s="46" t="s">
        <v>95</v>
      </c>
      <c r="AN178" s="46" t="s">
        <v>95</v>
      </c>
      <c r="AO178" s="47" t="s">
        <v>105</v>
      </c>
      <c r="AP178" s="156" t="s">
        <v>95</v>
      </c>
      <c r="AQ178" s="46" t="s">
        <v>23</v>
      </c>
      <c r="AR178" s="44" t="s">
        <v>95</v>
      </c>
      <c r="AS178" s="44" t="s">
        <v>15</v>
      </c>
      <c r="AT178" s="46" t="s">
        <v>95</v>
      </c>
      <c r="AU178" s="46" t="s">
        <v>345</v>
      </c>
      <c r="AV178" s="46" t="s">
        <v>95</v>
      </c>
      <c r="AW178" s="46" t="s">
        <v>95</v>
      </c>
      <c r="AX178" s="46" t="s">
        <v>95</v>
      </c>
      <c r="AY178" s="46" t="s">
        <v>95</v>
      </c>
      <c r="AZ178" s="46" t="s">
        <v>3482</v>
      </c>
      <c r="BA178" s="47" t="s">
        <v>169</v>
      </c>
      <c r="BB178" s="46" t="s">
        <v>3545</v>
      </c>
      <c r="BC178" s="47" t="s">
        <v>1216</v>
      </c>
      <c r="BD178" s="47" t="s">
        <v>95</v>
      </c>
      <c r="BE178" s="47" t="s">
        <v>95</v>
      </c>
    </row>
    <row r="179" spans="1:57" ht="27" x14ac:dyDescent="0.2">
      <c r="A179" s="76" t="s">
        <v>402</v>
      </c>
      <c r="B179" s="219"/>
      <c r="C179" s="69" t="s">
        <v>3715</v>
      </c>
      <c r="D179" s="69" t="s">
        <v>3264</v>
      </c>
      <c r="E179" s="69" t="s">
        <v>1481</v>
      </c>
      <c r="F179" s="106" t="s">
        <v>1481</v>
      </c>
      <c r="G179" s="128"/>
      <c r="H179" s="128"/>
      <c r="I179" s="107" t="s">
        <v>1745</v>
      </c>
      <c r="J179" s="69" t="s">
        <v>1322</v>
      </c>
      <c r="K179" s="69" t="s">
        <v>2418</v>
      </c>
      <c r="L179" s="69" t="s">
        <v>2418</v>
      </c>
      <c r="M179" s="69" t="s">
        <v>2418</v>
      </c>
      <c r="N179" s="69" t="s">
        <v>3070</v>
      </c>
      <c r="O179" s="69" t="s">
        <v>3070</v>
      </c>
      <c r="P179" s="69" t="s">
        <v>3070</v>
      </c>
      <c r="Q179" s="69" t="s">
        <v>500</v>
      </c>
      <c r="R179" s="69" t="s">
        <v>500</v>
      </c>
      <c r="S179" s="131"/>
      <c r="T179" s="69"/>
      <c r="U179" s="69"/>
      <c r="V179" s="69" t="s">
        <v>547</v>
      </c>
      <c r="W179" s="69" t="s">
        <v>547</v>
      </c>
      <c r="X179" s="69" t="s">
        <v>2275</v>
      </c>
      <c r="Y179" s="69" t="s">
        <v>2237</v>
      </c>
      <c r="Z179" s="69" t="s">
        <v>2217</v>
      </c>
      <c r="AA179" s="69" t="s">
        <v>2474</v>
      </c>
      <c r="AB179" s="69" t="s">
        <v>2337</v>
      </c>
      <c r="AC179" s="69" t="s">
        <v>610</v>
      </c>
      <c r="AD179" s="69" t="s">
        <v>591</v>
      </c>
      <c r="AE179" s="69"/>
      <c r="AF179" s="69"/>
      <c r="AG179" s="69"/>
      <c r="AH179" s="69" t="s">
        <v>2717</v>
      </c>
      <c r="AI179" s="69" t="s">
        <v>1665</v>
      </c>
      <c r="AJ179" s="69" t="s">
        <v>1820</v>
      </c>
      <c r="AK179" s="69" t="s">
        <v>3555</v>
      </c>
      <c r="AL179" s="69" t="s">
        <v>3555</v>
      </c>
      <c r="AM179" s="69" t="s">
        <v>3555</v>
      </c>
      <c r="AN179" s="69" t="s">
        <v>3555</v>
      </c>
      <c r="AO179" s="69" t="s">
        <v>777</v>
      </c>
      <c r="AP179" s="69" t="s">
        <v>777</v>
      </c>
      <c r="AQ179" s="69" t="s">
        <v>2993</v>
      </c>
      <c r="AR179" s="69" t="s">
        <v>3001</v>
      </c>
      <c r="AS179" s="69" t="s">
        <v>3001</v>
      </c>
      <c r="AT179" s="69" t="s">
        <v>1223</v>
      </c>
      <c r="AU179" s="69" t="s">
        <v>918</v>
      </c>
      <c r="AV179" s="69" t="s">
        <v>878</v>
      </c>
      <c r="AW179" s="69" t="s">
        <v>878</v>
      </c>
      <c r="AX179" s="96" t="s">
        <v>1039</v>
      </c>
      <c r="AY179" s="69" t="s">
        <v>1948</v>
      </c>
      <c r="AZ179" s="69" t="s">
        <v>3483</v>
      </c>
      <c r="BA179" s="69"/>
      <c r="BB179" s="69"/>
      <c r="BC179" s="69" t="s">
        <v>1217</v>
      </c>
      <c r="BD179" s="69" t="s">
        <v>1189</v>
      </c>
      <c r="BE179" s="69" t="s">
        <v>1502</v>
      </c>
    </row>
    <row r="180" spans="1:57" x14ac:dyDescent="0.2">
      <c r="A180" s="162" t="s">
        <v>4259</v>
      </c>
      <c r="B180" s="218"/>
      <c r="C180" s="186"/>
      <c r="D180" s="186"/>
      <c r="E180" s="183"/>
      <c r="F180" s="192"/>
      <c r="G180" s="184"/>
      <c r="H180" s="184"/>
      <c r="I180" s="193"/>
      <c r="J180" s="186"/>
      <c r="K180" s="183"/>
      <c r="L180" s="183"/>
      <c r="M180" s="183"/>
      <c r="N180" s="183"/>
      <c r="O180" s="183"/>
      <c r="P180" s="183"/>
      <c r="Q180" s="195"/>
      <c r="R180" s="195"/>
      <c r="S180" s="185"/>
      <c r="T180" s="186"/>
      <c r="U180" s="186"/>
      <c r="V180" s="194"/>
      <c r="W180" s="195"/>
      <c r="X180" s="186"/>
      <c r="Y180" s="195"/>
      <c r="Z180" s="195"/>
      <c r="AA180" s="183"/>
      <c r="AB180" s="183"/>
      <c r="AC180" s="183"/>
      <c r="AD180" s="183"/>
      <c r="AE180" s="183"/>
      <c r="AF180" s="186"/>
      <c r="AG180" s="186"/>
      <c r="AH180" s="186"/>
      <c r="AI180" s="186"/>
      <c r="AJ180" s="186"/>
      <c r="AK180" s="186"/>
      <c r="AL180" s="186"/>
      <c r="AM180" s="186"/>
      <c r="AN180" s="186"/>
      <c r="AO180" s="183"/>
      <c r="AP180" s="183"/>
      <c r="AQ180" s="198"/>
      <c r="AR180" s="195"/>
      <c r="AS180" s="198"/>
      <c r="AT180" s="183"/>
      <c r="AU180" s="186"/>
      <c r="AV180" s="186"/>
      <c r="AW180" s="186"/>
      <c r="AX180" s="186"/>
      <c r="AY180" s="186"/>
      <c r="AZ180" s="186"/>
      <c r="BA180" s="203"/>
      <c r="BB180" s="183"/>
      <c r="BC180" s="186"/>
      <c r="BD180" s="183"/>
      <c r="BE180" s="183"/>
    </row>
    <row r="181" spans="1:57" x14ac:dyDescent="0.2">
      <c r="A181" s="76" t="s">
        <v>402</v>
      </c>
      <c r="B181" s="219"/>
      <c r="C181" s="69"/>
      <c r="D181" s="69"/>
      <c r="E181" s="69"/>
      <c r="F181" s="106"/>
      <c r="G181" s="128"/>
      <c r="H181" s="128"/>
      <c r="I181" s="107"/>
      <c r="J181" s="69"/>
      <c r="K181" s="69"/>
      <c r="L181" s="69"/>
      <c r="M181" s="69"/>
      <c r="N181" s="69"/>
      <c r="O181" s="69"/>
      <c r="P181" s="69"/>
      <c r="Q181" s="69"/>
      <c r="R181" s="69"/>
      <c r="S181" s="131"/>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96"/>
      <c r="AY181" s="69"/>
      <c r="AZ181" s="69"/>
      <c r="BA181" s="69"/>
      <c r="BB181" s="69"/>
      <c r="BC181" s="69"/>
      <c r="BD181" s="69"/>
      <c r="BE181" s="69"/>
    </row>
    <row r="182" spans="1:57" ht="18" x14ac:dyDescent="0.2">
      <c r="A182" s="25" t="s">
        <v>74</v>
      </c>
      <c r="B182" s="218"/>
      <c r="C182" s="47" t="s">
        <v>95</v>
      </c>
      <c r="D182" s="47" t="s">
        <v>95</v>
      </c>
      <c r="E182" s="47" t="s">
        <v>12</v>
      </c>
      <c r="F182" s="62" t="s">
        <v>1410</v>
      </c>
      <c r="G182" s="117" t="s">
        <v>173</v>
      </c>
      <c r="H182" s="117" t="s">
        <v>3307</v>
      </c>
      <c r="I182" s="121" t="s">
        <v>2530</v>
      </c>
      <c r="J182" s="47" t="s">
        <v>95</v>
      </c>
      <c r="K182" s="46" t="s">
        <v>3</v>
      </c>
      <c r="L182" s="46" t="s">
        <v>3</v>
      </c>
      <c r="M182" s="46" t="s">
        <v>2396</v>
      </c>
      <c r="N182" s="47" t="s">
        <v>2209</v>
      </c>
      <c r="O182" s="47" t="s">
        <v>183</v>
      </c>
      <c r="P182" s="47" t="s">
        <v>2998</v>
      </c>
      <c r="Q182" s="20" t="s">
        <v>183</v>
      </c>
      <c r="R182" s="20" t="s">
        <v>183</v>
      </c>
      <c r="S182" s="130" t="s">
        <v>95</v>
      </c>
      <c r="T182" s="46" t="s">
        <v>105</v>
      </c>
      <c r="U182" s="46" t="s">
        <v>105</v>
      </c>
      <c r="V182" s="20" t="s">
        <v>3</v>
      </c>
      <c r="W182" s="44" t="s">
        <v>95</v>
      </c>
      <c r="X182" s="46" t="s">
        <v>15</v>
      </c>
      <c r="Y182" s="44" t="s">
        <v>2211</v>
      </c>
      <c r="Z182" s="44" t="s">
        <v>2209</v>
      </c>
      <c r="AA182" s="47" t="s">
        <v>2435</v>
      </c>
      <c r="AB182" s="47" t="s">
        <v>95</v>
      </c>
      <c r="AC182" s="47" t="s">
        <v>95</v>
      </c>
      <c r="AD182" s="47" t="s">
        <v>3</v>
      </c>
      <c r="AE182" s="47" t="s">
        <v>95</v>
      </c>
      <c r="AF182" s="46" t="s">
        <v>95</v>
      </c>
      <c r="AG182" s="46" t="s">
        <v>95</v>
      </c>
      <c r="AH182" s="46" t="s">
        <v>173</v>
      </c>
      <c r="AI182" s="46" t="s">
        <v>95</v>
      </c>
      <c r="AJ182" s="46" t="s">
        <v>95</v>
      </c>
      <c r="AK182" s="46" t="s">
        <v>3</v>
      </c>
      <c r="AL182" s="46" t="s">
        <v>95</v>
      </c>
      <c r="AM182" s="46" t="s">
        <v>95</v>
      </c>
      <c r="AN182" s="46" t="s">
        <v>95</v>
      </c>
      <c r="AO182" s="47" t="s">
        <v>3</v>
      </c>
      <c r="AP182" s="47" t="s">
        <v>752</v>
      </c>
      <c r="AQ182" s="43" t="s">
        <v>3206</v>
      </c>
      <c r="AR182" s="44" t="s">
        <v>15</v>
      </c>
      <c r="AS182" s="43" t="s">
        <v>3206</v>
      </c>
      <c r="AT182" s="47" t="s">
        <v>1228</v>
      </c>
      <c r="AU182" s="46" t="s">
        <v>3</v>
      </c>
      <c r="AV182" s="46" t="s">
        <v>95</v>
      </c>
      <c r="AW182" s="46" t="s">
        <v>95</v>
      </c>
      <c r="AX182" s="46" t="s">
        <v>345</v>
      </c>
      <c r="AY182" s="46" t="s">
        <v>95</v>
      </c>
      <c r="AZ182" s="46" t="s">
        <v>3</v>
      </c>
      <c r="BA182" s="57" t="s">
        <v>3</v>
      </c>
      <c r="BB182" s="47" t="s">
        <v>12</v>
      </c>
      <c r="BC182" s="46" t="s">
        <v>3</v>
      </c>
      <c r="BD182" s="47" t="s">
        <v>0</v>
      </c>
      <c r="BE182" s="47" t="s">
        <v>1504</v>
      </c>
    </row>
    <row r="183" spans="1:57" ht="18" x14ac:dyDescent="0.2">
      <c r="A183" s="76" t="s">
        <v>402</v>
      </c>
      <c r="B183" s="219"/>
      <c r="C183" s="69" t="s">
        <v>2773</v>
      </c>
      <c r="D183" s="69" t="s">
        <v>3258</v>
      </c>
      <c r="E183" s="69" t="s">
        <v>1622</v>
      </c>
      <c r="F183" s="106" t="s">
        <v>1435</v>
      </c>
      <c r="G183" s="128"/>
      <c r="H183" s="128"/>
      <c r="I183" s="107" t="s">
        <v>2557</v>
      </c>
      <c r="J183" s="69" t="s">
        <v>1323</v>
      </c>
      <c r="K183" s="69" t="s">
        <v>671</v>
      </c>
      <c r="L183" s="69" t="s">
        <v>671</v>
      </c>
      <c r="M183" s="69" t="s">
        <v>2399</v>
      </c>
      <c r="N183" s="69" t="s">
        <v>3033</v>
      </c>
      <c r="O183" s="69" t="s">
        <v>2997</v>
      </c>
      <c r="P183" s="69" t="s">
        <v>3071</v>
      </c>
      <c r="Q183" s="69" t="s">
        <v>501</v>
      </c>
      <c r="R183" s="69" t="s">
        <v>501</v>
      </c>
      <c r="S183" s="131"/>
      <c r="T183" s="69"/>
      <c r="U183" s="69"/>
      <c r="V183" s="69" t="s">
        <v>3</v>
      </c>
      <c r="W183" s="69" t="s">
        <v>529</v>
      </c>
      <c r="X183" s="69" t="s">
        <v>2276</v>
      </c>
      <c r="Y183" s="69" t="s">
        <v>2237</v>
      </c>
      <c r="Z183" s="69" t="s">
        <v>2217</v>
      </c>
      <c r="AA183" s="69" t="s">
        <v>2432</v>
      </c>
      <c r="AB183" s="69" t="s">
        <v>1491</v>
      </c>
      <c r="AC183" s="69" t="s">
        <v>612</v>
      </c>
      <c r="AD183" s="69" t="s">
        <v>3</v>
      </c>
      <c r="AE183" s="69"/>
      <c r="AF183" s="69"/>
      <c r="AG183" s="69"/>
      <c r="AH183" s="69" t="s">
        <v>2738</v>
      </c>
      <c r="AI183" s="69" t="s">
        <v>1691</v>
      </c>
      <c r="AJ183" s="69" t="s">
        <v>1821</v>
      </c>
      <c r="AK183" s="69" t="s">
        <v>3</v>
      </c>
      <c r="AL183" s="69" t="s">
        <v>3573</v>
      </c>
      <c r="AM183" s="69" t="s">
        <v>3593</v>
      </c>
      <c r="AN183" s="69" t="s">
        <v>3613</v>
      </c>
      <c r="AO183" s="69" t="s">
        <v>778</v>
      </c>
      <c r="AP183" s="69" t="s">
        <v>753</v>
      </c>
      <c r="AQ183" s="69" t="s">
        <v>2993</v>
      </c>
      <c r="AR183" s="69" t="s">
        <v>3191</v>
      </c>
      <c r="AS183" s="69" t="s">
        <v>3001</v>
      </c>
      <c r="AT183" s="69" t="s">
        <v>1227</v>
      </c>
      <c r="AU183" s="69" t="s">
        <v>3</v>
      </c>
      <c r="AV183" s="69" t="s">
        <v>879</v>
      </c>
      <c r="AW183" s="69" t="s">
        <v>879</v>
      </c>
      <c r="AX183" s="96" t="s">
        <v>1042</v>
      </c>
      <c r="AY183" s="69" t="s">
        <v>1990</v>
      </c>
      <c r="AZ183" s="69"/>
      <c r="BA183" s="69"/>
      <c r="BB183" s="69"/>
      <c r="BC183" s="69" t="s">
        <v>3</v>
      </c>
      <c r="BD183" s="69" t="s">
        <v>1181</v>
      </c>
      <c r="BE183" s="69" t="s">
        <v>1491</v>
      </c>
    </row>
    <row r="184" spans="1:57" ht="18" x14ac:dyDescent="0.2">
      <c r="A184" s="162" t="s">
        <v>72</v>
      </c>
      <c r="B184" s="218" t="s">
        <v>3748</v>
      </c>
      <c r="C184" s="186" t="s">
        <v>3</v>
      </c>
      <c r="D184" s="186" t="s">
        <v>95</v>
      </c>
      <c r="E184" s="183" t="s">
        <v>95</v>
      </c>
      <c r="F184" s="192" t="s">
        <v>95</v>
      </c>
      <c r="G184" s="184" t="s">
        <v>95</v>
      </c>
      <c r="H184" s="184" t="s">
        <v>95</v>
      </c>
      <c r="I184" s="193" t="s">
        <v>2530</v>
      </c>
      <c r="J184" s="186" t="s">
        <v>798</v>
      </c>
      <c r="K184" s="183" t="s">
        <v>2394</v>
      </c>
      <c r="L184" s="183" t="s">
        <v>2395</v>
      </c>
      <c r="M184" s="183" t="s">
        <v>2419</v>
      </c>
      <c r="N184" s="183" t="s">
        <v>95</v>
      </c>
      <c r="O184" s="183" t="s">
        <v>95</v>
      </c>
      <c r="P184" s="183" t="s">
        <v>95</v>
      </c>
      <c r="Q184" s="195" t="s">
        <v>183</v>
      </c>
      <c r="R184" s="195" t="s">
        <v>183</v>
      </c>
      <c r="S184" s="185" t="s">
        <v>95</v>
      </c>
      <c r="T184" s="186" t="s">
        <v>105</v>
      </c>
      <c r="U184" s="186" t="s">
        <v>105</v>
      </c>
      <c r="V184" s="194" t="s">
        <v>15</v>
      </c>
      <c r="W184" s="195" t="s">
        <v>95</v>
      </c>
      <c r="X184" s="186" t="s">
        <v>15</v>
      </c>
      <c r="Y184" s="195" t="s">
        <v>2211</v>
      </c>
      <c r="Z184" s="195" t="s">
        <v>2209</v>
      </c>
      <c r="AA184" s="183" t="s">
        <v>2429</v>
      </c>
      <c r="AB184" s="183" t="s">
        <v>95</v>
      </c>
      <c r="AC184" s="186" t="s">
        <v>95</v>
      </c>
      <c r="AD184" s="186" t="s">
        <v>104</v>
      </c>
      <c r="AE184" s="183" t="s">
        <v>810</v>
      </c>
      <c r="AF184" s="186" t="s">
        <v>95</v>
      </c>
      <c r="AG184" s="186" t="s">
        <v>95</v>
      </c>
      <c r="AH184" s="186" t="s">
        <v>95</v>
      </c>
      <c r="AI184" s="186" t="s">
        <v>95</v>
      </c>
      <c r="AJ184" s="186" t="s">
        <v>95</v>
      </c>
      <c r="AK184" s="186" t="s">
        <v>3</v>
      </c>
      <c r="AL184" s="186" t="s">
        <v>95</v>
      </c>
      <c r="AM184" s="186" t="s">
        <v>95</v>
      </c>
      <c r="AN184" s="186" t="s">
        <v>95</v>
      </c>
      <c r="AO184" s="186" t="s">
        <v>95</v>
      </c>
      <c r="AP184" s="186" t="s">
        <v>95</v>
      </c>
      <c r="AQ184" s="183" t="s">
        <v>95</v>
      </c>
      <c r="AR184" s="183" t="s">
        <v>95</v>
      </c>
      <c r="AS184" s="183" t="s">
        <v>95</v>
      </c>
      <c r="AT184" s="186" t="s">
        <v>95</v>
      </c>
      <c r="AU184" s="186" t="s">
        <v>95</v>
      </c>
      <c r="AV184" s="186" t="s">
        <v>95</v>
      </c>
      <c r="AW184" s="186" t="s">
        <v>95</v>
      </c>
      <c r="AX184" s="186" t="s">
        <v>95</v>
      </c>
      <c r="AY184" s="186" t="s">
        <v>95</v>
      </c>
      <c r="AZ184" s="186" t="s">
        <v>95</v>
      </c>
      <c r="BA184" s="183" t="s">
        <v>95</v>
      </c>
      <c r="BB184" s="186" t="s">
        <v>95</v>
      </c>
      <c r="BC184" s="183" t="s">
        <v>1216</v>
      </c>
      <c r="BD184" s="183" t="s">
        <v>95</v>
      </c>
      <c r="BE184" s="183" t="s">
        <v>105</v>
      </c>
    </row>
    <row r="185" spans="1:57" ht="18" x14ac:dyDescent="0.2">
      <c r="A185" s="76" t="s">
        <v>402</v>
      </c>
      <c r="B185" s="219"/>
      <c r="C185" s="69" t="s">
        <v>2813</v>
      </c>
      <c r="D185" s="69" t="s">
        <v>1598</v>
      </c>
      <c r="E185" s="69" t="s">
        <v>1480</v>
      </c>
      <c r="F185" s="106" t="s">
        <v>1480</v>
      </c>
      <c r="G185" s="128"/>
      <c r="H185" s="128"/>
      <c r="I185" s="107" t="s">
        <v>2563</v>
      </c>
      <c r="J185" s="69" t="s">
        <v>1324</v>
      </c>
      <c r="K185" s="69" t="s">
        <v>2421</v>
      </c>
      <c r="L185" s="69" t="s">
        <v>2421</v>
      </c>
      <c r="M185" s="69" t="s">
        <v>2421</v>
      </c>
      <c r="N185" s="69" t="s">
        <v>3093</v>
      </c>
      <c r="O185" s="69" t="s">
        <v>3093</v>
      </c>
      <c r="P185" s="69" t="s">
        <v>3094</v>
      </c>
      <c r="Q185" s="69" t="s">
        <v>508</v>
      </c>
      <c r="R185" s="69" t="s">
        <v>508</v>
      </c>
      <c r="S185" s="131"/>
      <c r="T185" s="69"/>
      <c r="U185" s="69"/>
      <c r="V185" s="69" t="s">
        <v>549</v>
      </c>
      <c r="W185" s="69" t="s">
        <v>549</v>
      </c>
      <c r="X185" s="69" t="s">
        <v>3112</v>
      </c>
      <c r="Y185" s="69" t="s">
        <v>2230</v>
      </c>
      <c r="Z185" s="69" t="s">
        <v>2217</v>
      </c>
      <c r="AA185" s="69" t="s">
        <v>2481</v>
      </c>
      <c r="AB185" s="69" t="s">
        <v>2356</v>
      </c>
      <c r="AC185" s="69" t="s">
        <v>611</v>
      </c>
      <c r="AD185" s="69" t="s">
        <v>592</v>
      </c>
      <c r="AE185" s="69"/>
      <c r="AF185" s="69"/>
      <c r="AG185" s="69"/>
      <c r="AH185" s="69" t="s">
        <v>2735</v>
      </c>
      <c r="AI185" s="69" t="s">
        <v>1697</v>
      </c>
      <c r="AJ185" s="69" t="s">
        <v>1803</v>
      </c>
      <c r="AK185" s="69" t="s">
        <v>3</v>
      </c>
      <c r="AL185" s="69" t="s">
        <v>1756</v>
      </c>
      <c r="AM185" s="69" t="s">
        <v>1803</v>
      </c>
      <c r="AN185" s="69" t="s">
        <v>1803</v>
      </c>
      <c r="AO185" s="69" t="s">
        <v>780</v>
      </c>
      <c r="AP185" s="69" t="s">
        <v>780</v>
      </c>
      <c r="AQ185" s="69" t="s">
        <v>3219</v>
      </c>
      <c r="AR185" s="69" t="s">
        <v>3219</v>
      </c>
      <c r="AS185" s="69" t="s">
        <v>3219</v>
      </c>
      <c r="AT185" s="69" t="s">
        <v>1262</v>
      </c>
      <c r="AU185" s="69" t="s">
        <v>937</v>
      </c>
      <c r="AV185" s="69" t="s">
        <v>937</v>
      </c>
      <c r="AW185" s="69" t="s">
        <v>937</v>
      </c>
      <c r="AX185" s="96" t="s">
        <v>1055</v>
      </c>
      <c r="AY185" s="69" t="s">
        <v>1992</v>
      </c>
      <c r="AZ185" s="69" t="s">
        <v>3485</v>
      </c>
      <c r="BA185" s="69"/>
      <c r="BB185" s="69"/>
      <c r="BC185" s="69" t="s">
        <v>1214</v>
      </c>
      <c r="BD185" s="69" t="s">
        <v>1197</v>
      </c>
      <c r="BE185" s="69" t="s">
        <v>1502</v>
      </c>
    </row>
    <row r="186" spans="1:57" ht="27" x14ac:dyDescent="0.2">
      <c r="A186" s="162" t="s">
        <v>4845</v>
      </c>
      <c r="B186" s="218"/>
      <c r="C186" s="186" t="s">
        <v>3</v>
      </c>
      <c r="D186" s="186" t="s">
        <v>95</v>
      </c>
      <c r="E186" s="183" t="s">
        <v>3</v>
      </c>
      <c r="F186" s="192" t="s">
        <v>95</v>
      </c>
      <c r="G186" s="184" t="s">
        <v>95</v>
      </c>
      <c r="H186" s="184" t="s">
        <v>95</v>
      </c>
      <c r="I186" s="193" t="s">
        <v>23</v>
      </c>
      <c r="J186" s="186" t="s">
        <v>95</v>
      </c>
      <c r="K186" s="186" t="s">
        <v>3</v>
      </c>
      <c r="L186" s="186" t="s">
        <v>2394</v>
      </c>
      <c r="M186" s="186" t="s">
        <v>2395</v>
      </c>
      <c r="N186" s="183" t="s">
        <v>2209</v>
      </c>
      <c r="O186" s="183" t="s">
        <v>183</v>
      </c>
      <c r="P186" s="183" t="s">
        <v>3</v>
      </c>
      <c r="Q186" s="194" t="s">
        <v>183</v>
      </c>
      <c r="R186" s="194" t="s">
        <v>183</v>
      </c>
      <c r="S186" s="185" t="s">
        <v>95</v>
      </c>
      <c r="T186" s="198" t="s">
        <v>3500</v>
      </c>
      <c r="U186" s="198" t="s">
        <v>3500</v>
      </c>
      <c r="V186" s="194" t="s">
        <v>3</v>
      </c>
      <c r="W186" s="195" t="s">
        <v>95</v>
      </c>
      <c r="X186" s="195" t="s">
        <v>3</v>
      </c>
      <c r="Y186" s="195" t="s">
        <v>3</v>
      </c>
      <c r="Z186" s="195" t="s">
        <v>3</v>
      </c>
      <c r="AA186" s="183" t="s">
        <v>2482</v>
      </c>
      <c r="AB186" s="183" t="s">
        <v>95</v>
      </c>
      <c r="AC186" s="186" t="s">
        <v>3</v>
      </c>
      <c r="AD186" s="186" t="s">
        <v>3</v>
      </c>
      <c r="AE186" s="186" t="s">
        <v>95</v>
      </c>
      <c r="AF186" s="186" t="s">
        <v>23</v>
      </c>
      <c r="AG186" s="186" t="s">
        <v>23</v>
      </c>
      <c r="AH186" s="186" t="s">
        <v>95</v>
      </c>
      <c r="AI186" s="186" t="s">
        <v>95</v>
      </c>
      <c r="AJ186" s="183" t="s">
        <v>3</v>
      </c>
      <c r="AK186" s="186" t="s">
        <v>3</v>
      </c>
      <c r="AL186" s="183" t="s">
        <v>3</v>
      </c>
      <c r="AM186" s="186" t="s">
        <v>95</v>
      </c>
      <c r="AN186" s="186" t="s">
        <v>3</v>
      </c>
      <c r="AO186" s="186" t="s">
        <v>750</v>
      </c>
      <c r="AP186" s="186" t="s">
        <v>750</v>
      </c>
      <c r="AQ186" s="196" t="s">
        <v>12</v>
      </c>
      <c r="AR186" s="196">
        <v>75000</v>
      </c>
      <c r="AS186" s="196" t="s">
        <v>15</v>
      </c>
      <c r="AT186" s="186" t="s">
        <v>95</v>
      </c>
      <c r="AU186" s="186" t="s">
        <v>3</v>
      </c>
      <c r="AV186" s="186" t="s">
        <v>3</v>
      </c>
      <c r="AW186" s="186" t="s">
        <v>3</v>
      </c>
      <c r="AX186" s="186" t="s">
        <v>95</v>
      </c>
      <c r="AY186" s="186" t="s">
        <v>95</v>
      </c>
      <c r="AZ186" s="186" t="s">
        <v>95</v>
      </c>
      <c r="BA186" s="186" t="s">
        <v>95</v>
      </c>
      <c r="BB186" s="186" t="s">
        <v>95</v>
      </c>
      <c r="BC186" s="186" t="s">
        <v>3</v>
      </c>
      <c r="BD186" s="183" t="s">
        <v>95</v>
      </c>
      <c r="BE186" s="186" t="s">
        <v>95</v>
      </c>
    </row>
    <row r="187" spans="1:57" ht="18" x14ac:dyDescent="0.2">
      <c r="A187" s="76" t="s">
        <v>402</v>
      </c>
      <c r="B187" s="219"/>
      <c r="C187" s="69" t="s">
        <v>2813</v>
      </c>
      <c r="D187" s="69" t="s">
        <v>403</v>
      </c>
      <c r="E187" s="69" t="s">
        <v>3</v>
      </c>
      <c r="F187" s="106" t="s">
        <v>1444</v>
      </c>
      <c r="G187" s="128"/>
      <c r="H187" s="128"/>
      <c r="I187" s="107" t="s">
        <v>1757</v>
      </c>
      <c r="J187" s="69" t="s">
        <v>1326</v>
      </c>
      <c r="K187" s="69" t="s">
        <v>665</v>
      </c>
      <c r="L187" s="69" t="s">
        <v>2393</v>
      </c>
      <c r="M187" s="69" t="s">
        <v>2393</v>
      </c>
      <c r="N187" s="69" t="s">
        <v>3035</v>
      </c>
      <c r="O187" s="69" t="s">
        <v>2999</v>
      </c>
      <c r="P187" s="69" t="s">
        <v>3</v>
      </c>
      <c r="Q187" s="69" t="s">
        <v>507</v>
      </c>
      <c r="R187" s="69" t="s">
        <v>507</v>
      </c>
      <c r="S187" s="131"/>
      <c r="T187" s="69"/>
      <c r="U187" s="69"/>
      <c r="V187" s="69" t="s">
        <v>3</v>
      </c>
      <c r="W187" s="69" t="s">
        <v>532</v>
      </c>
      <c r="X187" s="69" t="s">
        <v>3</v>
      </c>
      <c r="Y187" s="69" t="s">
        <v>3</v>
      </c>
      <c r="Z187" s="69" t="s">
        <v>3</v>
      </c>
      <c r="AA187" s="69" t="s">
        <v>2483</v>
      </c>
      <c r="AB187" s="69" t="s">
        <v>749</v>
      </c>
      <c r="AC187" s="69" t="s">
        <v>3</v>
      </c>
      <c r="AD187" s="69" t="s">
        <v>3</v>
      </c>
      <c r="AE187" s="69"/>
      <c r="AF187" s="69"/>
      <c r="AG187" s="69"/>
      <c r="AH187" s="69" t="s">
        <v>2734</v>
      </c>
      <c r="AI187" s="69" t="s">
        <v>1698</v>
      </c>
      <c r="AJ187" s="69" t="s">
        <v>3</v>
      </c>
      <c r="AK187" s="69" t="s">
        <v>3</v>
      </c>
      <c r="AL187" s="69" t="s">
        <v>3</v>
      </c>
      <c r="AM187" s="69" t="s">
        <v>3594</v>
      </c>
      <c r="AN187" s="69" t="s">
        <v>3</v>
      </c>
      <c r="AO187" s="69" t="s">
        <v>749</v>
      </c>
      <c r="AP187" s="69" t="s">
        <v>749</v>
      </c>
      <c r="AQ187" s="69" t="s">
        <v>2994</v>
      </c>
      <c r="AR187" s="69" t="s">
        <v>3043</v>
      </c>
      <c r="AS187" s="69" t="s">
        <v>3192</v>
      </c>
      <c r="AT187" s="69" t="s">
        <v>1261</v>
      </c>
      <c r="AU187" s="69" t="s">
        <v>3</v>
      </c>
      <c r="AV187" s="69" t="s">
        <v>3</v>
      </c>
      <c r="AW187" s="69" t="s">
        <v>3</v>
      </c>
      <c r="AX187" s="96" t="s">
        <v>1054</v>
      </c>
      <c r="AY187" s="69" t="s">
        <v>1992</v>
      </c>
      <c r="AZ187" s="69" t="s">
        <v>3485</v>
      </c>
      <c r="BA187" s="69"/>
      <c r="BB187" s="69"/>
      <c r="BC187" s="69" t="s">
        <v>3</v>
      </c>
      <c r="BD187" s="69" t="s">
        <v>749</v>
      </c>
      <c r="BE187" s="69" t="s">
        <v>749</v>
      </c>
    </row>
    <row r="188" spans="1:57" ht="27" x14ac:dyDescent="0.2">
      <c r="A188" s="25" t="s">
        <v>3699</v>
      </c>
      <c r="B188" s="218" t="s">
        <v>3747</v>
      </c>
      <c r="C188" s="47" t="s">
        <v>95</v>
      </c>
      <c r="D188" s="47" t="s">
        <v>587</v>
      </c>
      <c r="E188" s="47" t="s">
        <v>95</v>
      </c>
      <c r="F188" s="62" t="s">
        <v>95</v>
      </c>
      <c r="G188" s="117" t="s">
        <v>95</v>
      </c>
      <c r="H188" s="117" t="s">
        <v>95</v>
      </c>
      <c r="I188" s="121" t="s">
        <v>95</v>
      </c>
      <c r="J188" s="47" t="s">
        <v>95</v>
      </c>
      <c r="K188" s="47" t="s">
        <v>2394</v>
      </c>
      <c r="L188" s="47" t="s">
        <v>2395</v>
      </c>
      <c r="M188" s="47" t="s">
        <v>2419</v>
      </c>
      <c r="N188" s="47" t="s">
        <v>2209</v>
      </c>
      <c r="O188" s="47" t="s">
        <v>183</v>
      </c>
      <c r="P188" s="47" t="s">
        <v>95</v>
      </c>
      <c r="Q188" s="44" t="s">
        <v>183</v>
      </c>
      <c r="R188" s="44" t="s">
        <v>183</v>
      </c>
      <c r="S188" s="130" t="s">
        <v>95</v>
      </c>
      <c r="T188" s="44" t="s">
        <v>95</v>
      </c>
      <c r="U188" s="44" t="s">
        <v>95</v>
      </c>
      <c r="V188" s="20" t="s">
        <v>95</v>
      </c>
      <c r="W188" s="20" t="s">
        <v>95</v>
      </c>
      <c r="X188" s="20" t="s">
        <v>95</v>
      </c>
      <c r="Y188" s="20" t="s">
        <v>95</v>
      </c>
      <c r="Z188" s="20" t="s">
        <v>95</v>
      </c>
      <c r="AA188" s="47" t="s">
        <v>2484</v>
      </c>
      <c r="AB188" s="47" t="s">
        <v>95</v>
      </c>
      <c r="AC188" s="47" t="s">
        <v>587</v>
      </c>
      <c r="AD188" s="46" t="s">
        <v>95</v>
      </c>
      <c r="AE188" s="46" t="s">
        <v>95</v>
      </c>
      <c r="AF188" s="46" t="s">
        <v>95</v>
      </c>
      <c r="AG188" s="46" t="s">
        <v>95</v>
      </c>
      <c r="AH188" s="47" t="s">
        <v>95</v>
      </c>
      <c r="AI188" s="47" t="s">
        <v>1699</v>
      </c>
      <c r="AJ188" s="46" t="s">
        <v>95</v>
      </c>
      <c r="AK188" s="47" t="s">
        <v>1806</v>
      </c>
      <c r="AL188" s="46" t="s">
        <v>95</v>
      </c>
      <c r="AM188" s="47" t="s">
        <v>1806</v>
      </c>
      <c r="AN188" s="47" t="s">
        <v>1806</v>
      </c>
      <c r="AO188" s="46" t="s">
        <v>95</v>
      </c>
      <c r="AP188" s="46" t="s">
        <v>95</v>
      </c>
      <c r="AQ188" s="20" t="s">
        <v>95</v>
      </c>
      <c r="AR188" s="20" t="s">
        <v>1699</v>
      </c>
      <c r="AS188" s="20" t="s">
        <v>1699</v>
      </c>
      <c r="AT188" s="47" t="s">
        <v>95</v>
      </c>
      <c r="AU188" s="46" t="s">
        <v>95</v>
      </c>
      <c r="AV188" s="46" t="s">
        <v>95</v>
      </c>
      <c r="AW188" s="46" t="s">
        <v>95</v>
      </c>
      <c r="AX188" s="46" t="s">
        <v>95</v>
      </c>
      <c r="AY188" s="46" t="s">
        <v>95</v>
      </c>
      <c r="AZ188" s="46" t="s">
        <v>95</v>
      </c>
      <c r="BA188" s="47" t="s">
        <v>95</v>
      </c>
      <c r="BB188" s="47" t="s">
        <v>95</v>
      </c>
      <c r="BC188" s="47" t="s">
        <v>1216</v>
      </c>
      <c r="BD188" s="47" t="s">
        <v>1216</v>
      </c>
      <c r="BE188" s="46" t="s">
        <v>125</v>
      </c>
    </row>
    <row r="189" spans="1:57" ht="18" x14ac:dyDescent="0.2">
      <c r="A189" s="76" t="s">
        <v>402</v>
      </c>
      <c r="B189" s="219"/>
      <c r="C189" s="69" t="s">
        <v>2812</v>
      </c>
      <c r="D189" s="69" t="s">
        <v>1592</v>
      </c>
      <c r="E189" s="69" t="s">
        <v>1628</v>
      </c>
      <c r="F189" s="106" t="s">
        <v>1445</v>
      </c>
      <c r="G189" s="128"/>
      <c r="H189" s="128"/>
      <c r="I189" s="107" t="s">
        <v>2564</v>
      </c>
      <c r="J189" s="69" t="s">
        <v>1325</v>
      </c>
      <c r="K189" s="69" t="s">
        <v>715</v>
      </c>
      <c r="L189" s="69" t="s">
        <v>715</v>
      </c>
      <c r="M189" s="69" t="s">
        <v>715</v>
      </c>
      <c r="N189" s="69" t="s">
        <v>3036</v>
      </c>
      <c r="O189" s="69" t="s">
        <v>3000</v>
      </c>
      <c r="P189" s="69" t="s">
        <v>3095</v>
      </c>
      <c r="Q189" s="69" t="s">
        <v>506</v>
      </c>
      <c r="R189" s="69" t="s">
        <v>506</v>
      </c>
      <c r="S189" s="131"/>
      <c r="T189" s="69"/>
      <c r="U189" s="69"/>
      <c r="V189" s="69" t="s">
        <v>550</v>
      </c>
      <c r="W189" s="69" t="s">
        <v>550</v>
      </c>
      <c r="X189" s="69" t="s">
        <v>3143</v>
      </c>
      <c r="Y189" s="69" t="s">
        <v>3143</v>
      </c>
      <c r="Z189" s="69" t="s">
        <v>3143</v>
      </c>
      <c r="AA189" s="69" t="s">
        <v>2480</v>
      </c>
      <c r="AB189" s="69" t="s">
        <v>2363</v>
      </c>
      <c r="AC189" s="69" t="s">
        <v>609</v>
      </c>
      <c r="AD189" s="69" t="s">
        <v>588</v>
      </c>
      <c r="AE189" s="69"/>
      <c r="AF189" s="69"/>
      <c r="AG189" s="69"/>
      <c r="AH189" s="69" t="s">
        <v>2733</v>
      </c>
      <c r="AI189" s="69" t="s">
        <v>1700</v>
      </c>
      <c r="AJ189" s="69" t="s">
        <v>1805</v>
      </c>
      <c r="AK189" s="69" t="s">
        <v>3623</v>
      </c>
      <c r="AL189" s="69" t="s">
        <v>3576</v>
      </c>
      <c r="AM189" s="69" t="s">
        <v>3595</v>
      </c>
      <c r="AN189" s="69" t="s">
        <v>3614</v>
      </c>
      <c r="AO189" s="69" t="s">
        <v>781</v>
      </c>
      <c r="AP189" s="69" t="s">
        <v>781</v>
      </c>
      <c r="AQ189" s="69" t="s">
        <v>3215</v>
      </c>
      <c r="AR189" s="69" t="s">
        <v>3217</v>
      </c>
      <c r="AS189" s="69" t="s">
        <v>3216</v>
      </c>
      <c r="AT189" s="69" t="s">
        <v>1260</v>
      </c>
      <c r="AU189" s="69" t="s">
        <v>919</v>
      </c>
      <c r="AV189" s="69" t="s">
        <v>919</v>
      </c>
      <c r="AW189" s="69" t="s">
        <v>919</v>
      </c>
      <c r="AX189" s="96" t="s">
        <v>1056</v>
      </c>
      <c r="AY189" s="69" t="s">
        <v>1993</v>
      </c>
      <c r="AZ189" s="69" t="s">
        <v>3486</v>
      </c>
      <c r="BA189" s="69"/>
      <c r="BB189" s="69"/>
      <c r="BC189" s="69" t="s">
        <v>1213</v>
      </c>
      <c r="BD189" s="69" t="s">
        <v>1213</v>
      </c>
      <c r="BE189" s="69" t="s">
        <v>1511</v>
      </c>
    </row>
    <row r="190" spans="1:57" ht="18" x14ac:dyDescent="0.2">
      <c r="A190" s="162" t="s">
        <v>4257</v>
      </c>
      <c r="B190" s="218"/>
      <c r="C190" s="184"/>
      <c r="D190" s="184"/>
      <c r="E190" s="184"/>
      <c r="F190" s="184"/>
      <c r="G190" s="184"/>
      <c r="H190" s="184"/>
      <c r="I190" s="211"/>
      <c r="J190" s="183"/>
      <c r="K190" s="183"/>
      <c r="L190" s="183"/>
      <c r="M190" s="183"/>
      <c r="N190" s="183"/>
      <c r="O190" s="183"/>
      <c r="P190" s="183"/>
      <c r="Q190" s="195"/>
      <c r="R190" s="195"/>
      <c r="S190" s="185"/>
      <c r="T190" s="195"/>
      <c r="U190" s="195"/>
      <c r="V190" s="194"/>
      <c r="W190" s="194"/>
      <c r="X190" s="194"/>
      <c r="Y190" s="194"/>
      <c r="Z190" s="194"/>
      <c r="AA190" s="183"/>
      <c r="AB190" s="183"/>
      <c r="AC190" s="183"/>
      <c r="AD190" s="186"/>
      <c r="AE190" s="186"/>
      <c r="AF190" s="186"/>
      <c r="AG190" s="186"/>
      <c r="AH190" s="183"/>
      <c r="AI190" s="183"/>
      <c r="AJ190" s="186"/>
      <c r="AK190" s="183"/>
      <c r="AL190" s="186"/>
      <c r="AM190" s="183"/>
      <c r="AN190" s="183"/>
      <c r="AO190" s="186"/>
      <c r="AP190" s="186"/>
      <c r="AQ190" s="194"/>
      <c r="AR190" s="194"/>
      <c r="AS190" s="194"/>
      <c r="AT190" s="183"/>
      <c r="AU190" s="186"/>
      <c r="AV190" s="186"/>
      <c r="AW190" s="186"/>
      <c r="AX190" s="186"/>
      <c r="AY190" s="186"/>
      <c r="AZ190" s="186"/>
      <c r="BA190" s="183"/>
      <c r="BB190" s="183"/>
      <c r="BC190" s="183"/>
      <c r="BD190" s="183"/>
      <c r="BE190" s="186"/>
    </row>
    <row r="191" spans="1:57" ht="18" x14ac:dyDescent="0.2">
      <c r="A191" s="76" t="s">
        <v>402</v>
      </c>
      <c r="B191" s="219"/>
      <c r="C191" s="69" t="s">
        <v>2812</v>
      </c>
      <c r="D191" s="69" t="s">
        <v>1592</v>
      </c>
      <c r="E191" s="69" t="s">
        <v>1628</v>
      </c>
      <c r="F191" s="106" t="s">
        <v>1445</v>
      </c>
      <c r="G191" s="128"/>
      <c r="H191" s="128"/>
      <c r="I191" s="107"/>
      <c r="J191" s="69"/>
      <c r="K191" s="69"/>
      <c r="L191" s="69"/>
      <c r="M191" s="69"/>
      <c r="N191" s="69"/>
      <c r="O191" s="69"/>
      <c r="P191" s="69"/>
      <c r="Q191" s="69"/>
      <c r="R191" s="69"/>
      <c r="S191" s="131"/>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96"/>
      <c r="AY191" s="69"/>
      <c r="AZ191" s="69"/>
      <c r="BA191" s="69"/>
      <c r="BB191" s="69"/>
      <c r="BC191" s="69"/>
      <c r="BD191" s="69"/>
      <c r="BE191" s="69"/>
    </row>
    <row r="192" spans="1:57" x14ac:dyDescent="0.2">
      <c r="A192" s="162" t="s">
        <v>3647</v>
      </c>
      <c r="B192" s="218"/>
      <c r="C192" s="183"/>
      <c r="D192" s="183"/>
      <c r="E192" s="183"/>
      <c r="F192" s="192"/>
      <c r="G192" s="184"/>
      <c r="H192" s="184"/>
      <c r="I192" s="211"/>
      <c r="J192" s="183"/>
      <c r="K192" s="183"/>
      <c r="L192" s="183"/>
      <c r="M192" s="183"/>
      <c r="N192" s="183"/>
      <c r="O192" s="183"/>
      <c r="P192" s="183"/>
      <c r="Q192" s="195"/>
      <c r="R192" s="195"/>
      <c r="S192" s="185"/>
      <c r="T192" s="195"/>
      <c r="U192" s="195"/>
      <c r="V192" s="194"/>
      <c r="W192" s="194"/>
      <c r="X192" s="194"/>
      <c r="Y192" s="194"/>
      <c r="Z192" s="194"/>
      <c r="AA192" s="183"/>
      <c r="AB192" s="183"/>
      <c r="AC192" s="183"/>
      <c r="AD192" s="186"/>
      <c r="AE192" s="186"/>
      <c r="AF192" s="186"/>
      <c r="AG192" s="186"/>
      <c r="AH192" s="183"/>
      <c r="AI192" s="183"/>
      <c r="AJ192" s="186"/>
      <c r="AK192" s="183"/>
      <c r="AL192" s="186"/>
      <c r="AM192" s="183"/>
      <c r="AN192" s="183"/>
      <c r="AO192" s="186"/>
      <c r="AP192" s="186"/>
      <c r="AQ192" s="194"/>
      <c r="AR192" s="194"/>
      <c r="AS192" s="194"/>
      <c r="AT192" s="183"/>
      <c r="AU192" s="186"/>
      <c r="AV192" s="186"/>
      <c r="AW192" s="186"/>
      <c r="AX192" s="186"/>
      <c r="AY192" s="186"/>
      <c r="AZ192" s="186"/>
      <c r="BA192" s="183"/>
      <c r="BB192" s="183"/>
      <c r="BC192" s="183"/>
      <c r="BD192" s="183"/>
      <c r="BE192" s="186"/>
    </row>
    <row r="193" spans="1:57" x14ac:dyDescent="0.2">
      <c r="A193" s="76" t="s">
        <v>402</v>
      </c>
      <c r="B193" s="219"/>
      <c r="C193" s="69"/>
      <c r="D193" s="69"/>
      <c r="E193" s="69"/>
      <c r="F193" s="106"/>
      <c r="G193" s="128"/>
      <c r="H193" s="128"/>
      <c r="I193" s="107"/>
      <c r="J193" s="69"/>
      <c r="K193" s="69"/>
      <c r="L193" s="69"/>
      <c r="M193" s="69"/>
      <c r="N193" s="69"/>
      <c r="O193" s="69"/>
      <c r="P193" s="69"/>
      <c r="Q193" s="69"/>
      <c r="R193" s="69"/>
      <c r="S193" s="131"/>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96"/>
      <c r="AY193" s="69"/>
      <c r="AZ193" s="69"/>
      <c r="BA193" s="69"/>
      <c r="BB193" s="69"/>
      <c r="BC193" s="69"/>
      <c r="BD193" s="69"/>
      <c r="BE193" s="69"/>
    </row>
    <row r="194" spans="1:57" ht="29.25" customHeight="1" x14ac:dyDescent="0.2">
      <c r="A194" s="161" t="s">
        <v>4903</v>
      </c>
      <c r="B194" s="218"/>
      <c r="C194" s="187" t="s">
        <v>95</v>
      </c>
      <c r="D194" s="187" t="s">
        <v>3</v>
      </c>
      <c r="E194" s="187" t="s">
        <v>3331</v>
      </c>
      <c r="F194" s="187" t="s">
        <v>3331</v>
      </c>
      <c r="G194" s="188" t="s">
        <v>3239</v>
      </c>
      <c r="H194" s="188" t="s">
        <v>3239</v>
      </c>
      <c r="I194" s="235" t="s">
        <v>3</v>
      </c>
      <c r="J194" s="187" t="s">
        <v>3</v>
      </c>
      <c r="K194" s="187" t="s">
        <v>3</v>
      </c>
      <c r="L194" s="187" t="s">
        <v>3</v>
      </c>
      <c r="M194" s="187" t="s">
        <v>3</v>
      </c>
      <c r="N194" s="187" t="s">
        <v>3</v>
      </c>
      <c r="O194" s="187" t="s">
        <v>3</v>
      </c>
      <c r="P194" s="187" t="s">
        <v>3</v>
      </c>
      <c r="Q194" s="187" t="s">
        <v>3</v>
      </c>
      <c r="R194" s="187" t="s">
        <v>3</v>
      </c>
      <c r="S194" s="189" t="s">
        <v>3239</v>
      </c>
      <c r="T194" s="236" t="s">
        <v>59</v>
      </c>
      <c r="U194" s="236" t="s">
        <v>59</v>
      </c>
      <c r="V194" s="200" t="s">
        <v>3</v>
      </c>
      <c r="W194" s="200" t="s">
        <v>3</v>
      </c>
      <c r="X194" s="200" t="s">
        <v>3</v>
      </c>
      <c r="Y194" s="200" t="s">
        <v>3</v>
      </c>
      <c r="Z194" s="200" t="s">
        <v>3</v>
      </c>
      <c r="AA194" s="187" t="s">
        <v>3</v>
      </c>
      <c r="AB194" s="187" t="s">
        <v>3</v>
      </c>
      <c r="AC194" s="187" t="s">
        <v>3</v>
      </c>
      <c r="AD194" s="187" t="s">
        <v>3</v>
      </c>
      <c r="AE194" s="187" t="s">
        <v>810</v>
      </c>
      <c r="AF194" s="187" t="s">
        <v>3</v>
      </c>
      <c r="AG194" s="187" t="s">
        <v>3</v>
      </c>
      <c r="AH194" s="187" t="s">
        <v>3</v>
      </c>
      <c r="AI194" s="187" t="s">
        <v>3</v>
      </c>
      <c r="AJ194" s="187" t="s">
        <v>59</v>
      </c>
      <c r="AK194" s="187" t="s">
        <v>3</v>
      </c>
      <c r="AL194" s="187" t="s">
        <v>59</v>
      </c>
      <c r="AM194" s="187"/>
      <c r="AN194" s="187" t="s">
        <v>3</v>
      </c>
      <c r="AO194" s="187" t="s">
        <v>3</v>
      </c>
      <c r="AP194" s="187" t="s">
        <v>3</v>
      </c>
      <c r="AQ194" s="187" t="s">
        <v>3</v>
      </c>
      <c r="AR194" s="187" t="s">
        <v>3</v>
      </c>
      <c r="AS194" s="187" t="s">
        <v>3</v>
      </c>
      <c r="AT194" s="187" t="s">
        <v>3</v>
      </c>
      <c r="AU194" s="190" t="s">
        <v>3</v>
      </c>
      <c r="AV194" s="190" t="s">
        <v>3</v>
      </c>
      <c r="AW194" s="190" t="s">
        <v>3</v>
      </c>
      <c r="AX194" s="190" t="s">
        <v>3</v>
      </c>
      <c r="AY194" s="187" t="s">
        <v>3</v>
      </c>
      <c r="AZ194" s="187" t="s">
        <v>3</v>
      </c>
      <c r="BA194" s="295" t="s">
        <v>3</v>
      </c>
      <c r="BB194" s="295" t="s">
        <v>3</v>
      </c>
      <c r="BC194" s="190" t="s">
        <v>3</v>
      </c>
      <c r="BD194" s="187" t="s">
        <v>3</v>
      </c>
      <c r="BE194" s="187" t="s">
        <v>3</v>
      </c>
    </row>
    <row r="195" spans="1:57" x14ac:dyDescent="0.2">
      <c r="A195" s="76" t="s">
        <v>402</v>
      </c>
      <c r="B195" s="219"/>
      <c r="C195" s="69" t="s">
        <v>3393</v>
      </c>
      <c r="D195" s="69" t="s">
        <v>3</v>
      </c>
      <c r="E195" s="69" t="s">
        <v>3332</v>
      </c>
      <c r="F195" s="69" t="s">
        <v>3332</v>
      </c>
      <c r="G195" s="128"/>
      <c r="H195" s="128"/>
      <c r="I195" s="107" t="s">
        <v>3</v>
      </c>
      <c r="J195" s="69" t="s">
        <v>3</v>
      </c>
      <c r="K195" s="69" t="s">
        <v>3</v>
      </c>
      <c r="L195" s="69" t="s">
        <v>3</v>
      </c>
      <c r="M195" s="69" t="s">
        <v>3</v>
      </c>
      <c r="N195" s="69" t="s">
        <v>3</v>
      </c>
      <c r="O195" s="69" t="s">
        <v>3</v>
      </c>
      <c r="P195" s="69" t="s">
        <v>3</v>
      </c>
      <c r="Q195" s="69" t="s">
        <v>3</v>
      </c>
      <c r="R195" s="69" t="s">
        <v>3</v>
      </c>
      <c r="S195" s="131"/>
      <c r="T195" s="69"/>
      <c r="U195" s="69"/>
      <c r="V195" s="69" t="s">
        <v>3</v>
      </c>
      <c r="W195" s="69" t="s">
        <v>3</v>
      </c>
      <c r="X195" s="69" t="s">
        <v>3</v>
      </c>
      <c r="Y195" s="69" t="s">
        <v>3</v>
      </c>
      <c r="Z195" s="69" t="s">
        <v>3</v>
      </c>
      <c r="AA195" s="69" t="s">
        <v>3</v>
      </c>
      <c r="AB195" s="69" t="s">
        <v>3</v>
      </c>
      <c r="AC195" s="69" t="s">
        <v>3</v>
      </c>
      <c r="AD195" s="69" t="s">
        <v>3</v>
      </c>
      <c r="AE195" s="69"/>
      <c r="AF195" s="69"/>
      <c r="AG195" s="69"/>
      <c r="AH195" s="69" t="s">
        <v>3</v>
      </c>
      <c r="AI195" s="69" t="s">
        <v>3</v>
      </c>
      <c r="AJ195" s="69" t="s">
        <v>1794</v>
      </c>
      <c r="AK195" s="69" t="s">
        <v>3</v>
      </c>
      <c r="AL195" s="69" t="s">
        <v>3574</v>
      </c>
      <c r="AM195" s="69" t="s">
        <v>3</v>
      </c>
      <c r="AN195" s="69" t="s">
        <v>3</v>
      </c>
      <c r="AO195" s="69" t="s">
        <v>3</v>
      </c>
      <c r="AP195" s="69" t="s">
        <v>3</v>
      </c>
      <c r="AQ195" s="69" t="s">
        <v>3</v>
      </c>
      <c r="AR195" s="69" t="s">
        <v>3</v>
      </c>
      <c r="AS195" s="69" t="s">
        <v>3</v>
      </c>
      <c r="AT195" s="69" t="s">
        <v>3</v>
      </c>
      <c r="AU195" s="69" t="s">
        <v>3</v>
      </c>
      <c r="AV195" s="69" t="s">
        <v>3</v>
      </c>
      <c r="AW195" s="69" t="s">
        <v>3</v>
      </c>
      <c r="AX195" s="69" t="s">
        <v>3</v>
      </c>
      <c r="AY195" s="69" t="s">
        <v>3</v>
      </c>
      <c r="AZ195" s="69"/>
      <c r="BA195" s="69"/>
      <c r="BB195" s="69"/>
      <c r="BC195" s="69" t="s">
        <v>3</v>
      </c>
      <c r="BD195" s="69"/>
      <c r="BE195" s="69" t="s">
        <v>3</v>
      </c>
    </row>
    <row r="196" spans="1:57" ht="21.75" customHeight="1" x14ac:dyDescent="0.2">
      <c r="A196" s="25" t="s">
        <v>58</v>
      </c>
      <c r="B196" s="25" t="s">
        <v>3749</v>
      </c>
      <c r="C196" s="47" t="s">
        <v>2756</v>
      </c>
      <c r="D196" s="47" t="s">
        <v>3266</v>
      </c>
      <c r="E196" s="47" t="s">
        <v>1413</v>
      </c>
      <c r="F196" s="62" t="s">
        <v>1414</v>
      </c>
      <c r="G196" s="117" t="s">
        <v>3295</v>
      </c>
      <c r="H196" s="117" t="s">
        <v>3295</v>
      </c>
      <c r="I196" s="121" t="s">
        <v>2529</v>
      </c>
      <c r="J196" s="47" t="s">
        <v>1644</v>
      </c>
      <c r="K196" s="46" t="s">
        <v>3</v>
      </c>
      <c r="L196" s="46" t="s">
        <v>3</v>
      </c>
      <c r="M196" s="20" t="s">
        <v>1414</v>
      </c>
      <c r="N196" s="47" t="s">
        <v>3040</v>
      </c>
      <c r="O196" s="47" t="s">
        <v>3004</v>
      </c>
      <c r="P196" s="47" t="s">
        <v>3</v>
      </c>
      <c r="Q196" s="20" t="s">
        <v>327</v>
      </c>
      <c r="R196" s="20" t="s">
        <v>327</v>
      </c>
      <c r="S196" s="130" t="s">
        <v>95</v>
      </c>
      <c r="T196" s="20" t="s">
        <v>3503</v>
      </c>
      <c r="U196" s="20" t="s">
        <v>3503</v>
      </c>
      <c r="V196" s="20" t="s">
        <v>3</v>
      </c>
      <c r="W196" s="20" t="s">
        <v>195</v>
      </c>
      <c r="X196" s="47" t="s">
        <v>3</v>
      </c>
      <c r="Y196" s="20" t="s">
        <v>2212</v>
      </c>
      <c r="Z196" s="20" t="s">
        <v>2212</v>
      </c>
      <c r="AA196" s="47" t="s">
        <v>3</v>
      </c>
      <c r="AB196" s="47" t="s">
        <v>2352</v>
      </c>
      <c r="AC196" s="47" t="s">
        <v>594</v>
      </c>
      <c r="AD196" s="47" t="s">
        <v>618</v>
      </c>
      <c r="AE196" s="47" t="s">
        <v>810</v>
      </c>
      <c r="AF196" s="46" t="s">
        <v>3</v>
      </c>
      <c r="AG196" s="46" t="s">
        <v>3</v>
      </c>
      <c r="AH196" s="47" t="s">
        <v>2737</v>
      </c>
      <c r="AI196" s="47" t="s">
        <v>146</v>
      </c>
      <c r="AJ196" s="47" t="s">
        <v>59</v>
      </c>
      <c r="AK196" s="47" t="s">
        <v>59</v>
      </c>
      <c r="AL196" s="47" t="s">
        <v>59</v>
      </c>
      <c r="AM196" s="47" t="s">
        <v>145</v>
      </c>
      <c r="AN196" s="47" t="s">
        <v>145</v>
      </c>
      <c r="AO196" s="47" t="s">
        <v>3</v>
      </c>
      <c r="AP196" s="47" t="s">
        <v>758</v>
      </c>
      <c r="AQ196" s="47" t="s">
        <v>3</v>
      </c>
      <c r="AR196" s="47" t="s">
        <v>3193</v>
      </c>
      <c r="AS196" s="47" t="s">
        <v>3193</v>
      </c>
      <c r="AT196" s="47" t="s">
        <v>594</v>
      </c>
      <c r="AU196" s="46" t="s">
        <v>3</v>
      </c>
      <c r="AV196" s="47" t="s">
        <v>333</v>
      </c>
      <c r="AW196" s="47" t="s">
        <v>333</v>
      </c>
      <c r="AX196" s="47" t="s">
        <v>1008</v>
      </c>
      <c r="AY196" s="47" t="s">
        <v>1936</v>
      </c>
      <c r="AZ196" s="47" t="s">
        <v>1414</v>
      </c>
      <c r="BA196" s="46" t="s">
        <v>3</v>
      </c>
      <c r="BB196" s="47" t="s">
        <v>333</v>
      </c>
      <c r="BC196" s="46" t="s">
        <v>3</v>
      </c>
      <c r="BD196" s="47" t="s">
        <v>3</v>
      </c>
      <c r="BE196" s="47" t="s">
        <v>1503</v>
      </c>
    </row>
    <row r="197" spans="1:57" ht="18" x14ac:dyDescent="0.2">
      <c r="A197" s="76" t="s">
        <v>402</v>
      </c>
      <c r="B197" s="219"/>
      <c r="C197" s="69" t="s">
        <v>2814</v>
      </c>
      <c r="D197" s="69" t="s">
        <v>3258</v>
      </c>
      <c r="E197" s="69" t="s">
        <v>3333</v>
      </c>
      <c r="F197" s="106" t="s">
        <v>1443</v>
      </c>
      <c r="G197" s="128"/>
      <c r="H197" s="128"/>
      <c r="I197" s="107" t="s">
        <v>2557</v>
      </c>
      <c r="J197" s="69" t="s">
        <v>1643</v>
      </c>
      <c r="K197" s="69" t="s">
        <v>730</v>
      </c>
      <c r="L197" s="69" t="s">
        <v>730</v>
      </c>
      <c r="M197" s="69" t="s">
        <v>2383</v>
      </c>
      <c r="N197" s="69" t="s">
        <v>3039</v>
      </c>
      <c r="O197" s="69" t="s">
        <v>3003</v>
      </c>
      <c r="P197" s="69" t="s">
        <v>3092</v>
      </c>
      <c r="Q197" s="69" t="s">
        <v>502</v>
      </c>
      <c r="R197" s="69" t="s">
        <v>502</v>
      </c>
      <c r="S197" s="131"/>
      <c r="T197" s="69"/>
      <c r="U197" s="69"/>
      <c r="V197" s="69" t="s">
        <v>548</v>
      </c>
      <c r="W197" s="69" t="s">
        <v>533</v>
      </c>
      <c r="X197" s="69" t="s">
        <v>3142</v>
      </c>
      <c r="Y197" s="69" t="s">
        <v>3115</v>
      </c>
      <c r="Z197" s="69" t="s">
        <v>3115</v>
      </c>
      <c r="AA197" s="69" t="s">
        <v>2485</v>
      </c>
      <c r="AB197" s="69" t="s">
        <v>757</v>
      </c>
      <c r="AC197" s="69" t="s">
        <v>617</v>
      </c>
      <c r="AD197" s="69" t="s">
        <v>619</v>
      </c>
      <c r="AE197" s="69"/>
      <c r="AF197" s="69"/>
      <c r="AG197" s="69"/>
      <c r="AH197" s="69" t="s">
        <v>2736</v>
      </c>
      <c r="AI197" s="69" t="s">
        <v>1711</v>
      </c>
      <c r="AJ197" s="69" t="s">
        <v>1828</v>
      </c>
      <c r="AK197" s="69" t="s">
        <v>3555</v>
      </c>
      <c r="AL197" s="69" t="s">
        <v>3575</v>
      </c>
      <c r="AM197" s="69" t="s">
        <v>3555</v>
      </c>
      <c r="AN197" s="69" t="s">
        <v>3555</v>
      </c>
      <c r="AO197" s="69" t="s">
        <v>779</v>
      </c>
      <c r="AP197" s="69" t="s">
        <v>757</v>
      </c>
      <c r="AQ197" s="69" t="s">
        <v>3218</v>
      </c>
      <c r="AR197" s="69" t="s">
        <v>3192</v>
      </c>
      <c r="AS197" s="69" t="s">
        <v>3003</v>
      </c>
      <c r="AT197" s="69" t="s">
        <v>1229</v>
      </c>
      <c r="AU197" s="69" t="s">
        <v>936</v>
      </c>
      <c r="AV197" s="69" t="s">
        <v>879</v>
      </c>
      <c r="AW197" s="69" t="s">
        <v>879</v>
      </c>
      <c r="AX197" s="96" t="s">
        <v>1046</v>
      </c>
      <c r="AY197" s="69" t="s">
        <v>1991</v>
      </c>
      <c r="AZ197" s="69" t="s">
        <v>3484</v>
      </c>
      <c r="BA197" s="69"/>
      <c r="BB197" s="69"/>
      <c r="BC197" s="69" t="s">
        <v>1215</v>
      </c>
      <c r="BD197" s="69" t="s">
        <v>1215</v>
      </c>
      <c r="BE197" s="69" t="s">
        <v>757</v>
      </c>
    </row>
    <row r="198" spans="1:57" ht="18" x14ac:dyDescent="0.2">
      <c r="A198" s="25" t="s">
        <v>3673</v>
      </c>
      <c r="B198" s="218"/>
      <c r="C198" s="46" t="s">
        <v>95</v>
      </c>
      <c r="D198" s="47" t="s">
        <v>3281</v>
      </c>
      <c r="E198" s="47" t="s">
        <v>14</v>
      </c>
      <c r="F198" s="62" t="s">
        <v>0</v>
      </c>
      <c r="G198" s="117" t="s">
        <v>95</v>
      </c>
      <c r="H198" s="117" t="s">
        <v>95</v>
      </c>
      <c r="I198" s="120" t="s">
        <v>12</v>
      </c>
      <c r="J198" s="47" t="s">
        <v>1280</v>
      </c>
      <c r="K198" s="46" t="s">
        <v>3</v>
      </c>
      <c r="L198" s="46" t="s">
        <v>3</v>
      </c>
      <c r="M198" s="46" t="s">
        <v>2396</v>
      </c>
      <c r="N198" s="47" t="s">
        <v>3032</v>
      </c>
      <c r="O198" s="47" t="s">
        <v>2995</v>
      </c>
      <c r="P198" s="47" t="s">
        <v>3</v>
      </c>
      <c r="Q198" s="20" t="s">
        <v>3</v>
      </c>
      <c r="R198" s="44" t="s">
        <v>184</v>
      </c>
      <c r="S198" s="130" t="s">
        <v>12</v>
      </c>
      <c r="T198" s="43" t="s">
        <v>3500</v>
      </c>
      <c r="U198" s="43" t="s">
        <v>3500</v>
      </c>
      <c r="V198" s="20" t="s">
        <v>196</v>
      </c>
      <c r="W198" s="44" t="s">
        <v>12</v>
      </c>
      <c r="X198" s="44" t="s">
        <v>3</v>
      </c>
      <c r="Y198" s="43" t="s">
        <v>2209</v>
      </c>
      <c r="Z198" s="43" t="s">
        <v>2209</v>
      </c>
      <c r="AA198" s="47" t="s">
        <v>379</v>
      </c>
      <c r="AB198" s="47" t="s">
        <v>12</v>
      </c>
      <c r="AC198" s="47" t="s">
        <v>110</v>
      </c>
      <c r="AD198" s="47" t="s">
        <v>3</v>
      </c>
      <c r="AE198" s="47" t="s">
        <v>811</v>
      </c>
      <c r="AF198" s="46" t="s">
        <v>3</v>
      </c>
      <c r="AG198" s="47" t="s">
        <v>369</v>
      </c>
      <c r="AH198" s="47" t="s">
        <v>95</v>
      </c>
      <c r="AI198" s="47" t="s">
        <v>95</v>
      </c>
      <c r="AJ198" s="47" t="s">
        <v>0</v>
      </c>
      <c r="AK198" s="47" t="s">
        <v>3</v>
      </c>
      <c r="AL198" s="47" t="s">
        <v>0</v>
      </c>
      <c r="AM198" s="47" t="s">
        <v>95</v>
      </c>
      <c r="AN198" s="47" t="s">
        <v>95</v>
      </c>
      <c r="AO198" s="47" t="s">
        <v>3</v>
      </c>
      <c r="AP198" s="47" t="s">
        <v>141</v>
      </c>
      <c r="AQ198" s="44" t="s">
        <v>3</v>
      </c>
      <c r="AR198" s="44" t="s">
        <v>3149</v>
      </c>
      <c r="AS198" s="109" t="s">
        <v>0</v>
      </c>
      <c r="AT198" s="47" t="s">
        <v>1258</v>
      </c>
      <c r="AU198" s="46" t="s">
        <v>3</v>
      </c>
      <c r="AV198" s="46" t="s">
        <v>186</v>
      </c>
      <c r="AW198" s="46" t="s">
        <v>186</v>
      </c>
      <c r="AX198" s="47" t="s">
        <v>0</v>
      </c>
      <c r="AY198" s="47" t="s">
        <v>95</v>
      </c>
      <c r="AZ198" s="47" t="s">
        <v>3464</v>
      </c>
      <c r="BA198" s="46" t="s">
        <v>3</v>
      </c>
      <c r="BB198" s="47" t="s">
        <v>12</v>
      </c>
      <c r="BC198" s="46" t="s">
        <v>3</v>
      </c>
      <c r="BD198" s="47" t="s">
        <v>95</v>
      </c>
      <c r="BE198" s="46" t="s">
        <v>1</v>
      </c>
    </row>
    <row r="199" spans="1:57" ht="18" x14ac:dyDescent="0.2">
      <c r="A199" s="76" t="s">
        <v>402</v>
      </c>
      <c r="B199" s="219"/>
      <c r="C199" s="69" t="s">
        <v>2775</v>
      </c>
      <c r="D199" s="69" t="s">
        <v>1592</v>
      </c>
      <c r="E199" s="69" t="s">
        <v>1459</v>
      </c>
      <c r="F199" s="106" t="s">
        <v>1440</v>
      </c>
      <c r="G199" s="128"/>
      <c r="H199" s="128"/>
      <c r="I199" s="107" t="s">
        <v>2557</v>
      </c>
      <c r="J199" s="69" t="s">
        <v>1296</v>
      </c>
      <c r="K199" s="69" t="s">
        <v>699</v>
      </c>
      <c r="L199" s="69" t="s">
        <v>699</v>
      </c>
      <c r="M199" s="69" t="s">
        <v>2416</v>
      </c>
      <c r="N199" s="69" t="s">
        <v>1502</v>
      </c>
      <c r="O199" s="69" t="s">
        <v>2994</v>
      </c>
      <c r="P199" s="69" t="s">
        <v>3</v>
      </c>
      <c r="Q199" s="69" t="s">
        <v>3</v>
      </c>
      <c r="R199" s="69" t="s">
        <v>461</v>
      </c>
      <c r="S199" s="131"/>
      <c r="T199" s="69"/>
      <c r="U199" s="69"/>
      <c r="V199" s="69" t="s">
        <v>536</v>
      </c>
      <c r="W199" s="69" t="s">
        <v>536</v>
      </c>
      <c r="X199" s="69" t="s">
        <v>3</v>
      </c>
      <c r="Y199" s="69" t="s">
        <v>2235</v>
      </c>
      <c r="Z199" s="69" t="s">
        <v>2235</v>
      </c>
      <c r="AA199" s="69" t="s">
        <v>2431</v>
      </c>
      <c r="AB199" s="69" t="s">
        <v>1493</v>
      </c>
      <c r="AC199" s="69" t="s">
        <v>581</v>
      </c>
      <c r="AD199" s="69" t="s">
        <v>3</v>
      </c>
      <c r="AE199" s="69"/>
      <c r="AF199" s="69"/>
      <c r="AG199" s="69"/>
      <c r="AH199" s="69" t="s">
        <v>2732</v>
      </c>
      <c r="AI199" s="69" t="s">
        <v>1693</v>
      </c>
      <c r="AJ199" s="69" t="s">
        <v>1827</v>
      </c>
      <c r="AK199" s="69" t="s">
        <v>3</v>
      </c>
      <c r="AL199" s="69" t="s">
        <v>3555</v>
      </c>
      <c r="AM199" s="69" t="s">
        <v>3596</v>
      </c>
      <c r="AN199" s="69" t="s">
        <v>3555</v>
      </c>
      <c r="AO199" s="69" t="s">
        <v>755</v>
      </c>
      <c r="AP199" s="69" t="s">
        <v>754</v>
      </c>
      <c r="AQ199" s="69" t="s">
        <v>3</v>
      </c>
      <c r="AR199" s="69" t="s">
        <v>2993</v>
      </c>
      <c r="AS199" s="69" t="s">
        <v>2993</v>
      </c>
      <c r="AT199" s="69" t="s">
        <v>1259</v>
      </c>
      <c r="AU199" s="69" t="s">
        <v>3</v>
      </c>
      <c r="AV199" s="69" t="s">
        <v>886</v>
      </c>
      <c r="AW199" s="69" t="s">
        <v>886</v>
      </c>
      <c r="AX199" s="96" t="s">
        <v>1043</v>
      </c>
      <c r="AY199" s="69" t="s">
        <v>1963</v>
      </c>
      <c r="AZ199" s="69" t="s">
        <v>3487</v>
      </c>
      <c r="BA199" s="69"/>
      <c r="BB199" s="69"/>
      <c r="BC199" s="69" t="s">
        <v>3</v>
      </c>
      <c r="BD199" s="69" t="s">
        <v>1173</v>
      </c>
      <c r="BE199" s="69" t="s">
        <v>1493</v>
      </c>
    </row>
    <row r="200" spans="1:57" ht="27" x14ac:dyDescent="0.2">
      <c r="A200" s="25" t="s">
        <v>3672</v>
      </c>
      <c r="B200" s="218"/>
      <c r="C200" s="46" t="s">
        <v>95</v>
      </c>
      <c r="D200" s="47" t="s">
        <v>174</v>
      </c>
      <c r="E200" s="47" t="s">
        <v>3</v>
      </c>
      <c r="F200" s="62" t="s">
        <v>0</v>
      </c>
      <c r="G200" s="117" t="s">
        <v>95</v>
      </c>
      <c r="H200" s="117" t="s">
        <v>95</v>
      </c>
      <c r="I200" s="120" t="s">
        <v>3</v>
      </c>
      <c r="J200" s="47" t="s">
        <v>1293</v>
      </c>
      <c r="K200" s="46" t="s">
        <v>3</v>
      </c>
      <c r="L200" s="46" t="s">
        <v>3</v>
      </c>
      <c r="M200" s="47" t="s">
        <v>2422</v>
      </c>
      <c r="N200" s="47" t="s">
        <v>3</v>
      </c>
      <c r="O200" s="47" t="s">
        <v>0</v>
      </c>
      <c r="P200" s="47" t="s">
        <v>3</v>
      </c>
      <c r="Q200" s="20" t="s">
        <v>3</v>
      </c>
      <c r="R200" s="44" t="s">
        <v>14</v>
      </c>
      <c r="S200" s="130" t="s">
        <v>3239</v>
      </c>
      <c r="T200" s="43" t="s">
        <v>3500</v>
      </c>
      <c r="U200" s="43" t="s">
        <v>3500</v>
      </c>
      <c r="V200" s="20" t="s">
        <v>3</v>
      </c>
      <c r="W200" s="20" t="s">
        <v>3</v>
      </c>
      <c r="X200" s="44" t="s">
        <v>3</v>
      </c>
      <c r="Y200" s="43" t="s">
        <v>3107</v>
      </c>
      <c r="Z200" s="43" t="s">
        <v>3107</v>
      </c>
      <c r="AA200" s="47" t="s">
        <v>379</v>
      </c>
      <c r="AB200" s="47" t="s">
        <v>12</v>
      </c>
      <c r="AC200" s="47" t="s">
        <v>582</v>
      </c>
      <c r="AD200" s="47" t="s">
        <v>3</v>
      </c>
      <c r="AE200" s="47" t="s">
        <v>95</v>
      </c>
      <c r="AF200" s="46" t="s">
        <v>3</v>
      </c>
      <c r="AG200" s="47" t="s">
        <v>0</v>
      </c>
      <c r="AH200" s="47" t="s">
        <v>2700</v>
      </c>
      <c r="AI200" s="47" t="s">
        <v>1696</v>
      </c>
      <c r="AJ200" s="47" t="s">
        <v>1754</v>
      </c>
      <c r="AK200" s="47" t="s">
        <v>3</v>
      </c>
      <c r="AL200" s="47" t="s">
        <v>0</v>
      </c>
      <c r="AM200" s="47" t="s">
        <v>12</v>
      </c>
      <c r="AN200" s="47" t="s">
        <v>12</v>
      </c>
      <c r="AO200" s="47" t="s">
        <v>3</v>
      </c>
      <c r="AP200" s="47" t="s">
        <v>760</v>
      </c>
      <c r="AQ200" s="44" t="s">
        <v>3</v>
      </c>
      <c r="AR200" s="44" t="s">
        <v>3</v>
      </c>
      <c r="AS200" s="44" t="s">
        <v>3</v>
      </c>
      <c r="AT200" s="47" t="s">
        <v>1258</v>
      </c>
      <c r="AU200" s="46" t="s">
        <v>3</v>
      </c>
      <c r="AV200" s="46" t="s">
        <v>186</v>
      </c>
      <c r="AW200" s="46" t="s">
        <v>186</v>
      </c>
      <c r="AX200" s="46" t="s">
        <v>1</v>
      </c>
      <c r="AY200" s="46" t="s">
        <v>3</v>
      </c>
      <c r="AZ200" s="46" t="s">
        <v>3</v>
      </c>
      <c r="BA200" s="46" t="s">
        <v>3</v>
      </c>
      <c r="BB200" s="47" t="s">
        <v>12</v>
      </c>
      <c r="BC200" s="46" t="s">
        <v>3</v>
      </c>
      <c r="BD200" s="47" t="s">
        <v>14</v>
      </c>
      <c r="BE200" s="47" t="s">
        <v>3</v>
      </c>
    </row>
    <row r="201" spans="1:57" ht="18" x14ac:dyDescent="0.2">
      <c r="A201" s="76" t="s">
        <v>402</v>
      </c>
      <c r="B201" s="219"/>
      <c r="C201" s="69" t="s">
        <v>2776</v>
      </c>
      <c r="D201" s="69" t="s">
        <v>1592</v>
      </c>
      <c r="E201" s="69" t="s">
        <v>3</v>
      </c>
      <c r="F201" s="106" t="s">
        <v>1441</v>
      </c>
      <c r="G201" s="128"/>
      <c r="H201" s="128"/>
      <c r="I201" s="107" t="s">
        <v>2552</v>
      </c>
      <c r="J201" s="69" t="s">
        <v>1292</v>
      </c>
      <c r="K201" s="69" t="s">
        <v>699</v>
      </c>
      <c r="L201" s="69" t="s">
        <v>699</v>
      </c>
      <c r="M201" s="69" t="s">
        <v>2416</v>
      </c>
      <c r="N201" s="69" t="s">
        <v>3</v>
      </c>
      <c r="O201" s="69" t="s">
        <v>2993</v>
      </c>
      <c r="P201" s="69" t="s">
        <v>3</v>
      </c>
      <c r="Q201" s="69" t="s">
        <v>3</v>
      </c>
      <c r="R201" s="69" t="s">
        <v>460</v>
      </c>
      <c r="S201" s="131"/>
      <c r="T201" s="69"/>
      <c r="U201" s="69"/>
      <c r="V201" s="69" t="s">
        <v>3</v>
      </c>
      <c r="W201" s="69" t="s">
        <v>3</v>
      </c>
      <c r="X201" s="69" t="s">
        <v>3</v>
      </c>
      <c r="Y201" s="69" t="s">
        <v>2234</v>
      </c>
      <c r="Z201" s="69" t="s">
        <v>2234</v>
      </c>
      <c r="AA201" s="69" t="s">
        <v>2431</v>
      </c>
      <c r="AB201" s="69" t="s">
        <v>2337</v>
      </c>
      <c r="AC201" s="69" t="s">
        <v>607</v>
      </c>
      <c r="AD201" s="69" t="s">
        <v>3</v>
      </c>
      <c r="AE201" s="69"/>
      <c r="AF201" s="69"/>
      <c r="AG201" s="69"/>
      <c r="AH201" s="69" t="s">
        <v>2730</v>
      </c>
      <c r="AI201" s="69" t="s">
        <v>2731</v>
      </c>
      <c r="AJ201" s="69" t="s">
        <v>1827</v>
      </c>
      <c r="AK201" s="69" t="s">
        <v>3</v>
      </c>
      <c r="AL201" s="69" t="s">
        <v>3555</v>
      </c>
      <c r="AM201" s="69" t="s">
        <v>3555</v>
      </c>
      <c r="AN201" s="69" t="s">
        <v>3555</v>
      </c>
      <c r="AO201" s="69" t="s">
        <v>3</v>
      </c>
      <c r="AP201" s="69" t="s">
        <v>761</v>
      </c>
      <c r="AQ201" s="69" t="s">
        <v>3</v>
      </c>
      <c r="AR201" s="69" t="s">
        <v>3</v>
      </c>
      <c r="AS201" s="69" t="s">
        <v>3</v>
      </c>
      <c r="AT201" s="69" t="s">
        <v>1259</v>
      </c>
      <c r="AU201" s="69" t="s">
        <v>3</v>
      </c>
      <c r="AV201" s="69" t="s">
        <v>887</v>
      </c>
      <c r="AW201" s="69" t="s">
        <v>887</v>
      </c>
      <c r="AX201" s="96" t="s">
        <v>1044</v>
      </c>
      <c r="AY201" s="69" t="s">
        <v>1989</v>
      </c>
      <c r="AZ201" s="69"/>
      <c r="BA201" s="69"/>
      <c r="BB201" s="69"/>
      <c r="BC201" s="69" t="s">
        <v>3</v>
      </c>
      <c r="BD201" s="69" t="s">
        <v>1171</v>
      </c>
      <c r="BE201" s="69" t="s">
        <v>3</v>
      </c>
    </row>
    <row r="202" spans="1:57" ht="18" x14ac:dyDescent="0.2">
      <c r="A202" s="25" t="s">
        <v>70</v>
      </c>
      <c r="B202" s="218"/>
      <c r="C202" s="46" t="s">
        <v>95</v>
      </c>
      <c r="D202" s="47" t="s">
        <v>14</v>
      </c>
      <c r="E202" s="47" t="s">
        <v>3</v>
      </c>
      <c r="F202" s="62" t="s">
        <v>95</v>
      </c>
      <c r="G202" s="117" t="s">
        <v>95</v>
      </c>
      <c r="H202" s="117" t="s">
        <v>95</v>
      </c>
      <c r="I202" s="120" t="s">
        <v>0</v>
      </c>
      <c r="J202" s="46" t="s">
        <v>0</v>
      </c>
      <c r="K202" s="47" t="s">
        <v>3</v>
      </c>
      <c r="L202" s="47" t="s">
        <v>3</v>
      </c>
      <c r="M202" s="47" t="s">
        <v>2404</v>
      </c>
      <c r="N202" s="47" t="s">
        <v>3030</v>
      </c>
      <c r="O202" s="47" t="s">
        <v>3029</v>
      </c>
      <c r="P202" s="46" t="s">
        <v>3</v>
      </c>
      <c r="Q202" s="20" t="s">
        <v>3</v>
      </c>
      <c r="R202" s="44" t="s">
        <v>0</v>
      </c>
      <c r="S202" s="130" t="s">
        <v>184</v>
      </c>
      <c r="T202" s="43" t="s">
        <v>3504</v>
      </c>
      <c r="U202" s="43" t="s">
        <v>3504</v>
      </c>
      <c r="V202" s="20" t="s">
        <v>3</v>
      </c>
      <c r="W202" s="43" t="s">
        <v>2569</v>
      </c>
      <c r="X202" s="44" t="s">
        <v>3</v>
      </c>
      <c r="Y202" s="43" t="s">
        <v>3108</v>
      </c>
      <c r="Z202" s="43" t="s">
        <v>3108</v>
      </c>
      <c r="AA202" s="47" t="s">
        <v>389</v>
      </c>
      <c r="AB202" s="47" t="s">
        <v>0</v>
      </c>
      <c r="AC202" s="46" t="s">
        <v>95</v>
      </c>
      <c r="AD202" s="47" t="s">
        <v>3</v>
      </c>
      <c r="AE202" s="47" t="s">
        <v>812</v>
      </c>
      <c r="AF202" s="46" t="s">
        <v>95</v>
      </c>
      <c r="AG202" s="46" t="s">
        <v>95</v>
      </c>
      <c r="AH202" s="46" t="s">
        <v>14</v>
      </c>
      <c r="AI202" s="46" t="s">
        <v>95</v>
      </c>
      <c r="AJ202" s="46" t="s">
        <v>95</v>
      </c>
      <c r="AK202" s="46" t="s">
        <v>3565</v>
      </c>
      <c r="AL202" s="46" t="s">
        <v>95</v>
      </c>
      <c r="AM202" s="46" t="s">
        <v>95</v>
      </c>
      <c r="AN202" s="46" t="s">
        <v>95</v>
      </c>
      <c r="AO202" s="46" t="s">
        <v>3</v>
      </c>
      <c r="AP202" s="46" t="s">
        <v>141</v>
      </c>
      <c r="AQ202" s="44" t="s">
        <v>3</v>
      </c>
      <c r="AR202" s="43" t="s">
        <v>3184</v>
      </c>
      <c r="AS202" s="43" t="s">
        <v>3204</v>
      </c>
      <c r="AT202" s="46" t="s">
        <v>95</v>
      </c>
      <c r="AU202" s="46" t="s">
        <v>3</v>
      </c>
      <c r="AV202" s="46" t="s">
        <v>186</v>
      </c>
      <c r="AW202" s="46" t="s">
        <v>131</v>
      </c>
      <c r="AX202" s="46" t="s">
        <v>131</v>
      </c>
      <c r="AY202" s="46" t="s">
        <v>16</v>
      </c>
      <c r="AZ202" s="46" t="s">
        <v>3464</v>
      </c>
      <c r="BA202" s="47" t="s">
        <v>12</v>
      </c>
      <c r="BB202" s="46" t="s">
        <v>95</v>
      </c>
      <c r="BC202" s="47" t="s">
        <v>3</v>
      </c>
      <c r="BD202" s="47" t="s">
        <v>264</v>
      </c>
      <c r="BE202" s="47" t="s">
        <v>3</v>
      </c>
    </row>
    <row r="203" spans="1:57" ht="18" x14ac:dyDescent="0.2">
      <c r="A203" s="76" t="s">
        <v>402</v>
      </c>
      <c r="B203" s="219"/>
      <c r="C203" s="69" t="s">
        <v>2770</v>
      </c>
      <c r="D203" s="69" t="s">
        <v>1588</v>
      </c>
      <c r="E203" s="69" t="s">
        <v>3</v>
      </c>
      <c r="F203" s="106" t="s">
        <v>1438</v>
      </c>
      <c r="G203" s="128"/>
      <c r="H203" s="128"/>
      <c r="I203" s="107" t="s">
        <v>2557</v>
      </c>
      <c r="J203" s="69" t="s">
        <v>1320</v>
      </c>
      <c r="K203" s="69" t="s">
        <v>694</v>
      </c>
      <c r="L203" s="69" t="s">
        <v>694</v>
      </c>
      <c r="M203" s="69" t="s">
        <v>2413</v>
      </c>
      <c r="N203" s="69" t="s">
        <v>3027</v>
      </c>
      <c r="O203" s="69" t="s">
        <v>2991</v>
      </c>
      <c r="P203" s="69" t="s">
        <v>3</v>
      </c>
      <c r="Q203" s="69" t="s">
        <v>3</v>
      </c>
      <c r="R203" s="69" t="s">
        <v>457</v>
      </c>
      <c r="S203" s="131"/>
      <c r="T203" s="69"/>
      <c r="U203" s="69"/>
      <c r="V203" s="69" t="s">
        <v>3</v>
      </c>
      <c r="W203" s="69" t="s">
        <v>525</v>
      </c>
      <c r="X203" s="69" t="s">
        <v>3</v>
      </c>
      <c r="Y203" s="69" t="s">
        <v>3109</v>
      </c>
      <c r="Z203" s="69" t="s">
        <v>3109</v>
      </c>
      <c r="AA203" s="69" t="s">
        <v>2432</v>
      </c>
      <c r="AB203" s="69" t="s">
        <v>756</v>
      </c>
      <c r="AC203" s="69" t="s">
        <v>604</v>
      </c>
      <c r="AD203" s="69" t="s">
        <v>3</v>
      </c>
      <c r="AE203" s="69"/>
      <c r="AF203" s="69"/>
      <c r="AG203" s="69"/>
      <c r="AH203" s="69" t="s">
        <v>2713</v>
      </c>
      <c r="AI203" s="69" t="s">
        <v>1659</v>
      </c>
      <c r="AJ203" s="69" t="s">
        <v>1822</v>
      </c>
      <c r="AK203" s="69" t="s">
        <v>3555</v>
      </c>
      <c r="AL203" s="69" t="s">
        <v>3555</v>
      </c>
      <c r="AM203" s="69" t="s">
        <v>3597</v>
      </c>
      <c r="AN203" s="69" t="s">
        <v>1795</v>
      </c>
      <c r="AO203" s="69" t="s">
        <v>3</v>
      </c>
      <c r="AP203" s="69" t="s">
        <v>756</v>
      </c>
      <c r="AQ203" s="69" t="s">
        <v>3</v>
      </c>
      <c r="AR203" s="69" t="s">
        <v>3183</v>
      </c>
      <c r="AS203" s="69" t="s">
        <v>3183</v>
      </c>
      <c r="AT203" s="69" t="s">
        <v>1231</v>
      </c>
      <c r="AU203" s="69" t="s">
        <v>3</v>
      </c>
      <c r="AV203" s="69" t="s">
        <v>904</v>
      </c>
      <c r="AW203" s="69" t="s">
        <v>895</v>
      </c>
      <c r="AX203" s="96" t="s">
        <v>1047</v>
      </c>
      <c r="AY203" s="69" t="s">
        <v>1959</v>
      </c>
      <c r="AZ203" s="69" t="s">
        <v>3488</v>
      </c>
      <c r="BA203" s="69"/>
      <c r="BB203" s="69"/>
      <c r="BC203" s="69" t="s">
        <v>3</v>
      </c>
      <c r="BD203" s="69" t="s">
        <v>1182</v>
      </c>
      <c r="BE203" s="69" t="s">
        <v>3</v>
      </c>
    </row>
    <row r="204" spans="1:57" ht="18" x14ac:dyDescent="0.2">
      <c r="A204" s="25" t="s">
        <v>69</v>
      </c>
      <c r="B204" s="218"/>
      <c r="C204" s="46" t="s">
        <v>95</v>
      </c>
      <c r="D204" s="47" t="s">
        <v>14</v>
      </c>
      <c r="E204" s="47" t="s">
        <v>3</v>
      </c>
      <c r="F204" s="62" t="s">
        <v>95</v>
      </c>
      <c r="G204" s="117" t="s">
        <v>95</v>
      </c>
      <c r="H204" s="117" t="s">
        <v>95</v>
      </c>
      <c r="I204" s="121" t="s">
        <v>3</v>
      </c>
      <c r="J204" s="46" t="s">
        <v>0</v>
      </c>
      <c r="K204" s="46" t="s">
        <v>3</v>
      </c>
      <c r="L204" s="46" t="s">
        <v>3</v>
      </c>
      <c r="M204" s="46" t="s">
        <v>2404</v>
      </c>
      <c r="N204" s="47" t="s">
        <v>186</v>
      </c>
      <c r="O204" s="47" t="s">
        <v>95</v>
      </c>
      <c r="P204" s="47" t="s">
        <v>3</v>
      </c>
      <c r="Q204" s="20" t="s">
        <v>3</v>
      </c>
      <c r="R204" s="20" t="s">
        <v>3</v>
      </c>
      <c r="S204" s="130" t="s">
        <v>184</v>
      </c>
      <c r="T204" s="43" t="s">
        <v>3504</v>
      </c>
      <c r="U204" s="43" t="s">
        <v>3504</v>
      </c>
      <c r="V204" s="20" t="s">
        <v>3</v>
      </c>
      <c r="W204" s="44" t="s">
        <v>95</v>
      </c>
      <c r="X204" s="44" t="s">
        <v>3</v>
      </c>
      <c r="Y204" s="44" t="s">
        <v>0</v>
      </c>
      <c r="Z204" s="44" t="s">
        <v>0</v>
      </c>
      <c r="AA204" s="47" t="s">
        <v>1871</v>
      </c>
      <c r="AB204" s="47" t="s">
        <v>0</v>
      </c>
      <c r="AC204" s="47" t="s">
        <v>3</v>
      </c>
      <c r="AD204" s="47" t="s">
        <v>3</v>
      </c>
      <c r="AE204" s="47" t="s">
        <v>812</v>
      </c>
      <c r="AF204" s="46" t="s">
        <v>95</v>
      </c>
      <c r="AG204" s="46" t="s">
        <v>95</v>
      </c>
      <c r="AH204" s="46" t="s">
        <v>14</v>
      </c>
      <c r="AI204" s="46" t="s">
        <v>95</v>
      </c>
      <c r="AJ204" s="46" t="s">
        <v>95</v>
      </c>
      <c r="AK204" s="46" t="s">
        <v>3565</v>
      </c>
      <c r="AL204" s="46" t="s">
        <v>95</v>
      </c>
      <c r="AM204" s="46" t="s">
        <v>95</v>
      </c>
      <c r="AN204" s="46" t="s">
        <v>95</v>
      </c>
      <c r="AO204" s="46" t="s">
        <v>3</v>
      </c>
      <c r="AP204" s="46" t="s">
        <v>3</v>
      </c>
      <c r="AQ204" s="44" t="s">
        <v>3</v>
      </c>
      <c r="AR204" s="44" t="s">
        <v>14</v>
      </c>
      <c r="AS204" s="44" t="s">
        <v>131</v>
      </c>
      <c r="AT204" s="46" t="s">
        <v>95</v>
      </c>
      <c r="AU204" s="46" t="s">
        <v>3</v>
      </c>
      <c r="AV204" s="46" t="s">
        <v>3</v>
      </c>
      <c r="AW204" s="46" t="s">
        <v>3</v>
      </c>
      <c r="AX204" s="46" t="s">
        <v>131</v>
      </c>
      <c r="AY204" s="46" t="s">
        <v>16</v>
      </c>
      <c r="AZ204" s="46" t="s">
        <v>3464</v>
      </c>
      <c r="BA204" s="47" t="s">
        <v>12</v>
      </c>
      <c r="BB204" s="46" t="s">
        <v>95</v>
      </c>
      <c r="BC204" s="47" t="s">
        <v>3</v>
      </c>
      <c r="BD204" s="47" t="s">
        <v>3</v>
      </c>
      <c r="BE204" s="47" t="s">
        <v>3</v>
      </c>
    </row>
    <row r="205" spans="1:57" ht="18" x14ac:dyDescent="0.2">
      <c r="A205" s="76" t="s">
        <v>402</v>
      </c>
      <c r="B205" s="219"/>
      <c r="C205" s="69" t="s">
        <v>2770</v>
      </c>
      <c r="D205" s="69" t="s">
        <v>1588</v>
      </c>
      <c r="E205" s="69" t="s">
        <v>3</v>
      </c>
      <c r="F205" s="106" t="s">
        <v>1438</v>
      </c>
      <c r="G205" s="128"/>
      <c r="H205" s="128"/>
      <c r="I205" s="107" t="s">
        <v>3</v>
      </c>
      <c r="J205" s="69" t="s">
        <v>1321</v>
      </c>
      <c r="K205" s="69" t="s">
        <v>3</v>
      </c>
      <c r="L205" s="69" t="s">
        <v>3</v>
      </c>
      <c r="M205" s="69" t="s">
        <v>2403</v>
      </c>
      <c r="N205" s="69" t="s">
        <v>3028</v>
      </c>
      <c r="O205" s="69" t="s">
        <v>2990</v>
      </c>
      <c r="P205" s="69" t="s">
        <v>3</v>
      </c>
      <c r="Q205" s="69" t="s">
        <v>3</v>
      </c>
      <c r="R205" s="69" t="s">
        <v>3</v>
      </c>
      <c r="S205" s="131"/>
      <c r="T205" s="69"/>
      <c r="U205" s="69"/>
      <c r="V205" s="69" t="s">
        <v>3</v>
      </c>
      <c r="W205" s="69" t="s">
        <v>2593</v>
      </c>
      <c r="X205" s="69" t="s">
        <v>3</v>
      </c>
      <c r="Y205" s="69" t="s">
        <v>3110</v>
      </c>
      <c r="Z205" s="69" t="s">
        <v>3110</v>
      </c>
      <c r="AA205" s="69" t="s">
        <v>2432</v>
      </c>
      <c r="AB205" s="69" t="s">
        <v>756</v>
      </c>
      <c r="AC205" s="69" t="s">
        <v>3</v>
      </c>
      <c r="AD205" s="69" t="s">
        <v>3</v>
      </c>
      <c r="AE205" s="69"/>
      <c r="AF205" s="69"/>
      <c r="AG205" s="69"/>
      <c r="AH205" s="69" t="s">
        <v>2713</v>
      </c>
      <c r="AI205" s="69" t="s">
        <v>1659</v>
      </c>
      <c r="AJ205" s="69" t="s">
        <v>1822</v>
      </c>
      <c r="AK205" s="69" t="s">
        <v>3555</v>
      </c>
      <c r="AL205" s="69" t="s">
        <v>1747</v>
      </c>
      <c r="AM205" s="69" t="s">
        <v>3555</v>
      </c>
      <c r="AN205" s="69" t="s">
        <v>3555</v>
      </c>
      <c r="AO205" s="69" t="s">
        <v>3</v>
      </c>
      <c r="AP205" s="69" t="s">
        <v>3</v>
      </c>
      <c r="AQ205" s="69" t="s">
        <v>3</v>
      </c>
      <c r="AR205" s="69" t="s">
        <v>3183</v>
      </c>
      <c r="AS205" s="69" t="s">
        <v>3183</v>
      </c>
      <c r="AT205" s="69" t="s">
        <v>1231</v>
      </c>
      <c r="AU205" s="69" t="s">
        <v>3</v>
      </c>
      <c r="AV205" s="69" t="s">
        <v>3</v>
      </c>
      <c r="AW205" s="69" t="s">
        <v>3</v>
      </c>
      <c r="AX205" s="96" t="s">
        <v>1048</v>
      </c>
      <c r="AY205" s="69" t="s">
        <v>1960</v>
      </c>
      <c r="AZ205" s="69" t="s">
        <v>3489</v>
      </c>
      <c r="BA205" s="69"/>
      <c r="BB205" s="69"/>
      <c r="BC205" s="69" t="s">
        <v>3</v>
      </c>
      <c r="BD205" s="69" t="s">
        <v>3</v>
      </c>
      <c r="BE205" s="69" t="s">
        <v>3</v>
      </c>
    </row>
    <row r="206" spans="1:57" ht="18" x14ac:dyDescent="0.2">
      <c r="A206" s="25" t="s">
        <v>3967</v>
      </c>
      <c r="B206" s="218"/>
      <c r="C206" s="47"/>
      <c r="D206" s="47"/>
      <c r="E206" s="47"/>
      <c r="F206" s="62"/>
      <c r="G206" s="47"/>
      <c r="H206" s="47"/>
      <c r="I206" s="121"/>
      <c r="J206" s="47"/>
      <c r="K206" s="47"/>
      <c r="L206" s="47"/>
      <c r="M206" s="47"/>
      <c r="N206" s="47"/>
      <c r="O206" s="47"/>
      <c r="P206" s="47"/>
      <c r="Q206" s="20"/>
      <c r="R206" s="43"/>
      <c r="S206" s="130"/>
      <c r="T206" s="43"/>
      <c r="U206" s="43"/>
      <c r="V206" s="20"/>
      <c r="W206" s="43"/>
      <c r="X206" s="47"/>
      <c r="Y206" s="43"/>
      <c r="Z206" s="43"/>
      <c r="AA206" s="47"/>
      <c r="AB206" s="47"/>
      <c r="AC206" s="47"/>
      <c r="AD206" s="47"/>
      <c r="AE206" s="47"/>
      <c r="AF206" s="47"/>
      <c r="AG206" s="47"/>
      <c r="AH206" s="47"/>
      <c r="AI206" s="47"/>
      <c r="AJ206" s="47"/>
      <c r="AK206" s="47"/>
      <c r="AL206" s="155"/>
      <c r="AM206" s="47"/>
      <c r="AN206" s="47"/>
      <c r="AO206" s="47"/>
      <c r="AP206" s="47"/>
      <c r="AQ206" s="47"/>
      <c r="AR206" s="43"/>
      <c r="AS206" s="43"/>
      <c r="AT206" s="46"/>
      <c r="AU206" s="46"/>
      <c r="AV206" s="47"/>
      <c r="AW206" s="47"/>
      <c r="AX206" s="47"/>
      <c r="AY206" s="47"/>
      <c r="AZ206" s="47"/>
      <c r="BA206" s="47"/>
      <c r="BB206" s="47"/>
      <c r="BC206" s="47"/>
      <c r="BD206" s="47"/>
      <c r="BE206" s="47"/>
    </row>
    <row r="207" spans="1:57" x14ac:dyDescent="0.2">
      <c r="A207" s="76" t="s">
        <v>402</v>
      </c>
      <c r="B207" s="219"/>
      <c r="C207" s="69"/>
      <c r="D207" s="69"/>
      <c r="E207" s="69"/>
      <c r="F207" s="106"/>
      <c r="G207" s="128"/>
      <c r="H207" s="128"/>
      <c r="I207" s="107"/>
      <c r="J207" s="69"/>
      <c r="K207" s="69"/>
      <c r="L207" s="69"/>
      <c r="M207" s="69"/>
      <c r="N207" s="69"/>
      <c r="O207" s="69"/>
      <c r="P207" s="69"/>
      <c r="Q207" s="69"/>
      <c r="R207" s="69"/>
      <c r="S207" s="131"/>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96"/>
      <c r="AY207" s="69"/>
      <c r="AZ207" s="69"/>
      <c r="BA207" s="69"/>
      <c r="BB207" s="69"/>
      <c r="BC207" s="69"/>
      <c r="BD207" s="69"/>
      <c r="BE207" s="69"/>
    </row>
    <row r="208" spans="1:57" ht="18" x14ac:dyDescent="0.2">
      <c r="A208" s="25" t="s">
        <v>68</v>
      </c>
      <c r="B208" s="218"/>
      <c r="C208" s="47" t="s">
        <v>146</v>
      </c>
      <c r="D208" s="47" t="s">
        <v>107</v>
      </c>
      <c r="E208" s="47" t="s">
        <v>3</v>
      </c>
      <c r="F208" s="62" t="s">
        <v>1412</v>
      </c>
      <c r="G208" s="47" t="s">
        <v>51</v>
      </c>
      <c r="H208" s="47" t="s">
        <v>51</v>
      </c>
      <c r="I208" s="121" t="s">
        <v>64</v>
      </c>
      <c r="J208" s="47" t="s">
        <v>832</v>
      </c>
      <c r="K208" s="47" t="s">
        <v>3</v>
      </c>
      <c r="L208" s="47" t="s">
        <v>421</v>
      </c>
      <c r="M208" s="47" t="s">
        <v>51</v>
      </c>
      <c r="N208" s="47" t="s">
        <v>3038</v>
      </c>
      <c r="O208" s="47" t="s">
        <v>3002</v>
      </c>
      <c r="P208" s="47" t="s">
        <v>3</v>
      </c>
      <c r="Q208" s="20" t="s">
        <v>51</v>
      </c>
      <c r="R208" s="43" t="s">
        <v>290</v>
      </c>
      <c r="S208" s="130" t="s">
        <v>1</v>
      </c>
      <c r="T208" s="43" t="s">
        <v>3505</v>
      </c>
      <c r="U208" s="43" t="s">
        <v>3505</v>
      </c>
      <c r="V208" s="20" t="s">
        <v>3</v>
      </c>
      <c r="W208" s="43" t="s">
        <v>146</v>
      </c>
      <c r="X208" s="47" t="s">
        <v>3</v>
      </c>
      <c r="Y208" s="43" t="s">
        <v>51</v>
      </c>
      <c r="Z208" s="43" t="s">
        <v>0</v>
      </c>
      <c r="AA208" s="47" t="s">
        <v>1865</v>
      </c>
      <c r="AB208" s="47" t="s">
        <v>290</v>
      </c>
      <c r="AC208" s="47" t="s">
        <v>107</v>
      </c>
      <c r="AD208" s="47" t="s">
        <v>3</v>
      </c>
      <c r="AE208" s="47" t="s">
        <v>812</v>
      </c>
      <c r="AF208" s="47" t="s">
        <v>371</v>
      </c>
      <c r="AG208" s="47" t="s">
        <v>371</v>
      </c>
      <c r="AH208" s="47" t="s">
        <v>1412</v>
      </c>
      <c r="AI208" s="47" t="s">
        <v>281</v>
      </c>
      <c r="AJ208" s="47" t="s">
        <v>53</v>
      </c>
      <c r="AK208" s="47" t="s">
        <v>146</v>
      </c>
      <c r="AL208" s="155" t="s">
        <v>53</v>
      </c>
      <c r="AM208" s="47" t="s">
        <v>146</v>
      </c>
      <c r="AN208" s="47" t="s">
        <v>146</v>
      </c>
      <c r="AO208" s="47" t="s">
        <v>3</v>
      </c>
      <c r="AP208" s="47" t="s">
        <v>763</v>
      </c>
      <c r="AQ208" s="47" t="s">
        <v>3</v>
      </c>
      <c r="AR208" s="43" t="s">
        <v>53</v>
      </c>
      <c r="AS208" s="43" t="s">
        <v>53</v>
      </c>
      <c r="AT208" s="46" t="s">
        <v>3</v>
      </c>
      <c r="AU208" s="46" t="s">
        <v>3</v>
      </c>
      <c r="AV208" s="47" t="s">
        <v>884</v>
      </c>
      <c r="AW208" s="47" t="s">
        <v>884</v>
      </c>
      <c r="AX208" s="47" t="s">
        <v>357</v>
      </c>
      <c r="AY208" s="47" t="s">
        <v>1933</v>
      </c>
      <c r="AZ208" s="47" t="s">
        <v>3</v>
      </c>
      <c r="BA208" s="47" t="s">
        <v>3</v>
      </c>
      <c r="BB208" s="47" t="s">
        <v>51</v>
      </c>
      <c r="BC208" s="47" t="s">
        <v>3</v>
      </c>
      <c r="BD208" s="47" t="s">
        <v>274</v>
      </c>
      <c r="BE208" s="47" t="s">
        <v>3</v>
      </c>
    </row>
    <row r="209" spans="1:57" ht="18" x14ac:dyDescent="0.2">
      <c r="A209" s="76" t="s">
        <v>402</v>
      </c>
      <c r="B209" s="219"/>
      <c r="C209" s="69" t="s">
        <v>2774</v>
      </c>
      <c r="D209" s="69" t="s">
        <v>1592</v>
      </c>
      <c r="E209" s="69" t="s">
        <v>3</v>
      </c>
      <c r="F209" s="106" t="s">
        <v>1442</v>
      </c>
      <c r="G209" s="128"/>
      <c r="H209" s="128"/>
      <c r="I209" s="107" t="s">
        <v>2557</v>
      </c>
      <c r="J209" s="69" t="s">
        <v>1289</v>
      </c>
      <c r="K209" s="69" t="s">
        <v>673</v>
      </c>
      <c r="L209" s="69" t="s">
        <v>674</v>
      </c>
      <c r="M209" s="69" t="s">
        <v>674</v>
      </c>
      <c r="N209" s="69" t="s">
        <v>3037</v>
      </c>
      <c r="O209" s="69" t="s">
        <v>3001</v>
      </c>
      <c r="P209" s="69" t="s">
        <v>3</v>
      </c>
      <c r="Q209" s="69" t="s">
        <v>503</v>
      </c>
      <c r="R209" s="69" t="s">
        <v>462</v>
      </c>
      <c r="S209" s="131"/>
      <c r="T209" s="69"/>
      <c r="U209" s="69"/>
      <c r="V209" s="69" t="s">
        <v>3</v>
      </c>
      <c r="W209" s="69" t="s">
        <v>534</v>
      </c>
      <c r="X209" s="69" t="s">
        <v>3</v>
      </c>
      <c r="Y209" s="69" t="s">
        <v>2232</v>
      </c>
      <c r="Z209" s="69" t="s">
        <v>3117</v>
      </c>
      <c r="AA209" s="69" t="s">
        <v>2432</v>
      </c>
      <c r="AB209" s="69" t="s">
        <v>2337</v>
      </c>
      <c r="AC209" s="69" t="s">
        <v>616</v>
      </c>
      <c r="AD209" s="69" t="s">
        <v>3</v>
      </c>
      <c r="AE209" s="69"/>
      <c r="AF209" s="69"/>
      <c r="AG209" s="69"/>
      <c r="AH209" s="69" t="s">
        <v>2729</v>
      </c>
      <c r="AI209" s="69" t="s">
        <v>1692</v>
      </c>
      <c r="AJ209" s="69" t="s">
        <v>1798</v>
      </c>
      <c r="AK209" s="69" t="s">
        <v>1799</v>
      </c>
      <c r="AL209" s="69" t="s">
        <v>3577</v>
      </c>
      <c r="AM209" s="69" t="s">
        <v>3555</v>
      </c>
      <c r="AN209" s="69" t="s">
        <v>3555</v>
      </c>
      <c r="AO209" s="69" t="s">
        <v>3</v>
      </c>
      <c r="AP209" s="69" t="s">
        <v>762</v>
      </c>
      <c r="AQ209" s="69" t="s">
        <v>3</v>
      </c>
      <c r="AR209" s="69" t="s">
        <v>3189</v>
      </c>
      <c r="AS209" s="69" t="s">
        <v>3189</v>
      </c>
      <c r="AT209" s="69" t="s">
        <v>3</v>
      </c>
      <c r="AU209" s="69" t="s">
        <v>3</v>
      </c>
      <c r="AV209" s="69" t="s">
        <v>883</v>
      </c>
      <c r="AW209" s="69" t="s">
        <v>883</v>
      </c>
      <c r="AX209" s="96" t="s">
        <v>1049</v>
      </c>
      <c r="AY209" s="69" t="s">
        <v>1958</v>
      </c>
      <c r="AZ209" s="69"/>
      <c r="BA209" s="69"/>
      <c r="BB209" s="69"/>
      <c r="BC209" s="69" t="s">
        <v>3</v>
      </c>
      <c r="BD209" s="69" t="s">
        <v>1183</v>
      </c>
      <c r="BE209" s="69" t="s">
        <v>3</v>
      </c>
    </row>
    <row r="210" spans="1:57" ht="27" x14ac:dyDescent="0.2">
      <c r="A210" s="161" t="s">
        <v>3832</v>
      </c>
      <c r="B210" s="218"/>
      <c r="C210" s="187" t="s">
        <v>43</v>
      </c>
      <c r="D210" s="187" t="s">
        <v>3271</v>
      </c>
      <c r="E210" s="187" t="s">
        <v>3</v>
      </c>
      <c r="F210" s="234" t="s">
        <v>3335</v>
      </c>
      <c r="G210" s="188" t="s">
        <v>3928</v>
      </c>
      <c r="H210" s="188" t="s">
        <v>3308</v>
      </c>
      <c r="I210" s="235" t="s">
        <v>185</v>
      </c>
      <c r="J210" s="187" t="s">
        <v>185</v>
      </c>
      <c r="K210" s="187" t="s">
        <v>3</v>
      </c>
      <c r="L210" s="187" t="s">
        <v>3</v>
      </c>
      <c r="M210" s="187" t="s">
        <v>664</v>
      </c>
      <c r="N210" s="187" t="s">
        <v>185</v>
      </c>
      <c r="O210" s="187" t="s">
        <v>332</v>
      </c>
      <c r="P210" s="187" t="s">
        <v>2975</v>
      </c>
      <c r="Q210" s="200" t="s">
        <v>185</v>
      </c>
      <c r="R210" s="200" t="s">
        <v>185</v>
      </c>
      <c r="S210" s="189" t="s">
        <v>3317</v>
      </c>
      <c r="T210" s="200" t="s">
        <v>3506</v>
      </c>
      <c r="U210" s="200" t="s">
        <v>3506</v>
      </c>
      <c r="V210" s="236" t="s">
        <v>2581</v>
      </c>
      <c r="W210" s="236" t="s">
        <v>2580</v>
      </c>
      <c r="X210" s="236" t="s">
        <v>185</v>
      </c>
      <c r="Y210" s="236" t="s">
        <v>2210</v>
      </c>
      <c r="Z210" s="236" t="s">
        <v>3101</v>
      </c>
      <c r="AA210" s="187" t="s">
        <v>2424</v>
      </c>
      <c r="AB210" s="187" t="s">
        <v>2355</v>
      </c>
      <c r="AC210" s="187" t="s">
        <v>3323</v>
      </c>
      <c r="AD210" s="187" t="s">
        <v>3</v>
      </c>
      <c r="AE210" s="187" t="s">
        <v>813</v>
      </c>
      <c r="AF210" s="187" t="s">
        <v>367</v>
      </c>
      <c r="AG210" s="187" t="s">
        <v>367</v>
      </c>
      <c r="AH210" s="190" t="s">
        <v>147</v>
      </c>
      <c r="AI210" s="190" t="s">
        <v>147</v>
      </c>
      <c r="AJ210" s="187" t="s">
        <v>114</v>
      </c>
      <c r="AK210" s="187" t="s">
        <v>3624</v>
      </c>
      <c r="AL210" s="187" t="s">
        <v>3578</v>
      </c>
      <c r="AM210" s="187" t="s">
        <v>147</v>
      </c>
      <c r="AN210" s="187" t="s">
        <v>3615</v>
      </c>
      <c r="AO210" s="187" t="s">
        <v>3</v>
      </c>
      <c r="AP210" s="187" t="s">
        <v>3</v>
      </c>
      <c r="AQ210" s="236" t="s">
        <v>3</v>
      </c>
      <c r="AR210" s="236" t="s">
        <v>332</v>
      </c>
      <c r="AS210" s="236" t="s">
        <v>332</v>
      </c>
      <c r="AT210" s="187" t="s">
        <v>185</v>
      </c>
      <c r="AU210" s="190" t="s">
        <v>3</v>
      </c>
      <c r="AV210" s="187" t="s">
        <v>185</v>
      </c>
      <c r="AW210" s="187" t="s">
        <v>185</v>
      </c>
      <c r="AX210" s="187" t="s">
        <v>1005</v>
      </c>
      <c r="AY210" s="187" t="s">
        <v>1934</v>
      </c>
      <c r="AZ210" s="187" t="s">
        <v>3</v>
      </c>
      <c r="BA210" s="187" t="s">
        <v>185</v>
      </c>
      <c r="BB210" s="187" t="s">
        <v>332</v>
      </c>
      <c r="BC210" s="187" t="s">
        <v>3</v>
      </c>
      <c r="BD210" s="187" t="s">
        <v>1160</v>
      </c>
      <c r="BE210" s="187" t="s">
        <v>1494</v>
      </c>
    </row>
    <row r="211" spans="1:57" ht="18" x14ac:dyDescent="0.2">
      <c r="A211" s="76" t="s">
        <v>402</v>
      </c>
      <c r="B211" s="219"/>
      <c r="C211" s="69" t="s">
        <v>2772</v>
      </c>
      <c r="D211" s="69" t="s">
        <v>1592</v>
      </c>
      <c r="E211" s="69" t="s">
        <v>3</v>
      </c>
      <c r="F211" s="106" t="s">
        <v>1633</v>
      </c>
      <c r="G211" s="128"/>
      <c r="H211" s="128"/>
      <c r="I211" s="107" t="s">
        <v>2557</v>
      </c>
      <c r="J211" s="69" t="s">
        <v>1283</v>
      </c>
      <c r="K211" s="69" t="s">
        <v>662</v>
      </c>
      <c r="L211" s="69" t="s">
        <v>662</v>
      </c>
      <c r="M211" s="69" t="s">
        <v>663</v>
      </c>
      <c r="N211" s="69" t="s">
        <v>2994</v>
      </c>
      <c r="O211" s="69" t="s">
        <v>3034</v>
      </c>
      <c r="P211" s="69" t="s">
        <v>3096</v>
      </c>
      <c r="Q211" s="69" t="s">
        <v>504</v>
      </c>
      <c r="R211" s="69" t="s">
        <v>504</v>
      </c>
      <c r="S211" s="131"/>
      <c r="T211" s="69"/>
      <c r="U211" s="69"/>
      <c r="V211" s="69" t="s">
        <v>528</v>
      </c>
      <c r="W211" s="69" t="s">
        <v>528</v>
      </c>
      <c r="X211" s="69" t="s">
        <v>3144</v>
      </c>
      <c r="Y211" s="69" t="s">
        <v>2231</v>
      </c>
      <c r="Z211" s="69" t="s">
        <v>3116</v>
      </c>
      <c r="AA211" s="69" t="s">
        <v>2430</v>
      </c>
      <c r="AB211" s="69" t="s">
        <v>2337</v>
      </c>
      <c r="AC211" s="69" t="s">
        <v>615</v>
      </c>
      <c r="AD211" s="69" t="s">
        <v>3</v>
      </c>
      <c r="AE211" s="69"/>
      <c r="AF211" s="69"/>
      <c r="AG211" s="69"/>
      <c r="AH211" s="69" t="s">
        <v>2728</v>
      </c>
      <c r="AI211" s="69" t="s">
        <v>2727</v>
      </c>
      <c r="AJ211" s="69" t="s">
        <v>1825</v>
      </c>
      <c r="AK211" s="69" t="s">
        <v>3555</v>
      </c>
      <c r="AL211" s="69" t="s">
        <v>3555</v>
      </c>
      <c r="AM211" s="69" t="s">
        <v>3598</v>
      </c>
      <c r="AN211" s="69" t="s">
        <v>3555</v>
      </c>
      <c r="AO211" s="69" t="s">
        <v>3</v>
      </c>
      <c r="AP211" s="69" t="s">
        <v>3</v>
      </c>
      <c r="AQ211" s="69" t="s">
        <v>3</v>
      </c>
      <c r="AR211" s="69" t="s">
        <v>3034</v>
      </c>
      <c r="AS211" s="69" t="s">
        <v>3034</v>
      </c>
      <c r="AT211" s="69" t="s">
        <v>1240</v>
      </c>
      <c r="AU211" s="69" t="s">
        <v>3</v>
      </c>
      <c r="AV211" s="69" t="s">
        <v>880</v>
      </c>
      <c r="AW211" s="69" t="s">
        <v>880</v>
      </c>
      <c r="AX211" s="96" t="s">
        <v>1040</v>
      </c>
      <c r="AY211" s="69" t="s">
        <v>1949</v>
      </c>
      <c r="AZ211" s="69"/>
      <c r="BA211" s="69"/>
      <c r="BB211" s="69"/>
      <c r="BC211" s="69" t="s">
        <v>3</v>
      </c>
      <c r="BD211" s="69" t="s">
        <v>1184</v>
      </c>
      <c r="BE211" s="69" t="s">
        <v>1502</v>
      </c>
    </row>
    <row r="212" spans="1:57" ht="27" x14ac:dyDescent="0.2">
      <c r="A212" s="25" t="s">
        <v>3815</v>
      </c>
      <c r="B212" s="218" t="s">
        <v>3771</v>
      </c>
      <c r="C212" s="47" t="s">
        <v>126</v>
      </c>
      <c r="D212" s="47" t="s">
        <v>3265</v>
      </c>
      <c r="E212" s="47" t="s">
        <v>830</v>
      </c>
      <c r="F212" s="62" t="s">
        <v>44</v>
      </c>
      <c r="G212" s="117" t="s">
        <v>3125</v>
      </c>
      <c r="H212" s="117" t="s">
        <v>3125</v>
      </c>
      <c r="I212" s="121" t="s">
        <v>2531</v>
      </c>
      <c r="J212" s="47" t="s">
        <v>801</v>
      </c>
      <c r="K212" s="47" t="s">
        <v>132</v>
      </c>
      <c r="L212" s="47" t="s">
        <v>2385</v>
      </c>
      <c r="M212" s="47" t="s">
        <v>2381</v>
      </c>
      <c r="N212" s="47" t="s">
        <v>3044</v>
      </c>
      <c r="O212" s="47" t="s">
        <v>2977</v>
      </c>
      <c r="P212" s="47" t="s">
        <v>2976</v>
      </c>
      <c r="Q212" s="20" t="s">
        <v>126</v>
      </c>
      <c r="R212" s="20" t="s">
        <v>126</v>
      </c>
      <c r="S212" s="130" t="s">
        <v>3318</v>
      </c>
      <c r="T212" s="20" t="s">
        <v>126</v>
      </c>
      <c r="U212" s="20" t="s">
        <v>126</v>
      </c>
      <c r="V212" s="20" t="s">
        <v>132</v>
      </c>
      <c r="W212" s="43" t="s">
        <v>2572</v>
      </c>
      <c r="X212" s="47" t="s">
        <v>3102</v>
      </c>
      <c r="Y212" s="43" t="s">
        <v>3103</v>
      </c>
      <c r="Z212" s="43" t="s">
        <v>3104</v>
      </c>
      <c r="AA212" s="47" t="s">
        <v>396</v>
      </c>
      <c r="AB212" s="47" t="s">
        <v>2357</v>
      </c>
      <c r="AC212" s="47" t="s">
        <v>44</v>
      </c>
      <c r="AD212" s="47" t="s">
        <v>621</v>
      </c>
      <c r="AE212" s="47" t="s">
        <v>814</v>
      </c>
      <c r="AF212" s="46" t="s">
        <v>126</v>
      </c>
      <c r="AG212" s="46" t="s">
        <v>126</v>
      </c>
      <c r="AH212" s="47" t="s">
        <v>1702</v>
      </c>
      <c r="AI212" s="47" t="s">
        <v>1702</v>
      </c>
      <c r="AJ212" s="47" t="s">
        <v>1759</v>
      </c>
      <c r="AK212" s="47" t="s">
        <v>95</v>
      </c>
      <c r="AL212" s="47" t="s">
        <v>1759</v>
      </c>
      <c r="AM212" s="47" t="s">
        <v>1760</v>
      </c>
      <c r="AN212" s="47" t="s">
        <v>1760</v>
      </c>
      <c r="AO212" s="47" t="s">
        <v>132</v>
      </c>
      <c r="AP212" s="46" t="s">
        <v>126</v>
      </c>
      <c r="AQ212" s="47" t="s">
        <v>21</v>
      </c>
      <c r="AR212" s="43" t="s">
        <v>3187</v>
      </c>
      <c r="AS212" s="43" t="s">
        <v>3187</v>
      </c>
      <c r="AT212" s="46" t="s">
        <v>126</v>
      </c>
      <c r="AU212" s="47" t="s">
        <v>921</v>
      </c>
      <c r="AV212" s="47" t="s">
        <v>922</v>
      </c>
      <c r="AW212" s="47" t="s">
        <v>922</v>
      </c>
      <c r="AX212" s="47" t="s">
        <v>1006</v>
      </c>
      <c r="AY212" s="47" t="s">
        <v>1759</v>
      </c>
      <c r="AZ212" s="47" t="s">
        <v>126</v>
      </c>
      <c r="BA212" s="47" t="s">
        <v>126</v>
      </c>
      <c r="BB212" s="47" t="s">
        <v>347</v>
      </c>
      <c r="BC212" s="47" t="s">
        <v>1211</v>
      </c>
      <c r="BD212" s="47" t="s">
        <v>277</v>
      </c>
      <c r="BE212" s="47" t="s">
        <v>409</v>
      </c>
    </row>
    <row r="213" spans="1:57" ht="18" x14ac:dyDescent="0.2">
      <c r="A213" s="76" t="s">
        <v>402</v>
      </c>
      <c r="B213" s="219"/>
      <c r="C213" s="69" t="s">
        <v>2778</v>
      </c>
      <c r="D213" s="69" t="s">
        <v>3258</v>
      </c>
      <c r="E213" s="69" t="s">
        <v>1634</v>
      </c>
      <c r="F213" s="106" t="s">
        <v>1446</v>
      </c>
      <c r="G213" s="128"/>
      <c r="H213" s="128"/>
      <c r="I213" s="107" t="s">
        <v>1758</v>
      </c>
      <c r="J213" s="69" t="s">
        <v>1284</v>
      </c>
      <c r="K213" s="69" t="s">
        <v>716</v>
      </c>
      <c r="L213" s="69" t="s">
        <v>2386</v>
      </c>
      <c r="M213" s="69" t="s">
        <v>2382</v>
      </c>
      <c r="N213" s="69" t="s">
        <v>3073</v>
      </c>
      <c r="O213" s="69" t="s">
        <v>1507</v>
      </c>
      <c r="P213" s="69" t="s">
        <v>3072</v>
      </c>
      <c r="Q213" s="69" t="s">
        <v>509</v>
      </c>
      <c r="R213" s="69" t="s">
        <v>509</v>
      </c>
      <c r="S213" s="131"/>
      <c r="T213" s="69"/>
      <c r="U213" s="69"/>
      <c r="V213" s="69" t="s">
        <v>562</v>
      </c>
      <c r="W213" s="69" t="s">
        <v>2573</v>
      </c>
      <c r="X213" s="69" t="s">
        <v>3113</v>
      </c>
      <c r="Y213" s="69" t="s">
        <v>3114</v>
      </c>
      <c r="Z213" s="69" t="s">
        <v>3118</v>
      </c>
      <c r="AA213" s="69" t="s">
        <v>2477</v>
      </c>
      <c r="AB213" s="69" t="s">
        <v>2337</v>
      </c>
      <c r="AC213" s="69" t="s">
        <v>614</v>
      </c>
      <c r="AD213" s="69" t="s">
        <v>622</v>
      </c>
      <c r="AE213" s="69"/>
      <c r="AF213" s="69"/>
      <c r="AG213" s="69"/>
      <c r="AH213" s="69" t="s">
        <v>2726</v>
      </c>
      <c r="AI213" s="69" t="s">
        <v>1701</v>
      </c>
      <c r="AJ213" s="69" t="s">
        <v>1829</v>
      </c>
      <c r="AK213" s="69" t="s">
        <v>3555</v>
      </c>
      <c r="AL213" s="69" t="s">
        <v>3555</v>
      </c>
      <c r="AM213" s="69" t="s">
        <v>3555</v>
      </c>
      <c r="AN213" s="69" t="s">
        <v>3555</v>
      </c>
      <c r="AO213" s="69" t="s">
        <v>743</v>
      </c>
      <c r="AP213" s="69" t="s">
        <v>742</v>
      </c>
      <c r="AQ213" s="69" t="s">
        <v>3214</v>
      </c>
      <c r="AR213" s="69" t="s">
        <v>3188</v>
      </c>
      <c r="AS213" s="69" t="s">
        <v>3188</v>
      </c>
      <c r="AT213" s="69" t="s">
        <v>1257</v>
      </c>
      <c r="AU213" s="69" t="s">
        <v>920</v>
      </c>
      <c r="AV213" s="69" t="s">
        <v>906</v>
      </c>
      <c r="AW213" s="69" t="s">
        <v>906</v>
      </c>
      <c r="AX213" s="96" t="s">
        <v>1057</v>
      </c>
      <c r="AY213" s="69" t="s">
        <v>1964</v>
      </c>
      <c r="AZ213" s="69" t="s">
        <v>3490</v>
      </c>
      <c r="BA213" s="69"/>
      <c r="BB213" s="69"/>
      <c r="BC213" s="69" t="s">
        <v>1212</v>
      </c>
      <c r="BD213" s="69" t="s">
        <v>1186</v>
      </c>
      <c r="BE213" s="69" t="s">
        <v>1505</v>
      </c>
    </row>
    <row r="214" spans="1:57" ht="33.75" customHeight="1" x14ac:dyDescent="0.2">
      <c r="A214" s="25" t="s">
        <v>3764</v>
      </c>
      <c r="B214" s="218"/>
      <c r="C214" s="187"/>
      <c r="D214" s="187"/>
      <c r="E214" s="187"/>
      <c r="F214" s="234"/>
      <c r="G214" s="188"/>
      <c r="H214" s="188"/>
      <c r="I214" s="235"/>
      <c r="J214" s="187"/>
      <c r="K214" s="187"/>
      <c r="L214" s="187"/>
      <c r="M214" s="187"/>
      <c r="N214" s="187"/>
      <c r="O214" s="187"/>
      <c r="P214" s="187"/>
      <c r="Q214" s="200"/>
      <c r="R214" s="200"/>
      <c r="S214" s="189"/>
      <c r="T214" s="200"/>
      <c r="U214" s="200"/>
      <c r="V214" s="200"/>
      <c r="W214" s="236"/>
      <c r="X214" s="187"/>
      <c r="Y214" s="236"/>
      <c r="Z214" s="236"/>
      <c r="AA214" s="187"/>
      <c r="AB214" s="187"/>
      <c r="AC214" s="187"/>
      <c r="AD214" s="187"/>
      <c r="AE214" s="187"/>
      <c r="AF214" s="190"/>
      <c r="AG214" s="190"/>
      <c r="AH214" s="187"/>
      <c r="AI214" s="187"/>
      <c r="AJ214" s="187"/>
      <c r="AK214" s="187"/>
      <c r="AL214" s="187"/>
      <c r="AM214" s="187"/>
      <c r="AN214" s="187"/>
      <c r="AO214" s="187"/>
      <c r="AP214" s="190"/>
      <c r="AQ214" s="187"/>
      <c r="AR214" s="236"/>
      <c r="AS214" s="236"/>
      <c r="AT214" s="190"/>
      <c r="AU214" s="187"/>
      <c r="AV214" s="187"/>
      <c r="AW214" s="187"/>
      <c r="AX214" s="187"/>
      <c r="AY214" s="187"/>
      <c r="AZ214" s="187"/>
      <c r="BA214" s="187"/>
      <c r="BB214" s="187"/>
      <c r="BC214" s="187"/>
      <c r="BD214" s="187"/>
      <c r="BE214" s="187"/>
    </row>
    <row r="215" spans="1:57" x14ac:dyDescent="0.2">
      <c r="A215" s="76" t="s">
        <v>402</v>
      </c>
      <c r="B215" s="219"/>
      <c r="C215" s="187"/>
      <c r="D215" s="187"/>
      <c r="E215" s="187"/>
      <c r="F215" s="234"/>
      <c r="G215" s="188"/>
      <c r="H215" s="188"/>
      <c r="I215" s="235"/>
      <c r="J215" s="187"/>
      <c r="K215" s="187"/>
      <c r="L215" s="187"/>
      <c r="M215" s="187"/>
      <c r="N215" s="187"/>
      <c r="O215" s="187"/>
      <c r="P215" s="187"/>
      <c r="Q215" s="187"/>
      <c r="R215" s="187"/>
      <c r="S215" s="237"/>
      <c r="T215" s="187"/>
      <c r="U215" s="187"/>
      <c r="V215" s="187"/>
      <c r="W215" s="187"/>
      <c r="X215" s="187"/>
      <c r="Y215" s="187"/>
      <c r="Z215" s="187"/>
      <c r="AA215" s="187"/>
      <c r="AB215" s="187"/>
      <c r="AC215" s="187"/>
      <c r="AD215" s="187"/>
      <c r="AE215" s="187"/>
      <c r="AF215" s="187"/>
      <c r="AG215" s="187"/>
      <c r="AH215" s="187"/>
      <c r="AI215" s="187"/>
      <c r="AJ215" s="187"/>
      <c r="AK215" s="187"/>
      <c r="AL215" s="187"/>
      <c r="AM215" s="69" t="s">
        <v>3</v>
      </c>
      <c r="AN215" s="69" t="s">
        <v>3</v>
      </c>
      <c r="AO215" s="69" t="s">
        <v>3</v>
      </c>
      <c r="AP215" s="69" t="s">
        <v>3</v>
      </c>
      <c r="AQ215" s="69" t="s">
        <v>3</v>
      </c>
      <c r="AR215" s="69" t="s">
        <v>3</v>
      </c>
      <c r="AS215" s="69" t="s">
        <v>3</v>
      </c>
      <c r="AT215" s="69" t="s">
        <v>3</v>
      </c>
      <c r="AU215" s="69" t="s">
        <v>3</v>
      </c>
      <c r="AV215" s="69" t="s">
        <v>3</v>
      </c>
      <c r="AW215" s="69" t="s">
        <v>3</v>
      </c>
      <c r="AX215" s="69" t="s">
        <v>3</v>
      </c>
      <c r="AY215" s="69" t="s">
        <v>3</v>
      </c>
      <c r="AZ215" s="69" t="s">
        <v>3</v>
      </c>
      <c r="BA215" s="187"/>
      <c r="BB215" s="187"/>
      <c r="BC215" s="69" t="s">
        <v>3</v>
      </c>
      <c r="BD215" s="69" t="s">
        <v>3</v>
      </c>
      <c r="BE215" s="69" t="s">
        <v>3</v>
      </c>
    </row>
    <row r="216" spans="1:57" ht="27" x14ac:dyDescent="0.2">
      <c r="A216" s="162" t="s">
        <v>3717</v>
      </c>
      <c r="B216" s="218"/>
      <c r="C216" s="183" t="s">
        <v>203</v>
      </c>
      <c r="D216" s="186" t="s">
        <v>3288</v>
      </c>
      <c r="E216" s="183" t="s">
        <v>3</v>
      </c>
      <c r="F216" s="192" t="s">
        <v>95</v>
      </c>
      <c r="G216" s="184" t="s">
        <v>3298</v>
      </c>
      <c r="H216" s="184" t="s">
        <v>3298</v>
      </c>
      <c r="I216" s="211" t="s">
        <v>2561</v>
      </c>
      <c r="J216" s="183" t="s">
        <v>186</v>
      </c>
      <c r="K216" s="186" t="s">
        <v>3</v>
      </c>
      <c r="L216" s="186" t="s">
        <v>3</v>
      </c>
      <c r="M216" s="186" t="s">
        <v>2415</v>
      </c>
      <c r="N216" s="183" t="s">
        <v>3</v>
      </c>
      <c r="O216" s="183" t="s">
        <v>95</v>
      </c>
      <c r="P216" s="183" t="s">
        <v>3</v>
      </c>
      <c r="Q216" s="194" t="s">
        <v>3</v>
      </c>
      <c r="R216" s="195" t="s">
        <v>14</v>
      </c>
      <c r="S216" s="212" t="s">
        <v>3319</v>
      </c>
      <c r="T216" s="198" t="s">
        <v>3502</v>
      </c>
      <c r="U216" s="198" t="s">
        <v>3510</v>
      </c>
      <c r="V216" s="194" t="s">
        <v>3</v>
      </c>
      <c r="W216" s="195" t="s">
        <v>95</v>
      </c>
      <c r="X216" s="198" t="s">
        <v>3</v>
      </c>
      <c r="Y216" s="198" t="s">
        <v>0</v>
      </c>
      <c r="Z216" s="198" t="s">
        <v>0</v>
      </c>
      <c r="AA216" s="183" t="s">
        <v>2479</v>
      </c>
      <c r="AB216" s="183" t="s">
        <v>95</v>
      </c>
      <c r="AC216" s="183" t="s">
        <v>606</v>
      </c>
      <c r="AD216" s="183" t="s">
        <v>3</v>
      </c>
      <c r="AE216" s="183" t="s">
        <v>95</v>
      </c>
      <c r="AF216" s="183" t="s">
        <v>221</v>
      </c>
      <c r="AG216" s="183" t="s">
        <v>221</v>
      </c>
      <c r="AH216" s="183" t="s">
        <v>95</v>
      </c>
      <c r="AI216" s="183" t="s">
        <v>1689</v>
      </c>
      <c r="AJ216" s="183" t="s">
        <v>117</v>
      </c>
      <c r="AK216" s="183" t="s">
        <v>3</v>
      </c>
      <c r="AL216" s="183" t="s">
        <v>117</v>
      </c>
      <c r="AM216" s="183" t="s">
        <v>3599</v>
      </c>
      <c r="AN216" s="183" t="s">
        <v>1801</v>
      </c>
      <c r="AO216" s="183" t="s">
        <v>3</v>
      </c>
      <c r="AP216" s="183" t="s">
        <v>3448</v>
      </c>
      <c r="AQ216" s="183" t="s">
        <v>3</v>
      </c>
      <c r="AR216" s="195" t="s">
        <v>14</v>
      </c>
      <c r="AS216" s="195" t="s">
        <v>16</v>
      </c>
      <c r="AT216" s="186" t="s">
        <v>3</v>
      </c>
      <c r="AU216" s="186" t="s">
        <v>3</v>
      </c>
      <c r="AV216" s="186" t="s">
        <v>186</v>
      </c>
      <c r="AW216" s="186" t="s">
        <v>131</v>
      </c>
      <c r="AX216" s="186" t="s">
        <v>131</v>
      </c>
      <c r="AY216" s="183" t="s">
        <v>95</v>
      </c>
      <c r="AZ216" s="183" t="s">
        <v>95</v>
      </c>
      <c r="BA216" s="213" t="s">
        <v>3</v>
      </c>
      <c r="BB216" s="186" t="s">
        <v>95</v>
      </c>
      <c r="BC216" s="186" t="s">
        <v>3</v>
      </c>
      <c r="BD216" s="183" t="s">
        <v>264</v>
      </c>
      <c r="BE216" s="183" t="s">
        <v>3</v>
      </c>
    </row>
    <row r="217" spans="1:57" ht="18" x14ac:dyDescent="0.2">
      <c r="A217" s="76" t="s">
        <v>402</v>
      </c>
      <c r="B217" s="219"/>
      <c r="C217" s="69" t="s">
        <v>2771</v>
      </c>
      <c r="D217" s="69" t="s">
        <v>3258</v>
      </c>
      <c r="E217" s="69" t="s">
        <v>3</v>
      </c>
      <c r="F217" s="106" t="s">
        <v>1439</v>
      </c>
      <c r="G217" s="128"/>
      <c r="H217" s="128"/>
      <c r="I217" s="107" t="s">
        <v>2562</v>
      </c>
      <c r="J217" s="69" t="s">
        <v>1299</v>
      </c>
      <c r="K217" s="69" t="s">
        <v>3</v>
      </c>
      <c r="L217" s="69" t="s">
        <v>3</v>
      </c>
      <c r="M217" s="69" t="s">
        <v>2414</v>
      </c>
      <c r="N217" s="69" t="s">
        <v>3</v>
      </c>
      <c r="O217" s="69" t="s">
        <v>2987</v>
      </c>
      <c r="P217" s="69" t="s">
        <v>3</v>
      </c>
      <c r="Q217" s="69" t="s">
        <v>3</v>
      </c>
      <c r="R217" s="69" t="s">
        <v>458</v>
      </c>
      <c r="S217" s="131"/>
      <c r="T217" s="69"/>
      <c r="U217" s="69"/>
      <c r="V217" s="69" t="s">
        <v>3</v>
      </c>
      <c r="W217" s="69" t="s">
        <v>527</v>
      </c>
      <c r="X217" s="69" t="s">
        <v>3</v>
      </c>
      <c r="Y217" s="69" t="s">
        <v>2226</v>
      </c>
      <c r="Z217" s="69" t="s">
        <v>2226</v>
      </c>
      <c r="AA217" s="69" t="s">
        <v>2478</v>
      </c>
      <c r="AB217" s="69" t="s">
        <v>2099</v>
      </c>
      <c r="AC217" s="69" t="s">
        <v>605</v>
      </c>
      <c r="AD217" s="69" t="s">
        <v>3</v>
      </c>
      <c r="AE217" s="69"/>
      <c r="AF217" s="69"/>
      <c r="AG217" s="69"/>
      <c r="AH217" s="69" t="s">
        <v>2724</v>
      </c>
      <c r="AI217" s="69" t="s">
        <v>1688</v>
      </c>
      <c r="AJ217" s="69" t="s">
        <v>1739</v>
      </c>
      <c r="AK217" s="69" t="s">
        <v>3</v>
      </c>
      <c r="AL217" s="69" t="s">
        <v>3555</v>
      </c>
      <c r="AM217" s="69" t="s">
        <v>3555</v>
      </c>
      <c r="AN217" s="69" t="s">
        <v>3555</v>
      </c>
      <c r="AO217" s="69" t="s">
        <v>3</v>
      </c>
      <c r="AP217" s="69" t="s">
        <v>3449</v>
      </c>
      <c r="AQ217" s="69" t="s">
        <v>3</v>
      </c>
      <c r="AR217" s="69" t="s">
        <v>3181</v>
      </c>
      <c r="AS217" s="69" t="s">
        <v>3181</v>
      </c>
      <c r="AT217" s="69" t="s">
        <v>3</v>
      </c>
      <c r="AU217" s="69" t="s">
        <v>3</v>
      </c>
      <c r="AV217" s="69" t="s">
        <v>903</v>
      </c>
      <c r="AW217" s="69" t="s">
        <v>894</v>
      </c>
      <c r="AX217" s="96" t="s">
        <v>1041</v>
      </c>
      <c r="AY217" s="69" t="s">
        <v>1962</v>
      </c>
      <c r="AZ217" s="69" t="s">
        <v>3494</v>
      </c>
      <c r="BA217" s="69"/>
      <c r="BB217" s="69"/>
      <c r="BC217" s="69" t="s">
        <v>3</v>
      </c>
      <c r="BD217" s="69" t="s">
        <v>1174</v>
      </c>
      <c r="BE217" s="69" t="s">
        <v>3</v>
      </c>
    </row>
    <row r="218" spans="1:57" ht="27" x14ac:dyDescent="0.2">
      <c r="A218" s="25" t="s">
        <v>3808</v>
      </c>
      <c r="B218" s="218"/>
      <c r="C218" s="47" t="s">
        <v>3</v>
      </c>
      <c r="D218" s="47" t="s">
        <v>16</v>
      </c>
      <c r="E218" s="47" t="s">
        <v>3</v>
      </c>
      <c r="F218" s="62" t="s">
        <v>14</v>
      </c>
      <c r="G218" s="117" t="s">
        <v>3299</v>
      </c>
      <c r="H218" s="117" t="s">
        <v>3299</v>
      </c>
      <c r="I218" s="121" t="s">
        <v>3</v>
      </c>
      <c r="J218" s="47" t="s">
        <v>3</v>
      </c>
      <c r="K218" s="47" t="s">
        <v>3</v>
      </c>
      <c r="L218" s="47" t="s">
        <v>16</v>
      </c>
      <c r="M218" s="47" t="s">
        <v>14</v>
      </c>
      <c r="N218" s="47" t="s">
        <v>3</v>
      </c>
      <c r="O218" s="47" t="s">
        <v>3</v>
      </c>
      <c r="P218" s="47" t="s">
        <v>3</v>
      </c>
      <c r="Q218" s="20" t="s">
        <v>3</v>
      </c>
      <c r="R218" s="20" t="s">
        <v>3</v>
      </c>
      <c r="S218" s="130" t="s">
        <v>49</v>
      </c>
      <c r="T218" s="44" t="s">
        <v>3</v>
      </c>
      <c r="U218" s="44" t="s">
        <v>3</v>
      </c>
      <c r="V218" s="20" t="s">
        <v>3</v>
      </c>
      <c r="W218" s="20" t="s">
        <v>3</v>
      </c>
      <c r="X218" s="20" t="s">
        <v>3</v>
      </c>
      <c r="Y218" s="20" t="s">
        <v>3</v>
      </c>
      <c r="Z218" s="20" t="s">
        <v>3</v>
      </c>
      <c r="AA218" s="47" t="s">
        <v>1927</v>
      </c>
      <c r="AB218" s="47" t="s">
        <v>2361</v>
      </c>
      <c r="AC218" s="47" t="s">
        <v>3</v>
      </c>
      <c r="AD218" s="47" t="s">
        <v>3</v>
      </c>
      <c r="AE218" s="47" t="s">
        <v>95</v>
      </c>
      <c r="AF218" s="47" t="s">
        <v>221</v>
      </c>
      <c r="AG218" s="47" t="s">
        <v>221</v>
      </c>
      <c r="AH218" s="47" t="s">
        <v>3</v>
      </c>
      <c r="AI218" s="47" t="s">
        <v>95</v>
      </c>
      <c r="AJ218" s="47" t="s">
        <v>3</v>
      </c>
      <c r="AK218" s="47" t="s">
        <v>3</v>
      </c>
      <c r="AL218" s="47" t="s">
        <v>3</v>
      </c>
      <c r="AM218" s="47" t="s">
        <v>95</v>
      </c>
      <c r="AN218" s="47" t="s">
        <v>95</v>
      </c>
      <c r="AO218" s="47" t="s">
        <v>3</v>
      </c>
      <c r="AP218" s="47" t="s">
        <v>3442</v>
      </c>
      <c r="AQ218" s="47" t="s">
        <v>3</v>
      </c>
      <c r="AR218" s="47" t="s">
        <v>3</v>
      </c>
      <c r="AS218" s="47" t="s">
        <v>3</v>
      </c>
      <c r="AT218" s="46" t="s">
        <v>3</v>
      </c>
      <c r="AU218" s="46" t="s">
        <v>3</v>
      </c>
      <c r="AV218" s="46" t="s">
        <v>3</v>
      </c>
      <c r="AW218" s="46" t="s">
        <v>3</v>
      </c>
      <c r="AX218" s="46" t="s">
        <v>3</v>
      </c>
      <c r="AY218" s="46" t="s">
        <v>16</v>
      </c>
      <c r="AZ218" s="46" t="s">
        <v>3</v>
      </c>
      <c r="BA218" s="47" t="s">
        <v>3</v>
      </c>
      <c r="BB218" s="47" t="s">
        <v>16</v>
      </c>
      <c r="BC218" s="47" t="s">
        <v>264</v>
      </c>
      <c r="BD218" s="47" t="s">
        <v>264</v>
      </c>
      <c r="BE218" s="47" t="s">
        <v>3</v>
      </c>
    </row>
    <row r="219" spans="1:57" ht="18" x14ac:dyDescent="0.2">
      <c r="A219" s="76" t="s">
        <v>402</v>
      </c>
      <c r="B219" s="219"/>
      <c r="C219" s="69" t="s">
        <v>3</v>
      </c>
      <c r="D219" s="69" t="s">
        <v>3258</v>
      </c>
      <c r="E219" s="69" t="s">
        <v>3</v>
      </c>
      <c r="F219" s="106" t="s">
        <v>3334</v>
      </c>
      <c r="G219" s="128"/>
      <c r="H219" s="128"/>
      <c r="I219" s="107" t="s">
        <v>1740</v>
      </c>
      <c r="J219" s="69" t="s">
        <v>1319</v>
      </c>
      <c r="K219" s="69" t="s">
        <v>675</v>
      </c>
      <c r="L219" s="69" t="s">
        <v>676</v>
      </c>
      <c r="M219" s="69" t="s">
        <v>676</v>
      </c>
      <c r="N219" s="69" t="s">
        <v>3097</v>
      </c>
      <c r="O219" s="69" t="s">
        <v>3097</v>
      </c>
      <c r="P219" s="69" t="s">
        <v>3097</v>
      </c>
      <c r="Q219" s="69" t="s">
        <v>3</v>
      </c>
      <c r="R219" s="69" t="s">
        <v>3</v>
      </c>
      <c r="S219" s="131"/>
      <c r="T219" s="69"/>
      <c r="U219" s="69"/>
      <c r="V219" s="69" t="s">
        <v>3</v>
      </c>
      <c r="W219" s="69" t="s">
        <v>3</v>
      </c>
      <c r="X219" s="69" t="s">
        <v>3</v>
      </c>
      <c r="Y219" s="69" t="s">
        <v>3</v>
      </c>
      <c r="Z219" s="69" t="s">
        <v>3</v>
      </c>
      <c r="AA219" s="69" t="s">
        <v>2445</v>
      </c>
      <c r="AB219" s="69" t="s">
        <v>2362</v>
      </c>
      <c r="AC219" s="69" t="s">
        <v>3</v>
      </c>
      <c r="AD219" s="69" t="s">
        <v>3</v>
      </c>
      <c r="AE219" s="69"/>
      <c r="AF219" s="69"/>
      <c r="AG219" s="69"/>
      <c r="AH219" s="69" t="s">
        <v>2723</v>
      </c>
      <c r="AI219" s="69" t="s">
        <v>1690</v>
      </c>
      <c r="AJ219" s="69" t="s">
        <v>1826</v>
      </c>
      <c r="AK219" s="69" t="s">
        <v>3</v>
      </c>
      <c r="AL219" s="69" t="s">
        <v>1762</v>
      </c>
      <c r="AM219" s="69" t="s">
        <v>3555</v>
      </c>
      <c r="AN219" s="69" t="s">
        <v>3555</v>
      </c>
      <c r="AO219" s="69" t="s">
        <v>782</v>
      </c>
      <c r="AP219" s="69" t="s">
        <v>3450</v>
      </c>
      <c r="AQ219" s="69" t="s">
        <v>3220</v>
      </c>
      <c r="AR219" s="69" t="s">
        <v>3220</v>
      </c>
      <c r="AS219" s="69" t="s">
        <v>3220</v>
      </c>
      <c r="AT219" s="69" t="s">
        <v>1256</v>
      </c>
      <c r="AU219" s="69" t="s">
        <v>3</v>
      </c>
      <c r="AV219" s="69" t="s">
        <v>3</v>
      </c>
      <c r="AW219" s="69" t="s">
        <v>3</v>
      </c>
      <c r="AX219" s="96" t="s">
        <v>1063</v>
      </c>
      <c r="AY219" s="96" t="s">
        <v>3</v>
      </c>
      <c r="AZ219" s="96"/>
      <c r="BA219" s="69"/>
      <c r="BB219" s="69"/>
      <c r="BC219" s="69" t="s">
        <v>1166</v>
      </c>
      <c r="BD219" s="69" t="s">
        <v>1166</v>
      </c>
      <c r="BE219" s="69" t="s">
        <v>1509</v>
      </c>
    </row>
    <row r="220" spans="1:57" ht="27" x14ac:dyDescent="0.2">
      <c r="A220" s="25" t="s">
        <v>50</v>
      </c>
      <c r="B220" s="218"/>
      <c r="C220" s="47" t="s">
        <v>3</v>
      </c>
      <c r="D220" s="60" t="s">
        <v>3</v>
      </c>
      <c r="E220" s="47" t="s">
        <v>3</v>
      </c>
      <c r="F220" s="62" t="s">
        <v>3</v>
      </c>
      <c r="G220" s="117" t="s">
        <v>3239</v>
      </c>
      <c r="H220" s="117" t="s">
        <v>3239</v>
      </c>
      <c r="I220" s="121" t="s">
        <v>3</v>
      </c>
      <c r="J220" s="47" t="s">
        <v>3</v>
      </c>
      <c r="K220" s="46" t="s">
        <v>3</v>
      </c>
      <c r="L220" s="46" t="s">
        <v>3</v>
      </c>
      <c r="M220" s="47" t="s">
        <v>2400</v>
      </c>
      <c r="N220" s="47" t="s">
        <v>3</v>
      </c>
      <c r="O220" s="47" t="s">
        <v>3</v>
      </c>
      <c r="P220" s="47" t="s">
        <v>3</v>
      </c>
      <c r="Q220" s="20" t="s">
        <v>3</v>
      </c>
      <c r="R220" s="20" t="s">
        <v>3</v>
      </c>
      <c r="S220" s="130" t="s">
        <v>3239</v>
      </c>
      <c r="T220" s="44" t="s">
        <v>3</v>
      </c>
      <c r="U220" s="44" t="s">
        <v>3</v>
      </c>
      <c r="V220" s="20" t="s">
        <v>3</v>
      </c>
      <c r="W220" s="47" t="s">
        <v>2568</v>
      </c>
      <c r="X220" s="20" t="s">
        <v>3</v>
      </c>
      <c r="Y220" s="20" t="s">
        <v>3</v>
      </c>
      <c r="Z220" s="20" t="s">
        <v>3</v>
      </c>
      <c r="AA220" s="47" t="s">
        <v>3</v>
      </c>
      <c r="AB220" s="47" t="s">
        <v>3</v>
      </c>
      <c r="AC220" s="47" t="s">
        <v>3</v>
      </c>
      <c r="AD220" s="47" t="s">
        <v>3</v>
      </c>
      <c r="AE220" s="47" t="s">
        <v>95</v>
      </c>
      <c r="AF220" s="47" t="s">
        <v>370</v>
      </c>
      <c r="AG220" s="47" t="s">
        <v>370</v>
      </c>
      <c r="AH220" s="47" t="s">
        <v>3</v>
      </c>
      <c r="AI220" s="47" t="s">
        <v>3</v>
      </c>
      <c r="AJ220" s="47" t="s">
        <v>3</v>
      </c>
      <c r="AK220" s="47" t="s">
        <v>3</v>
      </c>
      <c r="AL220" s="47" t="s">
        <v>3</v>
      </c>
      <c r="AM220" s="47" t="s">
        <v>3</v>
      </c>
      <c r="AN220" s="47" t="s">
        <v>3</v>
      </c>
      <c r="AO220" s="47" t="s">
        <v>3</v>
      </c>
      <c r="AP220" s="47" t="s">
        <v>3</v>
      </c>
      <c r="AQ220" s="47" t="s">
        <v>3</v>
      </c>
      <c r="AR220" s="47" t="s">
        <v>3</v>
      </c>
      <c r="AS220" s="47" t="s">
        <v>3</v>
      </c>
      <c r="AT220" s="46" t="s">
        <v>3</v>
      </c>
      <c r="AU220" s="46" t="s">
        <v>3</v>
      </c>
      <c r="AV220" s="46" t="s">
        <v>3</v>
      </c>
      <c r="AW220" s="46" t="s">
        <v>3</v>
      </c>
      <c r="AX220" s="46" t="s">
        <v>3</v>
      </c>
      <c r="AY220" s="46" t="s">
        <v>3</v>
      </c>
      <c r="AZ220" s="46" t="s">
        <v>3</v>
      </c>
      <c r="BA220" s="47" t="s">
        <v>3</v>
      </c>
      <c r="BB220" s="47" t="s">
        <v>335</v>
      </c>
      <c r="BC220" s="46" t="s">
        <v>3</v>
      </c>
      <c r="BD220" s="47" t="s">
        <v>276</v>
      </c>
      <c r="BE220" s="47" t="s">
        <v>3</v>
      </c>
    </row>
    <row r="221" spans="1:57" x14ac:dyDescent="0.2">
      <c r="A221" s="76" t="s">
        <v>402</v>
      </c>
      <c r="B221" s="219"/>
      <c r="C221" s="69" t="s">
        <v>3</v>
      </c>
      <c r="D221" s="69"/>
      <c r="E221" s="69" t="s">
        <v>3</v>
      </c>
      <c r="F221" s="106" t="s">
        <v>3</v>
      </c>
      <c r="G221" s="128"/>
      <c r="H221" s="128"/>
      <c r="I221" s="107" t="s">
        <v>3</v>
      </c>
      <c r="J221" s="69" t="s">
        <v>3</v>
      </c>
      <c r="K221" s="69" t="s">
        <v>3</v>
      </c>
      <c r="L221" s="69" t="s">
        <v>3</v>
      </c>
      <c r="M221" s="69" t="s">
        <v>2384</v>
      </c>
      <c r="N221" s="69" t="s">
        <v>3</v>
      </c>
      <c r="O221" s="69" t="s">
        <v>3</v>
      </c>
      <c r="P221" s="69" t="s">
        <v>3</v>
      </c>
      <c r="Q221" s="69" t="s">
        <v>3</v>
      </c>
      <c r="R221" s="69" t="s">
        <v>3</v>
      </c>
      <c r="S221" s="131"/>
      <c r="T221" s="69"/>
      <c r="U221" s="69"/>
      <c r="V221" s="69" t="s">
        <v>3</v>
      </c>
      <c r="W221" s="69" t="s">
        <v>2582</v>
      </c>
      <c r="X221" s="69" t="s">
        <v>3</v>
      </c>
      <c r="Y221" s="69" t="s">
        <v>3</v>
      </c>
      <c r="Z221" s="69" t="s">
        <v>3</v>
      </c>
      <c r="AA221" s="69" t="s">
        <v>3</v>
      </c>
      <c r="AB221" s="69" t="s">
        <v>3</v>
      </c>
      <c r="AC221" s="69" t="s">
        <v>3</v>
      </c>
      <c r="AD221" s="69" t="s">
        <v>3</v>
      </c>
      <c r="AE221" s="69"/>
      <c r="AF221" s="69"/>
      <c r="AG221" s="69"/>
      <c r="AH221" s="69" t="s">
        <v>3</v>
      </c>
      <c r="AI221" s="69" t="s">
        <v>3</v>
      </c>
      <c r="AJ221" s="69" t="s">
        <v>3</v>
      </c>
      <c r="AK221" s="69" t="s">
        <v>3580</v>
      </c>
      <c r="AL221" s="69" t="s">
        <v>3580</v>
      </c>
      <c r="AM221" s="69" t="s">
        <v>3580</v>
      </c>
      <c r="AN221" s="69" t="s">
        <v>3580</v>
      </c>
      <c r="AO221" s="69" t="s">
        <v>3</v>
      </c>
      <c r="AP221" s="69" t="s">
        <v>3</v>
      </c>
      <c r="AQ221" s="69" t="s">
        <v>3</v>
      </c>
      <c r="AR221" s="69" t="s">
        <v>3</v>
      </c>
      <c r="AS221" s="69" t="s">
        <v>3</v>
      </c>
      <c r="AT221" s="69" t="s">
        <v>3</v>
      </c>
      <c r="AU221" s="69" t="s">
        <v>3</v>
      </c>
      <c r="AV221" s="69" t="s">
        <v>3</v>
      </c>
      <c r="AW221" s="69" t="s">
        <v>3</v>
      </c>
      <c r="AX221" s="69" t="s">
        <v>3</v>
      </c>
      <c r="AY221" s="69" t="s">
        <v>3</v>
      </c>
      <c r="AZ221" s="69"/>
      <c r="BA221" s="69"/>
      <c r="BB221" s="69"/>
      <c r="BC221" s="69" t="s">
        <v>3</v>
      </c>
      <c r="BD221" s="69" t="s">
        <v>1189</v>
      </c>
      <c r="BE221" s="69" t="s">
        <v>3</v>
      </c>
    </row>
    <row r="222" spans="1:57" x14ac:dyDescent="0.2">
      <c r="A222" s="18"/>
      <c r="G222" s="113"/>
      <c r="H222" s="116"/>
      <c r="S222" s="132"/>
    </row>
    <row r="223" spans="1:57" ht="18" x14ac:dyDescent="0.2">
      <c r="A223" s="92" t="s">
        <v>46</v>
      </c>
      <c r="B223" s="221"/>
      <c r="C223" s="49" t="str">
        <f>C1</f>
        <v>Allianz inkl. SicherheitPlus</v>
      </c>
      <c r="D223" s="49" t="str">
        <f>D1</f>
        <v>Alte Leipziger comfort</v>
      </c>
      <c r="E223" s="49" t="str">
        <f>E1</f>
        <v>ARAG Basis (Wohnfläche)</v>
      </c>
      <c r="F223" s="122" t="str">
        <f>F1</f>
        <v>ARAG Comfort (Wohnfläche)</v>
      </c>
      <c r="G223" s="243" t="s">
        <v>3310</v>
      </c>
      <c r="H223" s="243" t="s">
        <v>3311</v>
      </c>
      <c r="I223" s="252" t="str">
        <f t="shared" ref="I223:P223" si="22">I1</f>
        <v>Baden Badener TOP (WF)</v>
      </c>
      <c r="J223" s="251" t="str">
        <f t="shared" si="22"/>
        <v>Basler Ambiente Top</v>
      </c>
      <c r="K223" s="251" t="str">
        <f t="shared" si="22"/>
        <v>Debeka Basis</v>
      </c>
      <c r="L223" s="251" t="str">
        <f t="shared" si="22"/>
        <v>Debeka Standard</v>
      </c>
      <c r="M223" s="251" t="str">
        <f t="shared" si="22"/>
        <v>Debeka Top</v>
      </c>
      <c r="N223" s="251" t="str">
        <f t="shared" si="22"/>
        <v>die Bayerische Komfort</v>
      </c>
      <c r="O223" s="251" t="str">
        <f t="shared" si="22"/>
        <v>die Bayerische Prestige</v>
      </c>
      <c r="P223" s="251" t="str">
        <f t="shared" si="22"/>
        <v>die Bayerische Smart</v>
      </c>
      <c r="Q223" s="251" t="str">
        <f>Q1</f>
        <v>Domcura Komfort</v>
      </c>
      <c r="R223" s="251" t="str">
        <f>R1</f>
        <v>Domcura Top</v>
      </c>
      <c r="S223" s="135" t="s">
        <v>3312</v>
      </c>
      <c r="T223" s="251" t="str">
        <f t="shared" ref="T223:AB223" si="23">T1</f>
        <v>ERGO</v>
      </c>
      <c r="U223" s="251" t="str">
        <f t="shared" si="23"/>
        <v>ERGO spezial</v>
      </c>
      <c r="V223" s="251" t="str">
        <f t="shared" si="23"/>
        <v>Generali Basis (qm)</v>
      </c>
      <c r="W223" s="251" t="str">
        <f t="shared" si="23"/>
        <v>Generali KomfortPlus (qm)</v>
      </c>
      <c r="X223" s="251" t="str">
        <f t="shared" si="23"/>
        <v>Gothaer (qm)</v>
      </c>
      <c r="Y223" s="251" t="str">
        <f t="shared" si="23"/>
        <v>Gothaer Top (qm)</v>
      </c>
      <c r="Z223" s="251" t="str">
        <f t="shared" si="23"/>
        <v>Gothaer Top Plus (qm)</v>
      </c>
      <c r="AA223" s="251" t="str">
        <f t="shared" si="23"/>
        <v>HDI Privatschutz (Wohnfläche)</v>
      </c>
      <c r="AB223" s="251" t="str">
        <f t="shared" si="23"/>
        <v>Helvetia Komfort</v>
      </c>
      <c r="AC223" s="251" t="str">
        <f t="shared" ref="AC223:AJ223" si="24">AC1</f>
        <v>HFK afm mit Zusatzdeckung</v>
      </c>
      <c r="AD223" s="251" t="str">
        <f t="shared" si="24"/>
        <v>HFK afm ohne Zusatzdeckung</v>
      </c>
      <c r="AE223" s="251" t="str">
        <f t="shared" si="24"/>
        <v>Hiscox Haus &amp; Kunst</v>
      </c>
      <c r="AF223" s="251" t="str">
        <f t="shared" si="24"/>
        <v>HUK Classic</v>
      </c>
      <c r="AG223" s="251" t="str">
        <f t="shared" si="24"/>
        <v>HUK Plus</v>
      </c>
      <c r="AH223" s="251" t="str">
        <f t="shared" si="24"/>
        <v>InterRisk XL</v>
      </c>
      <c r="AI223" s="251" t="str">
        <f t="shared" si="24"/>
        <v>InterRisk XXL</v>
      </c>
      <c r="AJ223" s="251" t="str">
        <f t="shared" si="24"/>
        <v>ITL afm Eurosecure 2009</v>
      </c>
      <c r="AK223" s="245" t="s">
        <v>3552</v>
      </c>
      <c r="AL223" s="245" t="s">
        <v>3551</v>
      </c>
      <c r="AM223" s="245" t="s">
        <v>3550</v>
      </c>
      <c r="AN223" s="245" t="s">
        <v>3549</v>
      </c>
      <c r="AO223" s="251" t="str">
        <f>AO1</f>
        <v>Itzehoer Basis</v>
      </c>
      <c r="AP223" s="251" t="str">
        <f>AP1</f>
        <v>Itzehoer Plus</v>
      </c>
      <c r="AQ223" s="251"/>
      <c r="AR223" s="251"/>
      <c r="AS223" s="251"/>
      <c r="AT223" s="251" t="str">
        <f t="shared" ref="AT223:AY223" si="25">AT1</f>
        <v>Nürnberger KomplettSchutz (Wert 1914)</v>
      </c>
      <c r="AU223" s="251" t="str">
        <f t="shared" si="25"/>
        <v>Provinzial Kompaktschutz</v>
      </c>
      <c r="AV223" s="251" t="str">
        <f t="shared" si="25"/>
        <v>Provinzial Rundum inkl. Plus</v>
      </c>
      <c r="AW223" s="251" t="str">
        <f t="shared" si="25"/>
        <v>Provinzial Rundumschutz</v>
      </c>
      <c r="AX223" s="251" t="str">
        <f t="shared" si="25"/>
        <v>R+V PrivatPolice (Fläche)</v>
      </c>
      <c r="AY223" s="251" t="str">
        <f t="shared" si="25"/>
        <v>VdVA</v>
      </c>
      <c r="AZ223" s="243" t="s">
        <v>3496</v>
      </c>
      <c r="BA223" s="251" t="str">
        <f>BA1</f>
        <v>VHV Klassik Garant</v>
      </c>
      <c r="BB223" s="251" t="str">
        <f>BB1</f>
        <v>VHV Klassik Garant Exklusiv</v>
      </c>
      <c r="BC223" s="246" t="str">
        <f>BC1</f>
        <v>VKB Kompakt</v>
      </c>
      <c r="BD223" s="246" t="str">
        <f>BD1</f>
        <v>VKB Optimal</v>
      </c>
      <c r="BE223" s="251" t="str">
        <f>BE1</f>
        <v>WÜBA Plus</v>
      </c>
    </row>
    <row r="224" spans="1:57" x14ac:dyDescent="0.2">
      <c r="A224" s="25" t="s">
        <v>3695</v>
      </c>
      <c r="B224" s="220"/>
      <c r="C224" s="47"/>
      <c r="D224" s="47"/>
      <c r="E224" s="47"/>
      <c r="F224" s="101"/>
      <c r="G224" s="117"/>
      <c r="H224" s="117"/>
      <c r="I224" s="120"/>
      <c r="J224" s="47"/>
      <c r="K224" s="46"/>
      <c r="L224" s="46"/>
      <c r="M224" s="46"/>
      <c r="N224" s="47"/>
      <c r="O224" s="47"/>
      <c r="P224" s="47"/>
      <c r="Q224" s="20"/>
      <c r="R224" s="20"/>
      <c r="S224" s="130"/>
      <c r="T224" s="20"/>
      <c r="U224" s="20"/>
      <c r="V224" s="20"/>
      <c r="W224" s="44"/>
      <c r="X224" s="46"/>
      <c r="Y224" s="43"/>
      <c r="Z224" s="43"/>
      <c r="AA224" s="47"/>
      <c r="AB224" s="47"/>
      <c r="AC224" s="46"/>
      <c r="AD224" s="46"/>
      <c r="AE224" s="46"/>
      <c r="AF224" s="46"/>
      <c r="AG224" s="46"/>
      <c r="AH224" s="46"/>
      <c r="AI224" s="47"/>
      <c r="AJ224" s="46"/>
      <c r="AK224" s="46"/>
      <c r="AL224" s="46"/>
      <c r="AM224" s="46"/>
      <c r="AN224" s="46"/>
      <c r="AO224" s="47"/>
      <c r="AP224" s="47"/>
      <c r="AQ224" s="47"/>
      <c r="AR224" s="43"/>
      <c r="AS224" s="43"/>
      <c r="AT224" s="46"/>
      <c r="AU224" s="46"/>
      <c r="AV224" s="46"/>
      <c r="AW224" s="46"/>
      <c r="AX224" s="47"/>
      <c r="AY224" s="46"/>
      <c r="AZ224" s="46"/>
      <c r="BA224" s="46"/>
      <c r="BB224" s="46"/>
      <c r="BC224" s="46"/>
      <c r="BD224" s="47"/>
      <c r="BE224" s="46"/>
    </row>
    <row r="225" spans="1:57" x14ac:dyDescent="0.2">
      <c r="A225" s="76" t="s">
        <v>402</v>
      </c>
      <c r="B225" s="219"/>
      <c r="C225" s="69"/>
      <c r="D225" s="69"/>
      <c r="E225" s="69"/>
      <c r="F225" s="106"/>
      <c r="G225" s="128"/>
      <c r="H225" s="128"/>
      <c r="I225" s="107"/>
      <c r="J225" s="69"/>
      <c r="K225" s="69"/>
      <c r="L225" s="69"/>
      <c r="M225" s="69"/>
      <c r="N225" s="69"/>
      <c r="O225" s="69"/>
      <c r="P225" s="69"/>
      <c r="Q225" s="69"/>
      <c r="R225" s="69"/>
      <c r="S225" s="131"/>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96"/>
      <c r="AY225" s="69"/>
      <c r="AZ225" s="69"/>
      <c r="BA225" s="69"/>
      <c r="BB225" s="69"/>
      <c r="BC225" s="69"/>
      <c r="BD225" s="69"/>
      <c r="BE225" s="69"/>
    </row>
    <row r="226" spans="1:57" ht="36" x14ac:dyDescent="0.2">
      <c r="A226" s="162" t="s">
        <v>3663</v>
      </c>
      <c r="B226" s="220"/>
      <c r="C226" s="183" t="s">
        <v>95</v>
      </c>
      <c r="D226" s="183" t="s">
        <v>95</v>
      </c>
      <c r="E226" s="183" t="s">
        <v>3</v>
      </c>
      <c r="F226" s="204" t="s">
        <v>12</v>
      </c>
      <c r="G226" s="184" t="s">
        <v>95</v>
      </c>
      <c r="H226" s="184" t="s">
        <v>95</v>
      </c>
      <c r="I226" s="193" t="s">
        <v>95</v>
      </c>
      <c r="J226" s="183" t="s">
        <v>1645</v>
      </c>
      <c r="K226" s="186" t="s">
        <v>3</v>
      </c>
      <c r="L226" s="186" t="s">
        <v>3</v>
      </c>
      <c r="M226" s="186" t="s">
        <v>12</v>
      </c>
      <c r="N226" s="183" t="s">
        <v>3521</v>
      </c>
      <c r="O226" s="183" t="s">
        <v>3008</v>
      </c>
      <c r="P226" s="183" t="s">
        <v>3007</v>
      </c>
      <c r="Q226" s="194" t="s">
        <v>12</v>
      </c>
      <c r="R226" s="194" t="s">
        <v>465</v>
      </c>
      <c r="S226" s="185" t="s">
        <v>95</v>
      </c>
      <c r="T226" s="194" t="s">
        <v>3</v>
      </c>
      <c r="U226" s="194" t="s">
        <v>3508</v>
      </c>
      <c r="V226" s="194" t="s">
        <v>174</v>
      </c>
      <c r="W226" s="195" t="s">
        <v>95</v>
      </c>
      <c r="X226" s="186" t="s">
        <v>3</v>
      </c>
      <c r="Y226" s="198" t="s">
        <v>2209</v>
      </c>
      <c r="Z226" s="198" t="s">
        <v>3105</v>
      </c>
      <c r="AA226" s="183" t="s">
        <v>2427</v>
      </c>
      <c r="AB226" s="183" t="s">
        <v>95</v>
      </c>
      <c r="AC226" s="186" t="s">
        <v>95</v>
      </c>
      <c r="AD226" s="186" t="s">
        <v>3</v>
      </c>
      <c r="AE226" s="186" t="s">
        <v>23</v>
      </c>
      <c r="AF226" s="186" t="s">
        <v>95</v>
      </c>
      <c r="AG226" s="186" t="s">
        <v>95</v>
      </c>
      <c r="AH226" s="186" t="s">
        <v>0</v>
      </c>
      <c r="AI226" s="183" t="s">
        <v>1705</v>
      </c>
      <c r="AJ226" s="186" t="s">
        <v>95</v>
      </c>
      <c r="AK226" s="186" t="s">
        <v>95</v>
      </c>
      <c r="AL226" s="186" t="s">
        <v>95</v>
      </c>
      <c r="AM226" s="186" t="s">
        <v>95</v>
      </c>
      <c r="AN226" s="186" t="s">
        <v>3616</v>
      </c>
      <c r="AO226" s="183" t="s">
        <v>3</v>
      </c>
      <c r="AP226" s="183" t="s">
        <v>3</v>
      </c>
      <c r="AQ226" s="183" t="s">
        <v>3211</v>
      </c>
      <c r="AR226" s="198" t="s">
        <v>3197</v>
      </c>
      <c r="AS226" s="198" t="s">
        <v>3197</v>
      </c>
      <c r="AT226" s="186" t="s">
        <v>0</v>
      </c>
      <c r="AU226" s="186" t="s">
        <v>3</v>
      </c>
      <c r="AV226" s="186" t="s">
        <v>184</v>
      </c>
      <c r="AW226" s="186" t="s">
        <v>3</v>
      </c>
      <c r="AX226" s="183" t="s">
        <v>925</v>
      </c>
      <c r="AY226" s="186" t="s">
        <v>95</v>
      </c>
      <c r="AZ226" s="186" t="s">
        <v>3452</v>
      </c>
      <c r="BA226" s="186" t="s">
        <v>12</v>
      </c>
      <c r="BB226" s="186" t="s">
        <v>95</v>
      </c>
      <c r="BC226" s="186" t="s">
        <v>12</v>
      </c>
      <c r="BD226" s="183" t="s">
        <v>95</v>
      </c>
      <c r="BE226" s="186" t="s">
        <v>3</v>
      </c>
    </row>
    <row r="227" spans="1:57" ht="18" x14ac:dyDescent="0.2">
      <c r="A227" s="76" t="s">
        <v>402</v>
      </c>
      <c r="B227" s="219"/>
      <c r="C227" s="69" t="s">
        <v>2807</v>
      </c>
      <c r="D227" s="69" t="s">
        <v>3278</v>
      </c>
      <c r="E227" s="69" t="s">
        <v>3</v>
      </c>
      <c r="F227" s="106" t="s">
        <v>1448</v>
      </c>
      <c r="G227" s="128"/>
      <c r="H227" s="128"/>
      <c r="I227" s="107" t="s">
        <v>2565</v>
      </c>
      <c r="J227" s="69" t="s">
        <v>1290</v>
      </c>
      <c r="K227" s="69" t="s">
        <v>661</v>
      </c>
      <c r="L227" s="69" t="s">
        <v>661</v>
      </c>
      <c r="M227" s="69" t="s">
        <v>661</v>
      </c>
      <c r="N227" s="69" t="s">
        <v>3041</v>
      </c>
      <c r="O227" s="69" t="s">
        <v>3009</v>
      </c>
      <c r="P227" s="69" t="s">
        <v>3098</v>
      </c>
      <c r="Q227" s="69" t="s">
        <v>512</v>
      </c>
      <c r="R227" s="69" t="s">
        <v>466</v>
      </c>
      <c r="S227" s="131"/>
      <c r="T227" s="69"/>
      <c r="U227" s="69"/>
      <c r="V227" s="69" t="s">
        <v>540</v>
      </c>
      <c r="W227" s="69" t="s">
        <v>540</v>
      </c>
      <c r="X227" s="69" t="s">
        <v>3</v>
      </c>
      <c r="Y227" s="69" t="s">
        <v>2225</v>
      </c>
      <c r="Z227" s="69" t="s">
        <v>3122</v>
      </c>
      <c r="AA227" s="69" t="s">
        <v>2446</v>
      </c>
      <c r="AB227" s="69" t="s">
        <v>2337</v>
      </c>
      <c r="AC227" s="69" t="s">
        <v>574</v>
      </c>
      <c r="AD227" s="69" t="s">
        <v>620</v>
      </c>
      <c r="AE227" s="69"/>
      <c r="AF227" s="69"/>
      <c r="AG227" s="69"/>
      <c r="AH227" s="69" t="s">
        <v>2722</v>
      </c>
      <c r="AI227" s="69" t="s">
        <v>1706</v>
      </c>
      <c r="AJ227" s="69" t="s">
        <v>1770</v>
      </c>
      <c r="AK227" s="69" t="s">
        <v>3555</v>
      </c>
      <c r="AL227" s="69" t="s">
        <v>3555</v>
      </c>
      <c r="AM227" s="69" t="s">
        <v>1770</v>
      </c>
      <c r="AN227" s="69" t="s">
        <v>3555</v>
      </c>
      <c r="AO227" s="69" t="s">
        <v>3</v>
      </c>
      <c r="AP227" s="69" t="s">
        <v>3</v>
      </c>
      <c r="AQ227" s="69" t="s">
        <v>3209</v>
      </c>
      <c r="AR227" s="69" t="s">
        <v>3014</v>
      </c>
      <c r="AS227" s="69" t="s">
        <v>3205</v>
      </c>
      <c r="AT227" s="69" t="s">
        <v>1255</v>
      </c>
      <c r="AU227" s="69" t="s">
        <v>899</v>
      </c>
      <c r="AV227" s="69" t="s">
        <v>898</v>
      </c>
      <c r="AW227" s="69" t="s">
        <v>899</v>
      </c>
      <c r="AX227" s="96" t="s">
        <v>1064</v>
      </c>
      <c r="AY227" s="69" t="s">
        <v>1987</v>
      </c>
      <c r="AZ227" s="69" t="s">
        <v>3495</v>
      </c>
      <c r="BA227" s="69"/>
      <c r="BB227" s="69"/>
      <c r="BC227" s="69" t="s">
        <v>1165</v>
      </c>
      <c r="BD227" s="69" t="s">
        <v>1198</v>
      </c>
      <c r="BE227" s="69" t="s">
        <v>3</v>
      </c>
    </row>
    <row r="228" spans="1:57" ht="36" x14ac:dyDescent="0.2">
      <c r="A228" s="162" t="s">
        <v>3751</v>
      </c>
      <c r="B228" s="220"/>
      <c r="C228" s="183" t="s">
        <v>95</v>
      </c>
      <c r="D228" s="183" t="s">
        <v>95</v>
      </c>
      <c r="E228" s="183" t="s">
        <v>3</v>
      </c>
      <c r="F228" s="204" t="s">
        <v>12</v>
      </c>
      <c r="G228" s="184"/>
      <c r="H228" s="184" t="s">
        <v>95</v>
      </c>
      <c r="I228" s="193" t="s">
        <v>95</v>
      </c>
      <c r="J228" s="183" t="s">
        <v>1645</v>
      </c>
      <c r="K228" s="186" t="s">
        <v>3</v>
      </c>
      <c r="L228" s="186" t="s">
        <v>3</v>
      </c>
      <c r="M228" s="186" t="s">
        <v>12</v>
      </c>
      <c r="N228" s="183" t="s">
        <v>3521</v>
      </c>
      <c r="O228" s="183" t="s">
        <v>3008</v>
      </c>
      <c r="P228" s="183" t="s">
        <v>3007</v>
      </c>
      <c r="Q228" s="194" t="s">
        <v>12</v>
      </c>
      <c r="R228" s="194" t="s">
        <v>465</v>
      </c>
      <c r="S228" s="185" t="s">
        <v>95</v>
      </c>
      <c r="T228" s="194" t="s">
        <v>3</v>
      </c>
      <c r="U228" s="194" t="s">
        <v>3508</v>
      </c>
      <c r="V228" s="194" t="s">
        <v>174</v>
      </c>
      <c r="W228" s="195" t="s">
        <v>95</v>
      </c>
      <c r="X228" s="186" t="s">
        <v>3</v>
      </c>
      <c r="Y228" s="198" t="s">
        <v>2209</v>
      </c>
      <c r="Z228" s="198" t="s">
        <v>3105</v>
      </c>
      <c r="AA228" s="183" t="s">
        <v>2427</v>
      </c>
      <c r="AB228" s="183" t="s">
        <v>95</v>
      </c>
      <c r="AC228" s="186" t="s">
        <v>95</v>
      </c>
      <c r="AD228" s="186" t="s">
        <v>3</v>
      </c>
      <c r="AE228" s="186" t="s">
        <v>23</v>
      </c>
      <c r="AF228" s="186" t="s">
        <v>95</v>
      </c>
      <c r="AG228" s="186" t="s">
        <v>95</v>
      </c>
      <c r="AH228" s="186" t="s">
        <v>0</v>
      </c>
      <c r="AI228" s="183" t="s">
        <v>1705</v>
      </c>
      <c r="AJ228" s="186" t="s">
        <v>95</v>
      </c>
      <c r="AK228" s="186" t="s">
        <v>95</v>
      </c>
      <c r="AL228" s="186" t="s">
        <v>95</v>
      </c>
      <c r="AM228" s="186" t="s">
        <v>95</v>
      </c>
      <c r="AN228" s="186" t="s">
        <v>3616</v>
      </c>
      <c r="AO228" s="183" t="s">
        <v>3</v>
      </c>
      <c r="AP228" s="183" t="s">
        <v>3</v>
      </c>
      <c r="AQ228" s="183" t="s">
        <v>3211</v>
      </c>
      <c r="AR228" s="198" t="s">
        <v>3197</v>
      </c>
      <c r="AS228" s="198" t="s">
        <v>3197</v>
      </c>
      <c r="AT228" s="186" t="s">
        <v>0</v>
      </c>
      <c r="AU228" s="186" t="s">
        <v>3</v>
      </c>
      <c r="AV228" s="186" t="s">
        <v>184</v>
      </c>
      <c r="AW228" s="186" t="s">
        <v>3</v>
      </c>
      <c r="AX228" s="183" t="s">
        <v>925</v>
      </c>
      <c r="AY228" s="186" t="s">
        <v>95</v>
      </c>
      <c r="AZ228" s="186" t="s">
        <v>3452</v>
      </c>
      <c r="BA228" s="186" t="s">
        <v>12</v>
      </c>
      <c r="BB228" s="186" t="s">
        <v>95</v>
      </c>
      <c r="BC228" s="186" t="s">
        <v>12</v>
      </c>
      <c r="BD228" s="183" t="s">
        <v>95</v>
      </c>
      <c r="BE228" s="186" t="s">
        <v>3</v>
      </c>
    </row>
    <row r="229" spans="1:57" ht="18" x14ac:dyDescent="0.2">
      <c r="A229" s="76" t="s">
        <v>402</v>
      </c>
      <c r="B229" s="219"/>
      <c r="C229" s="69" t="s">
        <v>2807</v>
      </c>
      <c r="D229" s="69" t="s">
        <v>3278</v>
      </c>
      <c r="E229" s="69" t="s">
        <v>3</v>
      </c>
      <c r="F229" s="106" t="s">
        <v>1448</v>
      </c>
      <c r="G229" s="128"/>
      <c r="H229" s="128"/>
      <c r="I229" s="107" t="s">
        <v>2565</v>
      </c>
      <c r="J229" s="69" t="s">
        <v>1290</v>
      </c>
      <c r="K229" s="69" t="s">
        <v>661</v>
      </c>
      <c r="L229" s="69" t="s">
        <v>661</v>
      </c>
      <c r="M229" s="69" t="s">
        <v>661</v>
      </c>
      <c r="N229" s="69" t="s">
        <v>3041</v>
      </c>
      <c r="O229" s="69" t="s">
        <v>3009</v>
      </c>
      <c r="P229" s="69" t="s">
        <v>3098</v>
      </c>
      <c r="Q229" s="69" t="s">
        <v>512</v>
      </c>
      <c r="R229" s="69" t="s">
        <v>466</v>
      </c>
      <c r="S229" s="131"/>
      <c r="T229" s="69"/>
      <c r="U229" s="69"/>
      <c r="V229" s="69" t="s">
        <v>540</v>
      </c>
      <c r="W229" s="69" t="s">
        <v>540</v>
      </c>
      <c r="X229" s="69" t="s">
        <v>3</v>
      </c>
      <c r="Y229" s="69" t="s">
        <v>2225</v>
      </c>
      <c r="Z229" s="69" t="s">
        <v>3122</v>
      </c>
      <c r="AA229" s="69" t="s">
        <v>2446</v>
      </c>
      <c r="AB229" s="69" t="s">
        <v>2337</v>
      </c>
      <c r="AC229" s="69" t="s">
        <v>574</v>
      </c>
      <c r="AD229" s="69" t="s">
        <v>620</v>
      </c>
      <c r="AE229" s="69"/>
      <c r="AF229" s="69"/>
      <c r="AG229" s="69"/>
      <c r="AH229" s="69" t="s">
        <v>2722</v>
      </c>
      <c r="AI229" s="69" t="s">
        <v>1706</v>
      </c>
      <c r="AJ229" s="69" t="s">
        <v>1770</v>
      </c>
      <c r="AK229" s="69" t="s">
        <v>3555</v>
      </c>
      <c r="AL229" s="69" t="s">
        <v>3555</v>
      </c>
      <c r="AM229" s="69" t="s">
        <v>1770</v>
      </c>
      <c r="AN229" s="69" t="s">
        <v>3555</v>
      </c>
      <c r="AO229" s="69" t="s">
        <v>3</v>
      </c>
      <c r="AP229" s="69" t="s">
        <v>3</v>
      </c>
      <c r="AQ229" s="69" t="s">
        <v>3209</v>
      </c>
      <c r="AR229" s="69" t="s">
        <v>3014</v>
      </c>
      <c r="AS229" s="69" t="s">
        <v>3205</v>
      </c>
      <c r="AT229" s="69" t="s">
        <v>1255</v>
      </c>
      <c r="AU229" s="69" t="s">
        <v>899</v>
      </c>
      <c r="AV229" s="69" t="s">
        <v>898</v>
      </c>
      <c r="AW229" s="69" t="s">
        <v>899</v>
      </c>
      <c r="AX229" s="96" t="s">
        <v>1064</v>
      </c>
      <c r="AY229" s="69" t="s">
        <v>1987</v>
      </c>
      <c r="AZ229" s="69" t="s">
        <v>3495</v>
      </c>
      <c r="BA229" s="69"/>
      <c r="BB229" s="69"/>
      <c r="BC229" s="69" t="s">
        <v>1165</v>
      </c>
      <c r="BD229" s="69" t="s">
        <v>1198</v>
      </c>
      <c r="BE229" s="69" t="s">
        <v>3</v>
      </c>
    </row>
    <row r="230" spans="1:57" x14ac:dyDescent="0.2">
      <c r="A230" s="93"/>
      <c r="B230" s="225"/>
      <c r="C230" s="34"/>
      <c r="D230" s="34"/>
      <c r="E230" s="34"/>
      <c r="F230" s="34"/>
      <c r="G230" s="113"/>
      <c r="H230" s="116"/>
      <c r="I230" s="34"/>
      <c r="J230" s="34"/>
      <c r="K230" s="24"/>
      <c r="L230" s="24"/>
      <c r="M230" s="24"/>
      <c r="N230" s="34"/>
      <c r="O230" s="34"/>
      <c r="P230" s="34"/>
      <c r="Q230" s="34"/>
      <c r="R230" s="34"/>
      <c r="S230" s="132"/>
      <c r="T230" s="34"/>
      <c r="U230" s="34"/>
      <c r="V230" s="34"/>
      <c r="W230" s="34"/>
      <c r="X230" s="35"/>
      <c r="Y230" s="34"/>
      <c r="Z230" s="34"/>
      <c r="AA230" s="35"/>
      <c r="AB230" s="35"/>
      <c r="AC230" s="34"/>
      <c r="AD230" s="34"/>
      <c r="AE230" s="34"/>
      <c r="AF230" s="35"/>
      <c r="AG230" s="35"/>
      <c r="AH230" s="35"/>
      <c r="AI230" s="35"/>
      <c r="AJ230" s="35"/>
      <c r="AK230" s="35"/>
      <c r="AL230" s="35"/>
      <c r="AM230" s="35"/>
      <c r="AN230" s="35"/>
      <c r="AO230" s="35"/>
      <c r="AP230" s="35"/>
      <c r="AQ230" s="35"/>
      <c r="AR230" s="34"/>
      <c r="AS230" s="34"/>
      <c r="AT230" s="34"/>
      <c r="AU230" s="35"/>
      <c r="AV230" s="35"/>
      <c r="AW230" s="35"/>
      <c r="AX230" s="35"/>
      <c r="AY230" s="35"/>
      <c r="AZ230" s="35"/>
      <c r="BA230" s="24"/>
      <c r="BB230" s="35"/>
      <c r="BC230" s="24"/>
      <c r="BE230" s="24"/>
    </row>
    <row r="231" spans="1:57" ht="18" x14ac:dyDescent="0.2">
      <c r="A231" s="94" t="s">
        <v>86</v>
      </c>
      <c r="B231" s="231"/>
      <c r="C231" s="49" t="str">
        <f>C1</f>
        <v>Allianz inkl. SicherheitPlus</v>
      </c>
      <c r="D231" s="49" t="str">
        <f>D1</f>
        <v>Alte Leipziger comfort</v>
      </c>
      <c r="E231" s="49" t="str">
        <f>E1</f>
        <v>ARAG Basis (Wohnfläche)</v>
      </c>
      <c r="F231" s="122" t="str">
        <f>F1</f>
        <v>ARAG Comfort (Wohnfläche)</v>
      </c>
      <c r="G231" s="243" t="s">
        <v>3310</v>
      </c>
      <c r="H231" s="243" t="s">
        <v>3311</v>
      </c>
      <c r="I231" s="252" t="str">
        <f t="shared" ref="I231:P231" si="26">I1</f>
        <v>Baden Badener TOP (WF)</v>
      </c>
      <c r="J231" s="251" t="str">
        <f t="shared" si="26"/>
        <v>Basler Ambiente Top</v>
      </c>
      <c r="K231" s="251" t="str">
        <f t="shared" si="26"/>
        <v>Debeka Basis</v>
      </c>
      <c r="L231" s="251" t="str">
        <f t="shared" si="26"/>
        <v>Debeka Standard</v>
      </c>
      <c r="M231" s="251" t="str">
        <f t="shared" si="26"/>
        <v>Debeka Top</v>
      </c>
      <c r="N231" s="251" t="str">
        <f t="shared" si="26"/>
        <v>die Bayerische Komfort</v>
      </c>
      <c r="O231" s="251" t="str">
        <f t="shared" si="26"/>
        <v>die Bayerische Prestige</v>
      </c>
      <c r="P231" s="251" t="str">
        <f t="shared" si="26"/>
        <v>die Bayerische Smart</v>
      </c>
      <c r="Q231" s="251" t="str">
        <f>Q1</f>
        <v>Domcura Komfort</v>
      </c>
      <c r="R231" s="251" t="str">
        <f>R1</f>
        <v>Domcura Top</v>
      </c>
      <c r="S231" s="135" t="s">
        <v>3312</v>
      </c>
      <c r="T231" s="251" t="str">
        <f t="shared" ref="T231:AB231" si="27">T1</f>
        <v>ERGO</v>
      </c>
      <c r="U231" s="251" t="str">
        <f t="shared" si="27"/>
        <v>ERGO spezial</v>
      </c>
      <c r="V231" s="251" t="str">
        <f t="shared" si="27"/>
        <v>Generali Basis (qm)</v>
      </c>
      <c r="W231" s="251" t="str">
        <f t="shared" si="27"/>
        <v>Generali KomfortPlus (qm)</v>
      </c>
      <c r="X231" s="251" t="str">
        <f t="shared" si="27"/>
        <v>Gothaer (qm)</v>
      </c>
      <c r="Y231" s="251" t="str">
        <f t="shared" si="27"/>
        <v>Gothaer Top (qm)</v>
      </c>
      <c r="Z231" s="251" t="str">
        <f t="shared" si="27"/>
        <v>Gothaer Top Plus (qm)</v>
      </c>
      <c r="AA231" s="251" t="str">
        <f t="shared" si="27"/>
        <v>HDI Privatschutz (Wohnfläche)</v>
      </c>
      <c r="AB231" s="251" t="str">
        <f t="shared" si="27"/>
        <v>Helvetia Komfort</v>
      </c>
      <c r="AC231" s="251" t="str">
        <f t="shared" ref="AC231:AJ231" si="28">AC1</f>
        <v>HFK afm mit Zusatzdeckung</v>
      </c>
      <c r="AD231" s="251" t="str">
        <f t="shared" si="28"/>
        <v>HFK afm ohne Zusatzdeckung</v>
      </c>
      <c r="AE231" s="251" t="str">
        <f t="shared" si="28"/>
        <v>Hiscox Haus &amp; Kunst</v>
      </c>
      <c r="AF231" s="251" t="str">
        <f t="shared" si="28"/>
        <v>HUK Classic</v>
      </c>
      <c r="AG231" s="251" t="str">
        <f t="shared" si="28"/>
        <v>HUK Plus</v>
      </c>
      <c r="AH231" s="251" t="str">
        <f t="shared" si="28"/>
        <v>InterRisk XL</v>
      </c>
      <c r="AI231" s="251" t="str">
        <f t="shared" si="28"/>
        <v>InterRisk XXL</v>
      </c>
      <c r="AJ231" s="251" t="str">
        <f t="shared" si="28"/>
        <v>ITL afm Eurosecure 2009</v>
      </c>
      <c r="AK231" s="245" t="s">
        <v>3552</v>
      </c>
      <c r="AL231" s="245" t="s">
        <v>3551</v>
      </c>
      <c r="AM231" s="245" t="s">
        <v>3550</v>
      </c>
      <c r="AN231" s="245" t="s">
        <v>3549</v>
      </c>
      <c r="AO231" s="251" t="str">
        <f>AO1</f>
        <v>Itzehoer Basis</v>
      </c>
      <c r="AP231" s="251" t="str">
        <f>AP1</f>
        <v>Itzehoer Plus</v>
      </c>
      <c r="AQ231" s="251"/>
      <c r="AR231" s="251"/>
      <c r="AS231" s="251"/>
      <c r="AT231" s="251" t="str">
        <f t="shared" ref="AT231:AY231" si="29">AT1</f>
        <v>Nürnberger KomplettSchutz (Wert 1914)</v>
      </c>
      <c r="AU231" s="251" t="str">
        <f t="shared" si="29"/>
        <v>Provinzial Kompaktschutz</v>
      </c>
      <c r="AV231" s="251" t="str">
        <f t="shared" si="29"/>
        <v>Provinzial Rundum inkl. Plus</v>
      </c>
      <c r="AW231" s="251" t="str">
        <f t="shared" si="29"/>
        <v>Provinzial Rundumschutz</v>
      </c>
      <c r="AX231" s="251" t="str">
        <f t="shared" si="29"/>
        <v>R+V PrivatPolice (Fläche)</v>
      </c>
      <c r="AY231" s="251" t="str">
        <f t="shared" si="29"/>
        <v>VdVA</v>
      </c>
      <c r="AZ231" s="243" t="s">
        <v>3496</v>
      </c>
      <c r="BA231" s="251" t="str">
        <f>BA1</f>
        <v>VHV Klassik Garant</v>
      </c>
      <c r="BB231" s="251" t="str">
        <f>BB1</f>
        <v>VHV Klassik Garant Exklusiv</v>
      </c>
      <c r="BC231" s="246" t="str">
        <f>BC1</f>
        <v>VKB Kompakt</v>
      </c>
      <c r="BD231" s="246" t="str">
        <f>BD1</f>
        <v>VKB Optimal</v>
      </c>
      <c r="BE231" s="251" t="str">
        <f>BE1</f>
        <v>WÜBA Plus</v>
      </c>
    </row>
    <row r="232" spans="1:57" ht="45" x14ac:dyDescent="0.2">
      <c r="A232" s="25" t="s">
        <v>85</v>
      </c>
      <c r="B232" s="218"/>
      <c r="C232" s="20" t="s">
        <v>543</v>
      </c>
      <c r="D232" s="47" t="s">
        <v>87</v>
      </c>
      <c r="E232" s="47" t="s">
        <v>87</v>
      </c>
      <c r="F232" s="62" t="s">
        <v>87</v>
      </c>
      <c r="G232" s="117" t="s">
        <v>3300</v>
      </c>
      <c r="H232" s="117" t="s">
        <v>3300</v>
      </c>
      <c r="I232" s="121" t="s">
        <v>87</v>
      </c>
      <c r="J232" s="47" t="s">
        <v>1316</v>
      </c>
      <c r="K232" s="47" t="s">
        <v>3</v>
      </c>
      <c r="L232" s="47" t="s">
        <v>87</v>
      </c>
      <c r="M232" s="47" t="s">
        <v>87</v>
      </c>
      <c r="N232" s="20" t="s">
        <v>3051</v>
      </c>
      <c r="O232" s="20" t="s">
        <v>3051</v>
      </c>
      <c r="P232" s="20" t="s">
        <v>3051</v>
      </c>
      <c r="Q232" s="20" t="s">
        <v>187</v>
      </c>
      <c r="R232" s="20" t="s">
        <v>187</v>
      </c>
      <c r="S232" s="134" t="s">
        <v>3320</v>
      </c>
      <c r="T232" s="20" t="s">
        <v>200</v>
      </c>
      <c r="U232" s="20" t="s">
        <v>200</v>
      </c>
      <c r="V232" s="20" t="s">
        <v>543</v>
      </c>
      <c r="W232" s="20" t="s">
        <v>543</v>
      </c>
      <c r="X232" s="20" t="s">
        <v>543</v>
      </c>
      <c r="Y232" s="20" t="s">
        <v>543</v>
      </c>
      <c r="Z232" s="20" t="s">
        <v>543</v>
      </c>
      <c r="AA232" s="47" t="s">
        <v>1876</v>
      </c>
      <c r="AB232" s="47" t="s">
        <v>87</v>
      </c>
      <c r="AC232" s="47" t="s">
        <v>633</v>
      </c>
      <c r="AD232" s="47" t="s">
        <v>633</v>
      </c>
      <c r="AE232" s="47" t="s">
        <v>822</v>
      </c>
      <c r="AF232" s="47" t="s">
        <v>361</v>
      </c>
      <c r="AG232" s="47" t="s">
        <v>361</v>
      </c>
      <c r="AH232" s="47" t="s">
        <v>87</v>
      </c>
      <c r="AI232" s="47" t="s">
        <v>87</v>
      </c>
      <c r="AJ232" s="47" t="s">
        <v>87</v>
      </c>
      <c r="AK232" s="47" t="s">
        <v>3625</v>
      </c>
      <c r="AL232" s="47" t="s">
        <v>87</v>
      </c>
      <c r="AM232" s="47" t="s">
        <v>87</v>
      </c>
      <c r="AN232" s="47" t="s">
        <v>87</v>
      </c>
      <c r="AO232" s="47" t="s">
        <v>269</v>
      </c>
      <c r="AP232" s="47" t="s">
        <v>269</v>
      </c>
      <c r="AQ232" s="47" t="s">
        <v>87</v>
      </c>
      <c r="AR232" s="47" t="s">
        <v>87</v>
      </c>
      <c r="AS232" s="47" t="s">
        <v>87</v>
      </c>
      <c r="AT232" s="47" t="s">
        <v>87</v>
      </c>
      <c r="AU232" s="47" t="s">
        <v>911</v>
      </c>
      <c r="AV232" s="47" t="s">
        <v>87</v>
      </c>
      <c r="AW232" s="47" t="s">
        <v>87</v>
      </c>
      <c r="AX232" s="47" t="s">
        <v>87</v>
      </c>
      <c r="AY232" s="47" t="s">
        <v>1942</v>
      </c>
      <c r="AZ232" s="47" t="s">
        <v>87</v>
      </c>
      <c r="BA232" s="47" t="s">
        <v>87</v>
      </c>
      <c r="BB232" s="47" t="s">
        <v>87</v>
      </c>
      <c r="BC232" s="47" t="s">
        <v>1207</v>
      </c>
      <c r="BD232" s="47" t="s">
        <v>1207</v>
      </c>
      <c r="BE232" s="47" t="s">
        <v>87</v>
      </c>
    </row>
    <row r="233" spans="1:57" ht="18" x14ac:dyDescent="0.2">
      <c r="A233" s="76" t="s">
        <v>402</v>
      </c>
      <c r="B233" s="219"/>
      <c r="C233" s="69" t="s">
        <v>2798</v>
      </c>
      <c r="D233" s="69" t="s">
        <v>3289</v>
      </c>
      <c r="E233" s="69" t="s">
        <v>1470</v>
      </c>
      <c r="F233" s="106" t="s">
        <v>1470</v>
      </c>
      <c r="G233" s="128"/>
      <c r="H233" s="128"/>
      <c r="I233" s="107" t="s">
        <v>2541</v>
      </c>
      <c r="J233" s="69" t="s">
        <v>1317</v>
      </c>
      <c r="K233" s="69" t="s">
        <v>729</v>
      </c>
      <c r="L233" s="69" t="s">
        <v>718</v>
      </c>
      <c r="M233" s="69" t="s">
        <v>718</v>
      </c>
      <c r="N233" s="69" t="s">
        <v>3049</v>
      </c>
      <c r="O233" s="69" t="s">
        <v>3049</v>
      </c>
      <c r="P233" s="69" t="s">
        <v>3050</v>
      </c>
      <c r="Q233" s="69" t="s">
        <v>467</v>
      </c>
      <c r="R233" s="69" t="s">
        <v>467</v>
      </c>
      <c r="S233" s="131"/>
      <c r="T233" s="69"/>
      <c r="U233" s="69"/>
      <c r="V233" s="69" t="s">
        <v>542</v>
      </c>
      <c r="W233" s="69" t="s">
        <v>542</v>
      </c>
      <c r="X233" s="69" t="s">
        <v>3145</v>
      </c>
      <c r="Y233" s="69" t="s">
        <v>3145</v>
      </c>
      <c r="Z233" s="69" t="s">
        <v>3145</v>
      </c>
      <c r="AA233" s="69" t="s">
        <v>2441</v>
      </c>
      <c r="AB233" s="69" t="s">
        <v>1358</v>
      </c>
      <c r="AC233" s="69" t="s">
        <v>632</v>
      </c>
      <c r="AD233" s="69" t="s">
        <v>632</v>
      </c>
      <c r="AE233" s="69"/>
      <c r="AF233" s="69"/>
      <c r="AG233" s="69"/>
      <c r="AH233" s="69" t="s">
        <v>1666</v>
      </c>
      <c r="AI233" s="69" t="s">
        <v>1666</v>
      </c>
      <c r="AJ233" s="69" t="s">
        <v>1715</v>
      </c>
      <c r="AK233" s="69" t="s">
        <v>3555</v>
      </c>
      <c r="AL233" s="69" t="s">
        <v>3581</v>
      </c>
      <c r="AM233" s="69" t="s">
        <v>3581</v>
      </c>
      <c r="AN233" s="69" t="s">
        <v>3581</v>
      </c>
      <c r="AO233" s="69" t="s">
        <v>718</v>
      </c>
      <c r="AP233" s="69" t="s">
        <v>718</v>
      </c>
      <c r="AQ233" s="69" t="s">
        <v>1252</v>
      </c>
      <c r="AR233" s="69" t="s">
        <v>1252</v>
      </c>
      <c r="AS233" s="69" t="s">
        <v>1252</v>
      </c>
      <c r="AT233" s="69" t="s">
        <v>1252</v>
      </c>
      <c r="AU233" s="69" t="s">
        <v>403</v>
      </c>
      <c r="AV233" s="69" t="s">
        <v>913</v>
      </c>
      <c r="AW233" s="69" t="s">
        <v>913</v>
      </c>
      <c r="AX233" s="69" t="s">
        <v>1031</v>
      </c>
      <c r="AY233" s="69" t="s">
        <v>1943</v>
      </c>
      <c r="AZ233" s="69"/>
      <c r="BA233" s="69"/>
      <c r="BB233" s="69"/>
      <c r="BC233" s="69" t="s">
        <v>1206</v>
      </c>
      <c r="BD233" s="69" t="s">
        <v>1206</v>
      </c>
      <c r="BE233" s="69" t="s">
        <v>1252</v>
      </c>
    </row>
    <row r="234" spans="1:57" x14ac:dyDescent="0.2">
      <c r="A234" s="25" t="s">
        <v>3676</v>
      </c>
      <c r="B234" s="218"/>
      <c r="C234" s="20"/>
      <c r="D234" s="20"/>
      <c r="E234" s="20"/>
      <c r="F234" s="20"/>
      <c r="G234" s="117"/>
      <c r="H234" s="117"/>
      <c r="I234" s="20"/>
      <c r="J234" s="20"/>
      <c r="K234" s="20"/>
      <c r="L234" s="20"/>
      <c r="M234" s="20"/>
      <c r="N234" s="20"/>
      <c r="O234" s="20"/>
      <c r="P234" s="20"/>
      <c r="Q234" s="20"/>
      <c r="R234" s="20"/>
      <c r="S234" s="13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47"/>
      <c r="BD234" s="47"/>
      <c r="BE234" s="20"/>
    </row>
    <row r="235" spans="1:57" x14ac:dyDescent="0.2">
      <c r="A235" s="76" t="s">
        <v>402</v>
      </c>
      <c r="B235" s="219"/>
      <c r="C235" s="69"/>
      <c r="D235" s="69"/>
      <c r="E235" s="69"/>
      <c r="F235" s="69"/>
      <c r="G235" s="128"/>
      <c r="H235" s="128"/>
      <c r="I235" s="69"/>
      <c r="J235" s="69"/>
      <c r="K235" s="69"/>
      <c r="L235" s="69"/>
      <c r="M235" s="69"/>
      <c r="N235" s="69"/>
      <c r="O235" s="69"/>
      <c r="P235" s="69"/>
      <c r="Q235" s="69"/>
      <c r="R235" s="69"/>
      <c r="S235" s="131"/>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row>
    <row r="236" spans="1:57" ht="54" x14ac:dyDescent="0.2">
      <c r="A236" s="25" t="s">
        <v>83</v>
      </c>
      <c r="B236" s="218"/>
      <c r="C236" s="47" t="s">
        <v>84</v>
      </c>
      <c r="D236" s="47" t="s">
        <v>84</v>
      </c>
      <c r="E236" s="47" t="s">
        <v>84</v>
      </c>
      <c r="F236" s="62" t="s">
        <v>84</v>
      </c>
      <c r="G236" s="117" t="s">
        <v>3301</v>
      </c>
      <c r="H236" s="117" t="s">
        <v>3301</v>
      </c>
      <c r="I236" s="105" t="s">
        <v>84</v>
      </c>
      <c r="J236" s="20" t="s">
        <v>803</v>
      </c>
      <c r="K236" s="20" t="s">
        <v>3</v>
      </c>
      <c r="L236" s="20" t="s">
        <v>84</v>
      </c>
      <c r="M236" s="20" t="s">
        <v>84</v>
      </c>
      <c r="N236" s="47" t="s">
        <v>84</v>
      </c>
      <c r="O236" s="47" t="s">
        <v>84</v>
      </c>
      <c r="P236" s="47" t="s">
        <v>84</v>
      </c>
      <c r="Q236" s="20" t="s">
        <v>84</v>
      </c>
      <c r="R236" s="20" t="s">
        <v>84</v>
      </c>
      <c r="S236" s="130" t="s">
        <v>3239</v>
      </c>
      <c r="T236" s="20" t="s">
        <v>84</v>
      </c>
      <c r="U236" s="20" t="s">
        <v>84</v>
      </c>
      <c r="V236" s="20" t="s">
        <v>84</v>
      </c>
      <c r="W236" s="20" t="s">
        <v>84</v>
      </c>
      <c r="X236" s="20" t="s">
        <v>84</v>
      </c>
      <c r="Y236" s="20" t="s">
        <v>84</v>
      </c>
      <c r="Z236" s="20" t="s">
        <v>84</v>
      </c>
      <c r="AA236" s="47" t="s">
        <v>84</v>
      </c>
      <c r="AB236" s="47" t="s">
        <v>1668</v>
      </c>
      <c r="AC236" s="47" t="s">
        <v>148</v>
      </c>
      <c r="AD236" s="47" t="s">
        <v>148</v>
      </c>
      <c r="AE236" s="47" t="s">
        <v>815</v>
      </c>
      <c r="AF236" s="47" t="s">
        <v>84</v>
      </c>
      <c r="AG236" s="47" t="s">
        <v>84</v>
      </c>
      <c r="AH236" s="47" t="s">
        <v>1668</v>
      </c>
      <c r="AI236" s="47" t="s">
        <v>1668</v>
      </c>
      <c r="AJ236" s="47" t="s">
        <v>84</v>
      </c>
      <c r="AK236" s="47" t="s">
        <v>84</v>
      </c>
      <c r="AL236" s="47" t="s">
        <v>84</v>
      </c>
      <c r="AM236" s="47" t="s">
        <v>84</v>
      </c>
      <c r="AN236" s="47" t="s">
        <v>84</v>
      </c>
      <c r="AO236" s="47" t="s">
        <v>84</v>
      </c>
      <c r="AP236" s="47" t="s">
        <v>84</v>
      </c>
      <c r="AQ236" s="47" t="s">
        <v>3212</v>
      </c>
      <c r="AR236" s="47" t="s">
        <v>3212</v>
      </c>
      <c r="AS236" s="47" t="s">
        <v>3212</v>
      </c>
      <c r="AT236" s="20" t="s">
        <v>84</v>
      </c>
      <c r="AU236" s="47" t="s">
        <v>911</v>
      </c>
      <c r="AV236" s="47" t="s">
        <v>914</v>
      </c>
      <c r="AW236" s="47" t="s">
        <v>914</v>
      </c>
      <c r="AX236" s="47" t="s">
        <v>1033</v>
      </c>
      <c r="AY236" s="47" t="s">
        <v>1941</v>
      </c>
      <c r="AZ236" s="47"/>
      <c r="BA236" s="47" t="s">
        <v>3212</v>
      </c>
      <c r="BB236" s="47" t="s">
        <v>3212</v>
      </c>
      <c r="BC236" s="47" t="s">
        <v>84</v>
      </c>
      <c r="BD236" s="47" t="s">
        <v>84</v>
      </c>
      <c r="BE236" s="47" t="s">
        <v>84</v>
      </c>
    </row>
    <row r="237" spans="1:57" ht="18" x14ac:dyDescent="0.2">
      <c r="A237" s="76" t="s">
        <v>402</v>
      </c>
      <c r="B237" s="219"/>
      <c r="C237" s="69" t="s">
        <v>2797</v>
      </c>
      <c r="D237" s="69" t="s">
        <v>3</v>
      </c>
      <c r="E237" s="69" t="s">
        <v>1478</v>
      </c>
      <c r="F237" s="106" t="s">
        <v>1478</v>
      </c>
      <c r="G237" s="128"/>
      <c r="H237" s="128"/>
      <c r="I237" s="107" t="s">
        <v>2542</v>
      </c>
      <c r="J237" s="69" t="s">
        <v>1318</v>
      </c>
      <c r="K237" s="69" t="s">
        <v>729</v>
      </c>
      <c r="L237" s="69" t="s">
        <v>719</v>
      </c>
      <c r="M237" s="69" t="s">
        <v>719</v>
      </c>
      <c r="N237" s="69" t="s">
        <v>3052</v>
      </c>
      <c r="O237" s="69" t="s">
        <v>3052</v>
      </c>
      <c r="P237" s="69" t="s">
        <v>3052</v>
      </c>
      <c r="Q237" s="69" t="s">
        <v>468</v>
      </c>
      <c r="R237" s="69" t="s">
        <v>468</v>
      </c>
      <c r="S237" s="131"/>
      <c r="T237" s="69"/>
      <c r="U237" s="69"/>
      <c r="V237" s="69" t="s">
        <v>542</v>
      </c>
      <c r="W237" s="69" t="s">
        <v>542</v>
      </c>
      <c r="X237" s="69" t="s">
        <v>3146</v>
      </c>
      <c r="Y237" s="69" t="s">
        <v>3146</v>
      </c>
      <c r="Z237" s="69" t="s">
        <v>3146</v>
      </c>
      <c r="AA237" s="69" t="s">
        <v>2442</v>
      </c>
      <c r="AB237" s="69" t="s">
        <v>2360</v>
      </c>
      <c r="AC237" s="69" t="s">
        <v>634</v>
      </c>
      <c r="AD237" s="69" t="s">
        <v>634</v>
      </c>
      <c r="AE237" s="69"/>
      <c r="AF237" s="69"/>
      <c r="AG237" s="69"/>
      <c r="AH237" s="69" t="s">
        <v>1667</v>
      </c>
      <c r="AI237" s="69" t="s">
        <v>1667</v>
      </c>
      <c r="AJ237" s="69" t="s">
        <v>1716</v>
      </c>
      <c r="AK237" s="69" t="s">
        <v>1716</v>
      </c>
      <c r="AL237" s="69" t="s">
        <v>3582</v>
      </c>
      <c r="AM237" s="69" t="s">
        <v>1716</v>
      </c>
      <c r="AN237" s="69" t="s">
        <v>1716</v>
      </c>
      <c r="AO237" s="69" t="s">
        <v>783</v>
      </c>
      <c r="AP237" s="69" t="s">
        <v>783</v>
      </c>
      <c r="AQ237" s="69" t="s">
        <v>1510</v>
      </c>
      <c r="AR237" s="69" t="s">
        <v>1510</v>
      </c>
      <c r="AS237" s="69" t="s">
        <v>1510</v>
      </c>
      <c r="AT237" s="69" t="s">
        <v>1253</v>
      </c>
      <c r="AU237" s="69" t="s">
        <v>403</v>
      </c>
      <c r="AV237" s="69" t="s">
        <v>915</v>
      </c>
      <c r="AW237" s="69" t="s">
        <v>915</v>
      </c>
      <c r="AX237" s="69" t="s">
        <v>1032</v>
      </c>
      <c r="AY237" s="69" t="s">
        <v>1940</v>
      </c>
      <c r="AZ237" s="69"/>
      <c r="BA237" s="69"/>
      <c r="BB237" s="69"/>
      <c r="BC237" s="69" t="s">
        <v>1208</v>
      </c>
      <c r="BD237" s="69" t="s">
        <v>1208</v>
      </c>
      <c r="BE237" s="69" t="s">
        <v>1510</v>
      </c>
    </row>
    <row r="238" spans="1:57" ht="90" x14ac:dyDescent="0.2">
      <c r="A238" s="25" t="s">
        <v>304</v>
      </c>
      <c r="B238" s="218"/>
      <c r="C238" s="47" t="s">
        <v>2795</v>
      </c>
      <c r="D238" s="47" t="s">
        <v>307</v>
      </c>
      <c r="E238" s="46" t="s">
        <v>1415</v>
      </c>
      <c r="F238" s="101" t="s">
        <v>1415</v>
      </c>
      <c r="G238" s="117" t="s">
        <v>3302</v>
      </c>
      <c r="H238" s="117" t="s">
        <v>3302</v>
      </c>
      <c r="I238" s="121" t="s">
        <v>2526</v>
      </c>
      <c r="J238" s="47" t="s">
        <v>1315</v>
      </c>
      <c r="K238" s="47" t="s">
        <v>3</v>
      </c>
      <c r="L238" s="47" t="s">
        <v>726</v>
      </c>
      <c r="M238" s="47" t="s">
        <v>726</v>
      </c>
      <c r="N238" s="20" t="s">
        <v>3055</v>
      </c>
      <c r="O238" s="20" t="s">
        <v>3056</v>
      </c>
      <c r="P238" s="47" t="s">
        <v>3054</v>
      </c>
      <c r="Q238" s="20" t="s">
        <v>314</v>
      </c>
      <c r="R238" s="20" t="s">
        <v>314</v>
      </c>
      <c r="S238" s="130" t="s">
        <v>3321</v>
      </c>
      <c r="T238" s="20" t="s">
        <v>306</v>
      </c>
      <c r="U238" s="20" t="s">
        <v>306</v>
      </c>
      <c r="V238" s="20" t="s">
        <v>2588</v>
      </c>
      <c r="W238" s="20" t="s">
        <v>2588</v>
      </c>
      <c r="X238" s="47" t="s">
        <v>3147</v>
      </c>
      <c r="Y238" s="47" t="s">
        <v>3147</v>
      </c>
      <c r="Z238" s="47" t="s">
        <v>3147</v>
      </c>
      <c r="AA238" s="47" t="s">
        <v>378</v>
      </c>
      <c r="AB238" s="47" t="s">
        <v>721</v>
      </c>
      <c r="AC238" s="47" t="s">
        <v>721</v>
      </c>
      <c r="AD238" s="47" t="s">
        <v>721</v>
      </c>
      <c r="AE238" s="47" t="s">
        <v>818</v>
      </c>
      <c r="AF238" s="47" t="s">
        <v>722</v>
      </c>
      <c r="AG238" s="47" t="s">
        <v>722</v>
      </c>
      <c r="AH238" s="47" t="s">
        <v>3</v>
      </c>
      <c r="AI238" s="47" t="s">
        <v>3</v>
      </c>
      <c r="AJ238" s="47" t="s">
        <v>311</v>
      </c>
      <c r="AK238" s="47" t="s">
        <v>3585</v>
      </c>
      <c r="AL238" s="47" t="s">
        <v>3585</v>
      </c>
      <c r="AM238" s="47" t="s">
        <v>3585</v>
      </c>
      <c r="AN238" s="47" t="s">
        <v>3585</v>
      </c>
      <c r="AO238" s="47" t="s">
        <v>790</v>
      </c>
      <c r="AP238" s="47" t="s">
        <v>790</v>
      </c>
      <c r="AQ238" s="47" t="s">
        <v>721</v>
      </c>
      <c r="AR238" s="47" t="s">
        <v>721</v>
      </c>
      <c r="AS238" s="47" t="s">
        <v>721</v>
      </c>
      <c r="AT238" s="47" t="s">
        <v>790</v>
      </c>
      <c r="AU238" s="47" t="s">
        <v>911</v>
      </c>
      <c r="AV238" s="47" t="s">
        <v>310</v>
      </c>
      <c r="AW238" s="47" t="s">
        <v>310</v>
      </c>
      <c r="AX238" s="47" t="s">
        <v>353</v>
      </c>
      <c r="AY238" s="47" t="s">
        <v>1315</v>
      </c>
      <c r="AZ238" s="47"/>
      <c r="BA238" s="47" t="s">
        <v>724</v>
      </c>
      <c r="BB238" s="47" t="s">
        <v>724</v>
      </c>
      <c r="BC238" s="47" t="s">
        <v>1209</v>
      </c>
      <c r="BD238" s="47" t="s">
        <v>1209</v>
      </c>
      <c r="BE238" s="47" t="s">
        <v>1528</v>
      </c>
    </row>
    <row r="239" spans="1:57" ht="18" x14ac:dyDescent="0.2">
      <c r="A239" s="76" t="s">
        <v>402</v>
      </c>
      <c r="B239" s="219"/>
      <c r="C239" s="69" t="s">
        <v>2796</v>
      </c>
      <c r="D239" s="69" t="s">
        <v>403</v>
      </c>
      <c r="E239" s="69" t="s">
        <v>1479</v>
      </c>
      <c r="F239" s="106" t="s">
        <v>1479</v>
      </c>
      <c r="G239" s="128"/>
      <c r="H239" s="128"/>
      <c r="I239" s="107" t="s">
        <v>2543</v>
      </c>
      <c r="J239" s="69" t="s">
        <v>1314</v>
      </c>
      <c r="K239" s="69" t="s">
        <v>729</v>
      </c>
      <c r="L239" s="69" t="s">
        <v>720</v>
      </c>
      <c r="M239" s="69" t="s">
        <v>720</v>
      </c>
      <c r="N239" s="69" t="s">
        <v>3053</v>
      </c>
      <c r="O239" s="69" t="s">
        <v>3053</v>
      </c>
      <c r="P239" s="69" t="s">
        <v>3053</v>
      </c>
      <c r="Q239" s="69" t="s">
        <v>469</v>
      </c>
      <c r="R239" s="69" t="s">
        <v>469</v>
      </c>
      <c r="S239" s="131"/>
      <c r="T239" s="69"/>
      <c r="U239" s="69"/>
      <c r="V239" s="69" t="s">
        <v>2589</v>
      </c>
      <c r="W239" s="69" t="s">
        <v>2589</v>
      </c>
      <c r="X239" s="69" t="s">
        <v>851</v>
      </c>
      <c r="Y239" s="69" t="s">
        <v>851</v>
      </c>
      <c r="Z239" s="69" t="s">
        <v>851</v>
      </c>
      <c r="AA239" s="69" t="s">
        <v>2443</v>
      </c>
      <c r="AB239" s="69" t="s">
        <v>851</v>
      </c>
      <c r="AC239" s="69" t="s">
        <v>635</v>
      </c>
      <c r="AD239" s="69" t="s">
        <v>635</v>
      </c>
      <c r="AE239" s="69"/>
      <c r="AF239" s="69"/>
      <c r="AG239" s="69"/>
      <c r="AH239" s="69" t="s">
        <v>403</v>
      </c>
      <c r="AI239" s="69" t="s">
        <v>403</v>
      </c>
      <c r="AJ239" s="69" t="s">
        <v>1717</v>
      </c>
      <c r="AK239" s="69" t="s">
        <v>3586</v>
      </c>
      <c r="AL239" s="69" t="s">
        <v>3586</v>
      </c>
      <c r="AM239" s="69" t="s">
        <v>3586</v>
      </c>
      <c r="AN239" s="69" t="s">
        <v>3586</v>
      </c>
      <c r="AO239" s="69" t="s">
        <v>791</v>
      </c>
      <c r="AP239" s="69" t="s">
        <v>791</v>
      </c>
      <c r="AQ239" s="69" t="s">
        <v>3213</v>
      </c>
      <c r="AR239" s="69" t="s">
        <v>405</v>
      </c>
      <c r="AS239" s="69" t="s">
        <v>405</v>
      </c>
      <c r="AT239" s="69" t="s">
        <v>1254</v>
      </c>
      <c r="AU239" s="69" t="s">
        <v>403</v>
      </c>
      <c r="AV239" s="69" t="s">
        <v>916</v>
      </c>
      <c r="AW239" s="69" t="s">
        <v>916</v>
      </c>
      <c r="AX239" s="69" t="s">
        <v>403</v>
      </c>
      <c r="AY239" s="69" t="s">
        <v>1944</v>
      </c>
      <c r="AZ239" s="69"/>
      <c r="BA239" s="69"/>
      <c r="BB239" s="69"/>
      <c r="BC239" s="69" t="s">
        <v>1210</v>
      </c>
      <c r="BD239" s="69" t="s">
        <v>1210</v>
      </c>
      <c r="BE239" s="69" t="s">
        <v>1527</v>
      </c>
    </row>
    <row r="240" spans="1:57" x14ac:dyDescent="0.2">
      <c r="A240" s="28"/>
      <c r="B240" s="228"/>
      <c r="C240" s="58"/>
      <c r="D240" s="58"/>
      <c r="E240" s="58"/>
      <c r="F240" s="58"/>
      <c r="G240" s="33"/>
      <c r="H240" s="33"/>
      <c r="I240" s="58"/>
      <c r="J240" s="58"/>
      <c r="K240" s="58"/>
      <c r="L240" s="58"/>
      <c r="M240" s="58"/>
      <c r="N240" s="58"/>
      <c r="O240" s="58"/>
      <c r="P240" s="58"/>
      <c r="Q240" s="58"/>
      <c r="R240" s="58"/>
      <c r="S240" s="132"/>
      <c r="T240" s="58"/>
      <c r="U240" s="58"/>
      <c r="V240" s="58"/>
      <c r="W240" s="58"/>
      <c r="X240" s="58"/>
      <c r="Y240" s="58"/>
      <c r="Z240" s="58"/>
      <c r="AA240" s="58"/>
      <c r="AB240" s="58"/>
      <c r="AC240" s="58"/>
      <c r="AD240" s="58"/>
      <c r="AE240" s="58"/>
      <c r="AF240" s="48"/>
      <c r="AG240" s="48"/>
      <c r="AH240" s="48"/>
      <c r="AI240" s="48"/>
      <c r="AJ240" s="58"/>
      <c r="AK240" s="58"/>
      <c r="AL240" s="58"/>
      <c r="AM240" s="58"/>
      <c r="AN240" s="58"/>
      <c r="AO240" s="58"/>
      <c r="AP240" s="58"/>
      <c r="AQ240" s="58"/>
      <c r="AR240" s="58"/>
      <c r="AS240" s="58"/>
      <c r="AT240" s="58"/>
      <c r="AU240" s="58"/>
      <c r="AV240" s="58"/>
      <c r="AW240" s="58"/>
      <c r="AX240" s="58"/>
      <c r="AY240" s="58"/>
      <c r="AZ240" s="58"/>
      <c r="BA240" s="58"/>
      <c r="BB240" s="58"/>
      <c r="BC240" s="58"/>
      <c r="BD240" s="18"/>
      <c r="BE240" s="58"/>
    </row>
    <row r="241" spans="1:57" ht="18" x14ac:dyDescent="0.2">
      <c r="A241" s="78" t="s">
        <v>177</v>
      </c>
      <c r="B241" s="221"/>
      <c r="C241" s="53" t="str">
        <f>C1</f>
        <v>Allianz inkl. SicherheitPlus</v>
      </c>
      <c r="D241" s="53" t="str">
        <f>D1</f>
        <v>Alte Leipziger comfort</v>
      </c>
      <c r="E241" s="53" t="str">
        <f>E1</f>
        <v>ARAG Basis (Wohnfläche)</v>
      </c>
      <c r="F241" s="53" t="str">
        <f>F1</f>
        <v>ARAG Comfort (Wohnfläche)</v>
      </c>
      <c r="G241" s="53" t="s">
        <v>3310</v>
      </c>
      <c r="H241" s="53" t="s">
        <v>3311</v>
      </c>
      <c r="I241" s="53" t="str">
        <f t="shared" ref="I241:P241" si="30">I1</f>
        <v>Baden Badener TOP (WF)</v>
      </c>
      <c r="J241" s="53" t="str">
        <f t="shared" si="30"/>
        <v>Basler Ambiente Top</v>
      </c>
      <c r="K241" s="53" t="str">
        <f t="shared" si="30"/>
        <v>Debeka Basis</v>
      </c>
      <c r="L241" s="53" t="str">
        <f t="shared" si="30"/>
        <v>Debeka Standard</v>
      </c>
      <c r="M241" s="53" t="str">
        <f t="shared" si="30"/>
        <v>Debeka Top</v>
      </c>
      <c r="N241" s="53" t="str">
        <f t="shared" si="30"/>
        <v>die Bayerische Komfort</v>
      </c>
      <c r="O241" s="53" t="str">
        <f t="shared" si="30"/>
        <v>die Bayerische Prestige</v>
      </c>
      <c r="P241" s="53" t="str">
        <f t="shared" si="30"/>
        <v>die Bayerische Smart</v>
      </c>
      <c r="Q241" s="243" t="str">
        <f>Q1</f>
        <v>Domcura Komfort</v>
      </c>
      <c r="R241" s="243" t="str">
        <f>R1</f>
        <v>Domcura Top</v>
      </c>
      <c r="S241" s="135" t="s">
        <v>3312</v>
      </c>
      <c r="T241" s="243" t="str">
        <f t="shared" ref="T241:AB241" si="31">T1</f>
        <v>ERGO</v>
      </c>
      <c r="U241" s="243" t="str">
        <f t="shared" si="31"/>
        <v>ERGO spezial</v>
      </c>
      <c r="V241" s="243" t="str">
        <f t="shared" si="31"/>
        <v>Generali Basis (qm)</v>
      </c>
      <c r="W241" s="243" t="str">
        <f t="shared" si="31"/>
        <v>Generali KomfortPlus (qm)</v>
      </c>
      <c r="X241" s="243" t="str">
        <f t="shared" si="31"/>
        <v>Gothaer (qm)</v>
      </c>
      <c r="Y241" s="243" t="str">
        <f t="shared" si="31"/>
        <v>Gothaer Top (qm)</v>
      </c>
      <c r="Z241" s="243" t="str">
        <f t="shared" si="31"/>
        <v>Gothaer Top Plus (qm)</v>
      </c>
      <c r="AA241" s="243" t="str">
        <f t="shared" si="31"/>
        <v>HDI Privatschutz (Wohnfläche)</v>
      </c>
      <c r="AB241" s="243" t="str">
        <f t="shared" si="31"/>
        <v>Helvetia Komfort</v>
      </c>
      <c r="AC241" s="243" t="str">
        <f t="shared" ref="AC241:AJ241" si="32">AC1</f>
        <v>HFK afm mit Zusatzdeckung</v>
      </c>
      <c r="AD241" s="243" t="str">
        <f t="shared" si="32"/>
        <v>HFK afm ohne Zusatzdeckung</v>
      </c>
      <c r="AE241" s="243" t="str">
        <f t="shared" si="32"/>
        <v>Hiscox Haus &amp; Kunst</v>
      </c>
      <c r="AF241" s="243" t="str">
        <f t="shared" si="32"/>
        <v>HUK Classic</v>
      </c>
      <c r="AG241" s="243" t="str">
        <f t="shared" si="32"/>
        <v>HUK Plus</v>
      </c>
      <c r="AH241" s="243" t="str">
        <f t="shared" si="32"/>
        <v>InterRisk XL</v>
      </c>
      <c r="AI241" s="243" t="str">
        <f t="shared" si="32"/>
        <v>InterRisk XXL</v>
      </c>
      <c r="AJ241" s="243" t="str">
        <f t="shared" si="32"/>
        <v>ITL afm Eurosecure 2009</v>
      </c>
      <c r="AK241" s="245" t="s">
        <v>3552</v>
      </c>
      <c r="AL241" s="245" t="s">
        <v>3551</v>
      </c>
      <c r="AM241" s="245" t="s">
        <v>3550</v>
      </c>
      <c r="AN241" s="245" t="s">
        <v>3549</v>
      </c>
      <c r="AO241" s="243" t="str">
        <f>AO1</f>
        <v>Itzehoer Basis</v>
      </c>
      <c r="AP241" s="243" t="str">
        <f>AP1</f>
        <v>Itzehoer Plus</v>
      </c>
      <c r="AQ241" s="243"/>
      <c r="AR241" s="243"/>
      <c r="AS241" s="243"/>
      <c r="AT241" s="243" t="str">
        <f t="shared" ref="AT241:AY241" si="33">AT1</f>
        <v>Nürnberger KomplettSchutz (Wert 1914)</v>
      </c>
      <c r="AU241" s="243" t="str">
        <f t="shared" si="33"/>
        <v>Provinzial Kompaktschutz</v>
      </c>
      <c r="AV241" s="243" t="str">
        <f t="shared" si="33"/>
        <v>Provinzial Rundum inkl. Plus</v>
      </c>
      <c r="AW241" s="243" t="str">
        <f t="shared" si="33"/>
        <v>Provinzial Rundumschutz</v>
      </c>
      <c r="AX241" s="243" t="str">
        <f t="shared" si="33"/>
        <v>R+V PrivatPolice (Fläche)</v>
      </c>
      <c r="AY241" s="243" t="str">
        <f t="shared" si="33"/>
        <v>VdVA</v>
      </c>
      <c r="AZ241" s="243" t="s">
        <v>3496</v>
      </c>
      <c r="BA241" s="243" t="str">
        <f>BA1</f>
        <v>VHV Klassik Garant</v>
      </c>
      <c r="BB241" s="243" t="str">
        <f>BB1</f>
        <v>VHV Klassik Garant Exklusiv</v>
      </c>
      <c r="BC241" s="246" t="str">
        <f>BC1</f>
        <v>VKB Kompakt</v>
      </c>
      <c r="BD241" s="246" t="str">
        <f>BD1</f>
        <v>VKB Optimal</v>
      </c>
      <c r="BE241" s="243" t="str">
        <f>BE1</f>
        <v>WÜBA Plus</v>
      </c>
    </row>
    <row r="242" spans="1:57" ht="369" x14ac:dyDescent="0.2">
      <c r="A242" s="77"/>
      <c r="B242" s="220"/>
      <c r="C242" s="70" t="s">
        <v>3525</v>
      </c>
      <c r="D242" s="111" t="s">
        <v>3527</v>
      </c>
      <c r="E242" s="70" t="s">
        <v>1482</v>
      </c>
      <c r="F242" s="70" t="s">
        <v>3528</v>
      </c>
      <c r="G242" s="117"/>
      <c r="H242" s="117"/>
      <c r="I242" s="70" t="s">
        <v>2559</v>
      </c>
      <c r="J242" s="70" t="s">
        <v>1312</v>
      </c>
      <c r="K242" s="74" t="s">
        <v>656</v>
      </c>
      <c r="L242" s="74" t="s">
        <v>2391</v>
      </c>
      <c r="M242" s="70" t="s">
        <v>3529</v>
      </c>
      <c r="N242" s="70" t="s">
        <v>3531</v>
      </c>
      <c r="O242" s="70" t="s">
        <v>3533</v>
      </c>
      <c r="P242" s="47" t="s">
        <v>3</v>
      </c>
      <c r="Q242" s="20" t="s">
        <v>3</v>
      </c>
      <c r="R242" s="70" t="s">
        <v>463</v>
      </c>
      <c r="S242" s="130" t="s">
        <v>3239</v>
      </c>
      <c r="T242" s="20"/>
      <c r="U242" s="20" t="s">
        <v>3537</v>
      </c>
      <c r="V242" s="70" t="s">
        <v>2596</v>
      </c>
      <c r="W242" s="70" t="s">
        <v>2598</v>
      </c>
      <c r="X242" s="20" t="s">
        <v>3</v>
      </c>
      <c r="Y242" s="20" t="s">
        <v>3</v>
      </c>
      <c r="Z242" s="70" t="s">
        <v>3120</v>
      </c>
      <c r="AA242" s="70" t="s">
        <v>2475</v>
      </c>
      <c r="AB242" s="70" t="s">
        <v>2358</v>
      </c>
      <c r="AC242" s="74" t="s">
        <v>593</v>
      </c>
      <c r="AD242" s="47" t="s">
        <v>589</v>
      </c>
      <c r="AE242" s="70" t="s">
        <v>823</v>
      </c>
      <c r="AF242" s="47" t="s">
        <v>223</v>
      </c>
      <c r="AG242" s="47" t="s">
        <v>223</v>
      </c>
      <c r="AH242" s="74" t="s">
        <v>2720</v>
      </c>
      <c r="AI242" s="70" t="s">
        <v>2702</v>
      </c>
      <c r="AJ242" s="46" t="s">
        <v>3</v>
      </c>
      <c r="AK242" s="70" t="s">
        <v>3628</v>
      </c>
      <c r="AL242" s="70" t="s">
        <v>1718</v>
      </c>
      <c r="AM242" s="70" t="s">
        <v>3602</v>
      </c>
      <c r="AN242" s="70" t="s">
        <v>3617</v>
      </c>
      <c r="AO242" s="46" t="s">
        <v>3</v>
      </c>
      <c r="AP242" s="46" t="s">
        <v>3</v>
      </c>
      <c r="AQ242" s="20" t="s">
        <v>3</v>
      </c>
      <c r="AR242" s="70" t="s">
        <v>3208</v>
      </c>
      <c r="AS242" s="70" t="s">
        <v>3208</v>
      </c>
      <c r="AT242" s="70" t="s">
        <v>1232</v>
      </c>
      <c r="AU242" s="70" t="s">
        <v>932</v>
      </c>
      <c r="AV242" s="70" t="s">
        <v>939</v>
      </c>
      <c r="AW242" s="70" t="s">
        <v>938</v>
      </c>
      <c r="AX242" s="74" t="s">
        <v>2965</v>
      </c>
      <c r="AY242" s="74" t="s">
        <v>1997</v>
      </c>
      <c r="AZ242" s="74"/>
      <c r="BA242" s="46" t="s">
        <v>3</v>
      </c>
      <c r="BB242" s="74" t="s">
        <v>1072</v>
      </c>
      <c r="BC242" s="47" t="s">
        <v>1161</v>
      </c>
      <c r="BD242" s="74" t="s">
        <v>1168</v>
      </c>
      <c r="BE242" s="74" t="s">
        <v>1495</v>
      </c>
    </row>
    <row r="243" spans="1:57" ht="90" x14ac:dyDescent="0.2">
      <c r="A243" s="76" t="s">
        <v>402</v>
      </c>
      <c r="B243" s="219"/>
      <c r="C243" s="69" t="s">
        <v>2788</v>
      </c>
      <c r="D243" s="112" t="s">
        <v>3280</v>
      </c>
      <c r="E243" s="69" t="s">
        <v>1637</v>
      </c>
      <c r="F243" s="69" t="s">
        <v>1639</v>
      </c>
      <c r="G243" s="128"/>
      <c r="H243" s="128"/>
      <c r="I243" s="69" t="s">
        <v>2558</v>
      </c>
      <c r="J243" s="69" t="s">
        <v>1313</v>
      </c>
      <c r="K243" s="69" t="s">
        <v>727</v>
      </c>
      <c r="L243" s="69" t="s">
        <v>2390</v>
      </c>
      <c r="M243" s="69" t="s">
        <v>2412</v>
      </c>
      <c r="N243" s="69" t="s">
        <v>3045</v>
      </c>
      <c r="O243" s="69" t="s">
        <v>3016</v>
      </c>
      <c r="P243" s="69" t="s">
        <v>3</v>
      </c>
      <c r="Q243" s="69" t="s">
        <v>3</v>
      </c>
      <c r="R243" s="69" t="s">
        <v>464</v>
      </c>
      <c r="S243" s="131"/>
      <c r="T243" s="69"/>
      <c r="U243" s="69"/>
      <c r="V243" s="69" t="s">
        <v>2597</v>
      </c>
      <c r="W243" s="69" t="s">
        <v>2595</v>
      </c>
      <c r="X243" s="69" t="s">
        <v>3</v>
      </c>
      <c r="Y243" s="69" t="s">
        <v>3</v>
      </c>
      <c r="Z243" s="69" t="s">
        <v>3119</v>
      </c>
      <c r="AA243" s="69" t="s">
        <v>2476</v>
      </c>
      <c r="AB243" s="69" t="s">
        <v>2338</v>
      </c>
      <c r="AC243" s="69" t="s">
        <v>613</v>
      </c>
      <c r="AD243" s="69" t="s">
        <v>590</v>
      </c>
      <c r="AE243" s="69"/>
      <c r="AF243" s="69"/>
      <c r="AG243" s="69"/>
      <c r="AH243" s="69" t="s">
        <v>2721</v>
      </c>
      <c r="AI243" s="108" t="s">
        <v>2701</v>
      </c>
      <c r="AJ243" s="69" t="s">
        <v>3</v>
      </c>
      <c r="AK243" s="69" t="s">
        <v>3600</v>
      </c>
      <c r="AL243" s="69" t="s">
        <v>3600</v>
      </c>
      <c r="AM243" s="69" t="s">
        <v>3600</v>
      </c>
      <c r="AN243" s="69" t="s">
        <v>3600</v>
      </c>
      <c r="AO243" s="69" t="s">
        <v>3</v>
      </c>
      <c r="AP243" s="69" t="s">
        <v>3</v>
      </c>
      <c r="AQ243" s="69" t="s">
        <v>3</v>
      </c>
      <c r="AR243" s="69" t="s">
        <v>3042</v>
      </c>
      <c r="AS243" s="69" t="s">
        <v>3042</v>
      </c>
      <c r="AT243" s="69" t="s">
        <v>1233</v>
      </c>
      <c r="AU243" s="69" t="s">
        <v>910</v>
      </c>
      <c r="AV243" s="69" t="s">
        <v>909</v>
      </c>
      <c r="AW243" s="69" t="s">
        <v>908</v>
      </c>
      <c r="AX243" s="69" t="s">
        <v>1045</v>
      </c>
      <c r="AY243" s="69" t="s">
        <v>1988</v>
      </c>
      <c r="AZ243" s="69"/>
      <c r="BA243" s="69"/>
      <c r="BB243" s="69"/>
      <c r="BC243" s="69" t="s">
        <v>1167</v>
      </c>
      <c r="BD243" s="69" t="s">
        <v>1190</v>
      </c>
      <c r="BE243" s="69" t="s">
        <v>1506</v>
      </c>
    </row>
    <row r="244" spans="1:57" x14ac:dyDescent="0.2">
      <c r="A244" s="84"/>
      <c r="B244" s="232"/>
      <c r="C244" s="48"/>
      <c r="D244" s="48"/>
      <c r="E244" s="48"/>
      <c r="F244" s="48"/>
      <c r="G244" s="33"/>
      <c r="H244" s="33"/>
      <c r="I244" s="48"/>
      <c r="J244" s="48"/>
      <c r="K244" s="48"/>
      <c r="L244" s="48"/>
      <c r="M244" s="48"/>
      <c r="N244" s="48"/>
      <c r="O244" s="48"/>
      <c r="P244" s="48"/>
      <c r="Q244" s="48"/>
      <c r="R244" s="48"/>
      <c r="S244" s="132"/>
      <c r="T244" s="48"/>
      <c r="U244" s="48"/>
      <c r="V244" s="48"/>
      <c r="W244" s="48"/>
      <c r="X244" s="58"/>
      <c r="Y244" s="48"/>
      <c r="Z244" s="48"/>
      <c r="AA244" s="48"/>
      <c r="AB244" s="48"/>
      <c r="AC244" s="48"/>
      <c r="AD244" s="48"/>
      <c r="AE244" s="48"/>
      <c r="AF244" s="48"/>
      <c r="AG244" s="48"/>
      <c r="AH244" s="48"/>
      <c r="AI244" s="48"/>
      <c r="AJ244" s="48"/>
      <c r="AK244" s="58"/>
      <c r="AL244" s="48"/>
      <c r="AM244" s="58"/>
      <c r="AN244" s="58"/>
      <c r="AO244" s="58"/>
      <c r="AP244" s="58"/>
      <c r="AQ244" s="58"/>
      <c r="AR244" s="48"/>
      <c r="AS244" s="48"/>
      <c r="AT244" s="48"/>
      <c r="AU244" s="48"/>
      <c r="AV244" s="48"/>
      <c r="AW244" s="48"/>
      <c r="AX244" s="48"/>
      <c r="AY244" s="48"/>
      <c r="AZ244" s="48"/>
      <c r="BA244" s="48"/>
      <c r="BB244" s="48"/>
      <c r="BC244" s="48"/>
      <c r="BD244" s="18"/>
      <c r="BE244" s="48"/>
    </row>
    <row r="245" spans="1:57" s="167" customFormat="1" ht="18" x14ac:dyDescent="0.2">
      <c r="A245" s="78" t="s">
        <v>120</v>
      </c>
      <c r="B245" s="78"/>
      <c r="C245" s="53" t="str">
        <f>C1</f>
        <v>Allianz inkl. SicherheitPlus</v>
      </c>
      <c r="D245" s="53" t="str">
        <f t="shared" ref="D245:P245" si="34">D1</f>
        <v>Alte Leipziger comfort</v>
      </c>
      <c r="E245" s="53" t="str">
        <f t="shared" si="34"/>
        <v>ARAG Basis (Wohnfläche)</v>
      </c>
      <c r="F245" s="53" t="str">
        <f t="shared" si="34"/>
        <v>ARAG Comfort (Wohnfläche)</v>
      </c>
      <c r="G245" s="53" t="str">
        <f t="shared" si="34"/>
        <v>AXA BOXflex
Einfamilienhaus</v>
      </c>
      <c r="H245" s="53" t="str">
        <f t="shared" si="34"/>
        <v>AXA BOXflex
Mehrfamilienhaus</v>
      </c>
      <c r="I245" s="53" t="str">
        <f t="shared" si="34"/>
        <v>Baden Badener TOP (WF)</v>
      </c>
      <c r="J245" s="53" t="str">
        <f t="shared" si="34"/>
        <v>Basler Ambiente Top</v>
      </c>
      <c r="K245" s="53" t="str">
        <f t="shared" si="34"/>
        <v>Debeka Basis</v>
      </c>
      <c r="L245" s="53" t="str">
        <f t="shared" si="34"/>
        <v>Debeka Standard</v>
      </c>
      <c r="M245" s="53" t="str">
        <f t="shared" si="34"/>
        <v>Debeka Top</v>
      </c>
      <c r="N245" s="53" t="str">
        <f t="shared" si="34"/>
        <v>die Bayerische Komfort</v>
      </c>
      <c r="O245" s="53" t="str">
        <f t="shared" si="34"/>
        <v>die Bayerische Prestige</v>
      </c>
      <c r="P245" s="53" t="str">
        <f t="shared" si="34"/>
        <v>die Bayerische Smart</v>
      </c>
      <c r="Q245" s="243" t="str">
        <f>Q1</f>
        <v>Domcura Komfort</v>
      </c>
      <c r="R245" s="243" t="str">
        <f>R1</f>
        <v>Domcura Top</v>
      </c>
      <c r="S245" s="129" t="s">
        <v>3312</v>
      </c>
      <c r="T245" s="243" t="str">
        <f t="shared" ref="T245:AB245" si="35">T1</f>
        <v>ERGO</v>
      </c>
      <c r="U245" s="243" t="str">
        <f t="shared" si="35"/>
        <v>ERGO spezial</v>
      </c>
      <c r="V245" s="243" t="str">
        <f t="shared" si="35"/>
        <v>Generali Basis (qm)</v>
      </c>
      <c r="W245" s="243" t="str">
        <f t="shared" si="35"/>
        <v>Generali KomfortPlus (qm)</v>
      </c>
      <c r="X245" s="243" t="str">
        <f t="shared" si="35"/>
        <v>Gothaer (qm)</v>
      </c>
      <c r="Y245" s="243" t="str">
        <f t="shared" si="35"/>
        <v>Gothaer Top (qm)</v>
      </c>
      <c r="Z245" s="243" t="str">
        <f t="shared" si="35"/>
        <v>Gothaer Top Plus (qm)</v>
      </c>
      <c r="AA245" s="243" t="str">
        <f t="shared" si="35"/>
        <v>HDI Privatschutz (Wohnfläche)</v>
      </c>
      <c r="AB245" s="243" t="str">
        <f t="shared" si="35"/>
        <v>Helvetia Komfort</v>
      </c>
      <c r="AC245" s="243" t="str">
        <f t="shared" ref="AC245:AJ245" si="36">AC1</f>
        <v>HFK afm mit Zusatzdeckung</v>
      </c>
      <c r="AD245" s="243" t="str">
        <f t="shared" si="36"/>
        <v>HFK afm ohne Zusatzdeckung</v>
      </c>
      <c r="AE245" s="243" t="str">
        <f t="shared" si="36"/>
        <v>Hiscox Haus &amp; Kunst</v>
      </c>
      <c r="AF245" s="243" t="str">
        <f t="shared" si="36"/>
        <v>HUK Classic</v>
      </c>
      <c r="AG245" s="243" t="str">
        <f t="shared" si="36"/>
        <v>HUK Plus</v>
      </c>
      <c r="AH245" s="243" t="str">
        <f t="shared" si="36"/>
        <v>InterRisk XL</v>
      </c>
      <c r="AI245" s="243" t="str">
        <f t="shared" si="36"/>
        <v>InterRisk XXL</v>
      </c>
      <c r="AJ245" s="243" t="str">
        <f t="shared" si="36"/>
        <v>ITL afm Eurosecure 2009</v>
      </c>
      <c r="AK245" s="245" t="s">
        <v>3552</v>
      </c>
      <c r="AL245" s="245" t="s">
        <v>3551</v>
      </c>
      <c r="AM245" s="245" t="s">
        <v>3550</v>
      </c>
      <c r="AN245" s="245" t="s">
        <v>3549</v>
      </c>
      <c r="AO245" s="243" t="str">
        <f>AO1</f>
        <v>Itzehoer Basis</v>
      </c>
      <c r="AP245" s="243" t="str">
        <f>AP1</f>
        <v>Itzehoer Plus</v>
      </c>
      <c r="AQ245" s="243"/>
      <c r="AR245" s="243"/>
      <c r="AS245" s="243"/>
      <c r="AT245" s="243" t="str">
        <f t="shared" ref="AT245:AY245" si="37">AT1</f>
        <v>Nürnberger KomplettSchutz (Wert 1914)</v>
      </c>
      <c r="AU245" s="243" t="str">
        <f t="shared" si="37"/>
        <v>Provinzial Kompaktschutz</v>
      </c>
      <c r="AV245" s="243" t="str">
        <f t="shared" si="37"/>
        <v>Provinzial Rundum inkl. Plus</v>
      </c>
      <c r="AW245" s="243" t="str">
        <f t="shared" si="37"/>
        <v>Provinzial Rundumschutz</v>
      </c>
      <c r="AX245" s="243" t="str">
        <f t="shared" si="37"/>
        <v>R+V PrivatPolice (Fläche)</v>
      </c>
      <c r="AY245" s="243" t="str">
        <f t="shared" si="37"/>
        <v>VdVA</v>
      </c>
      <c r="AZ245" s="243"/>
      <c r="BA245" s="243" t="str">
        <f>BA1</f>
        <v>VHV Klassik Garant</v>
      </c>
      <c r="BB245" s="243" t="str">
        <f>BB1</f>
        <v>VHV Klassik Garant Exklusiv</v>
      </c>
      <c r="BC245" s="246" t="str">
        <f>BC1</f>
        <v>VKB Kompakt</v>
      </c>
      <c r="BD245" s="246" t="str">
        <f>BD1</f>
        <v>VKB Optimal</v>
      </c>
      <c r="BE245" s="243" t="str">
        <f>BE1</f>
        <v>WÜBA Plus</v>
      </c>
    </row>
    <row r="246" spans="1:57" ht="18" x14ac:dyDescent="0.2">
      <c r="A246" s="77"/>
      <c r="B246" s="220"/>
      <c r="C246" s="47" t="s">
        <v>3395</v>
      </c>
      <c r="D246" s="47" t="s">
        <v>3515</v>
      </c>
      <c r="E246" s="47" t="s">
        <v>3516</v>
      </c>
      <c r="F246" s="47" t="s">
        <v>3517</v>
      </c>
      <c r="G246" s="117" t="s">
        <v>3303</v>
      </c>
      <c r="H246" s="117" t="s">
        <v>3303</v>
      </c>
      <c r="I246" s="47" t="s">
        <v>3338</v>
      </c>
      <c r="J246" s="47" t="s">
        <v>3520</v>
      </c>
      <c r="K246" s="47" t="s">
        <v>3391</v>
      </c>
      <c r="L246" s="47" t="s">
        <v>3391</v>
      </c>
      <c r="M246" s="47" t="s">
        <v>3391</v>
      </c>
      <c r="N246" s="47" t="s">
        <v>3522</v>
      </c>
      <c r="O246" s="47" t="s">
        <v>3522</v>
      </c>
      <c r="P246" s="47" t="s">
        <v>3522</v>
      </c>
      <c r="Q246" s="20" t="s">
        <v>188</v>
      </c>
      <c r="R246" s="20" t="s">
        <v>188</v>
      </c>
      <c r="S246" s="134" t="s">
        <v>3392</v>
      </c>
      <c r="T246" s="20" t="s">
        <v>3512</v>
      </c>
      <c r="U246" s="20" t="s">
        <v>3512</v>
      </c>
      <c r="V246" s="20" t="s">
        <v>3340</v>
      </c>
      <c r="W246" s="20" t="s">
        <v>3340</v>
      </c>
      <c r="X246" s="20" t="s">
        <v>3099</v>
      </c>
      <c r="Y246" s="20" t="s">
        <v>3099</v>
      </c>
      <c r="Z246" s="20" t="s">
        <v>3099</v>
      </c>
      <c r="AA246" s="47" t="s">
        <v>3437</v>
      </c>
      <c r="AB246" s="47" t="s">
        <v>2359</v>
      </c>
      <c r="AC246" s="47" t="s">
        <v>3324</v>
      </c>
      <c r="AD246" s="47" t="s">
        <v>3324</v>
      </c>
      <c r="AE246" s="47" t="s">
        <v>816</v>
      </c>
      <c r="AF246" s="47" t="s">
        <v>3438</v>
      </c>
      <c r="AG246" s="47" t="s">
        <v>3438</v>
      </c>
      <c r="AH246" s="47" t="s">
        <v>3153</v>
      </c>
      <c r="AI246" s="47" t="s">
        <v>3154</v>
      </c>
      <c r="AJ246" s="47" t="s">
        <v>175</v>
      </c>
      <c r="AK246" s="47" t="s">
        <v>3627</v>
      </c>
      <c r="AL246" s="47" t="s">
        <v>3553</v>
      </c>
      <c r="AM246" s="47" t="s">
        <v>3554</v>
      </c>
      <c r="AN246" s="47" t="s">
        <v>3626</v>
      </c>
      <c r="AO246" s="47" t="s">
        <v>3451</v>
      </c>
      <c r="AP246" s="47" t="s">
        <v>3451</v>
      </c>
      <c r="AQ246" s="20" t="s">
        <v>3155</v>
      </c>
      <c r="AR246" s="20" t="s">
        <v>3157</v>
      </c>
      <c r="AS246" s="20" t="s">
        <v>3156</v>
      </c>
      <c r="AT246" s="47" t="s">
        <v>246</v>
      </c>
      <c r="AU246" s="47" t="s">
        <v>3539</v>
      </c>
      <c r="AV246" s="47" t="s">
        <v>3540</v>
      </c>
      <c r="AW246" s="47" t="s">
        <v>3541</v>
      </c>
      <c r="AX246" s="47" t="s">
        <v>3543</v>
      </c>
      <c r="AY246" s="47" t="s">
        <v>3440</v>
      </c>
      <c r="AZ246" s="47" t="s">
        <v>3303</v>
      </c>
      <c r="BA246" s="47" t="s">
        <v>3544</v>
      </c>
      <c r="BB246" s="47" t="s">
        <v>3544</v>
      </c>
      <c r="BC246" s="47" t="s">
        <v>2491</v>
      </c>
      <c r="BD246" s="47" t="s">
        <v>2491</v>
      </c>
      <c r="BE246" s="47" t="s">
        <v>246</v>
      </c>
    </row>
    <row r="247" spans="1:57" x14ac:dyDescent="0.2">
      <c r="C247" s="14" t="s">
        <v>3394</v>
      </c>
      <c r="E247" s="14" t="s">
        <v>2377</v>
      </c>
      <c r="F247" s="14" t="s">
        <v>2377</v>
      </c>
      <c r="I247" s="14" t="s">
        <v>3337</v>
      </c>
      <c r="J247" s="14" t="s">
        <v>3336</v>
      </c>
      <c r="K247" s="27"/>
      <c r="L247" s="27"/>
      <c r="M247" s="27"/>
      <c r="S247" s="132"/>
      <c r="V247" s="14" t="s">
        <v>3339</v>
      </c>
      <c r="W247" s="14" t="s">
        <v>3339</v>
      </c>
      <c r="AF247" s="14" t="s">
        <v>2962</v>
      </c>
      <c r="AG247" s="14" t="s">
        <v>2962</v>
      </c>
      <c r="AH247" s="14" t="s">
        <v>2958</v>
      </c>
      <c r="AI247" s="14" t="s">
        <v>2958</v>
      </c>
      <c r="AO247" s="14" t="s">
        <v>2374</v>
      </c>
      <c r="AP247" s="14" t="s">
        <v>2374</v>
      </c>
      <c r="AU247" s="14" t="s">
        <v>2963</v>
      </c>
      <c r="AV247" s="14" t="s">
        <v>2963</v>
      </c>
      <c r="AW247" s="14" t="s">
        <v>2963</v>
      </c>
      <c r="BA247" s="14" t="s">
        <v>2967</v>
      </c>
      <c r="BB247" s="14" t="s">
        <v>2967</v>
      </c>
      <c r="BC247" s="27" t="s">
        <v>3547</v>
      </c>
      <c r="BD247" s="27" t="s">
        <v>2490</v>
      </c>
      <c r="BE247" s="27"/>
    </row>
    <row r="248" spans="1:57" ht="18" x14ac:dyDescent="0.2">
      <c r="A248" s="77" t="s">
        <v>1219</v>
      </c>
      <c r="B248" s="220"/>
      <c r="C248" s="73" t="s">
        <v>3514</v>
      </c>
      <c r="D248" s="73" t="s">
        <v>3514</v>
      </c>
      <c r="E248" s="73" t="s">
        <v>3518</v>
      </c>
      <c r="F248" s="73" t="s">
        <v>3518</v>
      </c>
      <c r="G248" s="73" t="s">
        <v>3519</v>
      </c>
      <c r="H248" s="73" t="s">
        <v>3519</v>
      </c>
      <c r="I248" s="73" t="s">
        <v>3519</v>
      </c>
      <c r="J248" s="73" t="s">
        <v>3519</v>
      </c>
      <c r="K248" s="73" t="s">
        <v>3519</v>
      </c>
      <c r="L248" s="73" t="s">
        <v>3519</v>
      </c>
      <c r="M248" s="73" t="s">
        <v>3519</v>
      </c>
      <c r="N248" s="73" t="s">
        <v>3519</v>
      </c>
      <c r="O248" s="73" t="s">
        <v>3519</v>
      </c>
      <c r="P248" s="73" t="s">
        <v>3519</v>
      </c>
      <c r="Q248" s="73" t="s">
        <v>3519</v>
      </c>
      <c r="R248" s="73" t="s">
        <v>3519</v>
      </c>
      <c r="S248" s="73" t="s">
        <v>3519</v>
      </c>
      <c r="T248" s="73" t="s">
        <v>826</v>
      </c>
      <c r="U248" s="73" t="s">
        <v>3513</v>
      </c>
      <c r="V248" s="73" t="s">
        <v>3519</v>
      </c>
      <c r="W248" s="73" t="s">
        <v>3519</v>
      </c>
      <c r="X248" s="73" t="s">
        <v>3519</v>
      </c>
      <c r="Y248" s="73" t="s">
        <v>3519</v>
      </c>
      <c r="Z248" s="73" t="s">
        <v>3519</v>
      </c>
      <c r="AA248" s="73" t="s">
        <v>3519</v>
      </c>
      <c r="AB248" s="73" t="s">
        <v>3519</v>
      </c>
      <c r="AC248" s="73" t="s">
        <v>3514</v>
      </c>
      <c r="AD248" s="73" t="s">
        <v>3514</v>
      </c>
      <c r="AE248" s="73" t="s">
        <v>3538</v>
      </c>
      <c r="AF248" s="73" t="s">
        <v>3538</v>
      </c>
      <c r="AG248" s="73" t="s">
        <v>3538</v>
      </c>
      <c r="AH248" s="73" t="s">
        <v>3538</v>
      </c>
      <c r="AI248" s="73" t="s">
        <v>3538</v>
      </c>
      <c r="AJ248" s="73" t="s">
        <v>3390</v>
      </c>
      <c r="AK248" s="73" t="s">
        <v>3601</v>
      </c>
      <c r="AL248" s="73" t="s">
        <v>3583</v>
      </c>
      <c r="AM248" s="73" t="s">
        <v>3601</v>
      </c>
      <c r="AN248" s="73" t="s">
        <v>3601</v>
      </c>
      <c r="AO248" s="73" t="s">
        <v>3538</v>
      </c>
      <c r="AP248" s="73" t="s">
        <v>3538</v>
      </c>
      <c r="AQ248" s="73" t="s">
        <v>3538</v>
      </c>
      <c r="AR248" s="73" t="s">
        <v>3538</v>
      </c>
      <c r="AS248" s="73" t="s">
        <v>3538</v>
      </c>
      <c r="AT248" s="73" t="s">
        <v>3538</v>
      </c>
      <c r="AU248" s="273" t="s">
        <v>3538</v>
      </c>
      <c r="AV248" s="273" t="s">
        <v>3538</v>
      </c>
      <c r="AW248" s="273" t="s">
        <v>3538</v>
      </c>
      <c r="AX248" s="273" t="s">
        <v>3542</v>
      </c>
      <c r="AY248" s="273" t="s">
        <v>3542</v>
      </c>
      <c r="AZ248" s="273" t="s">
        <v>3542</v>
      </c>
      <c r="BA248" s="73" t="s">
        <v>3542</v>
      </c>
      <c r="BB248" s="73" t="s">
        <v>3542</v>
      </c>
      <c r="BC248" s="273" t="s">
        <v>3546</v>
      </c>
      <c r="BD248" s="273" t="s">
        <v>3546</v>
      </c>
      <c r="BE248" s="273" t="s">
        <v>3548</v>
      </c>
    </row>
    <row r="249" spans="1:57" s="167" customFormat="1" ht="24" customHeight="1" x14ac:dyDescent="0.2">
      <c r="A249" s="275" t="s">
        <v>4779</v>
      </c>
      <c r="B249" s="230"/>
      <c r="C249" s="275"/>
      <c r="D249" s="275"/>
      <c r="E249" s="275"/>
      <c r="F249" s="275"/>
      <c r="G249" s="275"/>
      <c r="H249" s="275"/>
      <c r="I249" s="275"/>
      <c r="J249" s="275"/>
      <c r="K249" s="275"/>
      <c r="L249" s="275"/>
      <c r="M249" s="275"/>
      <c r="N249" s="275"/>
      <c r="O249" s="275"/>
      <c r="P249" s="275"/>
      <c r="Q249" s="275"/>
      <c r="R249" s="275"/>
      <c r="S249" s="275"/>
      <c r="T249" s="275"/>
      <c r="U249" s="275"/>
      <c r="V249" s="275"/>
      <c r="W249" s="275"/>
      <c r="X249" s="275"/>
      <c r="Y249" s="275"/>
      <c r="Z249" s="275"/>
      <c r="AA249" s="275"/>
      <c r="AB249" s="275"/>
      <c r="AC249" s="275"/>
      <c r="AD249" s="275"/>
      <c r="AE249" s="275"/>
      <c r="AF249" s="275"/>
      <c r="AG249" s="275"/>
      <c r="AH249" s="275"/>
      <c r="AI249" s="275"/>
      <c r="AJ249" s="275"/>
      <c r="AK249" s="275"/>
      <c r="AL249" s="275"/>
      <c r="AM249" s="275"/>
      <c r="AN249" s="275"/>
      <c r="AO249" s="275"/>
      <c r="AP249" s="275"/>
      <c r="AQ249" s="275"/>
      <c r="AR249" s="275"/>
      <c r="AS249" s="275"/>
      <c r="AT249" s="275"/>
      <c r="AU249" s="275"/>
      <c r="AV249" s="275"/>
      <c r="AW249" s="275"/>
      <c r="AX249" s="275"/>
      <c r="AY249" s="275"/>
      <c r="AZ249" s="275"/>
      <c r="BA249" s="275"/>
      <c r="BB249" s="275"/>
      <c r="BC249" s="276"/>
      <c r="BD249" s="275"/>
      <c r="BE249" s="275"/>
    </row>
    <row r="250" spans="1:57" x14ac:dyDescent="0.2">
      <c r="K250" s="54"/>
      <c r="L250" s="54"/>
      <c r="M250" s="54"/>
      <c r="X250" s="54"/>
      <c r="AA250" s="54"/>
      <c r="AB250" s="54"/>
      <c r="AF250" s="54"/>
      <c r="AG250" s="54"/>
      <c r="AH250" s="54"/>
      <c r="AI250" s="54"/>
      <c r="AJ250" s="54"/>
      <c r="AK250" s="54"/>
      <c r="AL250" s="54"/>
      <c r="AM250" s="54"/>
      <c r="AN250" s="54"/>
      <c r="AO250" s="54"/>
      <c r="AP250" s="54"/>
      <c r="AQ250" s="54"/>
      <c r="AR250" s="54"/>
      <c r="AS250" s="54"/>
      <c r="AU250" s="54"/>
      <c r="AV250" s="54"/>
      <c r="AW250" s="54"/>
      <c r="AX250" s="54"/>
      <c r="AY250" s="54"/>
      <c r="AZ250" s="54"/>
      <c r="BA250" s="158"/>
      <c r="BB250" s="158"/>
      <c r="BE250" s="54"/>
    </row>
    <row r="251" spans="1:57" x14ac:dyDescent="0.2">
      <c r="BA251" s="18"/>
      <c r="BB251" s="18"/>
    </row>
  </sheetData>
  <conditionalFormatting sqref="T248">
    <cfRule type="cellIs" dxfId="65" priority="18" stopIfTrue="1" operator="equal">
      <formula>#REF!</formula>
    </cfRule>
  </conditionalFormatting>
  <conditionalFormatting sqref="T248:U248">
    <cfRule type="cellIs" dxfId="64" priority="20" stopIfTrue="1" operator="equal">
      <formula>#REF!</formula>
    </cfRule>
  </conditionalFormatting>
  <conditionalFormatting sqref="U248">
    <cfRule type="cellIs" dxfId="63" priority="19" stopIfTrue="1" operator="equal">
      <formula>#REF!</formula>
    </cfRule>
  </conditionalFormatting>
  <conditionalFormatting sqref="AI226 AI228 AI224">
    <cfRule type="containsBlanks" dxfId="62" priority="100" stopIfTrue="1">
      <formula>LEN(TRIM(AX224))=0</formula>
    </cfRule>
  </conditionalFormatting>
  <conditionalFormatting sqref="AK248">
    <cfRule type="cellIs" dxfId="61" priority="8" stopIfTrue="1" operator="equal">
      <formula>#REF!</formula>
    </cfRule>
  </conditionalFormatting>
  <conditionalFormatting sqref="AL248">
    <cfRule type="cellIs" dxfId="60" priority="7" stopIfTrue="1" operator="equal">
      <formula>#REF!</formula>
    </cfRule>
  </conditionalFormatting>
  <conditionalFormatting sqref="AM248">
    <cfRule type="cellIs" dxfId="59" priority="6" stopIfTrue="1" operator="equal">
      <formula>#REF!</formula>
    </cfRule>
  </conditionalFormatting>
  <conditionalFormatting sqref="AN248">
    <cfRule type="cellIs" dxfId="58" priority="5" stopIfTrue="1" operator="equal">
      <formula>#REF!</formula>
    </cfRule>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cellIs" priority="28" stopIfTrue="1" operator="equal" id="{ED9B7A57-AE49-44A3-9E21-DF756032C56A}">
            <xm:f>'WG-Daten'!#REF!</xm:f>
            <x14:dxf>
              <fill>
                <patternFill>
                  <bgColor indexed="22"/>
                </patternFill>
              </fill>
            </x14:dxf>
          </x14:cfRule>
          <xm:sqref>C248</xm:sqref>
        </x14:conditionalFormatting>
        <x14:conditionalFormatting xmlns:xm="http://schemas.microsoft.com/office/excel/2006/main">
          <x14:cfRule type="cellIs" priority="27" stopIfTrue="1" operator="equal" id="{E43B1AFF-4CFC-4E2A-AEBF-0AA66345CFD6}">
            <xm:f>'WG-Daten'!#REF!</xm:f>
            <x14:dxf>
              <fill>
                <patternFill>
                  <bgColor indexed="22"/>
                </patternFill>
              </fill>
            </x14:dxf>
          </x14:cfRule>
          <xm:sqref>D248</xm:sqref>
        </x14:conditionalFormatting>
        <x14:conditionalFormatting xmlns:xm="http://schemas.microsoft.com/office/excel/2006/main">
          <x14:cfRule type="cellIs" priority="26" stopIfTrue="1" operator="equal" id="{E56905A1-5233-402E-8EEA-550EF262B953}">
            <xm:f>'WG-Daten'!#REF!</xm:f>
            <x14:dxf>
              <fill>
                <patternFill>
                  <bgColor indexed="22"/>
                </patternFill>
              </fill>
            </x14:dxf>
          </x14:cfRule>
          <xm:sqref>E248:F248</xm:sqref>
        </x14:conditionalFormatting>
        <x14:conditionalFormatting xmlns:xm="http://schemas.microsoft.com/office/excel/2006/main">
          <x14:cfRule type="cellIs" priority="25" stopIfTrue="1" operator="equal" id="{29BB90B7-E44B-4C3A-880E-98231473893B}">
            <xm:f>'WG-Daten'!#REF!</xm:f>
            <x14:dxf>
              <fill>
                <patternFill>
                  <bgColor indexed="22"/>
                </patternFill>
              </fill>
            </x14:dxf>
          </x14:cfRule>
          <xm:sqref>G248:H248</xm:sqref>
        </x14:conditionalFormatting>
        <x14:conditionalFormatting xmlns:xm="http://schemas.microsoft.com/office/excel/2006/main">
          <x14:cfRule type="cellIs" priority="24" stopIfTrue="1" operator="equal" id="{8D203CC4-9DA6-4EC1-8A12-040B257AA601}">
            <xm:f>'WG-Daten'!#REF!</xm:f>
            <x14:dxf>
              <fill>
                <patternFill>
                  <bgColor indexed="22"/>
                </patternFill>
              </fill>
            </x14:dxf>
          </x14:cfRule>
          <xm:sqref>I248:L248</xm:sqref>
        </x14:conditionalFormatting>
        <x14:conditionalFormatting xmlns:xm="http://schemas.microsoft.com/office/excel/2006/main">
          <x14:cfRule type="cellIs" priority="23" stopIfTrue="1" operator="equal" id="{829CAD7F-CFEB-47BE-A071-74D2EA7CF58F}">
            <xm:f>'WG-Daten'!#REF!</xm:f>
            <x14:dxf>
              <fill>
                <patternFill>
                  <bgColor indexed="22"/>
                </patternFill>
              </fill>
            </x14:dxf>
          </x14:cfRule>
          <xm:sqref>M248:P248</xm:sqref>
        </x14:conditionalFormatting>
        <x14:conditionalFormatting xmlns:xm="http://schemas.microsoft.com/office/excel/2006/main">
          <x14:cfRule type="cellIs" priority="22" stopIfTrue="1" operator="equal" id="{79B82BE9-6DE7-483B-8CFA-F7A5E53D39B1}">
            <xm:f>'WG-Daten'!#REF!</xm:f>
            <x14:dxf>
              <fill>
                <patternFill>
                  <bgColor indexed="22"/>
                </patternFill>
              </fill>
            </x14:dxf>
          </x14:cfRule>
          <xm:sqref>Q248 S248</xm:sqref>
        </x14:conditionalFormatting>
        <x14:conditionalFormatting xmlns:xm="http://schemas.microsoft.com/office/excel/2006/main">
          <x14:cfRule type="cellIs" priority="21" stopIfTrue="1" operator="equal" id="{123BEF71-FDD6-4E33-B0BE-2567BEC530F1}">
            <xm:f>'WG-Daten'!#REF!</xm:f>
            <x14:dxf>
              <fill>
                <patternFill>
                  <bgColor indexed="22"/>
                </patternFill>
              </fill>
            </x14:dxf>
          </x14:cfRule>
          <xm:sqref>R248</xm:sqref>
        </x14:conditionalFormatting>
        <x14:conditionalFormatting xmlns:xm="http://schemas.microsoft.com/office/excel/2006/main">
          <x14:cfRule type="cellIs" priority="17" stopIfTrue="1" operator="equal" id="{CE2A5156-4912-4A89-87BE-6A4412D72348}">
            <xm:f>'WG-Daten'!#REF!</xm:f>
            <x14:dxf>
              <fill>
                <patternFill>
                  <bgColor indexed="22"/>
                </patternFill>
              </fill>
            </x14:dxf>
          </x14:cfRule>
          <xm:sqref>V248:W248</xm:sqref>
        </x14:conditionalFormatting>
        <x14:conditionalFormatting xmlns:xm="http://schemas.microsoft.com/office/excel/2006/main">
          <x14:cfRule type="cellIs" priority="16" stopIfTrue="1" operator="equal" id="{864C6F6F-50AB-44FE-B2E7-EB46C449F3FD}">
            <xm:f>'WG-Daten'!#REF!</xm:f>
            <x14:dxf>
              <fill>
                <patternFill>
                  <bgColor indexed="22"/>
                </patternFill>
              </fill>
            </x14:dxf>
          </x14:cfRule>
          <xm:sqref>X248:AB248</xm:sqref>
        </x14:conditionalFormatting>
        <x14:conditionalFormatting xmlns:xm="http://schemas.microsoft.com/office/excel/2006/main">
          <x14:cfRule type="cellIs" priority="15" stopIfTrue="1" operator="equal" id="{8AFC4F4C-24BB-4F34-9918-4D127A24E0F9}">
            <xm:f>'WG-Daten'!#REF!</xm:f>
            <x14:dxf>
              <fill>
                <patternFill>
                  <bgColor indexed="22"/>
                </patternFill>
              </fill>
            </x14:dxf>
          </x14:cfRule>
          <xm:sqref>BA248:BB248</xm:sqref>
        </x14:conditionalFormatting>
        <x14:conditionalFormatting xmlns:xm="http://schemas.microsoft.com/office/excel/2006/main">
          <x14:cfRule type="cellIs" priority="14" stopIfTrue="1" operator="equal" id="{38251E94-BCE1-4041-A2C7-60BD5C8299E9}">
            <xm:f>'WG-Daten'!#REF!</xm:f>
            <x14:dxf>
              <fill>
                <patternFill>
                  <bgColor indexed="22"/>
                </patternFill>
              </fill>
            </x14:dxf>
          </x14:cfRule>
          <xm:sqref>AC248:AG248</xm:sqref>
        </x14:conditionalFormatting>
        <x14:conditionalFormatting xmlns:xm="http://schemas.microsoft.com/office/excel/2006/main">
          <x14:cfRule type="cellIs" priority="13" stopIfTrue="1" operator="equal" id="{EE0060F6-47F1-4CD7-AAAA-AB613E203A4B}">
            <xm:f>'WG-Daten'!#REF!</xm:f>
            <x14:dxf>
              <fill>
                <patternFill>
                  <bgColor indexed="22"/>
                </patternFill>
              </fill>
            </x14:dxf>
          </x14:cfRule>
          <xm:sqref>AH248:AI248</xm:sqref>
        </x14:conditionalFormatting>
        <x14:conditionalFormatting xmlns:xm="http://schemas.microsoft.com/office/excel/2006/main">
          <x14:cfRule type="cellIs" priority="9" stopIfTrue="1" operator="equal" id="{AD0EAC03-BF2E-4E5E-B7C2-2811630304C9}">
            <xm:f>'WG-Daten'!#REF!</xm:f>
            <x14:dxf>
              <fill>
                <patternFill>
                  <bgColor indexed="22"/>
                </patternFill>
              </fill>
            </x14:dxf>
          </x14:cfRule>
          <xm:sqref>AJ248</xm:sqref>
        </x14:conditionalFormatting>
        <x14:conditionalFormatting xmlns:xm="http://schemas.microsoft.com/office/excel/2006/main">
          <x14:cfRule type="cellIs" priority="4" stopIfTrue="1" operator="equal" id="{78D02FBE-AFB1-48A2-9899-C064F7D7908D}">
            <xm:f>'WG-Daten'!#REF!</xm:f>
            <x14:dxf>
              <fill>
                <patternFill>
                  <bgColor indexed="22"/>
                </patternFill>
              </fill>
            </x14:dxf>
          </x14:cfRule>
          <xm:sqref>AO248:AP248</xm:sqref>
        </x14:conditionalFormatting>
        <x14:conditionalFormatting xmlns:xm="http://schemas.microsoft.com/office/excel/2006/main">
          <x14:cfRule type="cellIs" priority="3" stopIfTrue="1" operator="equal" id="{B97B2D37-80ED-48EB-BC26-3BCC5F68DC80}">
            <xm:f>'WG-Daten'!#REF!</xm:f>
            <x14:dxf>
              <fill>
                <patternFill>
                  <bgColor indexed="22"/>
                </patternFill>
              </fill>
            </x14:dxf>
          </x14:cfRule>
          <xm:sqref>AQ248:AT248</xm:sqref>
        </x14:conditionalFormatting>
        <x14:conditionalFormatting xmlns:xm="http://schemas.microsoft.com/office/excel/2006/main">
          <x14:cfRule type="cellIs" priority="2" stopIfTrue="1" operator="equal" id="{8DC561BA-769B-481C-8605-29C4011BAD1C}">
            <xm:f>'WG-Daten'!#REF!</xm:f>
            <x14:dxf>
              <fill>
                <patternFill>
                  <bgColor indexed="22"/>
                </patternFill>
              </fill>
            </x14:dxf>
          </x14:cfRule>
          <xm:sqref>AU248:AZ248</xm:sqref>
        </x14:conditionalFormatting>
        <x14:conditionalFormatting xmlns:xm="http://schemas.microsoft.com/office/excel/2006/main">
          <x14:cfRule type="cellIs" priority="1" stopIfTrue="1" operator="equal" id="{10ABB2B2-FA06-4906-859F-236CDF9CE899}">
            <xm:f>'WG-Daten'!#REF!</xm:f>
            <x14:dxf>
              <fill>
                <patternFill>
                  <bgColor indexed="22"/>
                </patternFill>
              </fill>
            </x14:dxf>
          </x14:cfRule>
          <xm:sqref>BC248:BE248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opLeftCell="A10" workbookViewId="0">
      <pane xSplit="1" topLeftCell="D1" activePane="topRight" state="frozen"/>
      <selection activeCell="X37" sqref="X37"/>
      <selection pane="topRight" activeCell="X37" sqref="X37"/>
    </sheetView>
  </sheetViews>
  <sheetFormatPr baseColWidth="10" defaultRowHeight="12.75" x14ac:dyDescent="0.2"/>
  <cols>
    <col min="1" max="1" width="22.140625" style="163" customWidth="1"/>
    <col min="2" max="2" width="45.7109375" customWidth="1"/>
    <col min="3" max="3" width="35.140625" style="165" customWidth="1"/>
    <col min="4" max="4" width="37.5703125" customWidth="1"/>
    <col min="5" max="5" width="64.42578125" customWidth="1"/>
    <col min="6" max="6" width="44.5703125" customWidth="1"/>
    <col min="7" max="7" width="55.7109375" customWidth="1"/>
    <col min="8" max="8" width="32.7109375" customWidth="1"/>
  </cols>
  <sheetData>
    <row r="1" spans="1:8" x14ac:dyDescent="0.2">
      <c r="A1" s="163" t="s">
        <v>3705</v>
      </c>
      <c r="C1" s="45" t="s">
        <v>2755</v>
      </c>
      <c r="D1" s="45" t="s">
        <v>3812</v>
      </c>
      <c r="E1" s="45" t="s">
        <v>3952</v>
      </c>
      <c r="F1" s="45" t="s">
        <v>4215</v>
      </c>
      <c r="G1" s="45" t="s">
        <v>4427</v>
      </c>
      <c r="H1" s="45" t="s">
        <v>4812</v>
      </c>
    </row>
    <row r="3" spans="1:8" ht="228" customHeight="1" x14ac:dyDescent="0.2">
      <c r="A3" s="210" t="s">
        <v>3706</v>
      </c>
      <c r="B3" s="209" t="s">
        <v>3714</v>
      </c>
      <c r="C3" s="209" t="s">
        <v>3710</v>
      </c>
      <c r="G3" s="165" t="s">
        <v>4431</v>
      </c>
    </row>
    <row r="4" spans="1:8" ht="67.5" customHeight="1" x14ac:dyDescent="0.2">
      <c r="A4" s="163" t="s">
        <v>3707</v>
      </c>
      <c r="C4" s="165" t="s">
        <v>3711</v>
      </c>
      <c r="G4" s="165" t="s">
        <v>4428</v>
      </c>
    </row>
    <row r="5" spans="1:8" ht="77.25" customHeight="1" x14ac:dyDescent="0.2">
      <c r="A5" s="163" t="s">
        <v>3708</v>
      </c>
      <c r="C5" s="165" t="s">
        <v>3712</v>
      </c>
      <c r="G5" s="165" t="s">
        <v>4429</v>
      </c>
    </row>
    <row r="6" spans="1:8" ht="123.75" customHeight="1" x14ac:dyDescent="0.2">
      <c r="A6" s="215" t="s">
        <v>3709</v>
      </c>
      <c r="B6" s="216"/>
      <c r="C6" s="217" t="s">
        <v>3713</v>
      </c>
      <c r="G6" s="165" t="s">
        <v>4430</v>
      </c>
    </row>
    <row r="8" spans="1:8" ht="116.25" customHeight="1" x14ac:dyDescent="0.2">
      <c r="A8" s="163" t="s">
        <v>4808</v>
      </c>
      <c r="G8" s="209" t="s">
        <v>4811</v>
      </c>
      <c r="H8" s="209" t="s">
        <v>4811</v>
      </c>
    </row>
    <row r="9" spans="1:8" ht="150.75" customHeight="1" x14ac:dyDescent="0.2">
      <c r="A9" s="163" t="s">
        <v>4809</v>
      </c>
      <c r="G9" s="209" t="s">
        <v>4816</v>
      </c>
      <c r="H9" s="209" t="s">
        <v>4817</v>
      </c>
    </row>
    <row r="10" spans="1:8" ht="58.5" customHeight="1" x14ac:dyDescent="0.2">
      <c r="A10" s="163" t="s">
        <v>4810</v>
      </c>
      <c r="G10" s="165" t="s">
        <v>4815</v>
      </c>
      <c r="H10" s="165" t="s">
        <v>4815</v>
      </c>
    </row>
    <row r="11" spans="1:8" ht="348" customHeight="1" x14ac:dyDescent="0.2">
      <c r="A11" s="163" t="s">
        <v>3799</v>
      </c>
      <c r="C11" s="238" t="s">
        <v>3957</v>
      </c>
      <c r="D11" s="209" t="s">
        <v>3959</v>
      </c>
      <c r="E11" s="209" t="s">
        <v>3958</v>
      </c>
      <c r="F11" s="254" t="s">
        <v>4217</v>
      </c>
      <c r="G11" s="209" t="s">
        <v>4415</v>
      </c>
    </row>
    <row r="13" spans="1:8" ht="153" customHeight="1" x14ac:dyDescent="0.2">
      <c r="A13" s="239" t="s">
        <v>3811</v>
      </c>
      <c r="D13" s="209" t="s">
        <v>3813</v>
      </c>
    </row>
    <row r="14" spans="1:8" x14ac:dyDescent="0.2">
      <c r="F14" s="240"/>
    </row>
    <row r="15" spans="1:8" ht="316.5" customHeight="1" x14ac:dyDescent="0.2">
      <c r="A15" s="165" t="s">
        <v>3814</v>
      </c>
      <c r="D15" s="254" t="s">
        <v>3960</v>
      </c>
      <c r="E15" s="254" t="s">
        <v>3961</v>
      </c>
      <c r="F15" s="254" t="s">
        <v>4216</v>
      </c>
      <c r="G15" s="165" t="s">
        <v>4558</v>
      </c>
    </row>
    <row r="16" spans="1:8" x14ac:dyDescent="0.2">
      <c r="F16" s="240"/>
    </row>
    <row r="29" spans="3:3" x14ac:dyDescent="0.2">
      <c r="C29" s="209"/>
    </row>
    <row r="31" spans="3:3" x14ac:dyDescent="0.2">
      <c r="C31" s="20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X37" sqref="X37"/>
    </sheetView>
  </sheetViews>
  <sheetFormatPr baseColWidth="10" defaultRowHeight="12.75" x14ac:dyDescent="0.2"/>
  <cols>
    <col min="1" max="1" width="34.42578125" style="207" customWidth="1"/>
    <col min="2" max="2" width="24.5703125" style="163" customWidth="1"/>
    <col min="3" max="3" width="22" customWidth="1"/>
  </cols>
  <sheetData>
    <row r="1" spans="1:3" ht="17.25" customHeight="1" x14ac:dyDescent="0.2">
      <c r="A1" s="205" t="s">
        <v>3700</v>
      </c>
    </row>
    <row r="2" spans="1:3" ht="28.5" customHeight="1" x14ac:dyDescent="0.2">
      <c r="A2" s="208">
        <v>43465</v>
      </c>
      <c r="B2" s="267">
        <v>43466</v>
      </c>
    </row>
    <row r="3" spans="1:3" x14ac:dyDescent="0.2">
      <c r="A3" s="205" t="s">
        <v>2755</v>
      </c>
      <c r="B3" s="268" t="s">
        <v>2755</v>
      </c>
    </row>
    <row r="4" spans="1:3" x14ac:dyDescent="0.2">
      <c r="A4" s="205"/>
      <c r="B4" s="268" t="s">
        <v>3701</v>
      </c>
    </row>
    <row r="5" spans="1:3" x14ac:dyDescent="0.2">
      <c r="A5" s="205" t="s">
        <v>3257</v>
      </c>
      <c r="B5" s="269" t="s">
        <v>3</v>
      </c>
    </row>
    <row r="6" spans="1:3" x14ac:dyDescent="0.2">
      <c r="A6" s="205" t="s">
        <v>1407</v>
      </c>
      <c r="B6" s="269" t="s">
        <v>3</v>
      </c>
    </row>
    <row r="7" spans="1:3" x14ac:dyDescent="0.2">
      <c r="A7" s="205" t="s">
        <v>1408</v>
      </c>
      <c r="B7" s="269" t="s">
        <v>3</v>
      </c>
    </row>
    <row r="8" spans="1:3" ht="18" x14ac:dyDescent="0.2">
      <c r="A8" s="205" t="s">
        <v>3310</v>
      </c>
      <c r="B8" s="268" t="s">
        <v>3310</v>
      </c>
    </row>
    <row r="9" spans="1:3" ht="18" x14ac:dyDescent="0.2">
      <c r="A9" s="205" t="s">
        <v>3311</v>
      </c>
      <c r="B9" s="268"/>
      <c r="C9" s="205" t="s">
        <v>3311</v>
      </c>
    </row>
    <row r="10" spans="1:3" x14ac:dyDescent="0.2">
      <c r="A10" s="205" t="s">
        <v>2522</v>
      </c>
      <c r="B10" s="269" t="s">
        <v>3</v>
      </c>
    </row>
    <row r="11" spans="1:3" x14ac:dyDescent="0.2">
      <c r="A11" s="205" t="s">
        <v>1278</v>
      </c>
      <c r="B11" s="269" t="s">
        <v>3</v>
      </c>
    </row>
    <row r="12" spans="1:3" x14ac:dyDescent="0.2">
      <c r="A12" s="205" t="s">
        <v>653</v>
      </c>
      <c r="B12" s="269" t="s">
        <v>3</v>
      </c>
    </row>
    <row r="13" spans="1:3" x14ac:dyDescent="0.2">
      <c r="A13" s="205" t="s">
        <v>654</v>
      </c>
      <c r="B13" s="269" t="s">
        <v>3</v>
      </c>
    </row>
    <row r="14" spans="1:3" x14ac:dyDescent="0.2">
      <c r="A14" s="205" t="s">
        <v>655</v>
      </c>
      <c r="B14" s="269" t="s">
        <v>3</v>
      </c>
    </row>
    <row r="15" spans="1:3" x14ac:dyDescent="0.2">
      <c r="A15" s="205" t="s">
        <v>2969</v>
      </c>
      <c r="B15" s="269" t="s">
        <v>3</v>
      </c>
    </row>
    <row r="16" spans="1:3" x14ac:dyDescent="0.2">
      <c r="A16" s="205" t="s">
        <v>2970</v>
      </c>
      <c r="B16" s="269" t="s">
        <v>3</v>
      </c>
    </row>
    <row r="17" spans="1:3" x14ac:dyDescent="0.2">
      <c r="A17" s="205" t="s">
        <v>2968</v>
      </c>
      <c r="B17" s="269" t="s">
        <v>3</v>
      </c>
    </row>
    <row r="18" spans="1:3" x14ac:dyDescent="0.2">
      <c r="A18" s="205" t="s">
        <v>178</v>
      </c>
      <c r="B18" s="268" t="s">
        <v>178</v>
      </c>
    </row>
    <row r="19" spans="1:3" x14ac:dyDescent="0.2">
      <c r="A19" s="206" t="s">
        <v>3312</v>
      </c>
      <c r="B19" s="270"/>
      <c r="C19" s="206" t="s">
        <v>3312</v>
      </c>
    </row>
    <row r="20" spans="1:3" x14ac:dyDescent="0.2">
      <c r="A20" s="205" t="s">
        <v>179</v>
      </c>
      <c r="B20" s="268" t="s">
        <v>179</v>
      </c>
    </row>
    <row r="21" spans="1:3" x14ac:dyDescent="0.2">
      <c r="A21" s="205" t="s">
        <v>198</v>
      </c>
      <c r="B21" s="269" t="s">
        <v>3</v>
      </c>
    </row>
    <row r="22" spans="1:3" x14ac:dyDescent="0.2">
      <c r="A22" s="205" t="s">
        <v>3509</v>
      </c>
      <c r="B22" s="269" t="s">
        <v>3</v>
      </c>
    </row>
    <row r="23" spans="1:3" x14ac:dyDescent="0.2">
      <c r="A23" s="205" t="s">
        <v>189</v>
      </c>
      <c r="B23" s="271" t="s">
        <v>189</v>
      </c>
    </row>
    <row r="24" spans="1:3" x14ac:dyDescent="0.2">
      <c r="A24" s="205" t="s">
        <v>190</v>
      </c>
      <c r="B24" s="271" t="s">
        <v>190</v>
      </c>
    </row>
    <row r="25" spans="1:3" x14ac:dyDescent="0.2">
      <c r="A25" s="205" t="s">
        <v>2247</v>
      </c>
      <c r="B25" s="268" t="s">
        <v>2247</v>
      </c>
    </row>
    <row r="26" spans="1:3" x14ac:dyDescent="0.2">
      <c r="A26" s="205" t="s">
        <v>2208</v>
      </c>
      <c r="B26" s="268" t="s">
        <v>2208</v>
      </c>
    </row>
    <row r="27" spans="1:3" x14ac:dyDescent="0.2">
      <c r="A27" s="205" t="s">
        <v>2216</v>
      </c>
      <c r="B27" s="268" t="s">
        <v>2216</v>
      </c>
    </row>
    <row r="28" spans="1:3" x14ac:dyDescent="0.2">
      <c r="A28" s="205" t="s">
        <v>2423</v>
      </c>
      <c r="B28" s="163" t="s">
        <v>3</v>
      </c>
    </row>
    <row r="29" spans="1:3" x14ac:dyDescent="0.2">
      <c r="A29" s="205" t="s">
        <v>2336</v>
      </c>
      <c r="B29" s="163" t="s">
        <v>3</v>
      </c>
    </row>
    <row r="30" spans="1:3" x14ac:dyDescent="0.2">
      <c r="A30" s="205" t="s">
        <v>3629</v>
      </c>
      <c r="B30" s="268" t="s">
        <v>3702</v>
      </c>
    </row>
    <row r="31" spans="1:3" x14ac:dyDescent="0.2">
      <c r="A31" s="205" t="s">
        <v>3630</v>
      </c>
      <c r="B31" s="268" t="s">
        <v>3703</v>
      </c>
    </row>
    <row r="32" spans="1:3" x14ac:dyDescent="0.2">
      <c r="A32" s="205" t="s">
        <v>817</v>
      </c>
      <c r="B32" s="271" t="s">
        <v>817</v>
      </c>
    </row>
    <row r="33" spans="1:2" x14ac:dyDescent="0.2">
      <c r="A33" s="205" t="s">
        <v>210</v>
      </c>
      <c r="B33" s="205" t="s">
        <v>210</v>
      </c>
    </row>
    <row r="34" spans="1:2" x14ac:dyDescent="0.2">
      <c r="A34" s="205" t="s">
        <v>211</v>
      </c>
      <c r="B34" s="205" t="s">
        <v>211</v>
      </c>
    </row>
    <row r="35" spans="1:2" x14ac:dyDescent="0.2">
      <c r="A35" s="205" t="s">
        <v>2751</v>
      </c>
      <c r="B35" s="205" t="s">
        <v>2751</v>
      </c>
    </row>
    <row r="36" spans="1:2" x14ac:dyDescent="0.2">
      <c r="A36" s="205" t="s">
        <v>2752</v>
      </c>
      <c r="B36" s="205" t="s">
        <v>2752</v>
      </c>
    </row>
    <row r="37" spans="1:2" x14ac:dyDescent="0.2">
      <c r="A37" s="205" t="s">
        <v>161</v>
      </c>
      <c r="B37" s="268" t="s">
        <v>161</v>
      </c>
    </row>
    <row r="38" spans="1:2" x14ac:dyDescent="0.2">
      <c r="A38" s="205" t="s">
        <v>3552</v>
      </c>
      <c r="B38" s="268" t="s">
        <v>3552</v>
      </c>
    </row>
    <row r="39" spans="1:2" x14ac:dyDescent="0.2">
      <c r="A39" s="205" t="s">
        <v>3550</v>
      </c>
      <c r="B39" s="268" t="s">
        <v>3550</v>
      </c>
    </row>
    <row r="40" spans="1:2" x14ac:dyDescent="0.2">
      <c r="A40" s="205" t="s">
        <v>3549</v>
      </c>
      <c r="B40" s="268" t="s">
        <v>3549</v>
      </c>
    </row>
    <row r="41" spans="1:2" x14ac:dyDescent="0.2">
      <c r="A41" s="205" t="s">
        <v>3639</v>
      </c>
      <c r="B41" s="268" t="s">
        <v>3639</v>
      </c>
    </row>
    <row r="42" spans="1:2" x14ac:dyDescent="0.2">
      <c r="A42" s="205" t="s">
        <v>738</v>
      </c>
      <c r="B42" s="163" t="s">
        <v>3</v>
      </c>
    </row>
    <row r="43" spans="1:2" x14ac:dyDescent="0.2">
      <c r="A43" s="205" t="s">
        <v>739</v>
      </c>
      <c r="B43" s="163" t="s">
        <v>3</v>
      </c>
    </row>
    <row r="44" spans="1:2" x14ac:dyDescent="0.2">
      <c r="A44" s="205" t="s">
        <v>90</v>
      </c>
      <c r="B44" s="205" t="s">
        <v>90</v>
      </c>
    </row>
    <row r="45" spans="1:2" x14ac:dyDescent="0.2">
      <c r="A45" s="205" t="s">
        <v>3150</v>
      </c>
      <c r="B45" s="163" t="s">
        <v>3</v>
      </c>
    </row>
    <row r="46" spans="1:2" x14ac:dyDescent="0.2">
      <c r="A46" s="205" t="s">
        <v>3152</v>
      </c>
      <c r="B46" s="163" t="s">
        <v>3</v>
      </c>
    </row>
    <row r="47" spans="1:2" x14ac:dyDescent="0.2">
      <c r="A47" s="205" t="s">
        <v>3151</v>
      </c>
      <c r="B47" s="163" t="s">
        <v>3</v>
      </c>
    </row>
    <row r="48" spans="1:2" x14ac:dyDescent="0.2">
      <c r="A48" s="205" t="s">
        <v>1244</v>
      </c>
      <c r="B48" s="163" t="s">
        <v>3</v>
      </c>
    </row>
    <row r="49" spans="1:2" x14ac:dyDescent="0.2">
      <c r="A49" s="205" t="s">
        <v>872</v>
      </c>
      <c r="B49" s="268" t="s">
        <v>3702</v>
      </c>
    </row>
    <row r="50" spans="1:2" x14ac:dyDescent="0.2">
      <c r="A50" s="205" t="s">
        <v>874</v>
      </c>
      <c r="B50" s="268" t="s">
        <v>3703</v>
      </c>
    </row>
    <row r="51" spans="1:2" x14ac:dyDescent="0.2">
      <c r="A51" s="205" t="s">
        <v>873</v>
      </c>
      <c r="B51" s="268" t="s">
        <v>3703</v>
      </c>
    </row>
    <row r="52" spans="1:2" x14ac:dyDescent="0.2">
      <c r="A52" s="205" t="s">
        <v>1000</v>
      </c>
      <c r="B52" s="205" t="s">
        <v>1000</v>
      </c>
    </row>
    <row r="53" spans="1:2" x14ac:dyDescent="0.2">
      <c r="A53" s="205" t="s">
        <v>1932</v>
      </c>
      <c r="B53" s="163" t="s">
        <v>3</v>
      </c>
    </row>
    <row r="54" spans="1:2" x14ac:dyDescent="0.2">
      <c r="A54" s="205" t="s">
        <v>3456</v>
      </c>
      <c r="B54" s="205" t="s">
        <v>4782</v>
      </c>
    </row>
    <row r="55" spans="1:2" x14ac:dyDescent="0.2">
      <c r="A55" s="205" t="s">
        <v>1931</v>
      </c>
      <c r="B55" s="268" t="s">
        <v>1931</v>
      </c>
    </row>
    <row r="56" spans="1:2" x14ac:dyDescent="0.2">
      <c r="A56" s="205" t="s">
        <v>1930</v>
      </c>
      <c r="B56" s="268" t="s">
        <v>1930</v>
      </c>
    </row>
    <row r="57" spans="1:2" x14ac:dyDescent="0.2">
      <c r="A57" s="205" t="s">
        <v>2375</v>
      </c>
      <c r="B57" s="205" t="s">
        <v>2375</v>
      </c>
    </row>
    <row r="58" spans="1:2" x14ac:dyDescent="0.2">
      <c r="A58" s="205" t="s">
        <v>2376</v>
      </c>
      <c r="B58" s="205" t="s">
        <v>2376</v>
      </c>
    </row>
    <row r="59" spans="1:2" x14ac:dyDescent="0.2">
      <c r="A59" s="205" t="s">
        <v>1485</v>
      </c>
      <c r="B59" s="163" t="s">
        <v>3</v>
      </c>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Z312"/>
  <sheetViews>
    <sheetView zoomScaleNormal="100" workbookViewId="0">
      <pane xSplit="1" topLeftCell="B1" activePane="topRight" state="frozen"/>
      <selection pane="topRight" activeCell="DY1" sqref="DY1:DY1048576"/>
    </sheetView>
  </sheetViews>
  <sheetFormatPr baseColWidth="10" defaultRowHeight="12.75" x14ac:dyDescent="0.2"/>
  <cols>
    <col min="1" max="1" width="42.28515625" style="14" customWidth="1"/>
    <col min="2" max="13" width="21.7109375" style="14" customWidth="1"/>
    <col min="14" max="14" width="21.7109375" style="2" customWidth="1"/>
    <col min="15" max="17" width="21.7109375" style="14" customWidth="1"/>
    <col min="18" max="18" width="21.7109375" style="2" customWidth="1"/>
    <col min="19" max="19" width="21.7109375" style="114" customWidth="1"/>
    <col min="20" max="20" width="21.7109375" style="115" customWidth="1"/>
    <col min="21" max="40" width="21.7109375" style="14" customWidth="1"/>
    <col min="41" max="41" width="25.7109375" customWidth="1"/>
    <col min="42" max="57" width="21.7109375" style="14" customWidth="1"/>
    <col min="58" max="60" width="21.7109375" style="55" customWidth="1"/>
    <col min="61" max="77" width="21.7109375" style="14" customWidth="1"/>
    <col min="78" max="78" width="21.85546875" style="14" customWidth="1"/>
    <col min="79" max="81" width="21.7109375" style="14" customWidth="1"/>
    <col min="82" max="82" width="22" style="14" customWidth="1"/>
    <col min="83" max="92" width="21.7109375" style="14" customWidth="1"/>
    <col min="93" max="93" width="21.7109375" style="2" customWidth="1"/>
    <col min="94" max="100" width="21.7109375" style="14" customWidth="1"/>
    <col min="101" max="101" width="21.7109375" style="55" customWidth="1"/>
    <col min="102" max="121" width="21.7109375" style="14" customWidth="1"/>
    <col min="122" max="122" width="21.7109375" style="2" customWidth="1"/>
    <col min="123" max="124" width="21.7109375" style="14" customWidth="1"/>
    <col min="125" max="125" width="21.7109375" style="55" customWidth="1"/>
    <col min="126" max="126" width="21.7109375" style="2" customWidth="1"/>
    <col min="127" max="130" width="21.7109375" style="14" customWidth="1"/>
    <col min="131" max="16384" width="11.42578125" style="14"/>
  </cols>
  <sheetData>
    <row r="1" spans="1:130" ht="27" x14ac:dyDescent="0.15">
      <c r="A1" s="99"/>
      <c r="B1" s="45" t="s">
        <v>2754</v>
      </c>
      <c r="C1" s="45" t="s">
        <v>5086</v>
      </c>
      <c r="D1" s="45" t="s">
        <v>5085</v>
      </c>
      <c r="E1" s="45" t="s">
        <v>5087</v>
      </c>
      <c r="F1" s="45" t="s">
        <v>1584</v>
      </c>
      <c r="G1" s="45" t="s">
        <v>3256</v>
      </c>
      <c r="H1" s="45" t="s">
        <v>3325</v>
      </c>
      <c r="I1" s="45" t="s">
        <v>3326</v>
      </c>
      <c r="J1" s="45" t="s">
        <v>1625</v>
      </c>
      <c r="K1" s="45" t="s">
        <v>1624</v>
      </c>
      <c r="L1" s="45" t="s">
        <v>1407</v>
      </c>
      <c r="M1" s="45" t="s">
        <v>1408</v>
      </c>
      <c r="N1" s="45" t="s">
        <v>3233</v>
      </c>
      <c r="O1" s="45" t="s">
        <v>2</v>
      </c>
      <c r="P1" s="45" t="s">
        <v>165</v>
      </c>
      <c r="Q1" s="45" t="s">
        <v>166</v>
      </c>
      <c r="R1" s="45" t="s">
        <v>3234</v>
      </c>
      <c r="S1" s="53" t="s">
        <v>3310</v>
      </c>
      <c r="T1" s="53" t="s">
        <v>3311</v>
      </c>
      <c r="U1" s="45" t="s">
        <v>2522</v>
      </c>
      <c r="V1" s="45" t="s">
        <v>1276</v>
      </c>
      <c r="W1" s="45" t="s">
        <v>1646</v>
      </c>
      <c r="X1" s="45" t="s">
        <v>1278</v>
      </c>
      <c r="Y1" s="45" t="s">
        <v>2335</v>
      </c>
      <c r="Z1" s="45" t="s">
        <v>2599</v>
      </c>
      <c r="AA1" s="53" t="s">
        <v>2207</v>
      </c>
      <c r="AB1" s="45" t="s">
        <v>2387</v>
      </c>
      <c r="AC1" s="45" t="s">
        <v>2388</v>
      </c>
      <c r="AD1" s="45" t="s">
        <v>2389</v>
      </c>
      <c r="AE1" s="45" t="s">
        <v>653</v>
      </c>
      <c r="AF1" s="45" t="s">
        <v>654</v>
      </c>
      <c r="AG1" s="45" t="s">
        <v>655</v>
      </c>
      <c r="AH1" s="45" t="s">
        <v>2957</v>
      </c>
      <c r="AI1" s="45" t="s">
        <v>2956</v>
      </c>
      <c r="AJ1" s="45" t="s">
        <v>2955</v>
      </c>
      <c r="AK1" s="45" t="s">
        <v>2969</v>
      </c>
      <c r="AL1" s="45" t="s">
        <v>2970</v>
      </c>
      <c r="AM1" s="45" t="s">
        <v>2968</v>
      </c>
      <c r="AN1" s="45" t="s">
        <v>178</v>
      </c>
      <c r="AO1" s="129" t="s">
        <v>3312</v>
      </c>
      <c r="AP1" s="45" t="s">
        <v>179</v>
      </c>
      <c r="AQ1" s="45" t="s">
        <v>198</v>
      </c>
      <c r="AR1" s="45" t="s">
        <v>3509</v>
      </c>
      <c r="AS1" s="45" t="s">
        <v>198</v>
      </c>
      <c r="AT1" s="45" t="s">
        <v>3509</v>
      </c>
      <c r="AU1" s="45" t="s">
        <v>451</v>
      </c>
      <c r="AV1" s="45" t="s">
        <v>2566</v>
      </c>
      <c r="AW1" s="45" t="s">
        <v>2567</v>
      </c>
      <c r="AX1" s="45" t="s">
        <v>189</v>
      </c>
      <c r="AY1" s="45" t="s">
        <v>190</v>
      </c>
      <c r="AZ1" s="45" t="s">
        <v>2247</v>
      </c>
      <c r="BA1" s="45" t="s">
        <v>2208</v>
      </c>
      <c r="BB1" s="45" t="s">
        <v>2216</v>
      </c>
      <c r="BC1" s="45" t="s">
        <v>2959</v>
      </c>
      <c r="BD1" s="45" t="s">
        <v>2960</v>
      </c>
      <c r="BE1" s="45" t="s">
        <v>2961</v>
      </c>
      <c r="BF1" s="45" t="s">
        <v>1076</v>
      </c>
      <c r="BG1" s="45" t="s">
        <v>1075</v>
      </c>
      <c r="BH1" s="45" t="s">
        <v>1074</v>
      </c>
      <c r="BI1" s="45" t="s">
        <v>1859</v>
      </c>
      <c r="BJ1" s="45" t="s">
        <v>2486</v>
      </c>
      <c r="BK1" s="45" t="s">
        <v>2423</v>
      </c>
      <c r="BL1" s="45" t="s">
        <v>2336</v>
      </c>
      <c r="BM1" s="45" t="s">
        <v>452</v>
      </c>
      <c r="BN1" s="45" t="s">
        <v>453</v>
      </c>
      <c r="BO1" s="45" t="s">
        <v>454</v>
      </c>
      <c r="BP1" s="45" t="s">
        <v>3629</v>
      </c>
      <c r="BQ1" s="45" t="s">
        <v>3630</v>
      </c>
      <c r="BR1" s="45" t="s">
        <v>817</v>
      </c>
      <c r="BS1" s="45" t="s">
        <v>210</v>
      </c>
      <c r="BT1" s="45" t="s">
        <v>211</v>
      </c>
      <c r="BU1" s="39" t="s">
        <v>359</v>
      </c>
      <c r="BV1" s="39" t="s">
        <v>360</v>
      </c>
      <c r="BW1" s="45" t="s">
        <v>2115</v>
      </c>
      <c r="BX1" s="100" t="s">
        <v>2116</v>
      </c>
      <c r="BY1" s="45" t="s">
        <v>1648</v>
      </c>
      <c r="BZ1" s="45" t="s">
        <v>2697</v>
      </c>
      <c r="CA1" s="45" t="s">
        <v>2751</v>
      </c>
      <c r="CB1" s="45" t="s">
        <v>2752</v>
      </c>
      <c r="CC1" s="95" t="s">
        <v>164</v>
      </c>
      <c r="CD1" s="45" t="s">
        <v>1714</v>
      </c>
      <c r="CE1" s="45" t="s">
        <v>2001</v>
      </c>
      <c r="CF1" s="45" t="s">
        <v>162</v>
      </c>
      <c r="CG1" s="45" t="s">
        <v>163</v>
      </c>
      <c r="CH1" s="45" t="s">
        <v>161</v>
      </c>
      <c r="CI1" s="45" t="s">
        <v>3552</v>
      </c>
      <c r="CJ1" s="45" t="s">
        <v>3550</v>
      </c>
      <c r="CK1" s="45" t="s">
        <v>3549</v>
      </c>
      <c r="CL1" s="45" t="s">
        <v>3639</v>
      </c>
      <c r="CM1" s="45" t="s">
        <v>738</v>
      </c>
      <c r="CN1" s="45" t="s">
        <v>739</v>
      </c>
      <c r="CO1" s="45" t="s">
        <v>996</v>
      </c>
      <c r="CP1" s="45" t="s">
        <v>3150</v>
      </c>
      <c r="CQ1" s="45" t="s">
        <v>3152</v>
      </c>
      <c r="CR1" s="45" t="s">
        <v>3151</v>
      </c>
      <c r="CS1" s="45" t="s">
        <v>2520</v>
      </c>
      <c r="CT1" s="45" t="s">
        <v>828</v>
      </c>
      <c r="CU1" s="45" t="s">
        <v>829</v>
      </c>
      <c r="CV1" s="45" t="s">
        <v>827</v>
      </c>
      <c r="CW1" s="45" t="s">
        <v>341</v>
      </c>
      <c r="CX1" s="45" t="s">
        <v>1244</v>
      </c>
      <c r="CY1" s="45" t="s">
        <v>870</v>
      </c>
      <c r="CZ1" s="45" t="s">
        <v>871</v>
      </c>
      <c r="DA1" s="45" t="s">
        <v>2117</v>
      </c>
      <c r="DB1" s="45" t="s">
        <v>872</v>
      </c>
      <c r="DC1" s="45" t="s">
        <v>874</v>
      </c>
      <c r="DD1" s="45" t="s">
        <v>873</v>
      </c>
      <c r="DE1" s="45" t="s">
        <v>337</v>
      </c>
      <c r="DF1" s="45" t="s">
        <v>338</v>
      </c>
      <c r="DG1" s="145" t="s">
        <v>3341</v>
      </c>
      <c r="DH1" s="45" t="s">
        <v>998</v>
      </c>
      <c r="DI1" s="45" t="s">
        <v>2964</v>
      </c>
      <c r="DJ1" s="45" t="s">
        <v>1000</v>
      </c>
      <c r="DK1" s="45" t="s">
        <v>1932</v>
      </c>
      <c r="DL1" s="45" t="s">
        <v>3456</v>
      </c>
      <c r="DM1" s="45" t="s">
        <v>339</v>
      </c>
      <c r="DN1" s="45" t="s">
        <v>340</v>
      </c>
      <c r="DO1" s="45" t="s">
        <v>1931</v>
      </c>
      <c r="DP1" s="45" t="s">
        <v>1930</v>
      </c>
      <c r="DQ1" s="45" t="s">
        <v>2952</v>
      </c>
      <c r="DR1" s="45" t="s">
        <v>1406</v>
      </c>
      <c r="DS1" s="45" t="s">
        <v>2696</v>
      </c>
      <c r="DT1" s="45" t="s">
        <v>2375</v>
      </c>
      <c r="DU1" s="45" t="s">
        <v>2376</v>
      </c>
      <c r="DV1" s="45" t="s">
        <v>1583</v>
      </c>
      <c r="DW1" s="45" t="s">
        <v>652</v>
      </c>
      <c r="DX1" s="45" t="s">
        <v>2966</v>
      </c>
      <c r="DY1" s="45" t="s">
        <v>1485</v>
      </c>
      <c r="DZ1" s="45"/>
    </row>
    <row r="2" spans="1:130" s="18" customFormat="1" ht="22.5" customHeight="1" x14ac:dyDescent="0.15">
      <c r="A2" s="25" t="s">
        <v>5</v>
      </c>
      <c r="B2" s="47" t="s">
        <v>95</v>
      </c>
      <c r="C2" s="47" t="s">
        <v>95</v>
      </c>
      <c r="D2" s="47" t="s">
        <v>95</v>
      </c>
      <c r="E2" s="47" t="s">
        <v>95</v>
      </c>
      <c r="F2" s="47" t="s">
        <v>95</v>
      </c>
      <c r="G2" s="47" t="s">
        <v>95</v>
      </c>
      <c r="H2" s="47" t="s">
        <v>97</v>
      </c>
      <c r="I2" s="47" t="s">
        <v>97</v>
      </c>
      <c r="J2" s="47" t="s">
        <v>97</v>
      </c>
      <c r="K2" s="47" t="s">
        <v>97</v>
      </c>
      <c r="L2" s="47" t="s">
        <v>97</v>
      </c>
      <c r="M2" s="47" t="s">
        <v>97</v>
      </c>
      <c r="N2" s="46" t="s">
        <v>95</v>
      </c>
      <c r="O2" s="47" t="s">
        <v>95</v>
      </c>
      <c r="P2" s="47" t="s">
        <v>167</v>
      </c>
      <c r="Q2" s="47" t="s">
        <v>167</v>
      </c>
      <c r="R2" s="46" t="s">
        <v>95</v>
      </c>
      <c r="S2" s="117" t="s">
        <v>95</v>
      </c>
      <c r="T2" s="117" t="s">
        <v>95</v>
      </c>
      <c r="U2" s="47" t="s">
        <v>1581</v>
      </c>
      <c r="V2" s="47" t="s">
        <v>95</v>
      </c>
      <c r="W2" s="62" t="s">
        <v>95</v>
      </c>
      <c r="X2" s="47" t="s">
        <v>95</v>
      </c>
      <c r="Y2" s="47" t="s">
        <v>95</v>
      </c>
      <c r="Z2" s="47" t="s">
        <v>95</v>
      </c>
      <c r="AA2" s="47" t="s">
        <v>95</v>
      </c>
      <c r="AB2" s="47" t="s">
        <v>95</v>
      </c>
      <c r="AC2" s="47" t="s">
        <v>95</v>
      </c>
      <c r="AD2" s="47" t="s">
        <v>95</v>
      </c>
      <c r="AE2" s="47" t="s">
        <v>95</v>
      </c>
      <c r="AF2" s="47" t="s">
        <v>95</v>
      </c>
      <c r="AG2" s="47" t="s">
        <v>95</v>
      </c>
      <c r="AH2" s="47" t="s">
        <v>2818</v>
      </c>
      <c r="AI2" s="47" t="s">
        <v>2817</v>
      </c>
      <c r="AJ2" s="47" t="s">
        <v>2816</v>
      </c>
      <c r="AK2" s="47" t="s">
        <v>1581</v>
      </c>
      <c r="AL2" s="47" t="s">
        <v>1581</v>
      </c>
      <c r="AM2" s="47" t="s">
        <v>1581</v>
      </c>
      <c r="AN2" s="47" t="s">
        <v>95</v>
      </c>
      <c r="AO2" s="130" t="s">
        <v>3313</v>
      </c>
      <c r="AP2" s="47" t="s">
        <v>95</v>
      </c>
      <c r="AQ2" s="47" t="s">
        <v>95</v>
      </c>
      <c r="AR2" s="47" t="s">
        <v>95</v>
      </c>
      <c r="AS2" s="47" t="s">
        <v>95</v>
      </c>
      <c r="AT2" s="47" t="s">
        <v>95</v>
      </c>
      <c r="AU2" s="20" t="s">
        <v>191</v>
      </c>
      <c r="AV2" s="47" t="s">
        <v>358</v>
      </c>
      <c r="AW2" s="47" t="s">
        <v>358</v>
      </c>
      <c r="AX2" s="47" t="s">
        <v>358</v>
      </c>
      <c r="AY2" s="47" t="s">
        <v>358</v>
      </c>
      <c r="AZ2" s="47" t="s">
        <v>1581</v>
      </c>
      <c r="BA2" s="47" t="s">
        <v>1581</v>
      </c>
      <c r="BB2" s="47" t="s">
        <v>1581</v>
      </c>
      <c r="BC2" s="47" t="s">
        <v>1581</v>
      </c>
      <c r="BD2" s="47" t="s">
        <v>1581</v>
      </c>
      <c r="BE2" s="47" t="s">
        <v>1581</v>
      </c>
      <c r="BF2" s="47" t="s">
        <v>95</v>
      </c>
      <c r="BG2" s="47" t="s">
        <v>95</v>
      </c>
      <c r="BH2" s="47" t="s">
        <v>95</v>
      </c>
      <c r="BI2" s="47" t="s">
        <v>358</v>
      </c>
      <c r="BJ2" s="47" t="s">
        <v>95</v>
      </c>
      <c r="BK2" s="47" t="s">
        <v>95</v>
      </c>
      <c r="BL2" s="47" t="s">
        <v>95</v>
      </c>
      <c r="BM2" s="46" t="s">
        <v>95</v>
      </c>
      <c r="BN2" s="46" t="s">
        <v>95</v>
      </c>
      <c r="BO2" s="46" t="s">
        <v>95</v>
      </c>
      <c r="BP2" s="47" t="s">
        <v>95</v>
      </c>
      <c r="BQ2" s="47" t="s">
        <v>95</v>
      </c>
      <c r="BR2" s="47" t="s">
        <v>95</v>
      </c>
      <c r="BS2" s="47" t="s">
        <v>95</v>
      </c>
      <c r="BT2" s="47" t="s">
        <v>95</v>
      </c>
      <c r="BU2" s="46" t="s">
        <v>95</v>
      </c>
      <c r="BV2" s="46" t="s">
        <v>95</v>
      </c>
      <c r="BW2" s="47" t="s">
        <v>95</v>
      </c>
      <c r="BX2" s="47" t="s">
        <v>95</v>
      </c>
      <c r="BY2" s="47" t="s">
        <v>95</v>
      </c>
      <c r="BZ2" s="47" t="s">
        <v>95</v>
      </c>
      <c r="CA2" s="47" t="s">
        <v>95</v>
      </c>
      <c r="CB2" s="47" t="s">
        <v>95</v>
      </c>
      <c r="CC2" s="47" t="s">
        <v>95</v>
      </c>
      <c r="CD2" s="47" t="s">
        <v>95</v>
      </c>
      <c r="CE2" s="47" t="s">
        <v>95</v>
      </c>
      <c r="CF2" s="47" t="s">
        <v>137</v>
      </c>
      <c r="CG2" s="47" t="s">
        <v>137</v>
      </c>
      <c r="CH2" s="47" t="s">
        <v>97</v>
      </c>
      <c r="CI2" s="47" t="s">
        <v>95</v>
      </c>
      <c r="CJ2" s="47" t="s">
        <v>137</v>
      </c>
      <c r="CK2" s="47" t="s">
        <v>95</v>
      </c>
      <c r="CL2" s="47" t="s">
        <v>95</v>
      </c>
      <c r="CM2" s="47" t="s">
        <v>95</v>
      </c>
      <c r="CN2" s="47" t="s">
        <v>95</v>
      </c>
      <c r="CO2" s="46" t="s">
        <v>95</v>
      </c>
      <c r="CP2" s="47" t="s">
        <v>3148</v>
      </c>
      <c r="CQ2" s="47" t="s">
        <v>3148</v>
      </c>
      <c r="CR2" s="47" t="s">
        <v>3148</v>
      </c>
      <c r="CS2" s="47" t="s">
        <v>95</v>
      </c>
      <c r="CT2" s="47" t="s">
        <v>95</v>
      </c>
      <c r="CU2" s="47" t="s">
        <v>95</v>
      </c>
      <c r="CV2" s="46" t="s">
        <v>95</v>
      </c>
      <c r="CW2" s="47" t="s">
        <v>95</v>
      </c>
      <c r="CX2" s="47" t="s">
        <v>95</v>
      </c>
      <c r="CY2" s="46" t="s">
        <v>95</v>
      </c>
      <c r="CZ2" s="46" t="s">
        <v>95</v>
      </c>
      <c r="DA2" s="47" t="s">
        <v>95</v>
      </c>
      <c r="DB2" s="47" t="s">
        <v>95</v>
      </c>
      <c r="DC2" s="47" t="s">
        <v>95</v>
      </c>
      <c r="DD2" s="47" t="s">
        <v>95</v>
      </c>
      <c r="DE2" s="47" t="s">
        <v>283</v>
      </c>
      <c r="DF2" s="47" t="s">
        <v>283</v>
      </c>
      <c r="DG2" s="147" t="s">
        <v>95</v>
      </c>
      <c r="DH2" s="47" t="s">
        <v>358</v>
      </c>
      <c r="DI2" s="47" t="s">
        <v>358</v>
      </c>
      <c r="DJ2" s="47" t="s">
        <v>358</v>
      </c>
      <c r="DK2" s="47" t="s">
        <v>1581</v>
      </c>
      <c r="DL2" s="47" t="s">
        <v>95</v>
      </c>
      <c r="DM2" s="46" t="s">
        <v>95</v>
      </c>
      <c r="DN2" s="46" t="s">
        <v>95</v>
      </c>
      <c r="DO2" s="47" t="s">
        <v>95</v>
      </c>
      <c r="DP2" s="47" t="s">
        <v>95</v>
      </c>
      <c r="DQ2" s="47" t="s">
        <v>95</v>
      </c>
      <c r="DR2" s="46" t="s">
        <v>95</v>
      </c>
      <c r="DS2" s="47" t="s">
        <v>95</v>
      </c>
      <c r="DT2" s="47" t="s">
        <v>95</v>
      </c>
      <c r="DU2" s="47" t="s">
        <v>95</v>
      </c>
      <c r="DV2" s="47" t="s">
        <v>1581</v>
      </c>
      <c r="DW2" s="47" t="s">
        <v>95</v>
      </c>
      <c r="DX2" s="47" t="s">
        <v>95</v>
      </c>
      <c r="DY2" s="47" t="s">
        <v>95</v>
      </c>
      <c r="DZ2" s="47"/>
    </row>
    <row r="3" spans="1:130" s="18" customFormat="1" ht="12" customHeight="1" x14ac:dyDescent="0.15">
      <c r="A3" s="76" t="s">
        <v>402</v>
      </c>
      <c r="B3" s="69"/>
      <c r="C3" s="69" t="s">
        <v>2800</v>
      </c>
      <c r="D3" s="69" t="s">
        <v>2800</v>
      </c>
      <c r="E3" s="69" t="s">
        <v>1608</v>
      </c>
      <c r="F3" s="69"/>
      <c r="G3" s="69" t="s">
        <v>1608</v>
      </c>
      <c r="H3" s="69" t="s">
        <v>1463</v>
      </c>
      <c r="I3" s="69" t="s">
        <v>1463</v>
      </c>
      <c r="J3" s="69" t="s">
        <v>1463</v>
      </c>
      <c r="K3" s="69" t="s">
        <v>1463</v>
      </c>
      <c r="L3" s="69" t="s">
        <v>1463</v>
      </c>
      <c r="M3" s="69" t="s">
        <v>1463</v>
      </c>
      <c r="N3" s="69" t="s">
        <v>1327</v>
      </c>
      <c r="O3" s="69"/>
      <c r="P3" s="69" t="s">
        <v>997</v>
      </c>
      <c r="Q3" s="69"/>
      <c r="R3" s="69" t="s">
        <v>3235</v>
      </c>
      <c r="S3" s="128"/>
      <c r="T3" s="128"/>
      <c r="U3" s="69" t="s">
        <v>2556</v>
      </c>
      <c r="V3" s="69"/>
      <c r="W3" s="106" t="s">
        <v>1345</v>
      </c>
      <c r="X3" s="69" t="s">
        <v>1345</v>
      </c>
      <c r="Y3" s="69" t="s">
        <v>2303</v>
      </c>
      <c r="Z3" s="69" t="s">
        <v>2652</v>
      </c>
      <c r="AA3" s="69" t="s">
        <v>2197</v>
      </c>
      <c r="AB3" s="69" t="s">
        <v>737</v>
      </c>
      <c r="AC3" s="69" t="s">
        <v>737</v>
      </c>
      <c r="AD3" s="69" t="s">
        <v>737</v>
      </c>
      <c r="AE3" s="69" t="s">
        <v>737</v>
      </c>
      <c r="AF3" s="69" t="s">
        <v>737</v>
      </c>
      <c r="AG3" s="69" t="s">
        <v>737</v>
      </c>
      <c r="AH3" s="69" t="s">
        <v>2819</v>
      </c>
      <c r="AI3" s="69" t="s">
        <v>2819</v>
      </c>
      <c r="AJ3" s="69" t="s">
        <v>2819</v>
      </c>
      <c r="AK3" s="69" t="s">
        <v>2819</v>
      </c>
      <c r="AL3" s="69" t="s">
        <v>2819</v>
      </c>
      <c r="AM3" s="69" t="s">
        <v>2819</v>
      </c>
      <c r="AN3" s="69" t="s">
        <v>511</v>
      </c>
      <c r="AO3" s="131"/>
      <c r="AP3" s="69" t="s">
        <v>511</v>
      </c>
      <c r="AQ3" s="69"/>
      <c r="AR3" s="69"/>
      <c r="AS3" s="69"/>
      <c r="AT3" s="69"/>
      <c r="AU3" s="69"/>
      <c r="AV3" s="69" t="s">
        <v>572</v>
      </c>
      <c r="AW3" s="69" t="s">
        <v>572</v>
      </c>
      <c r="AX3" s="69" t="s">
        <v>572</v>
      </c>
      <c r="AY3" s="69" t="s">
        <v>572</v>
      </c>
      <c r="AZ3" s="69" t="s">
        <v>3134</v>
      </c>
      <c r="BA3" s="69" t="s">
        <v>3134</v>
      </c>
      <c r="BB3" s="69" t="s">
        <v>3134</v>
      </c>
      <c r="BC3" s="69" t="s">
        <v>2273</v>
      </c>
      <c r="BD3" s="69" t="s">
        <v>2273</v>
      </c>
      <c r="BE3" s="69" t="s">
        <v>2273</v>
      </c>
      <c r="BF3" s="69" t="s">
        <v>1158</v>
      </c>
      <c r="BG3" s="69" t="s">
        <v>1158</v>
      </c>
      <c r="BH3" s="69"/>
      <c r="BI3" s="69"/>
      <c r="BJ3" s="69" t="s">
        <v>1911</v>
      </c>
      <c r="BK3" s="69" t="s">
        <v>2447</v>
      </c>
      <c r="BL3" s="69" t="s">
        <v>2180</v>
      </c>
      <c r="BM3" s="69"/>
      <c r="BN3" s="69"/>
      <c r="BO3" s="69"/>
      <c r="BP3" s="69" t="s">
        <v>648</v>
      </c>
      <c r="BQ3" s="69" t="s">
        <v>648</v>
      </c>
      <c r="BR3" s="69"/>
      <c r="BS3" s="69"/>
      <c r="BT3" s="69"/>
      <c r="BU3" s="69"/>
      <c r="BV3" s="69"/>
      <c r="BW3" s="69" t="s">
        <v>2112</v>
      </c>
      <c r="BX3" s="69" t="s">
        <v>2112</v>
      </c>
      <c r="BY3" s="69"/>
      <c r="BZ3" s="69" t="s">
        <v>1704</v>
      </c>
      <c r="CA3" s="69" t="s">
        <v>2718</v>
      </c>
      <c r="CB3" s="69" t="s">
        <v>1704</v>
      </c>
      <c r="CC3" s="69"/>
      <c r="CD3" s="69"/>
      <c r="CE3" s="69" t="s">
        <v>1763</v>
      </c>
      <c r="CF3" s="69" t="s">
        <v>1744</v>
      </c>
      <c r="CG3" s="69" t="s">
        <v>1744</v>
      </c>
      <c r="CH3" s="69" t="s">
        <v>1744</v>
      </c>
      <c r="CI3" s="69" t="s">
        <v>3555</v>
      </c>
      <c r="CJ3" s="69" t="s">
        <v>3555</v>
      </c>
      <c r="CK3" s="69" t="s">
        <v>3555</v>
      </c>
      <c r="CL3" s="69" t="s">
        <v>3555</v>
      </c>
      <c r="CM3" s="69" t="s">
        <v>784</v>
      </c>
      <c r="CN3" s="69" t="s">
        <v>784</v>
      </c>
      <c r="CO3" s="69" t="s">
        <v>995</v>
      </c>
      <c r="CP3" s="69" t="s">
        <v>1496</v>
      </c>
      <c r="CQ3" s="69" t="s">
        <v>1496</v>
      </c>
      <c r="CR3" s="69" t="s">
        <v>1496</v>
      </c>
      <c r="CS3" s="69" t="s">
        <v>2503</v>
      </c>
      <c r="CT3" s="69" t="s">
        <v>866</v>
      </c>
      <c r="CU3" s="69" t="s">
        <v>866</v>
      </c>
      <c r="CV3" s="69"/>
      <c r="CW3" s="69"/>
      <c r="CX3" s="69" t="s">
        <v>1272</v>
      </c>
      <c r="CY3" s="69"/>
      <c r="CZ3" s="69"/>
      <c r="DA3" s="69" t="s">
        <v>2180</v>
      </c>
      <c r="DB3" s="69" t="s">
        <v>937</v>
      </c>
      <c r="DC3" s="69" t="s">
        <v>937</v>
      </c>
      <c r="DD3" s="69" t="s">
        <v>937</v>
      </c>
      <c r="DE3" s="69"/>
      <c r="DF3" s="69"/>
      <c r="DG3" s="152" t="s">
        <v>3342</v>
      </c>
      <c r="DH3" s="69"/>
      <c r="DI3" s="69" t="s">
        <v>1058</v>
      </c>
      <c r="DJ3" s="69" t="s">
        <v>1058</v>
      </c>
      <c r="DK3" s="69" t="s">
        <v>1989</v>
      </c>
      <c r="DL3" s="69"/>
      <c r="DM3" s="69"/>
      <c r="DN3" s="69"/>
      <c r="DO3" s="69"/>
      <c r="DP3" s="69"/>
      <c r="DQ3" s="69" t="s">
        <v>2919</v>
      </c>
      <c r="DR3" s="69" t="s">
        <v>1374</v>
      </c>
      <c r="DS3" s="69" t="s">
        <v>2682</v>
      </c>
      <c r="DT3" s="69" t="s">
        <v>2487</v>
      </c>
      <c r="DU3" s="69" t="s">
        <v>2487</v>
      </c>
      <c r="DV3" s="69" t="s">
        <v>1580</v>
      </c>
      <c r="DW3" s="69" t="s">
        <v>3</v>
      </c>
      <c r="DX3" s="69" t="s">
        <v>3</v>
      </c>
      <c r="DY3" s="69" t="s">
        <v>1525</v>
      </c>
      <c r="DZ3" s="69"/>
    </row>
    <row r="4" spans="1:130" s="18" customFormat="1" ht="22.5" customHeight="1" x14ac:dyDescent="0.15">
      <c r="A4" s="25" t="s">
        <v>80</v>
      </c>
      <c r="B4" s="47" t="s">
        <v>3</v>
      </c>
      <c r="C4" s="47" t="s">
        <v>2758</v>
      </c>
      <c r="D4" s="47" t="s">
        <v>2758</v>
      </c>
      <c r="E4" s="47" t="s">
        <v>168</v>
      </c>
      <c r="F4" s="47" t="s">
        <v>168</v>
      </c>
      <c r="G4" s="47" t="s">
        <v>168</v>
      </c>
      <c r="H4" s="47" t="s">
        <v>23</v>
      </c>
      <c r="I4" s="47" t="s">
        <v>15</v>
      </c>
      <c r="J4" s="47" t="s">
        <v>23</v>
      </c>
      <c r="K4" s="47" t="s">
        <v>15</v>
      </c>
      <c r="L4" s="47" t="s">
        <v>23</v>
      </c>
      <c r="M4" s="47" t="s">
        <v>15</v>
      </c>
      <c r="N4" s="47" t="s">
        <v>3</v>
      </c>
      <c r="O4" s="47" t="s">
        <v>23</v>
      </c>
      <c r="P4" s="47" t="s">
        <v>168</v>
      </c>
      <c r="Q4" s="47" t="s">
        <v>168</v>
      </c>
      <c r="R4" s="47" t="s">
        <v>3</v>
      </c>
      <c r="S4" s="117" t="s">
        <v>95</v>
      </c>
      <c r="T4" s="117" t="s">
        <v>95</v>
      </c>
      <c r="U4" s="47" t="s">
        <v>1060</v>
      </c>
      <c r="V4" s="47" t="s">
        <v>3</v>
      </c>
      <c r="W4" s="62" t="s">
        <v>3</v>
      </c>
      <c r="X4" s="47" t="s">
        <v>3</v>
      </c>
      <c r="Y4" s="47" t="s">
        <v>168</v>
      </c>
      <c r="Z4" s="46" t="s">
        <v>2605</v>
      </c>
      <c r="AA4" s="47" t="s">
        <v>2200</v>
      </c>
      <c r="AB4" s="46" t="s">
        <v>3</v>
      </c>
      <c r="AC4" s="46" t="s">
        <v>3</v>
      </c>
      <c r="AD4" s="46" t="s">
        <v>3</v>
      </c>
      <c r="AE4" s="46" t="s">
        <v>3</v>
      </c>
      <c r="AF4" s="46" t="s">
        <v>3</v>
      </c>
      <c r="AG4" s="46" t="s">
        <v>95</v>
      </c>
      <c r="AH4" s="47" t="s">
        <v>1060</v>
      </c>
      <c r="AI4" s="47" t="s">
        <v>3</v>
      </c>
      <c r="AJ4" s="47" t="s">
        <v>3</v>
      </c>
      <c r="AK4" s="47" t="s">
        <v>3013</v>
      </c>
      <c r="AL4" s="47" t="s">
        <v>3013</v>
      </c>
      <c r="AM4" s="47" t="s">
        <v>3</v>
      </c>
      <c r="AN4" s="20" t="s">
        <v>3</v>
      </c>
      <c r="AO4" s="130" t="s">
        <v>95</v>
      </c>
      <c r="AP4" s="43" t="s">
        <v>3</v>
      </c>
      <c r="AQ4" s="43" t="s">
        <v>95</v>
      </c>
      <c r="AR4" s="43" t="s">
        <v>95</v>
      </c>
      <c r="AS4" s="43" t="s">
        <v>95</v>
      </c>
      <c r="AT4" s="43" t="s">
        <v>95</v>
      </c>
      <c r="AU4" s="41" t="s">
        <v>15</v>
      </c>
      <c r="AV4" s="20" t="s">
        <v>3</v>
      </c>
      <c r="AW4" s="43" t="s">
        <v>15</v>
      </c>
      <c r="AX4" s="20" t="s">
        <v>3</v>
      </c>
      <c r="AY4" s="43" t="s">
        <v>2570</v>
      </c>
      <c r="AZ4" s="43" t="s">
        <v>3</v>
      </c>
      <c r="BA4" s="43" t="s">
        <v>3</v>
      </c>
      <c r="BB4" s="43" t="s">
        <v>3</v>
      </c>
      <c r="BC4" s="43" t="s">
        <v>95</v>
      </c>
      <c r="BD4" s="43" t="s">
        <v>95</v>
      </c>
      <c r="BE4" s="43" t="s">
        <v>95</v>
      </c>
      <c r="BF4" s="47" t="s">
        <v>105</v>
      </c>
      <c r="BG4" s="47" t="s">
        <v>105</v>
      </c>
      <c r="BH4" s="47" t="s">
        <v>251</v>
      </c>
      <c r="BI4" s="47" t="s">
        <v>398</v>
      </c>
      <c r="BJ4" s="47" t="s">
        <v>1913</v>
      </c>
      <c r="BK4" s="47" t="s">
        <v>1913</v>
      </c>
      <c r="BL4" s="47" t="s">
        <v>1060</v>
      </c>
      <c r="BM4" s="47" t="s">
        <v>99</v>
      </c>
      <c r="BN4" s="47" t="s">
        <v>99</v>
      </c>
      <c r="BO4" s="47" t="s">
        <v>99</v>
      </c>
      <c r="BP4" s="47" t="s">
        <v>99</v>
      </c>
      <c r="BQ4" s="47" t="s">
        <v>99</v>
      </c>
      <c r="BR4" s="47" t="s">
        <v>251</v>
      </c>
      <c r="BS4" s="47" t="s">
        <v>365</v>
      </c>
      <c r="BT4" s="47" t="s">
        <v>365</v>
      </c>
      <c r="BU4" s="47" t="s">
        <v>95</v>
      </c>
      <c r="BV4" s="47" t="s">
        <v>95</v>
      </c>
      <c r="BW4" s="46" t="s">
        <v>3</v>
      </c>
      <c r="BX4" s="46" t="s">
        <v>3</v>
      </c>
      <c r="BY4" s="47" t="s">
        <v>1707</v>
      </c>
      <c r="BZ4" s="47" t="s">
        <v>1707</v>
      </c>
      <c r="CA4" s="47" t="s">
        <v>1060</v>
      </c>
      <c r="CB4" s="47" t="s">
        <v>1707</v>
      </c>
      <c r="CC4" s="57" t="s">
        <v>3</v>
      </c>
      <c r="CD4" s="47" t="s">
        <v>1766</v>
      </c>
      <c r="CE4" s="47" t="s">
        <v>1766</v>
      </c>
      <c r="CF4" s="47" t="s">
        <v>96</v>
      </c>
      <c r="CG4" s="47" t="s">
        <v>96</v>
      </c>
      <c r="CH4" s="47" t="s">
        <v>96</v>
      </c>
      <c r="CI4" s="47" t="s">
        <v>3</v>
      </c>
      <c r="CJ4" s="47" t="s">
        <v>173</v>
      </c>
      <c r="CK4" s="47" t="s">
        <v>96</v>
      </c>
      <c r="CL4" s="47" t="s">
        <v>1766</v>
      </c>
      <c r="CM4" s="47" t="s">
        <v>3</v>
      </c>
      <c r="CN4" s="47" t="s">
        <v>3</v>
      </c>
      <c r="CO4" s="47" t="s">
        <v>993</v>
      </c>
      <c r="CP4" s="43" t="s">
        <v>3</v>
      </c>
      <c r="CQ4" s="43" t="s">
        <v>15</v>
      </c>
      <c r="CR4" s="43" t="s">
        <v>345</v>
      </c>
      <c r="CS4" s="47" t="s">
        <v>2505</v>
      </c>
      <c r="CT4" s="47" t="s">
        <v>3</v>
      </c>
      <c r="CU4" s="47" t="s">
        <v>3</v>
      </c>
      <c r="CV4" s="47" t="s">
        <v>3</v>
      </c>
      <c r="CW4" s="47" t="s">
        <v>3</v>
      </c>
      <c r="CX4" s="47" t="s">
        <v>3</v>
      </c>
      <c r="CY4" s="47" t="s">
        <v>133</v>
      </c>
      <c r="CZ4" s="47" t="s">
        <v>133</v>
      </c>
      <c r="DA4" s="47" t="s">
        <v>95</v>
      </c>
      <c r="DB4" s="47" t="s">
        <v>95</v>
      </c>
      <c r="DC4" s="47" t="s">
        <v>95</v>
      </c>
      <c r="DD4" s="47" t="s">
        <v>95</v>
      </c>
      <c r="DE4" s="47" t="s">
        <v>296</v>
      </c>
      <c r="DF4" s="47" t="s">
        <v>3</v>
      </c>
      <c r="DG4" s="147" t="s">
        <v>95</v>
      </c>
      <c r="DH4" s="47" t="s">
        <v>95</v>
      </c>
      <c r="DI4" s="47" t="s">
        <v>1060</v>
      </c>
      <c r="DJ4" s="47" t="s">
        <v>1060</v>
      </c>
      <c r="DK4" s="47" t="s">
        <v>1937</v>
      </c>
      <c r="DL4" s="46" t="s">
        <v>95</v>
      </c>
      <c r="DM4" s="46" t="s">
        <v>95</v>
      </c>
      <c r="DN4" s="46" t="s">
        <v>95</v>
      </c>
      <c r="DO4" s="46" t="s">
        <v>95</v>
      </c>
      <c r="DP4" s="46" t="s">
        <v>95</v>
      </c>
      <c r="DQ4" s="47" t="s">
        <v>3</v>
      </c>
      <c r="DR4" s="47" t="s">
        <v>1375</v>
      </c>
      <c r="DS4" s="47" t="s">
        <v>993</v>
      </c>
      <c r="DT4" s="47" t="s">
        <v>1218</v>
      </c>
      <c r="DU4" s="47" t="s">
        <v>1218</v>
      </c>
      <c r="DV4" s="47" t="s">
        <v>3</v>
      </c>
      <c r="DW4" s="47" t="s">
        <v>408</v>
      </c>
      <c r="DX4" s="47" t="s">
        <v>408</v>
      </c>
      <c r="DY4" s="46" t="s">
        <v>3</v>
      </c>
      <c r="DZ4" s="43"/>
    </row>
    <row r="5" spans="1:130" s="18" customFormat="1" ht="12" customHeight="1" x14ac:dyDescent="0.15">
      <c r="A5" s="76" t="s">
        <v>402</v>
      </c>
      <c r="B5" s="69"/>
      <c r="C5" s="69" t="s">
        <v>2789</v>
      </c>
      <c r="D5" s="69" t="s">
        <v>2789</v>
      </c>
      <c r="E5" s="69" t="s">
        <v>1591</v>
      </c>
      <c r="F5" s="69"/>
      <c r="G5" s="69" t="s">
        <v>1591</v>
      </c>
      <c r="H5" s="69" t="s">
        <v>1609</v>
      </c>
      <c r="I5" s="69" t="s">
        <v>1610</v>
      </c>
      <c r="J5" s="69" t="s">
        <v>1462</v>
      </c>
      <c r="K5" s="69" t="s">
        <v>1447</v>
      </c>
      <c r="L5" s="69" t="s">
        <v>1434</v>
      </c>
      <c r="M5" s="69" t="s">
        <v>1447</v>
      </c>
      <c r="N5" s="69" t="s">
        <v>3</v>
      </c>
      <c r="O5" s="69"/>
      <c r="P5" s="69"/>
      <c r="Q5" s="69"/>
      <c r="R5" s="69"/>
      <c r="S5" s="128"/>
      <c r="T5" s="128"/>
      <c r="U5" s="69" t="s">
        <v>2556</v>
      </c>
      <c r="V5" s="69"/>
      <c r="W5" s="106" t="s">
        <v>1344</v>
      </c>
      <c r="X5" s="69" t="s">
        <v>1344</v>
      </c>
      <c r="Y5" s="69" t="s">
        <v>2282</v>
      </c>
      <c r="Z5" s="69" t="s">
        <v>2606</v>
      </c>
      <c r="AA5" s="69" t="s">
        <v>2199</v>
      </c>
      <c r="AB5" s="69" t="s">
        <v>736</v>
      </c>
      <c r="AC5" s="69" t="s">
        <v>736</v>
      </c>
      <c r="AD5" s="69" t="s">
        <v>736</v>
      </c>
      <c r="AE5" s="69" t="s">
        <v>736</v>
      </c>
      <c r="AF5" s="69" t="s">
        <v>736</v>
      </c>
      <c r="AG5" s="69" t="s">
        <v>2380</v>
      </c>
      <c r="AH5" s="69" t="s">
        <v>2820</v>
      </c>
      <c r="AI5" s="69" t="s">
        <v>3</v>
      </c>
      <c r="AJ5" s="69" t="s">
        <v>3</v>
      </c>
      <c r="AK5" s="69" t="s">
        <v>3003</v>
      </c>
      <c r="AL5" s="69" t="s">
        <v>3012</v>
      </c>
      <c r="AM5" s="69" t="s">
        <v>3</v>
      </c>
      <c r="AN5" s="69" t="s">
        <v>3</v>
      </c>
      <c r="AO5" s="131"/>
      <c r="AP5" s="69" t="s">
        <v>3</v>
      </c>
      <c r="AQ5" s="69"/>
      <c r="AR5" s="69"/>
      <c r="AS5" s="69"/>
      <c r="AT5" s="69"/>
      <c r="AU5" s="69"/>
      <c r="AV5" s="69" t="s">
        <v>3</v>
      </c>
      <c r="AW5" s="69" t="s">
        <v>539</v>
      </c>
      <c r="AX5" s="69" t="s">
        <v>3</v>
      </c>
      <c r="AY5" s="69" t="s">
        <v>539</v>
      </c>
      <c r="AZ5" s="69" t="s">
        <v>3</v>
      </c>
      <c r="BA5" s="69" t="s">
        <v>3</v>
      </c>
      <c r="BB5" s="69" t="s">
        <v>3</v>
      </c>
      <c r="BC5" s="69" t="s">
        <v>403</v>
      </c>
      <c r="BD5" s="69" t="s">
        <v>403</v>
      </c>
      <c r="BE5" s="69" t="s">
        <v>403</v>
      </c>
      <c r="BF5" s="69" t="s">
        <v>1124</v>
      </c>
      <c r="BG5" s="69" t="s">
        <v>1087</v>
      </c>
      <c r="BH5" s="69"/>
      <c r="BI5" s="69"/>
      <c r="BJ5" s="69" t="s">
        <v>1912</v>
      </c>
      <c r="BK5" s="69" t="s">
        <v>2448</v>
      </c>
      <c r="BL5" s="69" t="s">
        <v>2373</v>
      </c>
      <c r="BM5" s="69"/>
      <c r="BN5" s="69"/>
      <c r="BO5" s="69"/>
      <c r="BP5" s="69" t="s">
        <v>637</v>
      </c>
      <c r="BQ5" s="69" t="s">
        <v>637</v>
      </c>
      <c r="BR5" s="69"/>
      <c r="BS5" s="69"/>
      <c r="BT5" s="69"/>
      <c r="BU5" s="69"/>
      <c r="BV5" s="69"/>
      <c r="BW5" s="69" t="s">
        <v>2114</v>
      </c>
      <c r="BX5" s="69" t="s">
        <v>2114</v>
      </c>
      <c r="BY5" s="69"/>
      <c r="BZ5" s="69" t="s">
        <v>1703</v>
      </c>
      <c r="CA5" s="69" t="s">
        <v>2719</v>
      </c>
      <c r="CB5" s="69" t="s">
        <v>1703</v>
      </c>
      <c r="CC5" s="69"/>
      <c r="CD5" s="69"/>
      <c r="CE5" s="69" t="s">
        <v>1765</v>
      </c>
      <c r="CF5" s="69" t="s">
        <v>3</v>
      </c>
      <c r="CG5" s="69" t="s">
        <v>3</v>
      </c>
      <c r="CH5" s="69" t="s">
        <v>3</v>
      </c>
      <c r="CI5" s="69" t="s">
        <v>3</v>
      </c>
      <c r="CJ5" s="69" t="s">
        <v>3555</v>
      </c>
      <c r="CK5" s="69" t="s">
        <v>3</v>
      </c>
      <c r="CL5" s="69" t="s">
        <v>1765</v>
      </c>
      <c r="CM5" s="69" t="s">
        <v>785</v>
      </c>
      <c r="CN5" s="69" t="s">
        <v>785</v>
      </c>
      <c r="CO5" s="69" t="s">
        <v>994</v>
      </c>
      <c r="CP5" s="69" t="s">
        <v>3</v>
      </c>
      <c r="CQ5" s="69" t="s">
        <v>3010</v>
      </c>
      <c r="CR5" s="69" t="s">
        <v>3010</v>
      </c>
      <c r="CS5" s="69" t="s">
        <v>2504</v>
      </c>
      <c r="CT5" s="69" t="s">
        <v>867</v>
      </c>
      <c r="CU5" s="69" t="s">
        <v>867</v>
      </c>
      <c r="CV5" s="69"/>
      <c r="CW5" s="69"/>
      <c r="CX5" s="69" t="s">
        <v>1273</v>
      </c>
      <c r="CY5" s="69"/>
      <c r="CZ5" s="69"/>
      <c r="DA5" s="69" t="s">
        <v>403</v>
      </c>
      <c r="DB5" s="69" t="s">
        <v>403</v>
      </c>
      <c r="DC5" s="69" t="s">
        <v>403</v>
      </c>
      <c r="DD5" s="69" t="s">
        <v>403</v>
      </c>
      <c r="DE5" s="69"/>
      <c r="DF5" s="69"/>
      <c r="DG5" s="152" t="s">
        <v>3343</v>
      </c>
      <c r="DH5" s="69"/>
      <c r="DI5" s="69" t="s">
        <v>1059</v>
      </c>
      <c r="DJ5" s="69" t="s">
        <v>1059</v>
      </c>
      <c r="DK5" s="69" t="s">
        <v>3439</v>
      </c>
      <c r="DL5" s="69"/>
      <c r="DM5" s="69"/>
      <c r="DN5" s="69"/>
      <c r="DO5" s="69"/>
      <c r="DP5" s="69"/>
      <c r="DQ5" s="69" t="s">
        <v>2920</v>
      </c>
      <c r="DR5" s="69" t="s">
        <v>1376</v>
      </c>
      <c r="DS5" s="69" t="s">
        <v>2683</v>
      </c>
      <c r="DT5" s="69" t="s">
        <v>2488</v>
      </c>
      <c r="DU5" s="69" t="s">
        <v>2488</v>
      </c>
      <c r="DV5" s="69" t="s">
        <v>3</v>
      </c>
      <c r="DW5" s="69" t="s">
        <v>403</v>
      </c>
      <c r="DX5" s="69" t="s">
        <v>403</v>
      </c>
      <c r="DY5" s="69" t="s">
        <v>1526</v>
      </c>
      <c r="DZ5" s="69"/>
    </row>
    <row r="6" spans="1:130" s="18" customFormat="1" ht="22.5" customHeight="1" x14ac:dyDescent="0.15">
      <c r="A6" s="77" t="s">
        <v>2590</v>
      </c>
      <c r="B6" s="46" t="s">
        <v>3</v>
      </c>
      <c r="C6" s="47" t="s">
        <v>2802</v>
      </c>
      <c r="D6" s="47" t="s">
        <v>2802</v>
      </c>
      <c r="E6" s="46" t="s">
        <v>95</v>
      </c>
      <c r="F6" s="46" t="s">
        <v>3</v>
      </c>
      <c r="G6" s="46" t="s">
        <v>3</v>
      </c>
      <c r="H6" s="46" t="s">
        <v>3</v>
      </c>
      <c r="I6" s="46" t="s">
        <v>3</v>
      </c>
      <c r="J6" s="46" t="s">
        <v>3</v>
      </c>
      <c r="K6" s="46" t="s">
        <v>3</v>
      </c>
      <c r="L6" s="46" t="s">
        <v>3</v>
      </c>
      <c r="M6" s="46" t="s">
        <v>3</v>
      </c>
      <c r="N6" s="46" t="s">
        <v>3</v>
      </c>
      <c r="O6" s="46" t="s">
        <v>3</v>
      </c>
      <c r="P6" s="46" t="s">
        <v>3</v>
      </c>
      <c r="Q6" s="46" t="s">
        <v>3</v>
      </c>
      <c r="R6" s="46" t="s">
        <v>3</v>
      </c>
      <c r="S6" s="117" t="s">
        <v>95</v>
      </c>
      <c r="T6" s="117" t="s">
        <v>95</v>
      </c>
      <c r="U6" s="46" t="s">
        <v>95</v>
      </c>
      <c r="V6" s="46" t="s">
        <v>3</v>
      </c>
      <c r="W6" s="101" t="s">
        <v>3</v>
      </c>
      <c r="X6" s="46" t="s">
        <v>3</v>
      </c>
      <c r="Y6" s="46" t="s">
        <v>3</v>
      </c>
      <c r="Z6" s="46" t="s">
        <v>3</v>
      </c>
      <c r="AA6" s="46" t="s">
        <v>3</v>
      </c>
      <c r="AB6" s="46" t="s">
        <v>3</v>
      </c>
      <c r="AC6" s="46" t="s">
        <v>3</v>
      </c>
      <c r="AD6" s="46" t="s">
        <v>3</v>
      </c>
      <c r="AE6" s="46" t="s">
        <v>3</v>
      </c>
      <c r="AF6" s="46" t="s">
        <v>3</v>
      </c>
      <c r="AG6" s="46" t="s">
        <v>3</v>
      </c>
      <c r="AH6" s="47" t="s">
        <v>95</v>
      </c>
      <c r="AI6" s="46" t="s">
        <v>3</v>
      </c>
      <c r="AJ6" s="46" t="s">
        <v>3</v>
      </c>
      <c r="AK6" s="47" t="s">
        <v>95</v>
      </c>
      <c r="AL6" s="47" t="s">
        <v>95</v>
      </c>
      <c r="AM6" s="47" t="s">
        <v>95</v>
      </c>
      <c r="AN6" s="20" t="s">
        <v>3</v>
      </c>
      <c r="AO6" s="130" t="s">
        <v>3239</v>
      </c>
      <c r="AP6" s="43" t="s">
        <v>3</v>
      </c>
      <c r="AQ6" s="43" t="s">
        <v>3</v>
      </c>
      <c r="AR6" s="43" t="s">
        <v>3</v>
      </c>
      <c r="AS6" s="43" t="s">
        <v>3</v>
      </c>
      <c r="AT6" s="43" t="s">
        <v>3</v>
      </c>
      <c r="AU6" s="43" t="s">
        <v>3</v>
      </c>
      <c r="AV6" s="20" t="s">
        <v>3</v>
      </c>
      <c r="AW6" s="43" t="s">
        <v>3</v>
      </c>
      <c r="AX6" s="20" t="s">
        <v>3</v>
      </c>
      <c r="AY6" s="43" t="s">
        <v>3</v>
      </c>
      <c r="AZ6" s="43" t="s">
        <v>3</v>
      </c>
      <c r="BA6" s="43" t="s">
        <v>95</v>
      </c>
      <c r="BB6" s="43" t="s">
        <v>95</v>
      </c>
      <c r="BC6" s="43" t="s">
        <v>3</v>
      </c>
      <c r="BD6" s="43" t="s">
        <v>3</v>
      </c>
      <c r="BE6" s="43" t="s">
        <v>3</v>
      </c>
      <c r="BF6" s="47" t="s">
        <v>3</v>
      </c>
      <c r="BG6" s="47" t="s">
        <v>3</v>
      </c>
      <c r="BH6" s="47" t="s">
        <v>3</v>
      </c>
      <c r="BI6" s="46" t="s">
        <v>3</v>
      </c>
      <c r="BJ6" s="46" t="s">
        <v>3</v>
      </c>
      <c r="BK6" s="46" t="s">
        <v>3</v>
      </c>
      <c r="BL6" s="47" t="s">
        <v>95</v>
      </c>
      <c r="BM6" s="46" t="s">
        <v>3</v>
      </c>
      <c r="BN6" s="46" t="s">
        <v>3</v>
      </c>
      <c r="BO6" s="46" t="s">
        <v>3</v>
      </c>
      <c r="BP6" s="46" t="s">
        <v>3</v>
      </c>
      <c r="BQ6" s="46" t="s">
        <v>3</v>
      </c>
      <c r="BR6" s="46" t="s">
        <v>3</v>
      </c>
      <c r="BS6" s="46" t="s">
        <v>3</v>
      </c>
      <c r="BT6" s="46" t="s">
        <v>3</v>
      </c>
      <c r="BU6" s="46" t="s">
        <v>3</v>
      </c>
      <c r="BV6" s="46" t="s">
        <v>3</v>
      </c>
      <c r="BW6" s="46" t="s">
        <v>95</v>
      </c>
      <c r="BX6" s="46" t="s">
        <v>95</v>
      </c>
      <c r="BY6" s="46" t="s">
        <v>95</v>
      </c>
      <c r="BZ6" s="46" t="s">
        <v>95</v>
      </c>
      <c r="CA6" s="46" t="s">
        <v>95</v>
      </c>
      <c r="CB6" s="46" t="s">
        <v>95</v>
      </c>
      <c r="CC6" s="46" t="s">
        <v>3</v>
      </c>
      <c r="CD6" s="46" t="s">
        <v>95</v>
      </c>
      <c r="CE6" s="46" t="s">
        <v>95</v>
      </c>
      <c r="CF6" s="46" t="s">
        <v>95</v>
      </c>
      <c r="CG6" s="46" t="s">
        <v>95</v>
      </c>
      <c r="CH6" s="46" t="s">
        <v>95</v>
      </c>
      <c r="CI6" s="46" t="s">
        <v>95</v>
      </c>
      <c r="CJ6" s="46" t="s">
        <v>95</v>
      </c>
      <c r="CK6" s="46" t="s">
        <v>95</v>
      </c>
      <c r="CL6" s="46" t="s">
        <v>95</v>
      </c>
      <c r="CM6" s="46" t="s">
        <v>3</v>
      </c>
      <c r="CN6" s="46" t="s">
        <v>3</v>
      </c>
      <c r="CO6" s="46" t="s">
        <v>3</v>
      </c>
      <c r="CP6" s="43" t="s">
        <v>95</v>
      </c>
      <c r="CQ6" s="43" t="s">
        <v>95</v>
      </c>
      <c r="CR6" s="43" t="s">
        <v>95</v>
      </c>
      <c r="CS6" s="46" t="s">
        <v>3</v>
      </c>
      <c r="CT6" s="46" t="s">
        <v>3</v>
      </c>
      <c r="CU6" s="46" t="s">
        <v>3</v>
      </c>
      <c r="CV6" s="46" t="s">
        <v>3</v>
      </c>
      <c r="CW6" s="47" t="s">
        <v>95</v>
      </c>
      <c r="CX6" s="46" t="s">
        <v>3</v>
      </c>
      <c r="CY6" s="46" t="s">
        <v>3</v>
      </c>
      <c r="CZ6" s="46" t="s">
        <v>3</v>
      </c>
      <c r="DA6" s="46" t="s">
        <v>3</v>
      </c>
      <c r="DB6" s="46" t="s">
        <v>3</v>
      </c>
      <c r="DC6" s="46" t="s">
        <v>3</v>
      </c>
      <c r="DD6" s="46" t="s">
        <v>3</v>
      </c>
      <c r="DE6" s="46" t="s">
        <v>95</v>
      </c>
      <c r="DF6" s="46" t="s">
        <v>3</v>
      </c>
      <c r="DG6" s="146" t="s">
        <v>3</v>
      </c>
      <c r="DH6" s="46" t="s">
        <v>3</v>
      </c>
      <c r="DI6" s="46" t="s">
        <v>3</v>
      </c>
      <c r="DJ6" s="46" t="s">
        <v>3</v>
      </c>
      <c r="DK6" s="46" t="s">
        <v>95</v>
      </c>
      <c r="DL6" s="46" t="s">
        <v>95</v>
      </c>
      <c r="DM6" s="46" t="s">
        <v>95</v>
      </c>
      <c r="DN6" s="46" t="s">
        <v>95</v>
      </c>
      <c r="DO6" s="46" t="s">
        <v>95</v>
      </c>
      <c r="DP6" s="46" t="s">
        <v>95</v>
      </c>
      <c r="DQ6" s="46" t="s">
        <v>3</v>
      </c>
      <c r="DR6" s="46" t="s">
        <v>3</v>
      </c>
      <c r="DS6" s="46" t="s">
        <v>3</v>
      </c>
      <c r="DT6" s="46" t="s">
        <v>3</v>
      </c>
      <c r="DU6" s="47" t="s">
        <v>3</v>
      </c>
      <c r="DV6" s="46" t="s">
        <v>3</v>
      </c>
      <c r="DW6" s="46" t="s">
        <v>3</v>
      </c>
      <c r="DX6" s="46" t="s">
        <v>3</v>
      </c>
      <c r="DY6" s="46" t="s">
        <v>3</v>
      </c>
      <c r="DZ6" s="43"/>
    </row>
    <row r="7" spans="1:130" s="18" customFormat="1" ht="12" customHeight="1" x14ac:dyDescent="0.15">
      <c r="A7" s="76" t="s">
        <v>402</v>
      </c>
      <c r="B7" s="69"/>
      <c r="C7" s="69" t="s">
        <v>2801</v>
      </c>
      <c r="D7" s="69" t="s">
        <v>2801</v>
      </c>
      <c r="E7" s="69" t="s">
        <v>3260</v>
      </c>
      <c r="F7" s="69"/>
      <c r="G7" s="69" t="s">
        <v>3</v>
      </c>
      <c r="H7" s="69" t="s">
        <v>3</v>
      </c>
      <c r="I7" s="69" t="s">
        <v>3</v>
      </c>
      <c r="J7" s="69" t="s">
        <v>3</v>
      </c>
      <c r="K7" s="69" t="s">
        <v>3</v>
      </c>
      <c r="L7" s="69" t="s">
        <v>3</v>
      </c>
      <c r="M7" s="69" t="s">
        <v>3</v>
      </c>
      <c r="N7" s="69" t="s">
        <v>3</v>
      </c>
      <c r="O7" s="69"/>
      <c r="P7" s="69"/>
      <c r="Q7" s="69"/>
      <c r="R7" s="69" t="s">
        <v>3</v>
      </c>
      <c r="S7" s="128"/>
      <c r="T7" s="128"/>
      <c r="U7" s="69" t="s">
        <v>2560</v>
      </c>
      <c r="V7" s="69"/>
      <c r="W7" s="106" t="s">
        <v>3</v>
      </c>
      <c r="X7" s="69" t="s">
        <v>3</v>
      </c>
      <c r="Y7" s="69" t="s">
        <v>3</v>
      </c>
      <c r="Z7" s="69" t="s">
        <v>3</v>
      </c>
      <c r="AA7" s="69" t="s">
        <v>3</v>
      </c>
      <c r="AB7" s="69" t="s">
        <v>3</v>
      </c>
      <c r="AC7" s="69" t="s">
        <v>3</v>
      </c>
      <c r="AD7" s="69" t="s">
        <v>3</v>
      </c>
      <c r="AE7" s="69" t="s">
        <v>3</v>
      </c>
      <c r="AF7" s="69" t="s">
        <v>3</v>
      </c>
      <c r="AG7" s="69" t="s">
        <v>3</v>
      </c>
      <c r="AH7" s="69" t="s">
        <v>2821</v>
      </c>
      <c r="AI7" s="69" t="s">
        <v>3</v>
      </c>
      <c r="AJ7" s="69" t="s">
        <v>3</v>
      </c>
      <c r="AK7" s="69" t="s">
        <v>1507</v>
      </c>
      <c r="AL7" s="69" t="s">
        <v>3015</v>
      </c>
      <c r="AM7" s="69" t="s">
        <v>3046</v>
      </c>
      <c r="AN7" s="69" t="s">
        <v>3</v>
      </c>
      <c r="AO7" s="131"/>
      <c r="AP7" s="69" t="s">
        <v>3</v>
      </c>
      <c r="AQ7" s="69"/>
      <c r="AR7" s="69"/>
      <c r="AS7" s="69"/>
      <c r="AT7" s="69"/>
      <c r="AU7" s="69"/>
      <c r="AV7" s="69" t="s">
        <v>3</v>
      </c>
      <c r="AW7" s="69" t="s">
        <v>3</v>
      </c>
      <c r="AX7" s="69" t="s">
        <v>3</v>
      </c>
      <c r="AY7" s="69" t="s">
        <v>3</v>
      </c>
      <c r="AZ7" s="69" t="s">
        <v>403</v>
      </c>
      <c r="BA7" s="69" t="s">
        <v>3132</v>
      </c>
      <c r="BB7" s="69" t="s">
        <v>3132</v>
      </c>
      <c r="BC7" s="69" t="s">
        <v>3</v>
      </c>
      <c r="BD7" s="69" t="s">
        <v>3</v>
      </c>
      <c r="BE7" s="69" t="s">
        <v>3</v>
      </c>
      <c r="BF7" s="69" t="s">
        <v>3</v>
      </c>
      <c r="BG7" s="69" t="s">
        <v>3</v>
      </c>
      <c r="BH7" s="69"/>
      <c r="BI7" s="69"/>
      <c r="BJ7" s="69" t="s">
        <v>3</v>
      </c>
      <c r="BK7" s="69" t="s">
        <v>3</v>
      </c>
      <c r="BL7" s="69" t="s">
        <v>2337</v>
      </c>
      <c r="BM7" s="69"/>
      <c r="BN7" s="69"/>
      <c r="BO7" s="69"/>
      <c r="BP7" s="69" t="s">
        <v>3</v>
      </c>
      <c r="BQ7" s="69" t="s">
        <v>3</v>
      </c>
      <c r="BR7" s="69"/>
      <c r="BS7" s="69"/>
      <c r="BT7" s="69"/>
      <c r="BU7" s="69"/>
      <c r="BV7" s="69"/>
      <c r="BW7" s="69" t="s">
        <v>2087</v>
      </c>
      <c r="BX7" s="69" t="s">
        <v>2053</v>
      </c>
      <c r="BY7" s="69"/>
      <c r="BZ7" s="69" t="s">
        <v>1710</v>
      </c>
      <c r="CA7" s="69" t="s">
        <v>1710</v>
      </c>
      <c r="CB7" s="69" t="s">
        <v>1710</v>
      </c>
      <c r="CC7" s="69"/>
      <c r="CD7" s="69"/>
      <c r="CE7" s="69" t="s">
        <v>1764</v>
      </c>
      <c r="CF7" s="69" t="s">
        <v>1771</v>
      </c>
      <c r="CG7" s="69" t="s">
        <v>1809</v>
      </c>
      <c r="CH7" s="69" t="s">
        <v>1809</v>
      </c>
      <c r="CI7" s="69" t="s">
        <v>3603</v>
      </c>
      <c r="CJ7" s="69" t="s">
        <v>3584</v>
      </c>
      <c r="CK7" s="69" t="s">
        <v>1771</v>
      </c>
      <c r="CL7" s="69" t="s">
        <v>3556</v>
      </c>
      <c r="CM7" s="69" t="s">
        <v>3</v>
      </c>
      <c r="CN7" s="69" t="s">
        <v>3</v>
      </c>
      <c r="CO7" s="69" t="s">
        <v>3</v>
      </c>
      <c r="CP7" s="69" t="s">
        <v>2996</v>
      </c>
      <c r="CQ7" s="69" t="s">
        <v>3005</v>
      </c>
      <c r="CR7" s="69" t="s">
        <v>3005</v>
      </c>
      <c r="CS7" s="69" t="s">
        <v>3</v>
      </c>
      <c r="CT7" s="69" t="s">
        <v>3</v>
      </c>
      <c r="CU7" s="69" t="s">
        <v>3</v>
      </c>
      <c r="CV7" s="69"/>
      <c r="CW7" s="69"/>
      <c r="CX7" s="69" t="s">
        <v>3</v>
      </c>
      <c r="CY7" s="69"/>
      <c r="CZ7" s="69"/>
      <c r="DA7" s="69" t="s">
        <v>3</v>
      </c>
      <c r="DB7" s="69" t="s">
        <v>3</v>
      </c>
      <c r="DC7" s="69" t="s">
        <v>3</v>
      </c>
      <c r="DD7" s="69" t="s">
        <v>3</v>
      </c>
      <c r="DE7" s="69"/>
      <c r="DF7" s="69"/>
      <c r="DG7" s="152" t="s">
        <v>3</v>
      </c>
      <c r="DH7" s="69"/>
      <c r="DI7" s="69" t="s">
        <v>3</v>
      </c>
      <c r="DJ7" s="69" t="s">
        <v>3</v>
      </c>
      <c r="DK7" s="69" t="s">
        <v>1996</v>
      </c>
      <c r="DL7" s="69"/>
      <c r="DM7" s="69"/>
      <c r="DN7" s="69"/>
      <c r="DO7" s="69"/>
      <c r="DP7" s="69"/>
      <c r="DQ7" s="69" t="s">
        <v>3</v>
      </c>
      <c r="DR7" s="69" t="s">
        <v>3</v>
      </c>
      <c r="DS7" s="69" t="s">
        <v>3</v>
      </c>
      <c r="DT7" s="69" t="s">
        <v>3</v>
      </c>
      <c r="DU7" s="69" t="s">
        <v>3</v>
      </c>
      <c r="DV7" s="69" t="s">
        <v>3</v>
      </c>
      <c r="DW7" s="69" t="s">
        <v>3</v>
      </c>
      <c r="DX7" s="69" t="s">
        <v>3</v>
      </c>
      <c r="DY7" s="69" t="s">
        <v>3</v>
      </c>
      <c r="DZ7" s="69"/>
    </row>
    <row r="8" spans="1:130" ht="12" customHeight="1" x14ac:dyDescent="0.15">
      <c r="A8" s="21"/>
      <c r="B8" s="22"/>
      <c r="C8" s="22"/>
      <c r="D8" s="22"/>
      <c r="E8" s="22"/>
      <c r="F8" s="22"/>
      <c r="G8" s="22"/>
      <c r="H8" s="22"/>
      <c r="I8" s="22"/>
      <c r="J8" s="22"/>
      <c r="K8" s="22"/>
      <c r="L8" s="22"/>
      <c r="M8" s="22"/>
      <c r="N8" s="1"/>
      <c r="O8" s="22"/>
      <c r="P8" s="22"/>
      <c r="Q8" s="22"/>
      <c r="R8" s="1"/>
      <c r="S8" s="113"/>
      <c r="T8" s="116"/>
      <c r="U8" s="22"/>
      <c r="V8" s="22"/>
      <c r="W8" s="22"/>
      <c r="X8" s="22"/>
      <c r="Y8" s="22"/>
      <c r="Z8" s="22"/>
      <c r="AA8" s="22"/>
      <c r="AB8" s="22"/>
      <c r="AC8" s="22"/>
      <c r="AD8" s="22"/>
      <c r="AE8" s="22"/>
      <c r="AF8" s="22"/>
      <c r="AG8" s="22"/>
      <c r="AH8" s="22"/>
      <c r="AI8" s="22"/>
      <c r="AJ8" s="22"/>
      <c r="AK8" s="22"/>
      <c r="AL8" s="22"/>
      <c r="AM8" s="22"/>
      <c r="AN8" s="22"/>
      <c r="AO8" s="132"/>
      <c r="AP8" s="22"/>
      <c r="AQ8" s="22"/>
      <c r="AR8" s="22"/>
      <c r="AS8" s="22"/>
      <c r="AT8" s="22"/>
      <c r="AU8" s="22"/>
      <c r="AV8" s="22"/>
      <c r="AW8" s="22"/>
      <c r="AX8" s="22"/>
      <c r="AY8" s="22"/>
      <c r="AZ8" s="22"/>
      <c r="BA8" s="22"/>
      <c r="BB8" s="22"/>
      <c r="BC8" s="22"/>
      <c r="BD8" s="22"/>
      <c r="BE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1"/>
      <c r="CP8" s="22"/>
      <c r="CQ8" s="22"/>
      <c r="CR8" s="22"/>
      <c r="CS8" s="22"/>
      <c r="CT8" s="22"/>
      <c r="CU8" s="22"/>
      <c r="CV8" s="22"/>
      <c r="CX8" s="22"/>
      <c r="CY8" s="22"/>
      <c r="CZ8" s="22"/>
      <c r="DA8" s="22"/>
      <c r="DB8" s="22"/>
      <c r="DC8" s="22"/>
      <c r="DD8" s="22"/>
      <c r="DE8" s="22"/>
      <c r="DF8" s="22"/>
      <c r="DG8" s="140"/>
      <c r="DH8" s="22"/>
      <c r="DI8" s="22"/>
      <c r="DJ8" s="22"/>
      <c r="DK8" s="22"/>
      <c r="DL8" s="22"/>
      <c r="DM8" s="22"/>
      <c r="DN8" s="22"/>
      <c r="DO8" s="22"/>
      <c r="DP8" s="22"/>
      <c r="DQ8" s="22"/>
      <c r="DR8" s="1"/>
      <c r="DS8" s="22"/>
      <c r="DT8" s="22"/>
      <c r="DV8" s="1"/>
      <c r="DW8" s="22"/>
      <c r="DX8" s="22"/>
      <c r="DY8" s="22"/>
      <c r="DZ8" s="22"/>
    </row>
    <row r="9" spans="1:130" ht="22.5" customHeight="1" x14ac:dyDescent="0.15">
      <c r="A9" s="78" t="s">
        <v>4</v>
      </c>
      <c r="B9" s="53" t="str">
        <f>B1</f>
        <v>Allianz Optimal
(Stand 03-2010)</v>
      </c>
      <c r="C9" s="53" t="str">
        <f>C1</f>
        <v>Allianz inkl. SicherheitPlus
(Stand 2012-10)</v>
      </c>
      <c r="D9" s="53" t="str">
        <f>D1</f>
        <v>Allianz inkl. SicherheitPlus
(Stand 2014-05)</v>
      </c>
      <c r="E9" s="53" t="str">
        <f>E1</f>
        <v>Alte Leipziger comfort
(Stand 2015-07)</v>
      </c>
      <c r="F9" s="53" t="str">
        <f t="shared" ref="F9:BE9" si="0">F1</f>
        <v>Alte Leipziger XXL
(Stand 07-2011)</v>
      </c>
      <c r="G9" s="53" t="str">
        <f t="shared" si="0"/>
        <v>Alte Leipziger XXL
(Stand 01-2013)</v>
      </c>
      <c r="H9" s="53" t="str">
        <f t="shared" si="0"/>
        <v>ARAG Basis (Wohnfläche)
(03-2013)</v>
      </c>
      <c r="I9" s="118" t="str">
        <f t="shared" si="0"/>
        <v>ARAG Comfort (Wohnfläche)
(03-2013)</v>
      </c>
      <c r="J9" s="53" t="str">
        <f t="shared" si="0"/>
        <v>ARAG Basis (Wohnfläche)
(Stand 07-2010)</v>
      </c>
      <c r="K9" s="53" t="str">
        <f t="shared" si="0"/>
        <v xml:space="preserve">ARAG Comfort (Wohnfl.) (Stand 07-2010) </v>
      </c>
      <c r="L9" s="53" t="str">
        <f>L1</f>
        <v>ARAG Basis (Wohnfläche)</v>
      </c>
      <c r="M9" s="118" t="str">
        <f>M1</f>
        <v>ARAG Comfort (Wohnfläche)</v>
      </c>
      <c r="N9" s="53" t="str">
        <f t="shared" si="0"/>
        <v>AXA
(ohne Feuerdeckung)</v>
      </c>
      <c r="O9" s="53" t="str">
        <f t="shared" si="0"/>
        <v>AXA</v>
      </c>
      <c r="P9" s="53" t="str">
        <f t="shared" si="0"/>
        <v>AXA BOXplus Extra</v>
      </c>
      <c r="Q9" s="53" t="str">
        <f t="shared" si="0"/>
        <v>AXA BOXplus Standard</v>
      </c>
      <c r="R9" s="45" t="s">
        <v>3234</v>
      </c>
      <c r="S9" s="53" t="s">
        <v>3310</v>
      </c>
      <c r="T9" s="53" t="s">
        <v>3311</v>
      </c>
      <c r="U9" s="119" t="str">
        <f>U1</f>
        <v>Baden Badener TOP (WF)</v>
      </c>
      <c r="V9" s="53" t="str">
        <f t="shared" si="0"/>
        <v>Basler Top
(Stand 01-2012)</v>
      </c>
      <c r="W9" s="53" t="str">
        <f t="shared" ref="W9:AD9" si="1">W1</f>
        <v>Basler Ambiente Top
(Stand 07-2012)</v>
      </c>
      <c r="X9" s="53" t="str">
        <f>X1</f>
        <v>Basler Ambiente Top</v>
      </c>
      <c r="Y9" s="53" t="str">
        <f t="shared" si="1"/>
        <v>Concordia Basis
(Stand 09-2006)</v>
      </c>
      <c r="Z9" s="53" t="str">
        <f>Z1</f>
        <v>Concordia Basis-Plus
(Stand 10-2008)</v>
      </c>
      <c r="AA9" s="53" t="str">
        <f t="shared" si="1"/>
        <v>DBV+Partner
(Stand 02-1977)</v>
      </c>
      <c r="AB9" s="53" t="str">
        <f t="shared" si="1"/>
        <v>Debeka Basis
(Stand 04-2012)</v>
      </c>
      <c r="AC9" s="53" t="str">
        <f t="shared" si="1"/>
        <v>Debeka Standard
(Stand 04-2012)</v>
      </c>
      <c r="AD9" s="53" t="str">
        <f t="shared" si="1"/>
        <v>Debeka Top
(Stand 04-2012)</v>
      </c>
      <c r="AE9" s="53" t="str">
        <f t="shared" ref="AE9:AN9" si="2">AE1</f>
        <v>Debeka Basis</v>
      </c>
      <c r="AF9" s="53" t="str">
        <f t="shared" si="2"/>
        <v>Debeka Standard</v>
      </c>
      <c r="AG9" s="53" t="str">
        <f t="shared" si="2"/>
        <v>Debeka Top</v>
      </c>
      <c r="AH9" s="53" t="str">
        <f t="shared" si="2"/>
        <v>die Bayerische
Komfort-Schutz
(Stand 06-2011)</v>
      </c>
      <c r="AI9" s="53" t="str">
        <f t="shared" si="2"/>
        <v>die Bayerische
Standard-Plus
(Stand 06-2011)</v>
      </c>
      <c r="AJ9" s="53" t="str">
        <f t="shared" si="2"/>
        <v>die Bayerische
Standard-Schutz
(Stand 01-2008)</v>
      </c>
      <c r="AK9" s="53" t="str">
        <f t="shared" si="2"/>
        <v>die Bayerische Komfort</v>
      </c>
      <c r="AL9" s="53" t="str">
        <f t="shared" si="2"/>
        <v>die Bayerische Prestige</v>
      </c>
      <c r="AM9" s="53" t="str">
        <f t="shared" si="2"/>
        <v>die Bayerische Smart</v>
      </c>
      <c r="AN9" s="53" t="str">
        <f t="shared" si="2"/>
        <v>Domcura Komfort</v>
      </c>
      <c r="AO9" s="129" t="s">
        <v>3312</v>
      </c>
      <c r="AP9" s="53" t="str">
        <f>AP1</f>
        <v>Domcura Top</v>
      </c>
      <c r="AQ9" s="53" t="str">
        <f t="shared" ref="AQ9" si="3">AQ1</f>
        <v>ERGO</v>
      </c>
      <c r="AR9" s="53" t="str">
        <f t="shared" ref="AR9" si="4">AR1</f>
        <v>ERGO spezial</v>
      </c>
      <c r="AS9" s="53" t="str">
        <f>AS1</f>
        <v>ERGO</v>
      </c>
      <c r="AT9" s="53" t="str">
        <f>AT1</f>
        <v>ERGO spezial</v>
      </c>
      <c r="AU9" s="53" t="str">
        <f t="shared" si="0"/>
        <v>Generali KomfortPlus (qm)
(Stand 01-2010)</v>
      </c>
      <c r="AV9" s="53" t="str">
        <f t="shared" si="0"/>
        <v>Generali Basis (qm)
(Stand 10-2012)</v>
      </c>
      <c r="AW9" s="53" t="str">
        <f t="shared" si="0"/>
        <v>Generali KomfortPlus (qm)
(Stand 10-2012)</v>
      </c>
      <c r="AX9" s="53" t="str">
        <f>AX1</f>
        <v>Generali Basis (qm)</v>
      </c>
      <c r="AY9" s="53" t="str">
        <f>AY1</f>
        <v>Generali KomfortPlus (qm)</v>
      </c>
      <c r="AZ9" s="53" t="str">
        <f>AZ1</f>
        <v>Gothaer (qm)</v>
      </c>
      <c r="BA9" s="53" t="str">
        <f>BA1</f>
        <v>Gothaer Top (qm)</v>
      </c>
      <c r="BB9" s="53" t="str">
        <f>BB1</f>
        <v>Gothaer Top Plus (qm)</v>
      </c>
      <c r="BC9" s="53" t="str">
        <f t="shared" si="0"/>
        <v>Gothaer (qm)
(Stand 01-2009)</v>
      </c>
      <c r="BD9" s="53" t="str">
        <f t="shared" si="0"/>
        <v>Gothaer Top (qm)
(Stand 01-2009)</v>
      </c>
      <c r="BE9" s="53" t="str">
        <f t="shared" si="0"/>
        <v>Gothaer Top Plus (qm)
(Stand 01-2009)</v>
      </c>
      <c r="BF9" s="53" t="str">
        <f t="shared" ref="BF9:DN9" si="5">BF1</f>
        <v>Grundeigentümer Schutz 60
(Stand 04-2011)</v>
      </c>
      <c r="BG9" s="53" t="str">
        <f t="shared" si="5"/>
        <v>Grundeigentümer Schutz 60 Plus (Stand 04-2011)</v>
      </c>
      <c r="BH9" s="53" t="str">
        <f t="shared" si="5"/>
        <v>Grundeigentümer Schutz 60 Plus (Stand 10-2010)</v>
      </c>
      <c r="BI9" s="53" t="str">
        <f t="shared" si="5"/>
        <v>HDI Privatschutz
(Stand 01-2011)</v>
      </c>
      <c r="BJ9" s="53" t="str">
        <f t="shared" ref="BJ9:BT9" si="6">BJ1</f>
        <v>HDI Privatschutz (Wert 1914)
(Stand 07-2011)</v>
      </c>
      <c r="BK9" s="53" t="str">
        <f t="shared" si="6"/>
        <v>HDI Privatschutz (Wohnfläche)</v>
      </c>
      <c r="BL9" s="53" t="str">
        <f t="shared" si="6"/>
        <v>Helvetia Komfort</v>
      </c>
      <c r="BM9" s="53" t="str">
        <f t="shared" si="6"/>
        <v>HFK Hausverwalter
(Stand 01-2009)</v>
      </c>
      <c r="BN9" s="53" t="str">
        <f t="shared" si="6"/>
        <v>HFK mit Zusatzdeckung
(Stand 01-2009)</v>
      </c>
      <c r="BO9" s="53" t="str">
        <f t="shared" si="6"/>
        <v>HFK ohne Zusatzdeckung
(Stand 01-2009)</v>
      </c>
      <c r="BP9" s="53" t="str">
        <f t="shared" si="6"/>
        <v>HFK afm mit Zusatzdeckung</v>
      </c>
      <c r="BQ9" s="53" t="str">
        <f t="shared" si="6"/>
        <v>HFK afm ohne Zusatzdeckung</v>
      </c>
      <c r="BR9" s="53" t="str">
        <f t="shared" si="6"/>
        <v>Hiscox Haus &amp; Kunst</v>
      </c>
      <c r="BS9" s="53" t="str">
        <f t="shared" si="6"/>
        <v>HUK Classic</v>
      </c>
      <c r="BT9" s="53" t="str">
        <f t="shared" si="6"/>
        <v>HUK Plus</v>
      </c>
      <c r="BU9" s="53" t="str">
        <f t="shared" si="5"/>
        <v>HUK Classic
(Stand 03-2010)</v>
      </c>
      <c r="BV9" s="53" t="str">
        <f t="shared" si="5"/>
        <v>HUK Plus
(Stand 03-2010)</v>
      </c>
      <c r="BW9" s="53" t="str">
        <f t="shared" si="5"/>
        <v>Inter Exklusiv
(Stand 10-2010)</v>
      </c>
      <c r="BX9" s="53" t="str">
        <f t="shared" si="5"/>
        <v>Inter Premium
(Stand 10-2010)</v>
      </c>
      <c r="BY9" s="53" t="str">
        <f t="shared" si="5"/>
        <v>Interrisk XXL
(Stand 03-2011)</v>
      </c>
      <c r="BZ9" s="53" t="str">
        <f t="shared" si="5"/>
        <v>Interrisk XXL
(Stand 10-2012)</v>
      </c>
      <c r="CA9" s="53" t="str">
        <f>CA1</f>
        <v>InterRisk XL</v>
      </c>
      <c r="CB9" s="53" t="str">
        <f>CB1</f>
        <v>InterRisk XXL</v>
      </c>
      <c r="CC9" s="53" t="str">
        <f>CC1</f>
        <v>ITL afm Protect 2000</v>
      </c>
      <c r="CD9" s="53" t="str">
        <f t="shared" si="5"/>
        <v>ITL afm Protect 2009
(Stand 01-2008)</v>
      </c>
      <c r="CE9" s="53" t="str">
        <f>CE1</f>
        <v>ITL afm Protect 2010</v>
      </c>
      <c r="CF9" s="53" t="str">
        <f>CF1</f>
        <v>ITL Eurosecure 2010</v>
      </c>
      <c r="CG9" s="53" t="str">
        <f>CG1</f>
        <v>ITL Existenz 2010</v>
      </c>
      <c r="CH9" s="53" t="str">
        <f>CH1</f>
        <v>ITL afm Eurosecure 2009</v>
      </c>
      <c r="CI9" s="45" t="s">
        <v>3552</v>
      </c>
      <c r="CJ9" s="45" t="s">
        <v>3550</v>
      </c>
      <c r="CK9" s="45" t="s">
        <v>3549</v>
      </c>
      <c r="CL9" s="45" t="s">
        <v>3551</v>
      </c>
      <c r="CM9" s="53" t="str">
        <f>CM1</f>
        <v>Itzehoer Basis</v>
      </c>
      <c r="CN9" s="53" t="str">
        <f>CN1</f>
        <v>Itzehoer Plus</v>
      </c>
      <c r="CO9" s="11" t="str">
        <f t="shared" si="5"/>
        <v>Marsh Wohngebäude 2011
(Stand 01-2011)</v>
      </c>
      <c r="CP9" s="53"/>
      <c r="CQ9" s="53"/>
      <c r="CR9" s="53"/>
      <c r="CS9" s="53" t="str">
        <f>CS1</f>
        <v>nat. suisse AllRisk</v>
      </c>
      <c r="CT9" s="53" t="str">
        <f>CT1</f>
        <v>nat. suisse Komfort</v>
      </c>
      <c r="CU9" s="53" t="str">
        <f>CU1</f>
        <v>nat. suisse Premium</v>
      </c>
      <c r="CV9" s="53" t="str">
        <f t="shared" si="5"/>
        <v>nat. suisse Ideal-Schutz
(Stand 01-2008)</v>
      </c>
      <c r="CW9" s="53" t="str">
        <f t="shared" si="5"/>
        <v>Neuendorfer
(Stand 01-2008)</v>
      </c>
      <c r="CX9" s="53" t="str">
        <f>CX1</f>
        <v>Nürnberger KomplettSchutz (Wert 1914)</v>
      </c>
      <c r="CY9" s="53" t="str">
        <f t="shared" si="5"/>
        <v>Provinzial Basis
(Stand 01-2009)</v>
      </c>
      <c r="CZ9" s="53" t="str">
        <f t="shared" si="5"/>
        <v>Provinzial Top
(Stand 01-2009)</v>
      </c>
      <c r="DA9" s="53" t="str">
        <f t="shared" si="5"/>
        <v>Provinzial Rheinland
V.I.P.-Intelligent</v>
      </c>
      <c r="DB9" s="53" t="str">
        <f>DB1</f>
        <v>Provinzial Kompaktschutz</v>
      </c>
      <c r="DC9" s="53" t="str">
        <f>DC1</f>
        <v>Provinzial Rundum inkl. Plus</v>
      </c>
      <c r="DD9" s="53" t="str">
        <f>DD1</f>
        <v>Provinzial Rundumschutz</v>
      </c>
      <c r="DE9" s="53" t="str">
        <f t="shared" si="5"/>
        <v>Rhion Plus
(Stand 04-2011)</v>
      </c>
      <c r="DF9" s="53" t="str">
        <f t="shared" si="5"/>
        <v>Rhion Standard
(Stand 04-2011)</v>
      </c>
      <c r="DG9" s="145" t="s">
        <v>3341</v>
      </c>
      <c r="DH9" s="53" t="str">
        <f t="shared" si="5"/>
        <v>R+V PrivatPolice (Fläche)
(Stand 01-2011)</v>
      </c>
      <c r="DI9" s="53" t="str">
        <f t="shared" si="5"/>
        <v>R+V PrivatPolice (Fläche)
(Stand 07-2012)</v>
      </c>
      <c r="DJ9" s="53" t="str">
        <f>DJ1</f>
        <v>R+V PrivatPolice (Fläche)</v>
      </c>
      <c r="DK9" s="53" t="str">
        <f>DK1</f>
        <v>VdVA</v>
      </c>
      <c r="DL9" s="53" t="s">
        <v>3496</v>
      </c>
      <c r="DM9" s="53" t="str">
        <f t="shared" si="5"/>
        <v>VHV Exklusiv
(Stand 09-2008)</v>
      </c>
      <c r="DN9" s="53" t="str">
        <f t="shared" si="5"/>
        <v>VHV Klassik
(Stand 09-2008)</v>
      </c>
      <c r="DO9" s="53" t="str">
        <f>DO1</f>
        <v>VHV Klassik Garant</v>
      </c>
      <c r="DP9" s="53" t="str">
        <f>DP1</f>
        <v>VHV Klassik Garant Exklusiv</v>
      </c>
      <c r="DQ9" s="53" t="str">
        <f t="shared" ref="DQ9:DX9" si="7">DQ1</f>
        <v>VKB Standard (Für Fr. La Tona) (VGB 88)</v>
      </c>
      <c r="DR9" s="53" t="str">
        <f t="shared" si="7"/>
        <v>VKB (Für Fr. La Tona) (Feuerdeckung inkl. Plus-Paket)</v>
      </c>
      <c r="DS9" s="53" t="str">
        <f t="shared" si="7"/>
        <v>VKB VGB 2000 Plus 2
(Stand 01-2008)</v>
      </c>
      <c r="DT9" s="53" t="str">
        <f>DT1</f>
        <v>VKB Kompakt</v>
      </c>
      <c r="DU9" s="53" t="str">
        <f>DU1</f>
        <v>VKB Optimal</v>
      </c>
      <c r="DV9" s="53" t="str">
        <f t="shared" si="7"/>
        <v>Volksfürsorge Komfort (qm)
Stand (01-2007)</v>
      </c>
      <c r="DW9" s="53" t="str">
        <f t="shared" si="7"/>
        <v>Württembergische KompaktSchutz (11-2010)</v>
      </c>
      <c r="DX9" s="53" t="str">
        <f t="shared" si="7"/>
        <v>Württembergische PremiumSchutz (11-2010)</v>
      </c>
      <c r="DY9" s="53" t="str">
        <f>DY1</f>
        <v>WÜBA Plus</v>
      </c>
      <c r="DZ9" s="53"/>
    </row>
    <row r="10" spans="1:130" s="18" customFormat="1" ht="22.5" customHeight="1" x14ac:dyDescent="0.15">
      <c r="A10" s="25" t="s">
        <v>29</v>
      </c>
      <c r="B10" s="46" t="s">
        <v>95</v>
      </c>
      <c r="C10" s="46" t="s">
        <v>95</v>
      </c>
      <c r="D10" s="46" t="s">
        <v>95</v>
      </c>
      <c r="E10" s="46" t="s">
        <v>95</v>
      </c>
      <c r="F10" s="46" t="s">
        <v>95</v>
      </c>
      <c r="G10" s="46" t="s">
        <v>95</v>
      </c>
      <c r="H10" s="47" t="s">
        <v>140</v>
      </c>
      <c r="I10" s="62" t="s">
        <v>140</v>
      </c>
      <c r="J10" s="47" t="s">
        <v>140</v>
      </c>
      <c r="K10" s="47" t="s">
        <v>140</v>
      </c>
      <c r="L10" s="47" t="s">
        <v>140</v>
      </c>
      <c r="M10" s="62" t="s">
        <v>140</v>
      </c>
      <c r="N10" s="46" t="s">
        <v>95</v>
      </c>
      <c r="O10" s="46" t="s">
        <v>95</v>
      </c>
      <c r="P10" s="46" t="s">
        <v>95</v>
      </c>
      <c r="Q10" s="46" t="s">
        <v>95</v>
      </c>
      <c r="R10" s="46" t="s">
        <v>95</v>
      </c>
      <c r="S10" s="117" t="s">
        <v>95</v>
      </c>
      <c r="T10" s="117" t="s">
        <v>3304</v>
      </c>
      <c r="U10" s="120" t="s">
        <v>95</v>
      </c>
      <c r="V10" s="46" t="s">
        <v>95</v>
      </c>
      <c r="W10" s="101" t="s">
        <v>95</v>
      </c>
      <c r="X10" s="46" t="s">
        <v>95</v>
      </c>
      <c r="Y10" s="46" t="s">
        <v>95</v>
      </c>
      <c r="Z10" s="47" t="s">
        <v>95</v>
      </c>
      <c r="AA10" s="46" t="s">
        <v>95</v>
      </c>
      <c r="AB10" s="46" t="s">
        <v>95</v>
      </c>
      <c r="AC10" s="46" t="s">
        <v>95</v>
      </c>
      <c r="AD10" s="46" t="s">
        <v>95</v>
      </c>
      <c r="AE10" s="46" t="s">
        <v>95</v>
      </c>
      <c r="AF10" s="46" t="s">
        <v>95</v>
      </c>
      <c r="AG10" s="46" t="s">
        <v>95</v>
      </c>
      <c r="AH10" s="46" t="s">
        <v>95</v>
      </c>
      <c r="AI10" s="46" t="s">
        <v>95</v>
      </c>
      <c r="AJ10" s="46" t="s">
        <v>95</v>
      </c>
      <c r="AK10" s="46" t="s">
        <v>95</v>
      </c>
      <c r="AL10" s="46" t="s">
        <v>95</v>
      </c>
      <c r="AM10" s="46" t="s">
        <v>95</v>
      </c>
      <c r="AN10" s="20" t="s">
        <v>95</v>
      </c>
      <c r="AO10" s="130" t="s">
        <v>3314</v>
      </c>
      <c r="AP10" s="20" t="s">
        <v>95</v>
      </c>
      <c r="AQ10" s="44" t="s">
        <v>95</v>
      </c>
      <c r="AR10" s="44" t="s">
        <v>95</v>
      </c>
      <c r="AS10" s="44" t="s">
        <v>95</v>
      </c>
      <c r="AT10" s="44" t="s">
        <v>95</v>
      </c>
      <c r="AU10" s="42" t="s">
        <v>95</v>
      </c>
      <c r="AV10" s="20" t="s">
        <v>95</v>
      </c>
      <c r="AW10" s="44" t="s">
        <v>95</v>
      </c>
      <c r="AX10" s="20" t="s">
        <v>95</v>
      </c>
      <c r="AY10" s="44" t="s">
        <v>95</v>
      </c>
      <c r="AZ10" s="44" t="s">
        <v>95</v>
      </c>
      <c r="BA10" s="44" t="s">
        <v>95</v>
      </c>
      <c r="BB10" s="44" t="s">
        <v>95</v>
      </c>
      <c r="BC10" s="44" t="s">
        <v>95</v>
      </c>
      <c r="BD10" s="44" t="s">
        <v>95</v>
      </c>
      <c r="BE10" s="44" t="s">
        <v>95</v>
      </c>
      <c r="BF10" s="47" t="s">
        <v>95</v>
      </c>
      <c r="BG10" s="47" t="s">
        <v>95</v>
      </c>
      <c r="BH10" s="47" t="s">
        <v>95</v>
      </c>
      <c r="BI10" s="46" t="s">
        <v>95</v>
      </c>
      <c r="BJ10" s="46" t="s">
        <v>95</v>
      </c>
      <c r="BK10" s="46" t="s">
        <v>95</v>
      </c>
      <c r="BL10" s="47" t="s">
        <v>140</v>
      </c>
      <c r="BM10" s="47" t="s">
        <v>140</v>
      </c>
      <c r="BN10" s="46" t="s">
        <v>95</v>
      </c>
      <c r="BO10" s="46" t="s">
        <v>95</v>
      </c>
      <c r="BP10" s="46" t="s">
        <v>95</v>
      </c>
      <c r="BQ10" s="46" t="s">
        <v>95</v>
      </c>
      <c r="BR10" s="46" t="s">
        <v>95</v>
      </c>
      <c r="BS10" s="46" t="s">
        <v>95</v>
      </c>
      <c r="BT10" s="46" t="s">
        <v>95</v>
      </c>
      <c r="BU10" s="46" t="s">
        <v>95</v>
      </c>
      <c r="BV10" s="46" t="s">
        <v>95</v>
      </c>
      <c r="BW10" s="47" t="s">
        <v>2098</v>
      </c>
      <c r="BX10" s="47" t="s">
        <v>2098</v>
      </c>
      <c r="BY10" s="46" t="s">
        <v>95</v>
      </c>
      <c r="BZ10" s="46" t="s">
        <v>95</v>
      </c>
      <c r="CA10" s="46" t="s">
        <v>95</v>
      </c>
      <c r="CB10" s="46" t="s">
        <v>95</v>
      </c>
      <c r="CC10" s="46" t="s">
        <v>95</v>
      </c>
      <c r="CD10" s="46" t="s">
        <v>95</v>
      </c>
      <c r="CE10" s="47" t="s">
        <v>140</v>
      </c>
      <c r="CF10" s="47" t="s">
        <v>140</v>
      </c>
      <c r="CG10" s="47" t="s">
        <v>140</v>
      </c>
      <c r="CH10" s="46" t="s">
        <v>95</v>
      </c>
      <c r="CI10" s="47" t="s">
        <v>140</v>
      </c>
      <c r="CJ10" s="47" t="s">
        <v>140</v>
      </c>
      <c r="CK10" s="47" t="s">
        <v>140</v>
      </c>
      <c r="CL10" s="47" t="s">
        <v>140</v>
      </c>
      <c r="CM10" s="47" t="s">
        <v>95</v>
      </c>
      <c r="CN10" s="47" t="s">
        <v>95</v>
      </c>
      <c r="CO10" s="46" t="s">
        <v>95</v>
      </c>
      <c r="CP10" s="43" t="s">
        <v>95</v>
      </c>
      <c r="CQ10" s="43" t="s">
        <v>95</v>
      </c>
      <c r="CR10" s="43" t="s">
        <v>95</v>
      </c>
      <c r="CS10" s="46" t="s">
        <v>95</v>
      </c>
      <c r="CT10" s="46" t="s">
        <v>95</v>
      </c>
      <c r="CU10" s="46" t="s">
        <v>95</v>
      </c>
      <c r="CV10" s="46" t="s">
        <v>95</v>
      </c>
      <c r="CW10" s="47" t="s">
        <v>95</v>
      </c>
      <c r="CX10" s="47" t="s">
        <v>140</v>
      </c>
      <c r="CY10" s="46" t="s">
        <v>95</v>
      </c>
      <c r="CZ10" s="46" t="s">
        <v>95</v>
      </c>
      <c r="DA10" s="46" t="s">
        <v>95</v>
      </c>
      <c r="DB10" s="46" t="s">
        <v>95</v>
      </c>
      <c r="DC10" s="46" t="s">
        <v>95</v>
      </c>
      <c r="DD10" s="46" t="s">
        <v>95</v>
      </c>
      <c r="DE10" s="46" t="s">
        <v>95</v>
      </c>
      <c r="DF10" s="46" t="s">
        <v>95</v>
      </c>
      <c r="DG10" s="147" t="s">
        <v>95</v>
      </c>
      <c r="DH10" s="46" t="s">
        <v>95</v>
      </c>
      <c r="DI10" s="46" t="s">
        <v>95</v>
      </c>
      <c r="DJ10" s="46" t="s">
        <v>95</v>
      </c>
      <c r="DK10" s="47" t="s">
        <v>140</v>
      </c>
      <c r="DL10" s="47" t="s">
        <v>95</v>
      </c>
      <c r="DM10" s="46" t="s">
        <v>95</v>
      </c>
      <c r="DN10" s="46" t="s">
        <v>95</v>
      </c>
      <c r="DO10" s="46" t="s">
        <v>95</v>
      </c>
      <c r="DP10" s="46" t="s">
        <v>95</v>
      </c>
      <c r="DQ10" s="47" t="s">
        <v>95</v>
      </c>
      <c r="DR10" s="46" t="s">
        <v>95</v>
      </c>
      <c r="DS10" s="47" t="s">
        <v>95</v>
      </c>
      <c r="DT10" s="47" t="s">
        <v>95</v>
      </c>
      <c r="DU10" s="47" t="s">
        <v>95</v>
      </c>
      <c r="DV10" s="46" t="s">
        <v>95</v>
      </c>
      <c r="DW10" s="47" t="s">
        <v>95</v>
      </c>
      <c r="DX10" s="47" t="s">
        <v>95</v>
      </c>
      <c r="DY10" s="46" t="s">
        <v>95</v>
      </c>
      <c r="DZ10" s="44"/>
    </row>
    <row r="11" spans="1:130" s="18" customFormat="1" ht="12" customHeight="1" x14ac:dyDescent="0.15">
      <c r="A11" s="76" t="s">
        <v>402</v>
      </c>
      <c r="B11" s="69"/>
      <c r="C11" s="69" t="s">
        <v>2764</v>
      </c>
      <c r="D11" s="69" t="s">
        <v>2764</v>
      </c>
      <c r="E11" s="69" t="s">
        <v>1595</v>
      </c>
      <c r="F11" s="69"/>
      <c r="G11" s="69" t="s">
        <v>1595</v>
      </c>
      <c r="H11" s="69" t="s">
        <v>1484</v>
      </c>
      <c r="I11" s="106" t="s">
        <v>1484</v>
      </c>
      <c r="J11" s="69" t="s">
        <v>1484</v>
      </c>
      <c r="K11" s="69" t="s">
        <v>1484</v>
      </c>
      <c r="L11" s="69" t="s">
        <v>1484</v>
      </c>
      <c r="M11" s="106" t="s">
        <v>1484</v>
      </c>
      <c r="N11" s="69" t="s">
        <v>1346</v>
      </c>
      <c r="O11" s="69"/>
      <c r="P11" s="69"/>
      <c r="Q11" s="69"/>
      <c r="R11" s="69" t="s">
        <v>3236</v>
      </c>
      <c r="S11" s="128"/>
      <c r="T11" s="128"/>
      <c r="U11" s="107" t="s">
        <v>1740</v>
      </c>
      <c r="V11" s="69"/>
      <c r="W11" s="106" t="s">
        <v>1343</v>
      </c>
      <c r="X11" s="69" t="s">
        <v>1343</v>
      </c>
      <c r="Y11" s="69" t="s">
        <v>2302</v>
      </c>
      <c r="Z11" s="69" t="s">
        <v>2637</v>
      </c>
      <c r="AA11" s="69" t="s">
        <v>3</v>
      </c>
      <c r="AB11" s="69" t="s">
        <v>731</v>
      </c>
      <c r="AC11" s="69" t="s">
        <v>731</v>
      </c>
      <c r="AD11" s="69" t="s">
        <v>731</v>
      </c>
      <c r="AE11" s="69" t="s">
        <v>731</v>
      </c>
      <c r="AF11" s="69" t="s">
        <v>731</v>
      </c>
      <c r="AG11" s="69" t="s">
        <v>731</v>
      </c>
      <c r="AH11" s="69" t="s">
        <v>2822</v>
      </c>
      <c r="AI11" s="69" t="s">
        <v>2822</v>
      </c>
      <c r="AJ11" s="69" t="s">
        <v>2822</v>
      </c>
      <c r="AK11" s="69" t="s">
        <v>3047</v>
      </c>
      <c r="AL11" s="69" t="s">
        <v>3047</v>
      </c>
      <c r="AM11" s="69" t="s">
        <v>3047</v>
      </c>
      <c r="AN11" s="69" t="s">
        <v>494</v>
      </c>
      <c r="AO11" s="131"/>
      <c r="AP11" s="69" t="s">
        <v>494</v>
      </c>
      <c r="AQ11" s="69"/>
      <c r="AR11" s="69"/>
      <c r="AS11" s="69"/>
      <c r="AT11" s="69"/>
      <c r="AU11" s="69"/>
      <c r="AV11" s="69" t="s">
        <v>553</v>
      </c>
      <c r="AW11" s="69" t="s">
        <v>553</v>
      </c>
      <c r="AX11" s="69" t="s">
        <v>2591</v>
      </c>
      <c r="AY11" s="69" t="s">
        <v>2591</v>
      </c>
      <c r="AZ11" s="69" t="s">
        <v>851</v>
      </c>
      <c r="BA11" s="69" t="s">
        <v>851</v>
      </c>
      <c r="BB11" s="69" t="s">
        <v>851</v>
      </c>
      <c r="BC11" s="69" t="s">
        <v>851</v>
      </c>
      <c r="BD11" s="69" t="s">
        <v>851</v>
      </c>
      <c r="BE11" s="69" t="s">
        <v>851</v>
      </c>
      <c r="BF11" s="69" t="s">
        <v>1157</v>
      </c>
      <c r="BG11" s="69" t="s">
        <v>1157</v>
      </c>
      <c r="BH11" s="69"/>
      <c r="BI11" s="69"/>
      <c r="BJ11" s="69" t="s">
        <v>1910</v>
      </c>
      <c r="BK11" s="69" t="s">
        <v>2449</v>
      </c>
      <c r="BL11" s="69" t="s">
        <v>2369</v>
      </c>
      <c r="BM11" s="69"/>
      <c r="BN11" s="69"/>
      <c r="BO11" s="69"/>
      <c r="BP11" s="69" t="s">
        <v>649</v>
      </c>
      <c r="BQ11" s="69" t="s">
        <v>649</v>
      </c>
      <c r="BR11" s="69"/>
      <c r="BS11" s="69"/>
      <c r="BT11" s="69"/>
      <c r="BU11" s="69"/>
      <c r="BV11" s="69"/>
      <c r="BW11" s="69" t="s">
        <v>2113</v>
      </c>
      <c r="BX11" s="69" t="s">
        <v>2113</v>
      </c>
      <c r="BY11" s="69"/>
      <c r="BZ11" s="69" t="s">
        <v>1708</v>
      </c>
      <c r="CA11" s="69" t="s">
        <v>1708</v>
      </c>
      <c r="CB11" s="69" t="s">
        <v>1708</v>
      </c>
      <c r="CC11" s="69"/>
      <c r="CD11" s="69"/>
      <c r="CE11" s="69" t="s">
        <v>1810</v>
      </c>
      <c r="CF11" s="69" t="s">
        <v>1811</v>
      </c>
      <c r="CG11" s="69" t="s">
        <v>1855</v>
      </c>
      <c r="CH11" s="69" t="s">
        <v>1772</v>
      </c>
      <c r="CI11" s="69" t="s">
        <v>1811</v>
      </c>
      <c r="CJ11" s="69" t="s">
        <v>1811</v>
      </c>
      <c r="CK11" s="69" t="s">
        <v>1811</v>
      </c>
      <c r="CL11" s="69" t="s">
        <v>3557</v>
      </c>
      <c r="CM11" s="69" t="s">
        <v>786</v>
      </c>
      <c r="CN11" s="69" t="s">
        <v>786</v>
      </c>
      <c r="CO11" s="69" t="s">
        <v>970</v>
      </c>
      <c r="CP11" s="69" t="s">
        <v>3221</v>
      </c>
      <c r="CQ11" s="69" t="s">
        <v>3221</v>
      </c>
      <c r="CR11" s="69" t="s">
        <v>3221</v>
      </c>
      <c r="CS11" s="69" t="s">
        <v>2493</v>
      </c>
      <c r="CT11" s="69" t="s">
        <v>868</v>
      </c>
      <c r="CU11" s="69" t="s">
        <v>868</v>
      </c>
      <c r="CV11" s="69"/>
      <c r="CW11" s="69"/>
      <c r="CX11" s="69" t="s">
        <v>1245</v>
      </c>
      <c r="CY11" s="69"/>
      <c r="CZ11" s="69"/>
      <c r="DA11" s="69" t="s">
        <v>1327</v>
      </c>
      <c r="DB11" s="69" t="s">
        <v>927</v>
      </c>
      <c r="DC11" s="69" t="s">
        <v>927</v>
      </c>
      <c r="DD11" s="69" t="s">
        <v>927</v>
      </c>
      <c r="DE11" s="69"/>
      <c r="DF11" s="69"/>
      <c r="DG11" s="152" t="s">
        <v>3344</v>
      </c>
      <c r="DH11" s="69"/>
      <c r="DI11" s="69" t="s">
        <v>1035</v>
      </c>
      <c r="DJ11" s="69" t="s">
        <v>1035</v>
      </c>
      <c r="DK11" s="69" t="s">
        <v>1939</v>
      </c>
      <c r="DL11" s="69"/>
      <c r="DM11" s="69"/>
      <c r="DN11" s="69"/>
      <c r="DO11" s="69"/>
      <c r="DP11" s="69"/>
      <c r="DQ11" s="69" t="s">
        <v>2950</v>
      </c>
      <c r="DR11" s="69" t="s">
        <v>1377</v>
      </c>
      <c r="DS11" s="69" t="s">
        <v>2684</v>
      </c>
      <c r="DT11" s="69" t="s">
        <v>1772</v>
      </c>
      <c r="DU11" s="69" t="s">
        <v>1772</v>
      </c>
      <c r="DV11" s="69" t="s">
        <v>3</v>
      </c>
      <c r="DW11" s="69"/>
      <c r="DX11" s="69"/>
      <c r="DY11" s="69" t="s">
        <v>1521</v>
      </c>
      <c r="DZ11" s="69"/>
    </row>
    <row r="12" spans="1:130" s="18" customFormat="1" ht="22.5" customHeight="1" x14ac:dyDescent="0.15">
      <c r="A12" s="25" t="s">
        <v>28</v>
      </c>
      <c r="B12" s="47" t="s">
        <v>329</v>
      </c>
      <c r="C12" s="46" t="s">
        <v>95</v>
      </c>
      <c r="D12" s="46" t="s">
        <v>95</v>
      </c>
      <c r="E12" s="47" t="s">
        <v>3269</v>
      </c>
      <c r="F12" s="46" t="s">
        <v>95</v>
      </c>
      <c r="G12" s="46" t="s">
        <v>95</v>
      </c>
      <c r="H12" s="46" t="s">
        <v>1464</v>
      </c>
      <c r="I12" s="101" t="s">
        <v>1464</v>
      </c>
      <c r="J12" s="46" t="s">
        <v>1464</v>
      </c>
      <c r="K12" s="46" t="s">
        <v>1464</v>
      </c>
      <c r="L12" s="46" t="s">
        <v>1464</v>
      </c>
      <c r="M12" s="101" t="s">
        <v>1464</v>
      </c>
      <c r="N12" s="47" t="s">
        <v>1347</v>
      </c>
      <c r="O12" s="46" t="s">
        <v>95</v>
      </c>
      <c r="P12" s="46" t="s">
        <v>95</v>
      </c>
      <c r="Q12" s="46" t="s">
        <v>95</v>
      </c>
      <c r="R12" s="47" t="s">
        <v>651</v>
      </c>
      <c r="S12" s="117" t="s">
        <v>95</v>
      </c>
      <c r="T12" s="117" t="s">
        <v>95</v>
      </c>
      <c r="U12" s="120" t="s">
        <v>95</v>
      </c>
      <c r="V12" s="47" t="s">
        <v>792</v>
      </c>
      <c r="W12" s="62" t="s">
        <v>1341</v>
      </c>
      <c r="X12" s="47" t="s">
        <v>1341</v>
      </c>
      <c r="Y12" s="46" t="s">
        <v>651</v>
      </c>
      <c r="Z12" s="46" t="s">
        <v>651</v>
      </c>
      <c r="AA12" s="47" t="s">
        <v>1349</v>
      </c>
      <c r="AB12" s="46" t="s">
        <v>651</v>
      </c>
      <c r="AC12" s="46" t="s">
        <v>651</v>
      </c>
      <c r="AD12" s="46" t="s">
        <v>651</v>
      </c>
      <c r="AE12" s="46" t="s">
        <v>651</v>
      </c>
      <c r="AF12" s="46" t="s">
        <v>651</v>
      </c>
      <c r="AG12" s="46" t="s">
        <v>651</v>
      </c>
      <c r="AH12" s="47" t="s">
        <v>95</v>
      </c>
      <c r="AI12" s="47" t="s">
        <v>95</v>
      </c>
      <c r="AJ12" s="47" t="s">
        <v>95</v>
      </c>
      <c r="AK12" s="47" t="s">
        <v>651</v>
      </c>
      <c r="AL12" s="47" t="s">
        <v>651</v>
      </c>
      <c r="AM12" s="47" t="s">
        <v>651</v>
      </c>
      <c r="AN12" s="20" t="s">
        <v>180</v>
      </c>
      <c r="AO12" s="130" t="s">
        <v>95</v>
      </c>
      <c r="AP12" s="20" t="s">
        <v>180</v>
      </c>
      <c r="AQ12" s="43" t="s">
        <v>202</v>
      </c>
      <c r="AR12" s="43" t="s">
        <v>202</v>
      </c>
      <c r="AS12" s="43" t="s">
        <v>202</v>
      </c>
      <c r="AT12" s="43" t="s">
        <v>202</v>
      </c>
      <c r="AU12" s="42" t="s">
        <v>95</v>
      </c>
      <c r="AV12" s="20" t="s">
        <v>95</v>
      </c>
      <c r="AW12" s="20" t="s">
        <v>95</v>
      </c>
      <c r="AX12" s="20" t="s">
        <v>95</v>
      </c>
      <c r="AY12" s="20" t="s">
        <v>95</v>
      </c>
      <c r="AZ12" s="20" t="s">
        <v>3130</v>
      </c>
      <c r="BA12" s="20" t="s">
        <v>3130</v>
      </c>
      <c r="BB12" s="20" t="s">
        <v>3130</v>
      </c>
      <c r="BC12" s="20" t="s">
        <v>2248</v>
      </c>
      <c r="BD12" s="20" t="s">
        <v>2248</v>
      </c>
      <c r="BE12" s="20" t="s">
        <v>2248</v>
      </c>
      <c r="BF12" s="47" t="s">
        <v>1123</v>
      </c>
      <c r="BG12" s="47" t="s">
        <v>1093</v>
      </c>
      <c r="BH12" s="47" t="s">
        <v>1093</v>
      </c>
      <c r="BI12" s="47" t="s">
        <v>394</v>
      </c>
      <c r="BJ12" s="47" t="s">
        <v>1893</v>
      </c>
      <c r="BK12" s="47" t="s">
        <v>95</v>
      </c>
      <c r="BL12" s="47" t="s">
        <v>651</v>
      </c>
      <c r="BM12" s="46" t="s">
        <v>3</v>
      </c>
      <c r="BN12" s="47" t="s">
        <v>98</v>
      </c>
      <c r="BO12" s="47" t="s">
        <v>98</v>
      </c>
      <c r="BP12" s="47" t="s">
        <v>647</v>
      </c>
      <c r="BQ12" s="47" t="s">
        <v>647</v>
      </c>
      <c r="BR12" s="47" t="s">
        <v>95</v>
      </c>
      <c r="BS12" s="46" t="s">
        <v>224</v>
      </c>
      <c r="BT12" s="46" t="s">
        <v>224</v>
      </c>
      <c r="BU12" s="46" t="s">
        <v>95</v>
      </c>
      <c r="BV12" s="46" t="s">
        <v>95</v>
      </c>
      <c r="BW12" s="47" t="s">
        <v>2109</v>
      </c>
      <c r="BX12" s="47" t="s">
        <v>2109</v>
      </c>
      <c r="BY12" s="46" t="s">
        <v>95</v>
      </c>
      <c r="BZ12" s="46" t="s">
        <v>95</v>
      </c>
      <c r="CA12" s="46" t="s">
        <v>95</v>
      </c>
      <c r="CB12" s="46" t="s">
        <v>95</v>
      </c>
      <c r="CC12" s="46" t="s">
        <v>95</v>
      </c>
      <c r="CD12" s="46" t="s">
        <v>95</v>
      </c>
      <c r="CE12" s="46" t="s">
        <v>95</v>
      </c>
      <c r="CF12" s="46" t="s">
        <v>95</v>
      </c>
      <c r="CG12" s="46" t="s">
        <v>95</v>
      </c>
      <c r="CH12" s="46" t="s">
        <v>95</v>
      </c>
      <c r="CI12" s="46" t="s">
        <v>95</v>
      </c>
      <c r="CJ12" s="46" t="s">
        <v>95</v>
      </c>
      <c r="CK12" s="46" t="s">
        <v>95</v>
      </c>
      <c r="CL12" s="46" t="s">
        <v>95</v>
      </c>
      <c r="CM12" s="46" t="s">
        <v>651</v>
      </c>
      <c r="CN12" s="46" t="s">
        <v>651</v>
      </c>
      <c r="CO12" s="46" t="s">
        <v>95</v>
      </c>
      <c r="CP12" s="46" t="s">
        <v>651</v>
      </c>
      <c r="CQ12" s="46" t="s">
        <v>651</v>
      </c>
      <c r="CR12" s="46" t="s">
        <v>651</v>
      </c>
      <c r="CS12" s="46" t="s">
        <v>651</v>
      </c>
      <c r="CT12" s="46" t="s">
        <v>651</v>
      </c>
      <c r="CU12" s="46" t="s">
        <v>651</v>
      </c>
      <c r="CV12" s="47" t="s">
        <v>98</v>
      </c>
      <c r="CW12" s="47" t="s">
        <v>94</v>
      </c>
      <c r="CX12" s="47" t="s">
        <v>1246</v>
      </c>
      <c r="CY12" s="47" t="s">
        <v>98</v>
      </c>
      <c r="CZ12" s="47" t="s">
        <v>98</v>
      </c>
      <c r="DA12" s="47" t="s">
        <v>2158</v>
      </c>
      <c r="DB12" s="47" t="s">
        <v>651</v>
      </c>
      <c r="DC12" s="47" t="s">
        <v>651</v>
      </c>
      <c r="DD12" s="47" t="s">
        <v>651</v>
      </c>
      <c r="DE12" s="47" t="s">
        <v>181</v>
      </c>
      <c r="DF12" s="47" t="s">
        <v>181</v>
      </c>
      <c r="DG12" s="146" t="s">
        <v>3345</v>
      </c>
      <c r="DH12" s="47" t="s">
        <v>346</v>
      </c>
      <c r="DI12" s="47" t="s">
        <v>1002</v>
      </c>
      <c r="DJ12" s="47" t="s">
        <v>1002</v>
      </c>
      <c r="DK12" s="47" t="s">
        <v>1938</v>
      </c>
      <c r="DL12" s="47" t="s">
        <v>95</v>
      </c>
      <c r="DM12" s="46" t="s">
        <v>95</v>
      </c>
      <c r="DN12" s="46" t="s">
        <v>95</v>
      </c>
      <c r="DO12" s="46" t="s">
        <v>95</v>
      </c>
      <c r="DP12" s="46" t="s">
        <v>95</v>
      </c>
      <c r="DQ12" s="47" t="s">
        <v>2942</v>
      </c>
      <c r="DR12" s="47" t="s">
        <v>1347</v>
      </c>
      <c r="DS12" s="47" t="s">
        <v>2685</v>
      </c>
      <c r="DT12" s="46" t="s">
        <v>94</v>
      </c>
      <c r="DU12" s="47" t="s">
        <v>1200</v>
      </c>
      <c r="DV12" s="46" t="s">
        <v>94</v>
      </c>
      <c r="DW12" s="46" t="s">
        <v>95</v>
      </c>
      <c r="DX12" s="46" t="s">
        <v>95</v>
      </c>
      <c r="DY12" s="47" t="s">
        <v>1501</v>
      </c>
      <c r="DZ12" s="43"/>
    </row>
    <row r="13" spans="1:130" s="18" customFormat="1" ht="12" customHeight="1" x14ac:dyDescent="0.15">
      <c r="A13" s="76" t="s">
        <v>402</v>
      </c>
      <c r="B13" s="69"/>
      <c r="C13" s="69" t="s">
        <v>2764</v>
      </c>
      <c r="D13" s="69" t="s">
        <v>2764</v>
      </c>
      <c r="E13" s="69" t="s">
        <v>3268</v>
      </c>
      <c r="F13" s="69"/>
      <c r="G13" s="69" t="s">
        <v>1594</v>
      </c>
      <c r="H13" s="69" t="s">
        <v>1465</v>
      </c>
      <c r="I13" s="106" t="s">
        <v>1465</v>
      </c>
      <c r="J13" s="69" t="s">
        <v>1465</v>
      </c>
      <c r="K13" s="69" t="s">
        <v>1465</v>
      </c>
      <c r="L13" s="69" t="s">
        <v>1465</v>
      </c>
      <c r="M13" s="106" t="s">
        <v>1465</v>
      </c>
      <c r="N13" s="69" t="s">
        <v>1348</v>
      </c>
      <c r="O13" s="69"/>
      <c r="P13" s="69"/>
      <c r="Q13" s="69"/>
      <c r="R13" s="69"/>
      <c r="S13" s="128"/>
      <c r="T13" s="128"/>
      <c r="U13" s="107" t="s">
        <v>1740</v>
      </c>
      <c r="V13" s="69"/>
      <c r="W13" s="106" t="s">
        <v>1342</v>
      </c>
      <c r="X13" s="69" t="s">
        <v>1342</v>
      </c>
      <c r="Y13" s="69" t="s">
        <v>3</v>
      </c>
      <c r="Z13" s="69" t="s">
        <v>2637</v>
      </c>
      <c r="AA13" s="69" t="s">
        <v>1346</v>
      </c>
      <c r="AB13" s="69" t="s">
        <v>731</v>
      </c>
      <c r="AC13" s="69" t="s">
        <v>731</v>
      </c>
      <c r="AD13" s="69" t="s">
        <v>731</v>
      </c>
      <c r="AE13" s="69" t="s">
        <v>731</v>
      </c>
      <c r="AF13" s="69" t="s">
        <v>731</v>
      </c>
      <c r="AG13" s="69" t="s">
        <v>731</v>
      </c>
      <c r="AH13" s="69" t="s">
        <v>2823</v>
      </c>
      <c r="AI13" s="69" t="s">
        <v>2823</v>
      </c>
      <c r="AJ13" s="69" t="s">
        <v>2823</v>
      </c>
      <c r="AK13" s="69" t="s">
        <v>3048</v>
      </c>
      <c r="AL13" s="69" t="s">
        <v>3048</v>
      </c>
      <c r="AM13" s="69" t="s">
        <v>3048</v>
      </c>
      <c r="AN13" s="69" t="s">
        <v>495</v>
      </c>
      <c r="AO13" s="131"/>
      <c r="AP13" s="69" t="s">
        <v>495</v>
      </c>
      <c r="AQ13" s="69" t="s">
        <v>3396</v>
      </c>
      <c r="AR13" s="69"/>
      <c r="AS13" s="69"/>
      <c r="AT13" s="69"/>
      <c r="AU13" s="69"/>
      <c r="AV13" s="69" t="s">
        <v>552</v>
      </c>
      <c r="AW13" s="69" t="s">
        <v>552</v>
      </c>
      <c r="AX13" s="69" t="s">
        <v>551</v>
      </c>
      <c r="AY13" s="69" t="s">
        <v>551</v>
      </c>
      <c r="AZ13" s="69" t="s">
        <v>3129</v>
      </c>
      <c r="BA13" s="69" t="s">
        <v>3129</v>
      </c>
      <c r="BB13" s="69" t="s">
        <v>3129</v>
      </c>
      <c r="BC13" s="69" t="s">
        <v>2246</v>
      </c>
      <c r="BD13" s="69" t="s">
        <v>2246</v>
      </c>
      <c r="BE13" s="69" t="s">
        <v>2246</v>
      </c>
      <c r="BF13" s="69" t="s">
        <v>1084</v>
      </c>
      <c r="BG13" s="69" t="s">
        <v>1091</v>
      </c>
      <c r="BH13" s="69"/>
      <c r="BI13" s="69"/>
      <c r="BJ13" s="69" t="s">
        <v>1892</v>
      </c>
      <c r="BK13" s="69" t="s">
        <v>2450</v>
      </c>
      <c r="BL13" s="69" t="s">
        <v>1463</v>
      </c>
      <c r="BM13" s="69"/>
      <c r="BN13" s="69"/>
      <c r="BO13" s="69"/>
      <c r="BP13" s="69" t="s">
        <v>650</v>
      </c>
      <c r="BQ13" s="69" t="s">
        <v>650</v>
      </c>
      <c r="BR13" s="69"/>
      <c r="BS13" s="69"/>
      <c r="BT13" s="69"/>
      <c r="BU13" s="69"/>
      <c r="BV13" s="69"/>
      <c r="BW13" s="69" t="s">
        <v>2110</v>
      </c>
      <c r="BX13" s="69" t="s">
        <v>2111</v>
      </c>
      <c r="BY13" s="69"/>
      <c r="BZ13" s="69" t="s">
        <v>1662</v>
      </c>
      <c r="CA13" s="69" t="s">
        <v>2716</v>
      </c>
      <c r="CB13" s="69" t="s">
        <v>1662</v>
      </c>
      <c r="CC13" s="69"/>
      <c r="CD13" s="69"/>
      <c r="CE13" s="69" t="s">
        <v>1740</v>
      </c>
      <c r="CF13" s="69" t="s">
        <v>1773</v>
      </c>
      <c r="CG13" s="69" t="s">
        <v>1856</v>
      </c>
      <c r="CH13" s="69" t="s">
        <v>1772</v>
      </c>
      <c r="CI13" s="69" t="s">
        <v>3555</v>
      </c>
      <c r="CJ13" s="69" t="s">
        <v>1773</v>
      </c>
      <c r="CK13" s="69" t="s">
        <v>1773</v>
      </c>
      <c r="CL13" s="69" t="s">
        <v>3558</v>
      </c>
      <c r="CM13" s="69" t="s">
        <v>786</v>
      </c>
      <c r="CN13" s="69" t="s">
        <v>786</v>
      </c>
      <c r="CO13" s="69" t="s">
        <v>974</v>
      </c>
      <c r="CP13" s="69" t="s">
        <v>405</v>
      </c>
      <c r="CQ13" s="69" t="s">
        <v>3195</v>
      </c>
      <c r="CR13" s="69" t="s">
        <v>3195</v>
      </c>
      <c r="CS13" s="69" t="s">
        <v>2494</v>
      </c>
      <c r="CT13" s="69" t="s">
        <v>3</v>
      </c>
      <c r="CU13" s="69" t="s">
        <v>3</v>
      </c>
      <c r="CV13" s="69"/>
      <c r="CW13" s="69"/>
      <c r="CX13" s="69" t="s">
        <v>405</v>
      </c>
      <c r="CY13" s="69"/>
      <c r="CZ13" s="69"/>
      <c r="DA13" s="69" t="s">
        <v>2136</v>
      </c>
      <c r="DB13" s="69" t="s">
        <v>553</v>
      </c>
      <c r="DC13" s="69" t="s">
        <v>553</v>
      </c>
      <c r="DD13" s="69" t="s">
        <v>553</v>
      </c>
      <c r="DE13" s="69"/>
      <c r="DF13" s="69"/>
      <c r="DG13" s="152" t="s">
        <v>3346</v>
      </c>
      <c r="DH13" s="69"/>
      <c r="DI13" s="96" t="s">
        <v>1036</v>
      </c>
      <c r="DJ13" s="96" t="s">
        <v>1036</v>
      </c>
      <c r="DK13" s="69" t="s">
        <v>1951</v>
      </c>
      <c r="DL13" s="69" t="s">
        <v>3455</v>
      </c>
      <c r="DM13" s="69"/>
      <c r="DN13" s="69"/>
      <c r="DO13" s="69"/>
      <c r="DP13" s="69"/>
      <c r="DQ13" s="69" t="s">
        <v>2940</v>
      </c>
      <c r="DR13" s="69" t="s">
        <v>1378</v>
      </c>
      <c r="DS13" s="69" t="s">
        <v>1222</v>
      </c>
      <c r="DT13" s="69" t="s">
        <v>405</v>
      </c>
      <c r="DU13" s="69" t="s">
        <v>1194</v>
      </c>
      <c r="DV13" s="69" t="s">
        <v>3</v>
      </c>
      <c r="DW13" s="69" t="s">
        <v>405</v>
      </c>
      <c r="DX13" s="69" t="s">
        <v>417</v>
      </c>
      <c r="DY13" s="69" t="s">
        <v>1523</v>
      </c>
      <c r="DZ13" s="69"/>
    </row>
    <row r="14" spans="1:130" s="18" customFormat="1" ht="22.5" customHeight="1" x14ac:dyDescent="0.15">
      <c r="A14" s="25" t="s">
        <v>57</v>
      </c>
      <c r="B14" s="47" t="s">
        <v>651</v>
      </c>
      <c r="C14" s="47" t="s">
        <v>2766</v>
      </c>
      <c r="D14" s="47" t="s">
        <v>2766</v>
      </c>
      <c r="E14" s="47" t="s">
        <v>3262</v>
      </c>
      <c r="F14" s="47" t="s">
        <v>323</v>
      </c>
      <c r="G14" s="47" t="s">
        <v>323</v>
      </c>
      <c r="H14" s="47" t="s">
        <v>1466</v>
      </c>
      <c r="I14" s="62" t="s">
        <v>1467</v>
      </c>
      <c r="J14" s="47" t="s">
        <v>1466</v>
      </c>
      <c r="K14" s="47" t="s">
        <v>1467</v>
      </c>
      <c r="L14" s="47" t="s">
        <v>1466</v>
      </c>
      <c r="M14" s="62" t="s">
        <v>1467</v>
      </c>
      <c r="N14" s="47" t="s">
        <v>1349</v>
      </c>
      <c r="O14" s="47" t="s">
        <v>63</v>
      </c>
      <c r="P14" s="47" t="s">
        <v>169</v>
      </c>
      <c r="Q14" s="47" t="s">
        <v>15</v>
      </c>
      <c r="R14" s="47" t="s">
        <v>3237</v>
      </c>
      <c r="S14" s="117" t="s">
        <v>3290</v>
      </c>
      <c r="T14" s="117" t="s">
        <v>3290</v>
      </c>
      <c r="U14" s="121" t="s">
        <v>2553</v>
      </c>
      <c r="V14" s="47" t="s">
        <v>0</v>
      </c>
      <c r="W14" s="62" t="s">
        <v>1287</v>
      </c>
      <c r="X14" s="47" t="s">
        <v>1287</v>
      </c>
      <c r="Y14" s="46" t="s">
        <v>651</v>
      </c>
      <c r="Z14" s="46" t="s">
        <v>0</v>
      </c>
      <c r="AA14" s="47" t="s">
        <v>1349</v>
      </c>
      <c r="AB14" s="47" t="s">
        <v>651</v>
      </c>
      <c r="AC14" s="47" t="s">
        <v>651</v>
      </c>
      <c r="AD14" s="47" t="s">
        <v>651</v>
      </c>
      <c r="AE14" s="47" t="s">
        <v>651</v>
      </c>
      <c r="AF14" s="47" t="s">
        <v>651</v>
      </c>
      <c r="AG14" s="47" t="s">
        <v>651</v>
      </c>
      <c r="AH14" s="46" t="s">
        <v>95</v>
      </c>
      <c r="AI14" s="47" t="s">
        <v>95</v>
      </c>
      <c r="AJ14" s="47" t="s">
        <v>95</v>
      </c>
      <c r="AK14" s="47" t="s">
        <v>2971</v>
      </c>
      <c r="AL14" s="47" t="s">
        <v>2971</v>
      </c>
      <c r="AM14" s="47" t="s">
        <v>2971</v>
      </c>
      <c r="AN14" s="20" t="s">
        <v>328</v>
      </c>
      <c r="AO14" s="130" t="s">
        <v>95</v>
      </c>
      <c r="AP14" s="20" t="s">
        <v>328</v>
      </c>
      <c r="AQ14" s="20" t="s">
        <v>95</v>
      </c>
      <c r="AR14" s="20" t="s">
        <v>95</v>
      </c>
      <c r="AS14" s="20" t="s">
        <v>95</v>
      </c>
      <c r="AT14" s="20" t="s">
        <v>95</v>
      </c>
      <c r="AU14" s="20" t="s">
        <v>193</v>
      </c>
      <c r="AV14" s="20" t="s">
        <v>192</v>
      </c>
      <c r="AW14" s="20" t="s">
        <v>192</v>
      </c>
      <c r="AX14" s="20" t="s">
        <v>192</v>
      </c>
      <c r="AY14" s="20" t="s">
        <v>192</v>
      </c>
      <c r="AZ14" s="20" t="s">
        <v>3128</v>
      </c>
      <c r="BA14" s="20" t="s">
        <v>3128</v>
      </c>
      <c r="BB14" s="20" t="s">
        <v>3128</v>
      </c>
      <c r="BC14" s="20" t="s">
        <v>2249</v>
      </c>
      <c r="BD14" s="20" t="s">
        <v>2249</v>
      </c>
      <c r="BE14" s="20" t="s">
        <v>2249</v>
      </c>
      <c r="BF14" s="47" t="s">
        <v>1122</v>
      </c>
      <c r="BG14" s="47" t="s">
        <v>1092</v>
      </c>
      <c r="BH14" s="47" t="s">
        <v>1092</v>
      </c>
      <c r="BI14" s="47" t="s">
        <v>394</v>
      </c>
      <c r="BJ14" s="47" t="s">
        <v>1893</v>
      </c>
      <c r="BK14" s="47" t="s">
        <v>95</v>
      </c>
      <c r="BL14" s="47" t="s">
        <v>651</v>
      </c>
      <c r="BM14" s="47" t="s">
        <v>3</v>
      </c>
      <c r="BN14" s="47" t="s">
        <v>98</v>
      </c>
      <c r="BO14" s="47" t="s">
        <v>98</v>
      </c>
      <c r="BP14" s="47" t="s">
        <v>110</v>
      </c>
      <c r="BQ14" s="47" t="s">
        <v>3</v>
      </c>
      <c r="BR14" s="47" t="s">
        <v>95</v>
      </c>
      <c r="BS14" s="47" t="s">
        <v>362</v>
      </c>
      <c r="BT14" s="47" t="s">
        <v>362</v>
      </c>
      <c r="BU14" s="47" t="s">
        <v>225</v>
      </c>
      <c r="BV14" s="47" t="s">
        <v>225</v>
      </c>
      <c r="BW14" s="47" t="s">
        <v>2075</v>
      </c>
      <c r="BX14" s="47" t="s">
        <v>2037</v>
      </c>
      <c r="BY14" s="47" t="s">
        <v>95</v>
      </c>
      <c r="BZ14" s="46" t="s">
        <v>95</v>
      </c>
      <c r="CA14" s="46" t="s">
        <v>95</v>
      </c>
      <c r="CB14" s="46" t="s">
        <v>95</v>
      </c>
      <c r="CC14" s="47" t="s">
        <v>152</v>
      </c>
      <c r="CD14" s="47" t="s">
        <v>1</v>
      </c>
      <c r="CE14" s="47" t="s">
        <v>1</v>
      </c>
      <c r="CF14" s="46" t="s">
        <v>95</v>
      </c>
      <c r="CG14" s="46" t="s">
        <v>95</v>
      </c>
      <c r="CH14" s="47" t="s">
        <v>12</v>
      </c>
      <c r="CI14" s="46" t="s">
        <v>95</v>
      </c>
      <c r="CJ14" s="46" t="s">
        <v>95</v>
      </c>
      <c r="CK14" s="46" t="s">
        <v>95</v>
      </c>
      <c r="CL14" s="47" t="s">
        <v>95</v>
      </c>
      <c r="CM14" s="46" t="s">
        <v>651</v>
      </c>
      <c r="CN14" s="46" t="s">
        <v>651</v>
      </c>
      <c r="CO14" s="47" t="s">
        <v>943</v>
      </c>
      <c r="CP14" s="46" t="s">
        <v>651</v>
      </c>
      <c r="CQ14" s="46" t="s">
        <v>651</v>
      </c>
      <c r="CR14" s="46" t="s">
        <v>651</v>
      </c>
      <c r="CS14" s="46" t="s">
        <v>651</v>
      </c>
      <c r="CT14" s="46" t="s">
        <v>105</v>
      </c>
      <c r="CU14" s="46" t="s">
        <v>244</v>
      </c>
      <c r="CV14" s="46" t="s">
        <v>0</v>
      </c>
      <c r="CW14" s="47" t="s">
        <v>94</v>
      </c>
      <c r="CX14" s="47" t="s">
        <v>1246</v>
      </c>
      <c r="CY14" s="47" t="s">
        <v>98</v>
      </c>
      <c r="CZ14" s="47" t="s">
        <v>98</v>
      </c>
      <c r="DA14" s="47" t="s">
        <v>0</v>
      </c>
      <c r="DB14" s="47" t="s">
        <v>651</v>
      </c>
      <c r="DC14" s="47" t="s">
        <v>186</v>
      </c>
      <c r="DD14" s="47" t="s">
        <v>186</v>
      </c>
      <c r="DE14" s="47" t="s">
        <v>302</v>
      </c>
      <c r="DF14" s="47" t="s">
        <v>95</v>
      </c>
      <c r="DG14" s="146" t="s">
        <v>3347</v>
      </c>
      <c r="DH14" s="47" t="s">
        <v>345</v>
      </c>
      <c r="DI14" s="47" t="s">
        <v>1066</v>
      </c>
      <c r="DJ14" s="47" t="s">
        <v>1066</v>
      </c>
      <c r="DK14" s="155" t="s">
        <v>12</v>
      </c>
      <c r="DL14" s="155" t="s">
        <v>3452</v>
      </c>
      <c r="DM14" s="47" t="s">
        <v>0</v>
      </c>
      <c r="DN14" s="47" t="s">
        <v>0</v>
      </c>
      <c r="DO14" s="47" t="s">
        <v>12</v>
      </c>
      <c r="DP14" s="47" t="s">
        <v>12</v>
      </c>
      <c r="DQ14" s="47" t="s">
        <v>94</v>
      </c>
      <c r="DR14" s="46" t="s">
        <v>94</v>
      </c>
      <c r="DS14" s="47" t="s">
        <v>2663</v>
      </c>
      <c r="DT14" s="47" t="s">
        <v>94</v>
      </c>
      <c r="DU14" s="47" t="s">
        <v>266</v>
      </c>
      <c r="DV14" s="46" t="s">
        <v>94</v>
      </c>
      <c r="DW14" s="46" t="s">
        <v>23</v>
      </c>
      <c r="DX14" s="46" t="s">
        <v>23</v>
      </c>
      <c r="DY14" s="47" t="s">
        <v>651</v>
      </c>
      <c r="DZ14" s="20"/>
    </row>
    <row r="15" spans="1:130" s="18" customFormat="1" ht="12" customHeight="1" x14ac:dyDescent="0.15">
      <c r="A15" s="76" t="s">
        <v>402</v>
      </c>
      <c r="B15" s="69" t="s">
        <v>1524</v>
      </c>
      <c r="C15" s="69" t="s">
        <v>2765</v>
      </c>
      <c r="D15" s="69" t="s">
        <v>2765</v>
      </c>
      <c r="E15" s="69" t="s">
        <v>3263</v>
      </c>
      <c r="F15" s="69"/>
      <c r="G15" s="69" t="s">
        <v>1589</v>
      </c>
      <c r="H15" s="69" t="s">
        <v>1465</v>
      </c>
      <c r="I15" s="106" t="s">
        <v>1465</v>
      </c>
      <c r="J15" s="69" t="s">
        <v>1465</v>
      </c>
      <c r="K15" s="69" t="s">
        <v>1465</v>
      </c>
      <c r="L15" s="69" t="s">
        <v>1465</v>
      </c>
      <c r="M15" s="106" t="s">
        <v>1465</v>
      </c>
      <c r="N15" s="69" t="s">
        <v>1346</v>
      </c>
      <c r="O15" s="69"/>
      <c r="P15" s="69"/>
      <c r="Q15" s="69"/>
      <c r="R15" s="69"/>
      <c r="S15" s="128"/>
      <c r="T15" s="128"/>
      <c r="U15" s="107" t="s">
        <v>2554</v>
      </c>
      <c r="V15" s="69"/>
      <c r="W15" s="106" t="s">
        <v>1288</v>
      </c>
      <c r="X15" s="69" t="s">
        <v>1288</v>
      </c>
      <c r="Y15" s="69" t="s">
        <v>3</v>
      </c>
      <c r="Z15" s="69" t="s">
        <v>2638</v>
      </c>
      <c r="AA15" s="69" t="s">
        <v>1346</v>
      </c>
      <c r="AB15" s="69" t="s">
        <v>658</v>
      </c>
      <c r="AC15" s="69" t="s">
        <v>658</v>
      </c>
      <c r="AD15" s="69" t="s">
        <v>658</v>
      </c>
      <c r="AE15" s="69" t="s">
        <v>658</v>
      </c>
      <c r="AF15" s="69" t="s">
        <v>658</v>
      </c>
      <c r="AG15" s="69" t="s">
        <v>658</v>
      </c>
      <c r="AH15" s="69" t="s">
        <v>2825</v>
      </c>
      <c r="AI15" s="69" t="s">
        <v>2824</v>
      </c>
      <c r="AJ15" s="69" t="s">
        <v>2824</v>
      </c>
      <c r="AK15" s="69" t="s">
        <v>3060</v>
      </c>
      <c r="AL15" s="69" t="s">
        <v>3060</v>
      </c>
      <c r="AM15" s="69" t="s">
        <v>3060</v>
      </c>
      <c r="AN15" s="69" t="s">
        <v>497</v>
      </c>
      <c r="AO15" s="131"/>
      <c r="AP15" s="69" t="s">
        <v>497</v>
      </c>
      <c r="AQ15" s="69" t="s">
        <v>3396</v>
      </c>
      <c r="AR15" s="69"/>
      <c r="AS15" s="69"/>
      <c r="AT15" s="69"/>
      <c r="AU15" s="69"/>
      <c r="AV15" s="69" t="s">
        <v>551</v>
      </c>
      <c r="AW15" s="69" t="s">
        <v>551</v>
      </c>
      <c r="AX15" s="69" t="s">
        <v>551</v>
      </c>
      <c r="AY15" s="69" t="s">
        <v>551</v>
      </c>
      <c r="AZ15" s="69" t="s">
        <v>851</v>
      </c>
      <c r="BA15" s="69" t="s">
        <v>851</v>
      </c>
      <c r="BB15" s="69" t="s">
        <v>851</v>
      </c>
      <c r="BC15" s="69" t="s">
        <v>2250</v>
      </c>
      <c r="BD15" s="69" t="s">
        <v>2250</v>
      </c>
      <c r="BE15" s="69" t="s">
        <v>2250</v>
      </c>
      <c r="BF15" s="69" t="s">
        <v>1084</v>
      </c>
      <c r="BG15" s="69" t="s">
        <v>1091</v>
      </c>
      <c r="BH15" s="69"/>
      <c r="BI15" s="69"/>
      <c r="BJ15" s="69" t="s">
        <v>1892</v>
      </c>
      <c r="BK15" s="69" t="s">
        <v>2450</v>
      </c>
      <c r="BL15" s="69" t="s">
        <v>1463</v>
      </c>
      <c r="BM15" s="69"/>
      <c r="BN15" s="69"/>
      <c r="BO15" s="69"/>
      <c r="BP15" s="69" t="s">
        <v>608</v>
      </c>
      <c r="BQ15" s="69" t="s">
        <v>3</v>
      </c>
      <c r="BR15" s="69"/>
      <c r="BS15" s="69"/>
      <c r="BT15" s="69"/>
      <c r="BU15" s="69"/>
      <c r="BV15" s="69"/>
      <c r="BW15" s="69" t="s">
        <v>2074</v>
      </c>
      <c r="BX15" s="69" t="s">
        <v>2038</v>
      </c>
      <c r="BY15" s="69"/>
      <c r="BZ15" s="69" t="s">
        <v>1662</v>
      </c>
      <c r="CA15" s="69" t="s">
        <v>2716</v>
      </c>
      <c r="CB15" s="69" t="s">
        <v>1662</v>
      </c>
      <c r="CC15" s="69"/>
      <c r="CD15" s="69"/>
      <c r="CE15" s="69" t="s">
        <v>1741</v>
      </c>
      <c r="CF15" s="69" t="s">
        <v>1773</v>
      </c>
      <c r="CG15" s="69" t="s">
        <v>1856</v>
      </c>
      <c r="CH15" s="69" t="s">
        <v>1773</v>
      </c>
      <c r="CI15" s="69" t="s">
        <v>3555</v>
      </c>
      <c r="CJ15" s="69" t="s">
        <v>1773</v>
      </c>
      <c r="CK15" s="69" t="s">
        <v>1773</v>
      </c>
      <c r="CL15" s="69" t="s">
        <v>3555</v>
      </c>
      <c r="CM15" s="69" t="s">
        <v>786</v>
      </c>
      <c r="CN15" s="69" t="s">
        <v>786</v>
      </c>
      <c r="CO15" s="69" t="s">
        <v>970</v>
      </c>
      <c r="CP15" s="69" t="s">
        <v>405</v>
      </c>
      <c r="CQ15" s="69" t="s">
        <v>3195</v>
      </c>
      <c r="CR15" s="69" t="s">
        <v>3195</v>
      </c>
      <c r="CS15" s="69" t="s">
        <v>2494</v>
      </c>
      <c r="CT15" s="69" t="s">
        <v>845</v>
      </c>
      <c r="CU15" s="69" t="s">
        <v>836</v>
      </c>
      <c r="CV15" s="69"/>
      <c r="CW15" s="69"/>
      <c r="CX15" s="69" t="s">
        <v>405</v>
      </c>
      <c r="CY15" s="69"/>
      <c r="CZ15" s="69"/>
      <c r="DA15" s="69" t="s">
        <v>2159</v>
      </c>
      <c r="DB15" s="69" t="s">
        <v>553</v>
      </c>
      <c r="DC15" s="69" t="s">
        <v>885</v>
      </c>
      <c r="DD15" s="69" t="s">
        <v>885</v>
      </c>
      <c r="DE15" s="69"/>
      <c r="DF15" s="69"/>
      <c r="DG15" s="152" t="s">
        <v>3348</v>
      </c>
      <c r="DH15" s="69"/>
      <c r="DI15" s="96" t="s">
        <v>1037</v>
      </c>
      <c r="DJ15" s="96" t="s">
        <v>1037</v>
      </c>
      <c r="DK15" s="69" t="s">
        <v>1950</v>
      </c>
      <c r="DL15" s="69" t="s">
        <v>3455</v>
      </c>
      <c r="DM15" s="69"/>
      <c r="DN15" s="69"/>
      <c r="DO15" s="69"/>
      <c r="DP15" s="69"/>
      <c r="DQ15" s="69" t="s">
        <v>3</v>
      </c>
      <c r="DR15" s="69" t="s">
        <v>1379</v>
      </c>
      <c r="DS15" s="69" t="s">
        <v>2671</v>
      </c>
      <c r="DT15" s="69" t="s">
        <v>1177</v>
      </c>
      <c r="DU15" s="69" t="s">
        <v>1178</v>
      </c>
      <c r="DV15" s="69" t="s">
        <v>1566</v>
      </c>
      <c r="DW15" s="69" t="s">
        <v>411</v>
      </c>
      <c r="DX15" s="69" t="s">
        <v>441</v>
      </c>
      <c r="DY15" s="69" t="s">
        <v>1521</v>
      </c>
      <c r="DZ15" s="69"/>
    </row>
    <row r="16" spans="1:130" s="18" customFormat="1" ht="22.5" customHeight="1" x14ac:dyDescent="0.15">
      <c r="A16" s="25" t="s">
        <v>10</v>
      </c>
      <c r="B16" s="46" t="s">
        <v>95</v>
      </c>
      <c r="C16" s="46" t="s">
        <v>95</v>
      </c>
      <c r="D16" s="46" t="s">
        <v>95</v>
      </c>
      <c r="E16" s="47" t="s">
        <v>3269</v>
      </c>
      <c r="F16" s="46" t="s">
        <v>95</v>
      </c>
      <c r="G16" s="46" t="s">
        <v>95</v>
      </c>
      <c r="H16" s="47" t="s">
        <v>12</v>
      </c>
      <c r="I16" s="62" t="s">
        <v>23</v>
      </c>
      <c r="J16" s="47" t="s">
        <v>12</v>
      </c>
      <c r="K16" s="47" t="s">
        <v>23</v>
      </c>
      <c r="L16" s="47" t="s">
        <v>12</v>
      </c>
      <c r="M16" s="62" t="s">
        <v>23</v>
      </c>
      <c r="N16" s="46" t="s">
        <v>3</v>
      </c>
      <c r="O16" s="46" t="s">
        <v>95</v>
      </c>
      <c r="P16" s="46" t="s">
        <v>95</v>
      </c>
      <c r="Q16" s="46" t="s">
        <v>95</v>
      </c>
      <c r="R16" s="46" t="s">
        <v>95</v>
      </c>
      <c r="S16" s="117" t="s">
        <v>95</v>
      </c>
      <c r="T16" s="117" t="s">
        <v>3305</v>
      </c>
      <c r="U16" s="120" t="s">
        <v>95</v>
      </c>
      <c r="V16" s="46" t="s">
        <v>0</v>
      </c>
      <c r="W16" s="101" t="s">
        <v>0</v>
      </c>
      <c r="X16" s="46" t="s">
        <v>0</v>
      </c>
      <c r="Y16" s="47" t="s">
        <v>2324</v>
      </c>
      <c r="Z16" s="46" t="s">
        <v>95</v>
      </c>
      <c r="AA16" s="46" t="s">
        <v>2183</v>
      </c>
      <c r="AB16" s="47" t="s">
        <v>3</v>
      </c>
      <c r="AC16" s="47" t="s">
        <v>3</v>
      </c>
      <c r="AD16" s="47" t="s">
        <v>129</v>
      </c>
      <c r="AE16" s="47" t="s">
        <v>3</v>
      </c>
      <c r="AF16" s="47" t="s">
        <v>3</v>
      </c>
      <c r="AG16" s="47" t="s">
        <v>2396</v>
      </c>
      <c r="AH16" s="46" t="s">
        <v>95</v>
      </c>
      <c r="AI16" s="46" t="s">
        <v>94</v>
      </c>
      <c r="AJ16" s="46" t="s">
        <v>94</v>
      </c>
      <c r="AK16" s="47" t="s">
        <v>2980</v>
      </c>
      <c r="AL16" s="47" t="s">
        <v>2980</v>
      </c>
      <c r="AM16" s="47" t="s">
        <v>2980</v>
      </c>
      <c r="AN16" s="20" t="s">
        <v>95</v>
      </c>
      <c r="AO16" s="130" t="s">
        <v>95</v>
      </c>
      <c r="AP16" s="20" t="s">
        <v>95</v>
      </c>
      <c r="AQ16" s="44" t="s">
        <v>95</v>
      </c>
      <c r="AR16" s="44" t="s">
        <v>95</v>
      </c>
      <c r="AS16" s="44" t="s">
        <v>95</v>
      </c>
      <c r="AT16" s="44" t="s">
        <v>95</v>
      </c>
      <c r="AU16" s="42" t="s">
        <v>95</v>
      </c>
      <c r="AV16" s="20" t="s">
        <v>3</v>
      </c>
      <c r="AW16" s="44" t="s">
        <v>95</v>
      </c>
      <c r="AX16" s="20" t="s">
        <v>3</v>
      </c>
      <c r="AY16" s="44" t="s">
        <v>95</v>
      </c>
      <c r="AZ16" s="44" t="s">
        <v>95</v>
      </c>
      <c r="BA16" s="44" t="s">
        <v>95</v>
      </c>
      <c r="BB16" s="44" t="s">
        <v>95</v>
      </c>
      <c r="BC16" s="44" t="s">
        <v>95</v>
      </c>
      <c r="BD16" s="44" t="s">
        <v>95</v>
      </c>
      <c r="BE16" s="44" t="s">
        <v>95</v>
      </c>
      <c r="BF16" s="47" t="s">
        <v>1081</v>
      </c>
      <c r="BG16" s="47" t="s">
        <v>253</v>
      </c>
      <c r="BH16" s="47" t="s">
        <v>253</v>
      </c>
      <c r="BI16" s="47" t="s">
        <v>394</v>
      </c>
      <c r="BJ16" s="47" t="s">
        <v>1893</v>
      </c>
      <c r="BK16" s="47" t="s">
        <v>2426</v>
      </c>
      <c r="BL16" s="47" t="s">
        <v>12</v>
      </c>
      <c r="BM16" s="46" t="s">
        <v>95</v>
      </c>
      <c r="BN16" s="47" t="s">
        <v>110</v>
      </c>
      <c r="BO16" s="46" t="s">
        <v>94</v>
      </c>
      <c r="BP16" s="47" t="s">
        <v>110</v>
      </c>
      <c r="BQ16" s="46" t="s">
        <v>3</v>
      </c>
      <c r="BR16" s="46" t="s">
        <v>95</v>
      </c>
      <c r="BS16" s="46" t="s">
        <v>224</v>
      </c>
      <c r="BT16" s="46" t="s">
        <v>224</v>
      </c>
      <c r="BU16" s="46" t="s">
        <v>224</v>
      </c>
      <c r="BV16" s="46" t="s">
        <v>224</v>
      </c>
      <c r="BW16" s="47" t="s">
        <v>2073</v>
      </c>
      <c r="BX16" s="47" t="s">
        <v>95</v>
      </c>
      <c r="BY16" s="46" t="s">
        <v>95</v>
      </c>
      <c r="BZ16" s="46" t="s">
        <v>95</v>
      </c>
      <c r="CA16" s="46" t="s">
        <v>95</v>
      </c>
      <c r="CB16" s="46" t="s">
        <v>95</v>
      </c>
      <c r="CC16" s="46" t="s">
        <v>1</v>
      </c>
      <c r="CD16" s="46" t="s">
        <v>95</v>
      </c>
      <c r="CE16" s="46" t="s">
        <v>95</v>
      </c>
      <c r="CF16" s="46" t="s">
        <v>95</v>
      </c>
      <c r="CG16" s="46" t="s">
        <v>95</v>
      </c>
      <c r="CH16" s="46" t="s">
        <v>95</v>
      </c>
      <c r="CI16" s="46" t="s">
        <v>95</v>
      </c>
      <c r="CJ16" s="46" t="s">
        <v>95</v>
      </c>
      <c r="CK16" s="46" t="s">
        <v>95</v>
      </c>
      <c r="CL16" s="46" t="s">
        <v>95</v>
      </c>
      <c r="CM16" s="46" t="s">
        <v>3</v>
      </c>
      <c r="CN16" s="46" t="s">
        <v>3</v>
      </c>
      <c r="CO16" s="46" t="s">
        <v>95</v>
      </c>
      <c r="CP16" s="44" t="s">
        <v>3</v>
      </c>
      <c r="CQ16" s="44" t="s">
        <v>95</v>
      </c>
      <c r="CR16" s="109" t="s">
        <v>242</v>
      </c>
      <c r="CS16" s="47" t="s">
        <v>2513</v>
      </c>
      <c r="CT16" s="46" t="s">
        <v>105</v>
      </c>
      <c r="CU16" s="46" t="s">
        <v>244</v>
      </c>
      <c r="CV16" s="46" t="s">
        <v>242</v>
      </c>
      <c r="CW16" s="47" t="s">
        <v>186</v>
      </c>
      <c r="CX16" s="47" t="s">
        <v>1247</v>
      </c>
      <c r="CY16" s="46" t="s">
        <v>95</v>
      </c>
      <c r="CZ16" s="46" t="s">
        <v>95</v>
      </c>
      <c r="DA16" s="47" t="s">
        <v>0</v>
      </c>
      <c r="DB16" s="46" t="s">
        <v>186</v>
      </c>
      <c r="DC16" s="46" t="s">
        <v>875</v>
      </c>
      <c r="DD16" s="46" t="s">
        <v>186</v>
      </c>
      <c r="DE16" s="46" t="s">
        <v>12</v>
      </c>
      <c r="DF16" s="46" t="s">
        <v>3</v>
      </c>
      <c r="DG16" s="146" t="s">
        <v>3347</v>
      </c>
      <c r="DH16" s="46" t="s">
        <v>345</v>
      </c>
      <c r="DI16" s="47" t="s">
        <v>345</v>
      </c>
      <c r="DJ16" s="47" t="s">
        <v>345</v>
      </c>
      <c r="DK16" s="47" t="s">
        <v>12</v>
      </c>
      <c r="DL16" s="47" t="s">
        <v>3452</v>
      </c>
      <c r="DM16" s="46" t="s">
        <v>95</v>
      </c>
      <c r="DN16" s="46" t="s">
        <v>95</v>
      </c>
      <c r="DO16" s="47" t="s">
        <v>334</v>
      </c>
      <c r="DP16" s="47" t="s">
        <v>334</v>
      </c>
      <c r="DQ16" s="46" t="s">
        <v>2941</v>
      </c>
      <c r="DR16" s="46" t="s">
        <v>94</v>
      </c>
      <c r="DS16" s="46" t="s">
        <v>0</v>
      </c>
      <c r="DT16" s="46" t="s">
        <v>3</v>
      </c>
      <c r="DU16" s="47" t="s">
        <v>12</v>
      </c>
      <c r="DV16" s="47" t="s">
        <v>1538</v>
      </c>
      <c r="DW16" s="47" t="s">
        <v>406</v>
      </c>
      <c r="DX16" s="47" t="s">
        <v>407</v>
      </c>
      <c r="DY16" s="47" t="s">
        <v>1</v>
      </c>
      <c r="DZ16" s="44"/>
    </row>
    <row r="17" spans="1:130" s="18" customFormat="1" ht="12" customHeight="1" x14ac:dyDescent="0.15">
      <c r="A17" s="76" t="s">
        <v>402</v>
      </c>
      <c r="B17" s="69"/>
      <c r="C17" s="69" t="s">
        <v>2765</v>
      </c>
      <c r="D17" s="69" t="s">
        <v>2765</v>
      </c>
      <c r="E17" s="69" t="s">
        <v>3260</v>
      </c>
      <c r="F17" s="69"/>
      <c r="G17" s="69" t="s">
        <v>1591</v>
      </c>
      <c r="H17" s="69" t="s">
        <v>1611</v>
      </c>
      <c r="I17" s="106" t="s">
        <v>1611</v>
      </c>
      <c r="J17" s="69" t="s">
        <v>1418</v>
      </c>
      <c r="K17" s="69" t="s">
        <v>1418</v>
      </c>
      <c r="L17" s="69" t="s">
        <v>1611</v>
      </c>
      <c r="M17" s="106" t="s">
        <v>1611</v>
      </c>
      <c r="N17" s="69" t="s">
        <v>1346</v>
      </c>
      <c r="O17" s="69"/>
      <c r="P17" s="69"/>
      <c r="Q17" s="69"/>
      <c r="R17" s="69" t="s">
        <v>3238</v>
      </c>
      <c r="S17" s="128"/>
      <c r="T17" s="128"/>
      <c r="U17" s="107" t="s">
        <v>2552</v>
      </c>
      <c r="V17" s="69"/>
      <c r="W17" s="106" t="s">
        <v>1288</v>
      </c>
      <c r="X17" s="69" t="s">
        <v>1288</v>
      </c>
      <c r="Y17" s="69" t="s">
        <v>2297</v>
      </c>
      <c r="Z17" s="69" t="s">
        <v>2639</v>
      </c>
      <c r="AA17" s="69" t="s">
        <v>2184</v>
      </c>
      <c r="AB17" s="69" t="s">
        <v>659</v>
      </c>
      <c r="AC17" s="69" t="s">
        <v>659</v>
      </c>
      <c r="AD17" s="69" t="s">
        <v>660</v>
      </c>
      <c r="AE17" s="69" t="s">
        <v>659</v>
      </c>
      <c r="AF17" s="69" t="s">
        <v>659</v>
      </c>
      <c r="AG17" s="69" t="s">
        <v>2392</v>
      </c>
      <c r="AH17" s="69" t="s">
        <v>2827</v>
      </c>
      <c r="AI17" s="69" t="s">
        <v>2826</v>
      </c>
      <c r="AJ17" s="69" t="s">
        <v>2826</v>
      </c>
      <c r="AK17" s="69" t="s">
        <v>3060</v>
      </c>
      <c r="AL17" s="69" t="s">
        <v>3060</v>
      </c>
      <c r="AM17" s="69" t="s">
        <v>3060</v>
      </c>
      <c r="AN17" s="69" t="s">
        <v>499</v>
      </c>
      <c r="AO17" s="131"/>
      <c r="AP17" s="69" t="s">
        <v>499</v>
      </c>
      <c r="AQ17" s="69" t="s">
        <v>3396</v>
      </c>
      <c r="AR17" s="69"/>
      <c r="AS17" s="69"/>
      <c r="AT17" s="69"/>
      <c r="AU17" s="69"/>
      <c r="AV17" s="69" t="s">
        <v>3</v>
      </c>
      <c r="AW17" s="69" t="s">
        <v>537</v>
      </c>
      <c r="AX17" s="69" t="s">
        <v>3</v>
      </c>
      <c r="AY17" s="69" t="s">
        <v>537</v>
      </c>
      <c r="AZ17" s="69" t="s">
        <v>3127</v>
      </c>
      <c r="BA17" s="69" t="s">
        <v>3127</v>
      </c>
      <c r="BB17" s="69" t="s">
        <v>3127</v>
      </c>
      <c r="BC17" s="69" t="s">
        <v>2251</v>
      </c>
      <c r="BD17" s="69" t="s">
        <v>2251</v>
      </c>
      <c r="BE17" s="69" t="s">
        <v>2251</v>
      </c>
      <c r="BF17" s="69" t="s">
        <v>1084</v>
      </c>
      <c r="BG17" s="69" t="s">
        <v>1091</v>
      </c>
      <c r="BH17" s="69"/>
      <c r="BI17" s="69"/>
      <c r="BJ17" s="69" t="s">
        <v>1892</v>
      </c>
      <c r="BK17" s="69" t="s">
        <v>2451</v>
      </c>
      <c r="BL17" s="69" t="s">
        <v>1490</v>
      </c>
      <c r="BM17" s="69"/>
      <c r="BN17" s="69"/>
      <c r="BO17" s="69"/>
      <c r="BP17" s="69" t="s">
        <v>608</v>
      </c>
      <c r="BQ17" s="69" t="s">
        <v>3</v>
      </c>
      <c r="BR17" s="69"/>
      <c r="BS17" s="69"/>
      <c r="BT17" s="69"/>
      <c r="BU17" s="69"/>
      <c r="BV17" s="69"/>
      <c r="BW17" s="69" t="s">
        <v>2072</v>
      </c>
      <c r="BX17" s="69" t="s">
        <v>2036</v>
      </c>
      <c r="BY17" s="69"/>
      <c r="BZ17" s="69" t="s">
        <v>1663</v>
      </c>
      <c r="CA17" s="69" t="s">
        <v>2715</v>
      </c>
      <c r="CB17" s="69" t="s">
        <v>1663</v>
      </c>
      <c r="CC17" s="69"/>
      <c r="CD17" s="69"/>
      <c r="CE17" s="69" t="s">
        <v>1742</v>
      </c>
      <c r="CF17" s="69" t="s">
        <v>1774</v>
      </c>
      <c r="CG17" s="69" t="s">
        <v>1857</v>
      </c>
      <c r="CH17" s="69" t="s">
        <v>1774</v>
      </c>
      <c r="CI17" s="69" t="s">
        <v>3618</v>
      </c>
      <c r="CJ17" s="69" t="s">
        <v>1774</v>
      </c>
      <c r="CK17" s="69" t="s">
        <v>1774</v>
      </c>
      <c r="CL17" s="69" t="s">
        <v>3559</v>
      </c>
      <c r="CM17" s="69" t="s">
        <v>3</v>
      </c>
      <c r="CN17" s="69" t="s">
        <v>3</v>
      </c>
      <c r="CO17" s="69" t="s">
        <v>972</v>
      </c>
      <c r="CP17" s="69" t="s">
        <v>3</v>
      </c>
      <c r="CQ17" s="69" t="s">
        <v>3195</v>
      </c>
      <c r="CR17" s="69" t="s">
        <v>3194</v>
      </c>
      <c r="CS17" s="69" t="s">
        <v>2514</v>
      </c>
      <c r="CT17" s="69" t="s">
        <v>845</v>
      </c>
      <c r="CU17" s="69" t="s">
        <v>836</v>
      </c>
      <c r="CV17" s="69"/>
      <c r="CW17" s="69"/>
      <c r="CX17" s="69" t="s">
        <v>1241</v>
      </c>
      <c r="CY17" s="69"/>
      <c r="CZ17" s="69"/>
      <c r="DA17" s="69" t="s">
        <v>2159</v>
      </c>
      <c r="DB17" s="69" t="s">
        <v>897</v>
      </c>
      <c r="DC17" s="69" t="s">
        <v>896</v>
      </c>
      <c r="DD17" s="69" t="s">
        <v>897</v>
      </c>
      <c r="DE17" s="69"/>
      <c r="DF17" s="69"/>
      <c r="DG17" s="152" t="s">
        <v>3348</v>
      </c>
      <c r="DH17" s="69"/>
      <c r="DI17" s="96" t="s">
        <v>1037</v>
      </c>
      <c r="DJ17" s="96" t="s">
        <v>1037</v>
      </c>
      <c r="DK17" s="69" t="s">
        <v>1995</v>
      </c>
      <c r="DL17" s="69" t="s">
        <v>3453</v>
      </c>
      <c r="DM17" s="69"/>
      <c r="DN17" s="69"/>
      <c r="DO17" s="69"/>
      <c r="DP17" s="69"/>
      <c r="DQ17" s="69" t="s">
        <v>2940</v>
      </c>
      <c r="DR17" s="69" t="s">
        <v>1379</v>
      </c>
      <c r="DS17" s="69" t="s">
        <v>2671</v>
      </c>
      <c r="DT17" s="69" t="s">
        <v>3</v>
      </c>
      <c r="DU17" s="69" t="s">
        <v>1194</v>
      </c>
      <c r="DV17" s="69" t="s">
        <v>1560</v>
      </c>
      <c r="DW17" s="69" t="s">
        <v>411</v>
      </c>
      <c r="DX17" s="69" t="s">
        <v>441</v>
      </c>
      <c r="DY17" s="69" t="s">
        <v>1490</v>
      </c>
      <c r="DZ17" s="69"/>
    </row>
    <row r="18" spans="1:130" s="18" customFormat="1" ht="22.5" customHeight="1" x14ac:dyDescent="0.15">
      <c r="A18" s="79" t="s">
        <v>11</v>
      </c>
      <c r="B18" s="46" t="s">
        <v>95</v>
      </c>
      <c r="C18" s="46" t="s">
        <v>95</v>
      </c>
      <c r="D18" s="46" t="s">
        <v>95</v>
      </c>
      <c r="E18" s="46" t="s">
        <v>95</v>
      </c>
      <c r="F18" s="46" t="s">
        <v>95</v>
      </c>
      <c r="G18" s="46" t="s">
        <v>95</v>
      </c>
      <c r="H18" s="46" t="s">
        <v>95</v>
      </c>
      <c r="I18" s="101" t="s">
        <v>95</v>
      </c>
      <c r="J18" s="46" t="s">
        <v>95</v>
      </c>
      <c r="K18" s="46" t="s">
        <v>95</v>
      </c>
      <c r="L18" s="46" t="s">
        <v>95</v>
      </c>
      <c r="M18" s="101" t="s">
        <v>95</v>
      </c>
      <c r="N18" s="46" t="s">
        <v>95</v>
      </c>
      <c r="O18" s="46" t="s">
        <v>95</v>
      </c>
      <c r="P18" s="46" t="s">
        <v>95</v>
      </c>
      <c r="Q18" s="46" t="s">
        <v>95</v>
      </c>
      <c r="R18" s="46" t="s">
        <v>95</v>
      </c>
      <c r="S18" s="117" t="s">
        <v>95</v>
      </c>
      <c r="T18" s="117" t="s">
        <v>95</v>
      </c>
      <c r="U18" s="120" t="s">
        <v>95</v>
      </c>
      <c r="V18" s="46" t="s">
        <v>95</v>
      </c>
      <c r="W18" s="101" t="s">
        <v>95</v>
      </c>
      <c r="X18" s="46" t="s">
        <v>95</v>
      </c>
      <c r="Y18" s="46" t="s">
        <v>95</v>
      </c>
      <c r="Z18" s="46" t="s">
        <v>95</v>
      </c>
      <c r="AA18" s="46" t="s">
        <v>95</v>
      </c>
      <c r="AB18" s="46" t="s">
        <v>95</v>
      </c>
      <c r="AC18" s="46" t="s">
        <v>95</v>
      </c>
      <c r="AD18" s="46" t="s">
        <v>95</v>
      </c>
      <c r="AE18" s="46" t="s">
        <v>95</v>
      </c>
      <c r="AF18" s="46" t="s">
        <v>95</v>
      </c>
      <c r="AG18" s="46" t="s">
        <v>95</v>
      </c>
      <c r="AH18" s="46" t="s">
        <v>95</v>
      </c>
      <c r="AI18" s="46" t="s">
        <v>95</v>
      </c>
      <c r="AJ18" s="46" t="s">
        <v>95</v>
      </c>
      <c r="AK18" s="46" t="s">
        <v>95</v>
      </c>
      <c r="AL18" s="46" t="s">
        <v>95</v>
      </c>
      <c r="AM18" s="46" t="s">
        <v>95</v>
      </c>
      <c r="AN18" s="20" t="s">
        <v>95</v>
      </c>
      <c r="AO18" s="130" t="s">
        <v>95</v>
      </c>
      <c r="AP18" s="20" t="s">
        <v>95</v>
      </c>
      <c r="AQ18" s="20" t="s">
        <v>95</v>
      </c>
      <c r="AR18" s="20" t="s">
        <v>95</v>
      </c>
      <c r="AS18" s="20" t="s">
        <v>95</v>
      </c>
      <c r="AT18" s="20" t="s">
        <v>95</v>
      </c>
      <c r="AU18" s="44" t="s">
        <v>95</v>
      </c>
      <c r="AV18" s="20" t="s">
        <v>95</v>
      </c>
      <c r="AW18" s="20" t="s">
        <v>95</v>
      </c>
      <c r="AX18" s="20" t="s">
        <v>95</v>
      </c>
      <c r="AY18" s="20" t="s">
        <v>95</v>
      </c>
      <c r="AZ18" s="20" t="s">
        <v>95</v>
      </c>
      <c r="BA18" s="20" t="s">
        <v>95</v>
      </c>
      <c r="BB18" s="20" t="s">
        <v>95</v>
      </c>
      <c r="BC18" s="20" t="s">
        <v>95</v>
      </c>
      <c r="BD18" s="20" t="s">
        <v>95</v>
      </c>
      <c r="BE18" s="20" t="s">
        <v>95</v>
      </c>
      <c r="BF18" s="47" t="s">
        <v>95</v>
      </c>
      <c r="BG18" s="47" t="s">
        <v>95</v>
      </c>
      <c r="BH18" s="47" t="s">
        <v>95</v>
      </c>
      <c r="BI18" s="46" t="s">
        <v>95</v>
      </c>
      <c r="BJ18" s="46" t="s">
        <v>95</v>
      </c>
      <c r="BK18" s="46" t="s">
        <v>95</v>
      </c>
      <c r="BL18" s="46" t="s">
        <v>95</v>
      </c>
      <c r="BM18" s="46" t="s">
        <v>95</v>
      </c>
      <c r="BN18" s="46" t="s">
        <v>95</v>
      </c>
      <c r="BO18" s="46" t="s">
        <v>95</v>
      </c>
      <c r="BP18" s="46" t="s">
        <v>95</v>
      </c>
      <c r="BQ18" s="46" t="s">
        <v>95</v>
      </c>
      <c r="BR18" s="46" t="s">
        <v>95</v>
      </c>
      <c r="BS18" s="46" t="s">
        <v>95</v>
      </c>
      <c r="BT18" s="46" t="s">
        <v>95</v>
      </c>
      <c r="BU18" s="46" t="s">
        <v>95</v>
      </c>
      <c r="BV18" s="46" t="s">
        <v>95</v>
      </c>
      <c r="BW18" s="46" t="s">
        <v>95</v>
      </c>
      <c r="BX18" s="46" t="s">
        <v>95</v>
      </c>
      <c r="BY18" s="46" t="s">
        <v>95</v>
      </c>
      <c r="BZ18" s="46" t="s">
        <v>95</v>
      </c>
      <c r="CA18" s="46" t="s">
        <v>95</v>
      </c>
      <c r="CB18" s="46" t="s">
        <v>95</v>
      </c>
      <c r="CC18" s="46" t="s">
        <v>95</v>
      </c>
      <c r="CD18" s="46" t="s">
        <v>95</v>
      </c>
      <c r="CE18" s="46" t="s">
        <v>95</v>
      </c>
      <c r="CF18" s="46" t="s">
        <v>95</v>
      </c>
      <c r="CG18" s="46" t="s">
        <v>95</v>
      </c>
      <c r="CH18" s="46" t="s">
        <v>95</v>
      </c>
      <c r="CI18" s="46" t="s">
        <v>95</v>
      </c>
      <c r="CJ18" s="46" t="s">
        <v>95</v>
      </c>
      <c r="CK18" s="46" t="s">
        <v>95</v>
      </c>
      <c r="CL18" s="46" t="s">
        <v>95</v>
      </c>
      <c r="CM18" s="46" t="s">
        <v>95</v>
      </c>
      <c r="CN18" s="46" t="s">
        <v>95</v>
      </c>
      <c r="CO18" s="46" t="s">
        <v>95</v>
      </c>
      <c r="CP18" s="47" t="s">
        <v>95</v>
      </c>
      <c r="CQ18" s="47" t="s">
        <v>95</v>
      </c>
      <c r="CR18" s="47" t="s">
        <v>95</v>
      </c>
      <c r="CS18" s="46" t="s">
        <v>95</v>
      </c>
      <c r="CT18" s="46" t="s">
        <v>95</v>
      </c>
      <c r="CU18" s="46" t="s">
        <v>95</v>
      </c>
      <c r="CV18" s="46" t="s">
        <v>95</v>
      </c>
      <c r="CW18" s="47" t="s">
        <v>95</v>
      </c>
      <c r="CX18" s="46" t="s">
        <v>95</v>
      </c>
      <c r="CY18" s="46" t="s">
        <v>95</v>
      </c>
      <c r="CZ18" s="46" t="s">
        <v>95</v>
      </c>
      <c r="DA18" s="47" t="s">
        <v>95</v>
      </c>
      <c r="DB18" s="47" t="s">
        <v>95</v>
      </c>
      <c r="DC18" s="47" t="s">
        <v>95</v>
      </c>
      <c r="DD18" s="47" t="s">
        <v>95</v>
      </c>
      <c r="DE18" s="46" t="s">
        <v>95</v>
      </c>
      <c r="DF18" s="46" t="s">
        <v>95</v>
      </c>
      <c r="DG18" s="146" t="s">
        <v>95</v>
      </c>
      <c r="DH18" s="46" t="s">
        <v>95</v>
      </c>
      <c r="DI18" s="46" t="s">
        <v>95</v>
      </c>
      <c r="DJ18" s="46" t="s">
        <v>95</v>
      </c>
      <c r="DK18" s="46" t="s">
        <v>95</v>
      </c>
      <c r="DL18" s="46" t="s">
        <v>95</v>
      </c>
      <c r="DM18" s="46" t="s">
        <v>95</v>
      </c>
      <c r="DN18" s="46" t="s">
        <v>95</v>
      </c>
      <c r="DO18" s="46" t="s">
        <v>95</v>
      </c>
      <c r="DP18" s="46" t="s">
        <v>95</v>
      </c>
      <c r="DQ18" s="47" t="s">
        <v>95</v>
      </c>
      <c r="DR18" s="46" t="s">
        <v>95</v>
      </c>
      <c r="DS18" s="47" t="s">
        <v>95</v>
      </c>
      <c r="DT18" s="47" t="s">
        <v>95</v>
      </c>
      <c r="DU18" s="47" t="s">
        <v>95</v>
      </c>
      <c r="DV18" s="46" t="s">
        <v>95</v>
      </c>
      <c r="DW18" s="46" t="s">
        <v>95</v>
      </c>
      <c r="DX18" s="46" t="s">
        <v>95</v>
      </c>
      <c r="DY18" s="46" t="s">
        <v>95</v>
      </c>
      <c r="DZ18" s="20"/>
    </row>
    <row r="19" spans="1:130" s="18" customFormat="1" ht="12" customHeight="1" x14ac:dyDescent="0.15">
      <c r="A19" s="76" t="s">
        <v>402</v>
      </c>
      <c r="B19" s="69"/>
      <c r="C19" s="69" t="s">
        <v>2767</v>
      </c>
      <c r="D19" s="69" t="s">
        <v>2767</v>
      </c>
      <c r="E19" s="69" t="s">
        <v>1607</v>
      </c>
      <c r="F19" s="69"/>
      <c r="G19" s="69" t="s">
        <v>1607</v>
      </c>
      <c r="H19" s="69" t="s">
        <v>1483</v>
      </c>
      <c r="I19" s="106" t="s">
        <v>1483</v>
      </c>
      <c r="J19" s="69" t="s">
        <v>1483</v>
      </c>
      <c r="K19" s="69" t="s">
        <v>1483</v>
      </c>
      <c r="L19" s="69" t="s">
        <v>3327</v>
      </c>
      <c r="M19" s="106" t="s">
        <v>3327</v>
      </c>
      <c r="N19" s="69" t="s">
        <v>1346</v>
      </c>
      <c r="O19" s="69"/>
      <c r="P19" s="69"/>
      <c r="Q19" s="69"/>
      <c r="R19" s="69" t="s">
        <v>1368</v>
      </c>
      <c r="S19" s="128"/>
      <c r="T19" s="128"/>
      <c r="U19" s="107" t="s">
        <v>1743</v>
      </c>
      <c r="V19" s="69"/>
      <c r="W19" s="106" t="s">
        <v>1340</v>
      </c>
      <c r="X19" s="69" t="s">
        <v>1340</v>
      </c>
      <c r="Y19" s="69" t="s">
        <v>2301</v>
      </c>
      <c r="Z19" s="69" t="s">
        <v>2640</v>
      </c>
      <c r="AA19" s="69" t="s">
        <v>1346</v>
      </c>
      <c r="AB19" s="69" t="s">
        <v>732</v>
      </c>
      <c r="AC19" s="69" t="s">
        <v>732</v>
      </c>
      <c r="AD19" s="69" t="s">
        <v>732</v>
      </c>
      <c r="AE19" s="69" t="s">
        <v>732</v>
      </c>
      <c r="AF19" s="69" t="s">
        <v>732</v>
      </c>
      <c r="AG19" s="69" t="s">
        <v>732</v>
      </c>
      <c r="AH19" s="69" t="s">
        <v>2828</v>
      </c>
      <c r="AI19" s="69" t="s">
        <v>2828</v>
      </c>
      <c r="AJ19" s="69" t="s">
        <v>2828</v>
      </c>
      <c r="AK19" s="69" t="s">
        <v>3067</v>
      </c>
      <c r="AL19" s="69" t="s">
        <v>3067</v>
      </c>
      <c r="AM19" s="69" t="s">
        <v>3067</v>
      </c>
      <c r="AN19" s="69" t="s">
        <v>496</v>
      </c>
      <c r="AO19" s="131"/>
      <c r="AP19" s="69" t="s">
        <v>496</v>
      </c>
      <c r="AQ19" s="69" t="s">
        <v>3398</v>
      </c>
      <c r="AR19" s="69"/>
      <c r="AS19" s="69"/>
      <c r="AT19" s="69"/>
      <c r="AU19" s="69"/>
      <c r="AV19" s="69" t="s">
        <v>554</v>
      </c>
      <c r="AW19" s="69" t="s">
        <v>554</v>
      </c>
      <c r="AX19" s="69" t="s">
        <v>554</v>
      </c>
      <c r="AY19" s="69" t="s">
        <v>554</v>
      </c>
      <c r="AZ19" s="69" t="s">
        <v>3126</v>
      </c>
      <c r="BA19" s="69" t="s">
        <v>3126</v>
      </c>
      <c r="BB19" s="69" t="s">
        <v>3126</v>
      </c>
      <c r="BC19" s="69" t="s">
        <v>2252</v>
      </c>
      <c r="BD19" s="69" t="s">
        <v>2252</v>
      </c>
      <c r="BE19" s="69" t="s">
        <v>2252</v>
      </c>
      <c r="BF19" s="69" t="s">
        <v>1156</v>
      </c>
      <c r="BG19" s="69" t="s">
        <v>1156</v>
      </c>
      <c r="BH19" s="69"/>
      <c r="BI19" s="69"/>
      <c r="BJ19" s="69" t="s">
        <v>1895</v>
      </c>
      <c r="BK19" s="69" t="s">
        <v>2452</v>
      </c>
      <c r="BL19" s="69" t="s">
        <v>2372</v>
      </c>
      <c r="BM19" s="69"/>
      <c r="BN19" s="69"/>
      <c r="BO19" s="69"/>
      <c r="BP19" s="69" t="s">
        <v>646</v>
      </c>
      <c r="BQ19" s="69" t="s">
        <v>646</v>
      </c>
      <c r="BR19" s="69"/>
      <c r="BS19" s="69"/>
      <c r="BT19" s="69"/>
      <c r="BU19" s="69"/>
      <c r="BV19" s="69"/>
      <c r="BW19" s="69" t="s">
        <v>2069</v>
      </c>
      <c r="BX19" s="69" t="s">
        <v>2033</v>
      </c>
      <c r="BY19" s="69"/>
      <c r="BZ19" s="69" t="s">
        <v>1664</v>
      </c>
      <c r="CA19" s="69" t="s">
        <v>2741</v>
      </c>
      <c r="CB19" s="69" t="s">
        <v>1664</v>
      </c>
      <c r="CC19" s="69"/>
      <c r="CD19" s="69"/>
      <c r="CE19" s="69" t="s">
        <v>1743</v>
      </c>
      <c r="CF19" s="69" t="s">
        <v>1775</v>
      </c>
      <c r="CG19" s="69" t="s">
        <v>1858</v>
      </c>
      <c r="CH19" s="69" t="s">
        <v>1775</v>
      </c>
      <c r="CI19" s="69" t="s">
        <v>3555</v>
      </c>
      <c r="CJ19" s="69" t="s">
        <v>1775</v>
      </c>
      <c r="CK19" s="69" t="s">
        <v>1775</v>
      </c>
      <c r="CL19" s="69" t="s">
        <v>1743</v>
      </c>
      <c r="CM19" s="69" t="s">
        <v>789</v>
      </c>
      <c r="CN19" s="69" t="s">
        <v>789</v>
      </c>
      <c r="CO19" s="69" t="s">
        <v>971</v>
      </c>
      <c r="CP19" s="69" t="s">
        <v>3222</v>
      </c>
      <c r="CQ19" s="69" t="s">
        <v>3222</v>
      </c>
      <c r="CR19" s="69" t="s">
        <v>3222</v>
      </c>
      <c r="CS19" s="69" t="s">
        <v>2493</v>
      </c>
      <c r="CT19" s="69" t="s">
        <v>869</v>
      </c>
      <c r="CU19" s="69" t="s">
        <v>869</v>
      </c>
      <c r="CV19" s="69"/>
      <c r="CW19" s="69"/>
      <c r="CX19" s="69" t="s">
        <v>732</v>
      </c>
      <c r="CY19" s="69"/>
      <c r="CZ19" s="69"/>
      <c r="DA19" s="69" t="s">
        <v>2160</v>
      </c>
      <c r="DB19" s="69" t="s">
        <v>917</v>
      </c>
      <c r="DC19" s="69" t="s">
        <v>917</v>
      </c>
      <c r="DD19" s="69" t="s">
        <v>917</v>
      </c>
      <c r="DE19" s="69"/>
      <c r="DF19" s="69"/>
      <c r="DG19" s="152"/>
      <c r="DH19" s="69"/>
      <c r="DI19" s="96" t="s">
        <v>1038</v>
      </c>
      <c r="DJ19" s="96" t="s">
        <v>1038</v>
      </c>
      <c r="DK19" s="69" t="s">
        <v>1994</v>
      </c>
      <c r="DL19" s="69"/>
      <c r="DM19" s="69"/>
      <c r="DN19" s="69"/>
      <c r="DO19" s="69"/>
      <c r="DP19" s="69"/>
      <c r="DQ19" s="69" t="s">
        <v>2926</v>
      </c>
      <c r="DR19" s="69" t="s">
        <v>1380</v>
      </c>
      <c r="DS19" s="69" t="s">
        <v>2686</v>
      </c>
      <c r="DT19" s="69" t="s">
        <v>1775</v>
      </c>
      <c r="DU19" s="69" t="s">
        <v>1775</v>
      </c>
      <c r="DV19" s="69" t="s">
        <v>554</v>
      </c>
      <c r="DW19" s="69" t="s">
        <v>438</v>
      </c>
      <c r="DX19" s="69" t="s">
        <v>438</v>
      </c>
      <c r="DY19" s="69" t="s">
        <v>1522</v>
      </c>
      <c r="DZ19" s="69"/>
    </row>
    <row r="20" spans="1:130" s="18" customFormat="1" ht="22.5" customHeight="1" x14ac:dyDescent="0.15">
      <c r="A20" s="25" t="s">
        <v>56</v>
      </c>
      <c r="B20" s="46" t="s">
        <v>3</v>
      </c>
      <c r="C20" s="47" t="s">
        <v>2803</v>
      </c>
      <c r="D20" s="47" t="s">
        <v>95</v>
      </c>
      <c r="E20" s="46" t="s">
        <v>95</v>
      </c>
      <c r="F20" s="46" t="s">
        <v>95</v>
      </c>
      <c r="G20" s="46" t="s">
        <v>95</v>
      </c>
      <c r="H20" s="47" t="s">
        <v>3</v>
      </c>
      <c r="I20" s="101" t="s">
        <v>95</v>
      </c>
      <c r="J20" s="47" t="s">
        <v>3</v>
      </c>
      <c r="K20" s="46" t="s">
        <v>95</v>
      </c>
      <c r="L20" s="47" t="s">
        <v>3</v>
      </c>
      <c r="M20" s="101" t="s">
        <v>95</v>
      </c>
      <c r="N20" s="46" t="s">
        <v>3</v>
      </c>
      <c r="O20" s="57" t="s">
        <v>3</v>
      </c>
      <c r="P20" s="46" t="s">
        <v>95</v>
      </c>
      <c r="Q20" s="46" t="s">
        <v>95</v>
      </c>
      <c r="R20" s="46" t="s">
        <v>3239</v>
      </c>
      <c r="S20" s="117" t="s">
        <v>3291</v>
      </c>
      <c r="T20" s="117" t="s">
        <v>3291</v>
      </c>
      <c r="U20" s="120" t="s">
        <v>94</v>
      </c>
      <c r="V20" s="46" t="s">
        <v>94</v>
      </c>
      <c r="W20" s="62" t="s">
        <v>1311</v>
      </c>
      <c r="X20" s="47" t="s">
        <v>1311</v>
      </c>
      <c r="Y20" s="46" t="s">
        <v>3</v>
      </c>
      <c r="Z20" s="46" t="s">
        <v>95</v>
      </c>
      <c r="AA20" s="46" t="s">
        <v>3</v>
      </c>
      <c r="AB20" s="46" t="s">
        <v>94</v>
      </c>
      <c r="AC20" s="46" t="s">
        <v>94</v>
      </c>
      <c r="AD20" s="47" t="s">
        <v>734</v>
      </c>
      <c r="AE20" s="46" t="s">
        <v>94</v>
      </c>
      <c r="AF20" s="46" t="s">
        <v>94</v>
      </c>
      <c r="AG20" s="47" t="s">
        <v>734</v>
      </c>
      <c r="AH20" s="47" t="s">
        <v>2829</v>
      </c>
      <c r="AI20" s="47" t="s">
        <v>2829</v>
      </c>
      <c r="AJ20" s="47" t="s">
        <v>2829</v>
      </c>
      <c r="AK20" s="47" t="s">
        <v>2972</v>
      </c>
      <c r="AL20" s="47" t="s">
        <v>3061</v>
      </c>
      <c r="AM20" s="47" t="s">
        <v>3</v>
      </c>
      <c r="AN20" s="20" t="s">
        <v>95</v>
      </c>
      <c r="AO20" s="130" t="s">
        <v>95</v>
      </c>
      <c r="AP20" s="20" t="s">
        <v>95</v>
      </c>
      <c r="AQ20" s="20" t="s">
        <v>95</v>
      </c>
      <c r="AR20" s="20" t="s">
        <v>3500</v>
      </c>
      <c r="AS20" s="20" t="s">
        <v>3500</v>
      </c>
      <c r="AT20" s="20" t="s">
        <v>3500</v>
      </c>
      <c r="AU20" s="20" t="s">
        <v>94</v>
      </c>
      <c r="AV20" s="20" t="s">
        <v>3</v>
      </c>
      <c r="AW20" s="20" t="s">
        <v>1067</v>
      </c>
      <c r="AX20" s="20" t="s">
        <v>3</v>
      </c>
      <c r="AY20" s="20" t="s">
        <v>2585</v>
      </c>
      <c r="AZ20" s="20" t="s">
        <v>3133</v>
      </c>
      <c r="BA20" s="20" t="s">
        <v>3133</v>
      </c>
      <c r="BB20" s="20" t="s">
        <v>3133</v>
      </c>
      <c r="BC20" s="20" t="s">
        <v>3</v>
      </c>
      <c r="BD20" s="20" t="s">
        <v>3</v>
      </c>
      <c r="BE20" s="20" t="s">
        <v>0</v>
      </c>
      <c r="BF20" s="47" t="s">
        <v>1121</v>
      </c>
      <c r="BG20" s="47" t="s">
        <v>1121</v>
      </c>
      <c r="BH20" s="47" t="s">
        <v>94</v>
      </c>
      <c r="BI20" s="47" t="s">
        <v>400</v>
      </c>
      <c r="BJ20" s="47" t="s">
        <v>1928</v>
      </c>
      <c r="BK20" s="47" t="s">
        <v>1928</v>
      </c>
      <c r="BL20" s="47" t="s">
        <v>2371</v>
      </c>
      <c r="BM20" s="57" t="s">
        <v>3</v>
      </c>
      <c r="BN20" s="57" t="s">
        <v>3</v>
      </c>
      <c r="BO20" s="57" t="s">
        <v>3</v>
      </c>
      <c r="BP20" s="57" t="s">
        <v>3</v>
      </c>
      <c r="BQ20" s="57" t="s">
        <v>3</v>
      </c>
      <c r="BR20" s="46" t="s">
        <v>95</v>
      </c>
      <c r="BS20" s="47" t="s">
        <v>366</v>
      </c>
      <c r="BT20" s="47" t="s">
        <v>366</v>
      </c>
      <c r="BU20" s="47" t="s">
        <v>217</v>
      </c>
      <c r="BV20" s="47" t="s">
        <v>217</v>
      </c>
      <c r="BW20" s="47" t="s">
        <v>2091</v>
      </c>
      <c r="BX20" s="47" t="s">
        <v>2092</v>
      </c>
      <c r="BY20" s="47" t="s">
        <v>280</v>
      </c>
      <c r="BZ20" s="47" t="s">
        <v>1661</v>
      </c>
      <c r="CA20" s="47" t="s">
        <v>95</v>
      </c>
      <c r="CB20" s="47" t="s">
        <v>1661</v>
      </c>
      <c r="CC20" s="46" t="s">
        <v>3</v>
      </c>
      <c r="CD20" s="46" t="s">
        <v>94</v>
      </c>
      <c r="CE20" s="46" t="s">
        <v>94</v>
      </c>
      <c r="CF20" s="46" t="s">
        <v>94</v>
      </c>
      <c r="CG20" s="47" t="s">
        <v>139</v>
      </c>
      <c r="CH20" s="46" t="s">
        <v>94</v>
      </c>
      <c r="CI20" s="46" t="s">
        <v>3560</v>
      </c>
      <c r="CJ20" s="46" t="s">
        <v>3560</v>
      </c>
      <c r="CK20" s="46" t="s">
        <v>23</v>
      </c>
      <c r="CL20" s="46" t="s">
        <v>3560</v>
      </c>
      <c r="CM20" s="47" t="s">
        <v>94</v>
      </c>
      <c r="CN20" s="47" t="s">
        <v>94</v>
      </c>
      <c r="CO20" s="46" t="s">
        <v>95</v>
      </c>
      <c r="CP20" s="47" t="s">
        <v>95</v>
      </c>
      <c r="CQ20" s="47" t="s">
        <v>95</v>
      </c>
      <c r="CR20" s="47" t="s">
        <v>95</v>
      </c>
      <c r="CS20" s="47" t="s">
        <v>820</v>
      </c>
      <c r="CT20" s="46" t="s">
        <v>3</v>
      </c>
      <c r="CU20" s="46" t="s">
        <v>3</v>
      </c>
      <c r="CV20" s="46" t="s">
        <v>3</v>
      </c>
      <c r="CW20" s="47" t="s">
        <v>3</v>
      </c>
      <c r="CX20" s="47" t="s">
        <v>1243</v>
      </c>
      <c r="CY20" s="46" t="s">
        <v>3</v>
      </c>
      <c r="CZ20" s="46" t="s">
        <v>3</v>
      </c>
      <c r="DA20" s="47" t="s">
        <v>2161</v>
      </c>
      <c r="DB20" s="46" t="s">
        <v>3</v>
      </c>
      <c r="DC20" s="47" t="s">
        <v>882</v>
      </c>
      <c r="DD20" s="47" t="s">
        <v>882</v>
      </c>
      <c r="DE20" s="47" t="s">
        <v>303</v>
      </c>
      <c r="DF20" s="47" t="s">
        <v>303</v>
      </c>
      <c r="DG20" s="146" t="s">
        <v>3</v>
      </c>
      <c r="DH20" s="47" t="s">
        <v>352</v>
      </c>
      <c r="DI20" s="47" t="s">
        <v>1053</v>
      </c>
      <c r="DJ20" s="47" t="s">
        <v>1053</v>
      </c>
      <c r="DK20" s="47" t="s">
        <v>3</v>
      </c>
      <c r="DL20" s="47" t="s">
        <v>3454</v>
      </c>
      <c r="DM20" s="46" t="s">
        <v>95</v>
      </c>
      <c r="DN20" s="46" t="s">
        <v>95</v>
      </c>
      <c r="DO20" s="46" t="s">
        <v>95</v>
      </c>
      <c r="DP20" s="47" t="s">
        <v>1071</v>
      </c>
      <c r="DQ20" s="47" t="s">
        <v>3</v>
      </c>
      <c r="DR20" s="46" t="s">
        <v>3</v>
      </c>
      <c r="DS20" s="47" t="s">
        <v>2694</v>
      </c>
      <c r="DT20" s="47" t="s">
        <v>262</v>
      </c>
      <c r="DU20" s="47" t="s">
        <v>1187</v>
      </c>
      <c r="DV20" s="47" t="s">
        <v>1564</v>
      </c>
      <c r="DW20" s="47" t="s">
        <v>404</v>
      </c>
      <c r="DX20" s="47" t="s">
        <v>404</v>
      </c>
      <c r="DY20" s="46" t="s">
        <v>3</v>
      </c>
      <c r="DZ20" s="20"/>
    </row>
    <row r="21" spans="1:130" s="18" customFormat="1" ht="12" customHeight="1" x14ac:dyDescent="0.15">
      <c r="A21" s="76" t="s">
        <v>402</v>
      </c>
      <c r="B21" s="69"/>
      <c r="C21" s="69" t="s">
        <v>2796</v>
      </c>
      <c r="D21" s="69" t="s">
        <v>2765</v>
      </c>
      <c r="E21" s="69" t="s">
        <v>3283</v>
      </c>
      <c r="F21" s="69"/>
      <c r="G21" s="69" t="s">
        <v>1587</v>
      </c>
      <c r="H21" s="69" t="s">
        <v>3</v>
      </c>
      <c r="I21" s="106" t="s">
        <v>1419</v>
      </c>
      <c r="J21" s="69" t="s">
        <v>3</v>
      </c>
      <c r="K21" s="69" t="s">
        <v>1419</v>
      </c>
      <c r="L21" s="69" t="s">
        <v>3</v>
      </c>
      <c r="M21" s="106" t="s">
        <v>3328</v>
      </c>
      <c r="N21" s="69" t="s">
        <v>3</v>
      </c>
      <c r="O21" s="69"/>
      <c r="P21" s="69"/>
      <c r="Q21" s="69"/>
      <c r="R21" s="69"/>
      <c r="S21" s="128"/>
      <c r="T21" s="128"/>
      <c r="U21" s="107" t="s">
        <v>2555</v>
      </c>
      <c r="V21" s="69"/>
      <c r="W21" s="106" t="s">
        <v>1310</v>
      </c>
      <c r="X21" s="69" t="s">
        <v>1310</v>
      </c>
      <c r="Y21" s="69" t="s">
        <v>3</v>
      </c>
      <c r="Z21" s="69" t="s">
        <v>2604</v>
      </c>
      <c r="AA21" s="69" t="s">
        <v>3</v>
      </c>
      <c r="AB21" s="69" t="s">
        <v>733</v>
      </c>
      <c r="AC21" s="69" t="s">
        <v>733</v>
      </c>
      <c r="AD21" s="69" t="s">
        <v>733</v>
      </c>
      <c r="AE21" s="69" t="s">
        <v>733</v>
      </c>
      <c r="AF21" s="69" t="s">
        <v>733</v>
      </c>
      <c r="AG21" s="69" t="s">
        <v>733</v>
      </c>
      <c r="AH21" s="69" t="s">
        <v>2830</v>
      </c>
      <c r="AI21" s="69" t="s">
        <v>2830</v>
      </c>
      <c r="AJ21" s="69" t="s">
        <v>2830</v>
      </c>
      <c r="AK21" s="69" t="s">
        <v>3062</v>
      </c>
      <c r="AL21" s="69" t="s">
        <v>3062</v>
      </c>
      <c r="AM21" s="69" t="s">
        <v>3059</v>
      </c>
      <c r="AN21" s="69" t="s">
        <v>498</v>
      </c>
      <c r="AO21" s="131"/>
      <c r="AP21" s="69" t="s">
        <v>498</v>
      </c>
      <c r="AQ21" s="69" t="s">
        <v>3397</v>
      </c>
      <c r="AR21" s="69"/>
      <c r="AS21" s="69"/>
      <c r="AT21" s="69"/>
      <c r="AU21" s="69"/>
      <c r="AV21" s="69" t="s">
        <v>403</v>
      </c>
      <c r="AW21" s="69" t="s">
        <v>544</v>
      </c>
      <c r="AX21" s="69" t="s">
        <v>2587</v>
      </c>
      <c r="AY21" s="69" t="s">
        <v>2586</v>
      </c>
      <c r="AZ21" s="69" t="s">
        <v>3131</v>
      </c>
      <c r="BA21" s="69" t="s">
        <v>3131</v>
      </c>
      <c r="BB21" s="69" t="s">
        <v>3131</v>
      </c>
      <c r="BC21" s="69" t="s">
        <v>3</v>
      </c>
      <c r="BD21" s="69" t="s">
        <v>3</v>
      </c>
      <c r="BE21" s="69" t="s">
        <v>2223</v>
      </c>
      <c r="BF21" s="69" t="s">
        <v>1120</v>
      </c>
      <c r="BG21" s="69" t="s">
        <v>1120</v>
      </c>
      <c r="BH21" s="69"/>
      <c r="BI21" s="69"/>
      <c r="BJ21" s="69" t="s">
        <v>1926</v>
      </c>
      <c r="BK21" s="69" t="s">
        <v>2444</v>
      </c>
      <c r="BL21" s="69" t="s">
        <v>2370</v>
      </c>
      <c r="BM21" s="69"/>
      <c r="BN21" s="69"/>
      <c r="BO21" s="69"/>
      <c r="BP21" s="69" t="s">
        <v>3</v>
      </c>
      <c r="BQ21" s="69" t="s">
        <v>3</v>
      </c>
      <c r="BR21" s="69"/>
      <c r="BS21" s="69"/>
      <c r="BT21" s="69"/>
      <c r="BU21" s="69"/>
      <c r="BV21" s="69"/>
      <c r="BW21" s="69" t="s">
        <v>2093</v>
      </c>
      <c r="BX21" s="69" t="s">
        <v>2094</v>
      </c>
      <c r="BY21" s="69"/>
      <c r="BZ21" s="69" t="s">
        <v>1660</v>
      </c>
      <c r="CA21" s="69" t="s">
        <v>2714</v>
      </c>
      <c r="CB21" s="69" t="s">
        <v>1660</v>
      </c>
      <c r="CC21" s="69"/>
      <c r="CD21" s="69"/>
      <c r="CE21" s="69" t="s">
        <v>1744</v>
      </c>
      <c r="CF21" s="69" t="s">
        <v>1744</v>
      </c>
      <c r="CG21" s="69" t="s">
        <v>1856</v>
      </c>
      <c r="CH21" s="69" t="s">
        <v>1744</v>
      </c>
      <c r="CI21" s="69" t="s">
        <v>3619</v>
      </c>
      <c r="CJ21" s="69" t="s">
        <v>3561</v>
      </c>
      <c r="CK21" s="69" t="s">
        <v>1776</v>
      </c>
      <c r="CL21" s="69" t="s">
        <v>3561</v>
      </c>
      <c r="CM21" s="69" t="s">
        <v>786</v>
      </c>
      <c r="CN21" s="69" t="s">
        <v>786</v>
      </c>
      <c r="CO21" s="69" t="s">
        <v>973</v>
      </c>
      <c r="CP21" s="69" t="s">
        <v>3189</v>
      </c>
      <c r="CQ21" s="69" t="s">
        <v>3011</v>
      </c>
      <c r="CR21" s="69" t="s">
        <v>3011</v>
      </c>
      <c r="CS21" s="69" t="s">
        <v>2494</v>
      </c>
      <c r="CT21" s="69" t="s">
        <v>858</v>
      </c>
      <c r="CU21" s="69" t="s">
        <v>858</v>
      </c>
      <c r="CV21" s="69"/>
      <c r="CW21" s="69"/>
      <c r="CX21" s="69" t="s">
        <v>1242</v>
      </c>
      <c r="CY21" s="69"/>
      <c r="CZ21" s="69"/>
      <c r="DA21" s="69" t="s">
        <v>2162</v>
      </c>
      <c r="DB21" s="69" t="s">
        <v>3</v>
      </c>
      <c r="DC21" s="69" t="s">
        <v>881</v>
      </c>
      <c r="DD21" s="69" t="s">
        <v>881</v>
      </c>
      <c r="DE21" s="69"/>
      <c r="DF21" s="69"/>
      <c r="DG21" s="152" t="s">
        <v>3</v>
      </c>
      <c r="DH21" s="69"/>
      <c r="DI21" s="96" t="s">
        <v>1052</v>
      </c>
      <c r="DJ21" s="96" t="s">
        <v>1052</v>
      </c>
      <c r="DK21" s="69"/>
      <c r="DL21" s="69" t="s">
        <v>924</v>
      </c>
      <c r="DM21" s="69"/>
      <c r="DN21" s="69"/>
      <c r="DO21" s="69"/>
      <c r="DP21" s="69"/>
      <c r="DQ21" s="69" t="s">
        <v>3</v>
      </c>
      <c r="DR21" s="69" t="s">
        <v>3</v>
      </c>
      <c r="DS21" s="69" t="s">
        <v>1222</v>
      </c>
      <c r="DT21" s="69" t="s">
        <v>1164</v>
      </c>
      <c r="DU21" s="69" t="s">
        <v>1188</v>
      </c>
      <c r="DV21" s="69" t="s">
        <v>1563</v>
      </c>
      <c r="DW21" s="69" t="s">
        <v>405</v>
      </c>
      <c r="DX21" s="69" t="s">
        <v>417</v>
      </c>
      <c r="DY21" s="69" t="s">
        <v>1508</v>
      </c>
      <c r="DZ21" s="69"/>
    </row>
    <row r="22" spans="1:130" s="18" customFormat="1" ht="22.5" customHeight="1" x14ac:dyDescent="0.15">
      <c r="A22" s="25" t="s">
        <v>19</v>
      </c>
      <c r="B22" s="46" t="s">
        <v>3</v>
      </c>
      <c r="C22" s="47" t="s">
        <v>2804</v>
      </c>
      <c r="D22" s="47" t="s">
        <v>2804</v>
      </c>
      <c r="E22" s="46" t="s">
        <v>94</v>
      </c>
      <c r="F22" s="46" t="s">
        <v>94</v>
      </c>
      <c r="G22" s="46" t="s">
        <v>94</v>
      </c>
      <c r="H22" s="46" t="s">
        <v>94</v>
      </c>
      <c r="I22" s="101" t="s">
        <v>94</v>
      </c>
      <c r="J22" s="46" t="s">
        <v>94</v>
      </c>
      <c r="K22" s="46" t="s">
        <v>94</v>
      </c>
      <c r="L22" s="46" t="s">
        <v>94</v>
      </c>
      <c r="M22" s="101" t="s">
        <v>94</v>
      </c>
      <c r="N22" s="46" t="s">
        <v>3</v>
      </c>
      <c r="O22" s="57" t="s">
        <v>3</v>
      </c>
      <c r="P22" s="57" t="s">
        <v>3</v>
      </c>
      <c r="Q22" s="57" t="s">
        <v>3</v>
      </c>
      <c r="R22" s="46" t="s">
        <v>3239</v>
      </c>
      <c r="S22" s="117" t="s">
        <v>3239</v>
      </c>
      <c r="T22" s="117" t="s">
        <v>3239</v>
      </c>
      <c r="U22" s="120" t="s">
        <v>94</v>
      </c>
      <c r="V22" s="46" t="s">
        <v>94</v>
      </c>
      <c r="W22" s="101" t="s">
        <v>94</v>
      </c>
      <c r="X22" s="46" t="s">
        <v>94</v>
      </c>
      <c r="Y22" s="46" t="s">
        <v>651</v>
      </c>
      <c r="Z22" s="46" t="s">
        <v>651</v>
      </c>
      <c r="AA22" s="46" t="s">
        <v>2125</v>
      </c>
      <c r="AB22" s="20" t="s">
        <v>94</v>
      </c>
      <c r="AC22" s="20" t="s">
        <v>94</v>
      </c>
      <c r="AD22" s="20" t="s">
        <v>94</v>
      </c>
      <c r="AE22" s="20" t="s">
        <v>94</v>
      </c>
      <c r="AF22" s="20" t="s">
        <v>94</v>
      </c>
      <c r="AG22" s="20" t="s">
        <v>94</v>
      </c>
      <c r="AH22" s="46" t="s">
        <v>94</v>
      </c>
      <c r="AI22" s="46" t="s">
        <v>94</v>
      </c>
      <c r="AJ22" s="46" t="s">
        <v>94</v>
      </c>
      <c r="AK22" s="46" t="s">
        <v>94</v>
      </c>
      <c r="AL22" s="46" t="s">
        <v>94</v>
      </c>
      <c r="AM22" s="46" t="s">
        <v>94</v>
      </c>
      <c r="AN22" s="20" t="s">
        <v>94</v>
      </c>
      <c r="AO22" s="130" t="s">
        <v>95</v>
      </c>
      <c r="AP22" s="20" t="s">
        <v>94</v>
      </c>
      <c r="AQ22" s="20" t="s">
        <v>94</v>
      </c>
      <c r="AR22" s="20" t="s">
        <v>94</v>
      </c>
      <c r="AS22" s="20" t="s">
        <v>94</v>
      </c>
      <c r="AT22" s="20" t="s">
        <v>94</v>
      </c>
      <c r="AU22" s="43" t="s">
        <v>3</v>
      </c>
      <c r="AV22" s="46" t="s">
        <v>94</v>
      </c>
      <c r="AW22" s="46" t="s">
        <v>94</v>
      </c>
      <c r="AX22" s="46" t="s">
        <v>94</v>
      </c>
      <c r="AY22" s="46" t="s">
        <v>94</v>
      </c>
      <c r="AZ22" s="46" t="s">
        <v>94</v>
      </c>
      <c r="BA22" s="46" t="s">
        <v>94</v>
      </c>
      <c r="BB22" s="46" t="s">
        <v>94</v>
      </c>
      <c r="BC22" s="46" t="s">
        <v>94</v>
      </c>
      <c r="BD22" s="46" t="s">
        <v>94</v>
      </c>
      <c r="BE22" s="46" t="s">
        <v>94</v>
      </c>
      <c r="BF22" s="47" t="s">
        <v>94</v>
      </c>
      <c r="BG22" s="47" t="s">
        <v>94</v>
      </c>
      <c r="BH22" s="47" t="s">
        <v>94</v>
      </c>
      <c r="BI22" s="46" t="s">
        <v>94</v>
      </c>
      <c r="BJ22" s="46" t="s">
        <v>94</v>
      </c>
      <c r="BK22" s="46" t="s">
        <v>94</v>
      </c>
      <c r="BL22" s="46" t="s">
        <v>94</v>
      </c>
      <c r="BM22" s="46" t="s">
        <v>94</v>
      </c>
      <c r="BN22" s="57" t="s">
        <v>3</v>
      </c>
      <c r="BO22" s="57" t="s">
        <v>3</v>
      </c>
      <c r="BP22" s="46" t="s">
        <v>94</v>
      </c>
      <c r="BQ22" s="46" t="s">
        <v>94</v>
      </c>
      <c r="BR22" s="46" t="s">
        <v>95</v>
      </c>
      <c r="BS22" s="46" t="s">
        <v>94</v>
      </c>
      <c r="BT22" s="46" t="s">
        <v>94</v>
      </c>
      <c r="BU22" s="46" t="s">
        <v>94</v>
      </c>
      <c r="BV22" s="46" t="s">
        <v>94</v>
      </c>
      <c r="BW22" s="46" t="s">
        <v>94</v>
      </c>
      <c r="BX22" s="46" t="s">
        <v>94</v>
      </c>
      <c r="BY22" s="47" t="s">
        <v>1709</v>
      </c>
      <c r="BZ22" s="47" t="s">
        <v>1709</v>
      </c>
      <c r="CA22" s="47" t="s">
        <v>1709</v>
      </c>
      <c r="CB22" s="47" t="s">
        <v>1709</v>
      </c>
      <c r="CC22" s="57" t="s">
        <v>3</v>
      </c>
      <c r="CD22" s="46" t="s">
        <v>94</v>
      </c>
      <c r="CE22" s="46" t="s">
        <v>94</v>
      </c>
      <c r="CF22" s="47" t="s">
        <v>111</v>
      </c>
      <c r="CG22" s="47" t="s">
        <v>1832</v>
      </c>
      <c r="CH22" s="47" t="s">
        <v>1070</v>
      </c>
      <c r="CI22" s="46" t="s">
        <v>3560</v>
      </c>
      <c r="CJ22" s="47" t="s">
        <v>111</v>
      </c>
      <c r="CK22" s="47" t="s">
        <v>111</v>
      </c>
      <c r="CL22" s="46" t="s">
        <v>94</v>
      </c>
      <c r="CM22" s="47" t="s">
        <v>94</v>
      </c>
      <c r="CN22" s="47" t="s">
        <v>94</v>
      </c>
      <c r="CO22" s="46" t="s">
        <v>94</v>
      </c>
      <c r="CP22" s="46" t="s">
        <v>94</v>
      </c>
      <c r="CQ22" s="46" t="s">
        <v>94</v>
      </c>
      <c r="CR22" s="46" t="s">
        <v>94</v>
      </c>
      <c r="CS22" s="46" t="s">
        <v>95</v>
      </c>
      <c r="CT22" s="46" t="s">
        <v>94</v>
      </c>
      <c r="CU22" s="46" t="s">
        <v>94</v>
      </c>
      <c r="CV22" s="46" t="s">
        <v>3</v>
      </c>
      <c r="CW22" s="47" t="s">
        <v>94</v>
      </c>
      <c r="CX22" s="46" t="s">
        <v>94</v>
      </c>
      <c r="CY22" s="46" t="s">
        <v>3</v>
      </c>
      <c r="CZ22" s="46" t="s">
        <v>3</v>
      </c>
      <c r="DA22" s="46" t="s">
        <v>94</v>
      </c>
      <c r="DB22" s="46" t="s">
        <v>94</v>
      </c>
      <c r="DC22" s="46" t="s">
        <v>94</v>
      </c>
      <c r="DD22" s="46" t="s">
        <v>94</v>
      </c>
      <c r="DE22" s="46" t="s">
        <v>94</v>
      </c>
      <c r="DF22" s="46" t="s">
        <v>94</v>
      </c>
      <c r="DG22" s="146" t="s">
        <v>3349</v>
      </c>
      <c r="DH22" s="46" t="s">
        <v>94</v>
      </c>
      <c r="DI22" s="46" t="s">
        <v>94</v>
      </c>
      <c r="DJ22" s="46" t="s">
        <v>94</v>
      </c>
      <c r="DK22" s="46" t="s">
        <v>94</v>
      </c>
      <c r="DL22" s="46" t="s">
        <v>94</v>
      </c>
      <c r="DM22" s="57" t="s">
        <v>3</v>
      </c>
      <c r="DN22" s="57" t="s">
        <v>3</v>
      </c>
      <c r="DO22" s="46" t="s">
        <v>94</v>
      </c>
      <c r="DP22" s="46" t="s">
        <v>94</v>
      </c>
      <c r="DQ22" s="47" t="s">
        <v>94</v>
      </c>
      <c r="DR22" s="46" t="s">
        <v>3</v>
      </c>
      <c r="DS22" s="47" t="s">
        <v>94</v>
      </c>
      <c r="DT22" s="47" t="s">
        <v>94</v>
      </c>
      <c r="DU22" s="47" t="s">
        <v>265</v>
      </c>
      <c r="DV22" s="46" t="s">
        <v>94</v>
      </c>
      <c r="DW22" s="47" t="s">
        <v>94</v>
      </c>
      <c r="DX22" s="47" t="s">
        <v>94</v>
      </c>
      <c r="DY22" s="46" t="s">
        <v>94</v>
      </c>
      <c r="DZ22" s="20"/>
    </row>
    <row r="23" spans="1:130" s="18" customFormat="1" ht="12" customHeight="1" x14ac:dyDescent="0.15">
      <c r="A23" s="76" t="s">
        <v>402</v>
      </c>
      <c r="B23" s="69"/>
      <c r="C23" s="69" t="s">
        <v>405</v>
      </c>
      <c r="D23" s="69" t="s">
        <v>405</v>
      </c>
      <c r="E23" s="69" t="s">
        <v>851</v>
      </c>
      <c r="F23" s="69"/>
      <c r="G23" s="69" t="s">
        <v>851</v>
      </c>
      <c r="H23" s="69" t="s">
        <v>1477</v>
      </c>
      <c r="I23" s="106" t="s">
        <v>1477</v>
      </c>
      <c r="J23" s="69" t="s">
        <v>1477</v>
      </c>
      <c r="K23" s="69" t="s">
        <v>1477</v>
      </c>
      <c r="L23" s="69" t="s">
        <v>1477</v>
      </c>
      <c r="M23" s="106" t="s">
        <v>1477</v>
      </c>
      <c r="N23" s="69" t="s">
        <v>3</v>
      </c>
      <c r="O23" s="69"/>
      <c r="P23" s="69"/>
      <c r="Q23" s="69"/>
      <c r="R23" s="69"/>
      <c r="S23" s="128"/>
      <c r="T23" s="128"/>
      <c r="U23" s="107" t="s">
        <v>735</v>
      </c>
      <c r="V23" s="69"/>
      <c r="W23" s="106" t="s">
        <v>851</v>
      </c>
      <c r="X23" s="69" t="s">
        <v>851</v>
      </c>
      <c r="Y23" s="69" t="s">
        <v>3</v>
      </c>
      <c r="Z23" s="69"/>
      <c r="AA23" s="69" t="s">
        <v>3</v>
      </c>
      <c r="AB23" s="69" t="s">
        <v>735</v>
      </c>
      <c r="AC23" s="69" t="s">
        <v>735</v>
      </c>
      <c r="AD23" s="69" t="s">
        <v>735</v>
      </c>
      <c r="AE23" s="69" t="s">
        <v>735</v>
      </c>
      <c r="AF23" s="69" t="s">
        <v>735</v>
      </c>
      <c r="AG23" s="69" t="s">
        <v>735</v>
      </c>
      <c r="AH23" s="69" t="s">
        <v>3</v>
      </c>
      <c r="AI23" s="69" t="s">
        <v>3</v>
      </c>
      <c r="AJ23" s="69" t="s">
        <v>3</v>
      </c>
      <c r="AK23" s="69" t="s">
        <v>3</v>
      </c>
      <c r="AL23" s="69" t="s">
        <v>3</v>
      </c>
      <c r="AM23" s="69" t="s">
        <v>3</v>
      </c>
      <c r="AN23" s="69" t="s">
        <v>470</v>
      </c>
      <c r="AO23" s="131"/>
      <c r="AP23" s="69" t="s">
        <v>470</v>
      </c>
      <c r="AQ23" s="69" t="s">
        <v>3</v>
      </c>
      <c r="AR23" s="69"/>
      <c r="AS23" s="69"/>
      <c r="AT23" s="69"/>
      <c r="AU23" s="69"/>
      <c r="AV23" s="69" t="s">
        <v>3</v>
      </c>
      <c r="AW23" s="69" t="s">
        <v>3</v>
      </c>
      <c r="AX23" s="69" t="s">
        <v>3</v>
      </c>
      <c r="AY23" s="69" t="s">
        <v>3</v>
      </c>
      <c r="AZ23" s="69" t="s">
        <v>2253</v>
      </c>
      <c r="BA23" s="69" t="s">
        <v>2253</v>
      </c>
      <c r="BB23" s="69" t="s">
        <v>2253</v>
      </c>
      <c r="BC23" s="69" t="s">
        <v>2254</v>
      </c>
      <c r="BD23" s="69" t="s">
        <v>2254</v>
      </c>
      <c r="BE23" s="69" t="s">
        <v>2254</v>
      </c>
      <c r="BF23" s="69" t="s">
        <v>405</v>
      </c>
      <c r="BG23" s="69" t="s">
        <v>405</v>
      </c>
      <c r="BH23" s="69"/>
      <c r="BI23" s="69"/>
      <c r="BJ23" s="69" t="s">
        <v>735</v>
      </c>
      <c r="BK23" s="69" t="s">
        <v>735</v>
      </c>
      <c r="BL23" s="69" t="s">
        <v>912</v>
      </c>
      <c r="BM23" s="69"/>
      <c r="BN23" s="69"/>
      <c r="BO23" s="69"/>
      <c r="BP23" s="69" t="s">
        <v>552</v>
      </c>
      <c r="BQ23" s="69" t="s">
        <v>552</v>
      </c>
      <c r="BR23" s="69"/>
      <c r="BS23" s="69"/>
      <c r="BT23" s="69"/>
      <c r="BU23" s="69"/>
      <c r="BV23" s="69"/>
      <c r="BW23" s="69" t="s">
        <v>851</v>
      </c>
      <c r="BX23" s="69" t="s">
        <v>851</v>
      </c>
      <c r="BY23" s="69"/>
      <c r="BZ23" s="69" t="s">
        <v>1673</v>
      </c>
      <c r="CA23" s="69" t="s">
        <v>2742</v>
      </c>
      <c r="CB23" s="69" t="s">
        <v>1673</v>
      </c>
      <c r="CC23" s="69"/>
      <c r="CD23" s="69"/>
      <c r="CE23" s="69" t="s">
        <v>1744</v>
      </c>
      <c r="CF23" s="69" t="s">
        <v>1776</v>
      </c>
      <c r="CG23" s="69" t="s">
        <v>1831</v>
      </c>
      <c r="CH23" s="69" t="s">
        <v>1776</v>
      </c>
      <c r="CI23" s="69" t="s">
        <v>3555</v>
      </c>
      <c r="CJ23" s="69" t="s">
        <v>3555</v>
      </c>
      <c r="CK23" s="69" t="s">
        <v>1776</v>
      </c>
      <c r="CL23" s="69" t="s">
        <v>3555</v>
      </c>
      <c r="CM23" s="69" t="s">
        <v>735</v>
      </c>
      <c r="CN23" s="69" t="s">
        <v>735</v>
      </c>
      <c r="CO23" s="69" t="s">
        <v>3</v>
      </c>
      <c r="CP23" s="69" t="s">
        <v>3</v>
      </c>
      <c r="CQ23" s="69" t="s">
        <v>3</v>
      </c>
      <c r="CR23" s="69" t="s">
        <v>3</v>
      </c>
      <c r="CS23" s="69" t="s">
        <v>2502</v>
      </c>
      <c r="CT23" s="69" t="s">
        <v>552</v>
      </c>
      <c r="CU23" s="69" t="s">
        <v>552</v>
      </c>
      <c r="CV23" s="69"/>
      <c r="CW23" s="69"/>
      <c r="CX23" s="69" t="s">
        <v>405</v>
      </c>
      <c r="CY23" s="69"/>
      <c r="CZ23" s="69"/>
      <c r="DA23" s="69" t="s">
        <v>3</v>
      </c>
      <c r="DB23" s="69" t="s">
        <v>912</v>
      </c>
      <c r="DC23" s="69" t="s">
        <v>912</v>
      </c>
      <c r="DD23" s="69" t="s">
        <v>912</v>
      </c>
      <c r="DE23" s="69"/>
      <c r="DF23" s="69"/>
      <c r="DG23" s="152" t="s">
        <v>3348</v>
      </c>
      <c r="DH23" s="69"/>
      <c r="DI23" s="69" t="s">
        <v>1034</v>
      </c>
      <c r="DJ23" s="69" t="s">
        <v>1034</v>
      </c>
      <c r="DK23" s="69" t="s">
        <v>552</v>
      </c>
      <c r="DL23" s="69"/>
      <c r="DM23" s="69"/>
      <c r="DN23" s="69"/>
      <c r="DO23" s="69"/>
      <c r="DP23" s="69"/>
      <c r="DQ23" s="69" t="s">
        <v>3</v>
      </c>
      <c r="DR23" s="69" t="s">
        <v>3</v>
      </c>
      <c r="DS23" s="69" t="s">
        <v>3</v>
      </c>
      <c r="DT23" s="69" t="s">
        <v>3</v>
      </c>
      <c r="DU23" s="69" t="s">
        <v>1176</v>
      </c>
      <c r="DV23" s="69" t="s">
        <v>3</v>
      </c>
      <c r="DW23" s="69" t="s">
        <v>405</v>
      </c>
      <c r="DX23" s="69" t="s">
        <v>405</v>
      </c>
      <c r="DY23" s="69" t="s">
        <v>3</v>
      </c>
      <c r="DZ23" s="69"/>
    </row>
    <row r="24" spans="1:130" ht="12" customHeight="1" x14ac:dyDescent="0.15">
      <c r="A24" s="21"/>
      <c r="B24" s="22"/>
      <c r="C24" s="22"/>
      <c r="D24" s="22"/>
      <c r="E24" s="22"/>
      <c r="F24" s="22"/>
      <c r="G24" s="22"/>
      <c r="H24" s="22"/>
      <c r="I24" s="22"/>
      <c r="J24" s="22"/>
      <c r="K24" s="22"/>
      <c r="L24" s="22"/>
      <c r="M24" s="22"/>
      <c r="N24" s="1"/>
      <c r="O24" s="22"/>
      <c r="P24" s="22"/>
      <c r="Q24" s="22"/>
      <c r="R24" s="1"/>
      <c r="S24" s="113"/>
      <c r="T24" s="116"/>
      <c r="U24" s="22"/>
      <c r="V24" s="22"/>
      <c r="W24" s="22"/>
      <c r="X24" s="22"/>
      <c r="Y24" s="22"/>
      <c r="Z24" s="22"/>
      <c r="AA24" s="22"/>
      <c r="AB24" s="22"/>
      <c r="AC24" s="22"/>
      <c r="AD24" s="22"/>
      <c r="AE24" s="22"/>
      <c r="AF24" s="22"/>
      <c r="AG24" s="22"/>
      <c r="AH24" s="22"/>
      <c r="AI24" s="22"/>
      <c r="AJ24" s="22"/>
      <c r="AK24" s="22"/>
      <c r="AL24" s="22"/>
      <c r="AM24" s="22"/>
      <c r="AN24" s="22"/>
      <c r="AO24" s="132"/>
      <c r="AP24" s="22"/>
      <c r="AQ24" s="22"/>
      <c r="AR24" s="22"/>
      <c r="AS24" s="22"/>
      <c r="AT24" s="22"/>
      <c r="AU24" s="22"/>
      <c r="AV24" s="22"/>
      <c r="AW24" s="22"/>
      <c r="AX24" s="22"/>
      <c r="AY24" s="22"/>
      <c r="AZ24" s="22"/>
      <c r="BA24" s="22"/>
      <c r="BB24" s="22"/>
      <c r="BC24" s="22"/>
      <c r="BD24" s="22"/>
      <c r="BE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1"/>
      <c r="CP24" s="22"/>
      <c r="CQ24" s="22"/>
      <c r="CR24" s="22"/>
      <c r="CS24" s="22"/>
      <c r="CT24" s="22"/>
      <c r="CU24" s="22"/>
      <c r="CV24" s="22"/>
      <c r="CX24" s="22"/>
      <c r="CY24" s="22"/>
      <c r="CZ24" s="22"/>
      <c r="DA24" s="22"/>
      <c r="DB24" s="22"/>
      <c r="DC24" s="22"/>
      <c r="DD24" s="22"/>
      <c r="DE24" s="22"/>
      <c r="DF24" s="22"/>
      <c r="DG24" s="140"/>
      <c r="DH24" s="22"/>
      <c r="DI24" s="22"/>
      <c r="DJ24" s="22"/>
      <c r="DK24" s="22"/>
      <c r="DL24" s="22"/>
      <c r="DM24" s="22"/>
      <c r="DN24" s="22"/>
      <c r="DO24" s="22"/>
      <c r="DP24" s="22"/>
      <c r="DQ24" s="22"/>
      <c r="DR24" s="1"/>
      <c r="DS24" s="22"/>
      <c r="DT24" s="22"/>
      <c r="DV24" s="1"/>
      <c r="DW24" s="22"/>
      <c r="DX24" s="22"/>
      <c r="DY24" s="22"/>
      <c r="DZ24" s="22"/>
    </row>
    <row r="25" spans="1:130" ht="22.5" customHeight="1" x14ac:dyDescent="0.15">
      <c r="A25" s="75" t="s">
        <v>45</v>
      </c>
      <c r="B25" s="45" t="str">
        <f t="shared" ref="B25:Q25" si="8">B1</f>
        <v>Allianz Optimal
(Stand 03-2010)</v>
      </c>
      <c r="C25" s="45" t="str">
        <f t="shared" si="8"/>
        <v>Allianz inkl. SicherheitPlus
(Stand 2012-10)</v>
      </c>
      <c r="D25" s="45" t="str">
        <f>D1</f>
        <v>Allianz inkl. SicherheitPlus
(Stand 2014-05)</v>
      </c>
      <c r="E25" s="45" t="str">
        <f>E1</f>
        <v>Alte Leipziger comfort
(Stand 2015-07)</v>
      </c>
      <c r="F25" s="45" t="str">
        <f t="shared" si="8"/>
        <v>Alte Leipziger XXL
(Stand 07-2011)</v>
      </c>
      <c r="G25" s="45" t="str">
        <f t="shared" si="8"/>
        <v>Alte Leipziger XXL
(Stand 01-2013)</v>
      </c>
      <c r="H25" s="45" t="str">
        <f t="shared" si="8"/>
        <v>ARAG Basis (Wohnfläche)
(03-2013)</v>
      </c>
      <c r="I25" s="126" t="str">
        <f t="shared" si="8"/>
        <v>ARAG Comfort (Wohnfläche)
(03-2013)</v>
      </c>
      <c r="J25" s="45" t="str">
        <f t="shared" si="8"/>
        <v>ARAG Basis (Wohnfläche)
(Stand 07-2010)</v>
      </c>
      <c r="K25" s="45" t="str">
        <f t="shared" si="8"/>
        <v xml:space="preserve">ARAG Comfort (Wohnfl.) (Stand 07-2010) </v>
      </c>
      <c r="L25" s="45" t="str">
        <f>L1</f>
        <v>ARAG Basis (Wohnfläche)</v>
      </c>
      <c r="M25" s="126" t="str">
        <f>M1</f>
        <v>ARAG Comfort (Wohnfläche)</v>
      </c>
      <c r="N25" s="45" t="str">
        <f t="shared" si="8"/>
        <v>AXA
(ohne Feuerdeckung)</v>
      </c>
      <c r="O25" s="45" t="str">
        <f t="shared" si="8"/>
        <v>AXA</v>
      </c>
      <c r="P25" s="45" t="str">
        <f t="shared" si="8"/>
        <v>AXA BOXplus Extra</v>
      </c>
      <c r="Q25" s="45" t="str">
        <f t="shared" si="8"/>
        <v>AXA BOXplus Standard</v>
      </c>
      <c r="R25" s="45" t="s">
        <v>3234</v>
      </c>
      <c r="S25" s="53" t="s">
        <v>3310</v>
      </c>
      <c r="T25" s="53" t="s">
        <v>3311</v>
      </c>
      <c r="U25" s="127" t="str">
        <f>U1</f>
        <v>Baden Badener TOP (WF)</v>
      </c>
      <c r="V25" s="45" t="str">
        <f>V1</f>
        <v>Basler Top
(Stand 01-2012)</v>
      </c>
      <c r="W25" s="45" t="str">
        <f t="shared" ref="W25:AD25" si="9">W1</f>
        <v>Basler Ambiente Top
(Stand 07-2012)</v>
      </c>
      <c r="X25" s="45" t="str">
        <f>X1</f>
        <v>Basler Ambiente Top</v>
      </c>
      <c r="Y25" s="45" t="str">
        <f t="shared" si="9"/>
        <v>Concordia Basis
(Stand 09-2006)</v>
      </c>
      <c r="Z25" s="45" t="str">
        <f>Z1</f>
        <v>Concordia Basis-Plus
(Stand 10-2008)</v>
      </c>
      <c r="AA25" s="45" t="str">
        <f t="shared" si="9"/>
        <v>DBV+Partner
(Stand 02-1977)</v>
      </c>
      <c r="AB25" s="45" t="str">
        <f t="shared" si="9"/>
        <v>Debeka Basis
(Stand 04-2012)</v>
      </c>
      <c r="AC25" s="45" t="str">
        <f t="shared" si="9"/>
        <v>Debeka Standard
(Stand 04-2012)</v>
      </c>
      <c r="AD25" s="45" t="str">
        <f t="shared" si="9"/>
        <v>Debeka Top
(Stand 04-2012)</v>
      </c>
      <c r="AE25" s="45" t="str">
        <f>AE1</f>
        <v>Debeka Basis</v>
      </c>
      <c r="AF25" s="45" t="str">
        <f>AF1</f>
        <v>Debeka Standard</v>
      </c>
      <c r="AG25" s="45" t="str">
        <f>AG1</f>
        <v>Debeka Top</v>
      </c>
      <c r="AH25" s="45" t="str">
        <f t="shared" ref="AH25:BE25" si="10">AH1</f>
        <v>die Bayerische
Komfort-Schutz
(Stand 06-2011)</v>
      </c>
      <c r="AI25" s="45" t="str">
        <f t="shared" si="10"/>
        <v>die Bayerische
Standard-Plus
(Stand 06-2011)</v>
      </c>
      <c r="AJ25" s="45" t="str">
        <f t="shared" si="10"/>
        <v>die Bayerische
Standard-Schutz
(Stand 01-2008)</v>
      </c>
      <c r="AK25" s="45" t="str">
        <f>AK1</f>
        <v>die Bayerische Komfort</v>
      </c>
      <c r="AL25" s="45" t="str">
        <f>AL1</f>
        <v>die Bayerische Prestige</v>
      </c>
      <c r="AM25" s="45" t="str">
        <f>AM1</f>
        <v>die Bayerische Smart</v>
      </c>
      <c r="AN25" s="45" t="str">
        <f>AN1</f>
        <v>Domcura Komfort</v>
      </c>
      <c r="AO25" s="129" t="s">
        <v>3312</v>
      </c>
      <c r="AP25" s="45" t="str">
        <f>AP1</f>
        <v>Domcura Top</v>
      </c>
      <c r="AQ25" s="45" t="str">
        <f t="shared" si="10"/>
        <v>ERGO</v>
      </c>
      <c r="AR25" s="45" t="str">
        <f t="shared" ref="AR25" si="11">AR1</f>
        <v>ERGO spezial</v>
      </c>
      <c r="AS25" s="45" t="str">
        <f>AS1</f>
        <v>ERGO</v>
      </c>
      <c r="AT25" s="45" t="str">
        <f>AT1</f>
        <v>ERGO spezial</v>
      </c>
      <c r="AU25" s="45" t="str">
        <f t="shared" si="10"/>
        <v>Generali KomfortPlus (qm)
(Stand 01-2010)</v>
      </c>
      <c r="AV25" s="45" t="str">
        <f t="shared" si="10"/>
        <v>Generali Basis (qm)
(Stand 10-2012)</v>
      </c>
      <c r="AW25" s="45" t="str">
        <f t="shared" si="10"/>
        <v>Generali KomfortPlus (qm)
(Stand 10-2012)</v>
      </c>
      <c r="AX25" s="45" t="str">
        <f>AX1</f>
        <v>Generali Basis (qm)</v>
      </c>
      <c r="AY25" s="45" t="str">
        <f>AY1</f>
        <v>Generali KomfortPlus (qm)</v>
      </c>
      <c r="AZ25" s="45" t="str">
        <f>AZ1</f>
        <v>Gothaer (qm)</v>
      </c>
      <c r="BA25" s="45" t="str">
        <f>BA1</f>
        <v>Gothaer Top (qm)</v>
      </c>
      <c r="BB25" s="45" t="str">
        <f>BB1</f>
        <v>Gothaer Top Plus (qm)</v>
      </c>
      <c r="BC25" s="45" t="str">
        <f t="shared" si="10"/>
        <v>Gothaer (qm)
(Stand 01-2009)</v>
      </c>
      <c r="BD25" s="45" t="str">
        <f t="shared" si="10"/>
        <v>Gothaer Top (qm)
(Stand 01-2009)</v>
      </c>
      <c r="BE25" s="45" t="str">
        <f t="shared" si="10"/>
        <v>Gothaer Top Plus (qm)
(Stand 01-2009)</v>
      </c>
      <c r="BF25" s="45" t="str">
        <f t="shared" ref="BF25:DN25" si="12">BF1</f>
        <v>Grundeigentümer Schutz 60
(Stand 04-2011)</v>
      </c>
      <c r="BG25" s="45" t="str">
        <f t="shared" si="12"/>
        <v>Grundeigentümer Schutz 60 Plus (Stand 04-2011)</v>
      </c>
      <c r="BH25" s="45" t="str">
        <f t="shared" si="12"/>
        <v>Grundeigentümer Schutz 60 Plus (Stand 10-2010)</v>
      </c>
      <c r="BI25" s="45" t="str">
        <f t="shared" si="12"/>
        <v>HDI Privatschutz
(Stand 01-2011)</v>
      </c>
      <c r="BJ25" s="45" t="str">
        <f t="shared" ref="BJ25:BT25" si="13">BJ1</f>
        <v>HDI Privatschutz (Wert 1914)
(Stand 07-2011)</v>
      </c>
      <c r="BK25" s="45" t="str">
        <f t="shared" si="13"/>
        <v>HDI Privatschutz (Wohnfläche)</v>
      </c>
      <c r="BL25" s="45" t="str">
        <f t="shared" si="13"/>
        <v>Helvetia Komfort</v>
      </c>
      <c r="BM25" s="45" t="str">
        <f t="shared" si="13"/>
        <v>HFK Hausverwalter
(Stand 01-2009)</v>
      </c>
      <c r="BN25" s="45" t="str">
        <f t="shared" si="13"/>
        <v>HFK mit Zusatzdeckung
(Stand 01-2009)</v>
      </c>
      <c r="BO25" s="45" t="str">
        <f t="shared" si="13"/>
        <v>HFK ohne Zusatzdeckung
(Stand 01-2009)</v>
      </c>
      <c r="BP25" s="45" t="str">
        <f t="shared" si="13"/>
        <v>HFK afm mit Zusatzdeckung</v>
      </c>
      <c r="BQ25" s="45" t="str">
        <f t="shared" si="13"/>
        <v>HFK afm ohne Zusatzdeckung</v>
      </c>
      <c r="BR25" s="45" t="str">
        <f t="shared" si="13"/>
        <v>Hiscox Haus &amp; Kunst</v>
      </c>
      <c r="BS25" s="45" t="str">
        <f t="shared" si="13"/>
        <v>HUK Classic</v>
      </c>
      <c r="BT25" s="45" t="str">
        <f t="shared" si="13"/>
        <v>HUK Plus</v>
      </c>
      <c r="BU25" s="45" t="str">
        <f t="shared" si="12"/>
        <v>HUK Classic
(Stand 03-2010)</v>
      </c>
      <c r="BV25" s="45" t="str">
        <f t="shared" si="12"/>
        <v>HUK Plus
(Stand 03-2010)</v>
      </c>
      <c r="BW25" s="45" t="str">
        <f t="shared" si="12"/>
        <v>Inter Exklusiv
(Stand 10-2010)</v>
      </c>
      <c r="BX25" s="45" t="str">
        <f t="shared" si="12"/>
        <v>Inter Premium
(Stand 10-2010)</v>
      </c>
      <c r="BY25" s="45" t="str">
        <f t="shared" si="12"/>
        <v>Interrisk XXL
(Stand 03-2011)</v>
      </c>
      <c r="BZ25" s="45" t="str">
        <f t="shared" si="12"/>
        <v>Interrisk XXL
(Stand 10-2012)</v>
      </c>
      <c r="CA25" s="45" t="str">
        <f>CA1</f>
        <v>InterRisk XL</v>
      </c>
      <c r="CB25" s="45" t="str">
        <f>CB1</f>
        <v>InterRisk XXL</v>
      </c>
      <c r="CC25" s="45" t="str">
        <f>CC1</f>
        <v>ITL afm Protect 2000</v>
      </c>
      <c r="CD25" s="45" t="str">
        <f t="shared" si="12"/>
        <v>ITL afm Protect 2009
(Stand 01-2008)</v>
      </c>
      <c r="CE25" s="45" t="str">
        <f>CE1</f>
        <v>ITL afm Protect 2010</v>
      </c>
      <c r="CF25" s="45" t="str">
        <f>CF1</f>
        <v>ITL Eurosecure 2010</v>
      </c>
      <c r="CG25" s="45" t="str">
        <f>CG1</f>
        <v>ITL Existenz 2010</v>
      </c>
      <c r="CH25" s="45" t="str">
        <f>CH1</f>
        <v>ITL afm Eurosecure 2009</v>
      </c>
      <c r="CI25" s="45" t="s">
        <v>3552</v>
      </c>
      <c r="CJ25" s="45" t="s">
        <v>3550</v>
      </c>
      <c r="CK25" s="45" t="s">
        <v>3549</v>
      </c>
      <c r="CL25" s="45" t="s">
        <v>3551</v>
      </c>
      <c r="CM25" s="45" t="str">
        <f>CM1</f>
        <v>Itzehoer Basis</v>
      </c>
      <c r="CN25" s="45" t="str">
        <f>CN1</f>
        <v>Itzehoer Plus</v>
      </c>
      <c r="CO25" s="3" t="str">
        <f t="shared" si="12"/>
        <v>Marsh Wohngebäude 2011
(Stand 01-2011)</v>
      </c>
      <c r="CP25" s="45"/>
      <c r="CQ25" s="45"/>
      <c r="CR25" s="45"/>
      <c r="CS25" s="45" t="str">
        <f>CS1</f>
        <v>nat. suisse AllRisk</v>
      </c>
      <c r="CT25" s="45" t="str">
        <f>CT1</f>
        <v>nat. suisse Komfort</v>
      </c>
      <c r="CU25" s="45" t="str">
        <f>CU1</f>
        <v>nat. suisse Premium</v>
      </c>
      <c r="CV25" s="45" t="str">
        <f t="shared" si="12"/>
        <v>nat. suisse Ideal-Schutz
(Stand 01-2008)</v>
      </c>
      <c r="CW25" s="45" t="str">
        <f t="shared" si="12"/>
        <v>Neuendorfer
(Stand 01-2008)</v>
      </c>
      <c r="CX25" s="45" t="str">
        <f>CX1</f>
        <v>Nürnberger KomplettSchutz (Wert 1914)</v>
      </c>
      <c r="CY25" s="45" t="str">
        <f t="shared" si="12"/>
        <v>Provinzial Basis
(Stand 01-2009)</v>
      </c>
      <c r="CZ25" s="45" t="str">
        <f t="shared" si="12"/>
        <v>Provinzial Top
(Stand 01-2009)</v>
      </c>
      <c r="DA25" s="45" t="str">
        <f t="shared" si="12"/>
        <v>Provinzial Rheinland
V.I.P.-Intelligent</v>
      </c>
      <c r="DB25" s="45" t="str">
        <f>DB1</f>
        <v>Provinzial Kompaktschutz</v>
      </c>
      <c r="DC25" s="45" t="str">
        <f>DC1</f>
        <v>Provinzial Rundum inkl. Plus</v>
      </c>
      <c r="DD25" s="45" t="str">
        <f>DD1</f>
        <v>Provinzial Rundumschutz</v>
      </c>
      <c r="DE25" s="45" t="str">
        <f t="shared" si="12"/>
        <v>Rhion Plus
(Stand 04-2011)</v>
      </c>
      <c r="DF25" s="45" t="str">
        <f t="shared" si="12"/>
        <v>Rhion Standard
(Stand 04-2011)</v>
      </c>
      <c r="DG25" s="145" t="s">
        <v>3341</v>
      </c>
      <c r="DH25" s="45" t="str">
        <f t="shared" si="12"/>
        <v>R+V PrivatPolice (Fläche)
(Stand 01-2011)</v>
      </c>
      <c r="DI25" s="45" t="str">
        <f t="shared" si="12"/>
        <v>R+V PrivatPolice (Fläche)
(Stand 07-2012)</v>
      </c>
      <c r="DJ25" s="45" t="str">
        <f>DJ1</f>
        <v>R+V PrivatPolice (Fläche)</v>
      </c>
      <c r="DK25" s="45" t="str">
        <f>DK1</f>
        <v>VdVA</v>
      </c>
      <c r="DL25" s="53" t="s">
        <v>3496</v>
      </c>
      <c r="DM25" s="45" t="str">
        <f t="shared" si="12"/>
        <v>VHV Exklusiv
(Stand 09-2008)</v>
      </c>
      <c r="DN25" s="45" t="str">
        <f t="shared" si="12"/>
        <v>VHV Klassik
(Stand 09-2008)</v>
      </c>
      <c r="DO25" s="45" t="str">
        <f>DO1</f>
        <v>VHV Klassik Garant</v>
      </c>
      <c r="DP25" s="45" t="str">
        <f>DP1</f>
        <v>VHV Klassik Garant Exklusiv</v>
      </c>
      <c r="DQ25" s="45" t="str">
        <f t="shared" ref="DQ25:DX25" si="14">DQ1</f>
        <v>VKB Standard (Für Fr. La Tona) (VGB 88)</v>
      </c>
      <c r="DR25" s="45" t="str">
        <f t="shared" si="14"/>
        <v>VKB (Für Fr. La Tona) (Feuerdeckung inkl. Plus-Paket)</v>
      </c>
      <c r="DS25" s="45" t="str">
        <f t="shared" si="14"/>
        <v>VKB VGB 2000 Plus 2
(Stand 01-2008)</v>
      </c>
      <c r="DT25" s="45" t="str">
        <f>DT1</f>
        <v>VKB Kompakt</v>
      </c>
      <c r="DU25" s="45" t="str">
        <f>DU1</f>
        <v>VKB Optimal</v>
      </c>
      <c r="DV25" s="45" t="str">
        <f t="shared" si="14"/>
        <v>Volksfürsorge Komfort (qm)
Stand (01-2007)</v>
      </c>
      <c r="DW25" s="45" t="str">
        <f t="shared" si="14"/>
        <v>Württembergische KompaktSchutz (11-2010)</v>
      </c>
      <c r="DX25" s="45" t="str">
        <f t="shared" si="14"/>
        <v>Württembergische PremiumSchutz (11-2010)</v>
      </c>
      <c r="DY25" s="45" t="str">
        <f>DY1</f>
        <v>WÜBA Plus</v>
      </c>
      <c r="DZ25" s="45"/>
    </row>
    <row r="26" spans="1:130" ht="12" customHeight="1" x14ac:dyDescent="0.15">
      <c r="A26" s="23" t="s">
        <v>55</v>
      </c>
      <c r="B26" s="24"/>
      <c r="C26" s="24"/>
      <c r="D26" s="24"/>
      <c r="E26" s="24"/>
      <c r="F26" s="24"/>
      <c r="G26" s="24"/>
      <c r="H26" s="24"/>
      <c r="I26" s="24"/>
      <c r="J26" s="24"/>
      <c r="K26" s="24"/>
      <c r="L26" s="24"/>
      <c r="M26" s="24"/>
      <c r="N26" s="5"/>
      <c r="O26" s="24"/>
      <c r="P26" s="24"/>
      <c r="Q26" s="24"/>
      <c r="R26" s="5"/>
      <c r="S26" s="113"/>
      <c r="T26" s="116"/>
      <c r="U26" s="24"/>
      <c r="V26" s="24"/>
      <c r="W26" s="24"/>
      <c r="X26" s="24"/>
      <c r="Y26" s="24"/>
      <c r="Z26" s="24"/>
      <c r="AA26" s="24"/>
      <c r="AB26" s="24"/>
      <c r="AC26" s="24"/>
      <c r="AD26" s="24"/>
      <c r="AE26" s="24"/>
      <c r="AF26" s="24"/>
      <c r="AG26" s="24"/>
      <c r="AH26" s="24"/>
      <c r="AI26" s="24"/>
      <c r="AJ26" s="24"/>
      <c r="AK26" s="24"/>
      <c r="AL26" s="24"/>
      <c r="AM26" s="24"/>
      <c r="AN26" s="24"/>
      <c r="AO26" s="132"/>
      <c r="AP26" s="24"/>
      <c r="AQ26" s="24"/>
      <c r="AR26" s="24"/>
      <c r="AS26" s="24"/>
      <c r="AT26" s="24"/>
      <c r="AU26" s="24"/>
      <c r="AV26" s="24"/>
      <c r="AW26" s="24"/>
      <c r="AX26" s="24"/>
      <c r="AY26" s="24"/>
      <c r="AZ26" s="24"/>
      <c r="BA26" s="24"/>
      <c r="BB26" s="24"/>
      <c r="BC26" s="24"/>
      <c r="BD26" s="24"/>
      <c r="BE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5"/>
      <c r="CP26" s="24"/>
      <c r="CQ26" s="24"/>
      <c r="CR26" s="24"/>
      <c r="CS26" s="24"/>
      <c r="CT26" s="24"/>
      <c r="CU26" s="24"/>
      <c r="CV26" s="24"/>
      <c r="CX26" s="24"/>
      <c r="CY26" s="24"/>
      <c r="CZ26" s="24"/>
      <c r="DA26" s="24"/>
      <c r="DB26" s="24"/>
      <c r="DC26" s="24"/>
      <c r="DD26" s="24"/>
      <c r="DE26" s="24"/>
      <c r="DF26" s="24"/>
      <c r="DG26" s="141"/>
      <c r="DH26" s="24"/>
      <c r="DI26" s="24"/>
      <c r="DJ26" s="24"/>
      <c r="DK26" s="24"/>
      <c r="DL26" s="24"/>
      <c r="DM26" s="24"/>
      <c r="DN26" s="24"/>
      <c r="DO26" s="24"/>
      <c r="DP26" s="24"/>
      <c r="DQ26" s="24"/>
      <c r="DR26" s="5"/>
      <c r="DS26" s="24"/>
      <c r="DT26" s="24"/>
      <c r="DV26" s="5"/>
      <c r="DW26" s="24"/>
      <c r="DX26" s="24"/>
      <c r="DY26" s="24"/>
      <c r="DZ26" s="24"/>
    </row>
    <row r="27" spans="1:130" s="18" customFormat="1" ht="22.5" customHeight="1" x14ac:dyDescent="0.15">
      <c r="A27" s="25" t="s">
        <v>8</v>
      </c>
      <c r="B27" s="46" t="s">
        <v>95</v>
      </c>
      <c r="C27" s="46" t="s">
        <v>95</v>
      </c>
      <c r="D27" s="46" t="s">
        <v>95</v>
      </c>
      <c r="E27" s="46" t="s">
        <v>95</v>
      </c>
      <c r="F27" s="46" t="s">
        <v>95</v>
      </c>
      <c r="G27" s="46" t="s">
        <v>95</v>
      </c>
      <c r="H27" s="46" t="s">
        <v>95</v>
      </c>
      <c r="I27" s="46" t="s">
        <v>95</v>
      </c>
      <c r="J27" s="46" t="s">
        <v>95</v>
      </c>
      <c r="K27" s="46" t="s">
        <v>95</v>
      </c>
      <c r="L27" s="46" t="s">
        <v>95</v>
      </c>
      <c r="M27" s="46" t="s">
        <v>95</v>
      </c>
      <c r="N27" s="46" t="s">
        <v>3</v>
      </c>
      <c r="O27" s="46" t="s">
        <v>95</v>
      </c>
      <c r="P27" s="46" t="s">
        <v>95</v>
      </c>
      <c r="Q27" s="46" t="s">
        <v>95</v>
      </c>
      <c r="R27" s="46" t="s">
        <v>3239</v>
      </c>
      <c r="S27" s="117" t="s">
        <v>95</v>
      </c>
      <c r="T27" s="117" t="s">
        <v>95</v>
      </c>
      <c r="U27" s="46" t="s">
        <v>95</v>
      </c>
      <c r="V27" s="46" t="s">
        <v>95</v>
      </c>
      <c r="W27" s="101" t="s">
        <v>95</v>
      </c>
      <c r="X27" s="46" t="s">
        <v>95</v>
      </c>
      <c r="Y27" s="46" t="s">
        <v>95</v>
      </c>
      <c r="Z27" s="46" t="s">
        <v>95</v>
      </c>
      <c r="AA27" s="46" t="s">
        <v>3</v>
      </c>
      <c r="AB27" s="46" t="s">
        <v>95</v>
      </c>
      <c r="AC27" s="46" t="s">
        <v>95</v>
      </c>
      <c r="AD27" s="46" t="s">
        <v>95</v>
      </c>
      <c r="AE27" s="46" t="s">
        <v>95</v>
      </c>
      <c r="AF27" s="46" t="s">
        <v>95</v>
      </c>
      <c r="AG27" s="46" t="s">
        <v>95</v>
      </c>
      <c r="AH27" s="46" t="s">
        <v>95</v>
      </c>
      <c r="AI27" s="46" t="s">
        <v>95</v>
      </c>
      <c r="AJ27" s="46" t="s">
        <v>95</v>
      </c>
      <c r="AK27" s="46" t="s">
        <v>95</v>
      </c>
      <c r="AL27" s="46" t="s">
        <v>95</v>
      </c>
      <c r="AM27" s="46" t="s">
        <v>95</v>
      </c>
      <c r="AN27" s="20" t="s">
        <v>95</v>
      </c>
      <c r="AO27" s="130" t="s">
        <v>95</v>
      </c>
      <c r="AP27" s="20" t="s">
        <v>95</v>
      </c>
      <c r="AQ27" s="154" t="s">
        <v>95</v>
      </c>
      <c r="AR27" s="44" t="s">
        <v>95</v>
      </c>
      <c r="AS27" s="44" t="s">
        <v>95</v>
      </c>
      <c r="AT27" s="44" t="s">
        <v>95</v>
      </c>
      <c r="AU27" s="42" t="s">
        <v>95</v>
      </c>
      <c r="AV27" s="20" t="s">
        <v>95</v>
      </c>
      <c r="AW27" s="20" t="s">
        <v>95</v>
      </c>
      <c r="AX27" s="20" t="s">
        <v>95</v>
      </c>
      <c r="AY27" s="20" t="s">
        <v>95</v>
      </c>
      <c r="AZ27" s="20" t="s">
        <v>95</v>
      </c>
      <c r="BA27" s="20" t="s">
        <v>95</v>
      </c>
      <c r="BB27" s="20" t="s">
        <v>95</v>
      </c>
      <c r="BC27" s="20" t="s">
        <v>95</v>
      </c>
      <c r="BD27" s="20" t="s">
        <v>95</v>
      </c>
      <c r="BE27" s="20" t="s">
        <v>95</v>
      </c>
      <c r="BF27" s="44" t="s">
        <v>95</v>
      </c>
      <c r="BG27" s="44" t="s">
        <v>95</v>
      </c>
      <c r="BH27" s="47" t="s">
        <v>95</v>
      </c>
      <c r="BI27" s="47" t="s">
        <v>95</v>
      </c>
      <c r="BJ27" s="47" t="s">
        <v>95</v>
      </c>
      <c r="BK27" s="47" t="s">
        <v>95</v>
      </c>
      <c r="BL27" s="47" t="s">
        <v>95</v>
      </c>
      <c r="BM27" s="46" t="s">
        <v>95</v>
      </c>
      <c r="BN27" s="46" t="s">
        <v>95</v>
      </c>
      <c r="BO27" s="46" t="s">
        <v>95</v>
      </c>
      <c r="BP27" s="46" t="s">
        <v>95</v>
      </c>
      <c r="BQ27" s="46" t="s">
        <v>95</v>
      </c>
      <c r="BR27" s="46" t="s">
        <v>95</v>
      </c>
      <c r="BS27" s="46" t="s">
        <v>95</v>
      </c>
      <c r="BT27" s="46" t="s">
        <v>95</v>
      </c>
      <c r="BU27" s="46" t="s">
        <v>95</v>
      </c>
      <c r="BV27" s="46" t="s">
        <v>95</v>
      </c>
      <c r="BW27" s="46" t="s">
        <v>95</v>
      </c>
      <c r="BX27" s="46" t="s">
        <v>95</v>
      </c>
      <c r="BY27" s="46" t="s">
        <v>95</v>
      </c>
      <c r="BZ27" s="46" t="s">
        <v>95</v>
      </c>
      <c r="CA27" s="46" t="s">
        <v>95</v>
      </c>
      <c r="CB27" s="46" t="s">
        <v>95</v>
      </c>
      <c r="CC27" s="47" t="s">
        <v>3</v>
      </c>
      <c r="CD27" s="47" t="s">
        <v>95</v>
      </c>
      <c r="CE27" s="47" t="s">
        <v>95</v>
      </c>
      <c r="CF27" s="47" t="s">
        <v>95</v>
      </c>
      <c r="CG27" s="47" t="s">
        <v>95</v>
      </c>
      <c r="CH27" s="47" t="s">
        <v>95</v>
      </c>
      <c r="CI27" s="47" t="s">
        <v>95</v>
      </c>
      <c r="CJ27" s="47" t="s">
        <v>95</v>
      </c>
      <c r="CK27" s="47" t="s">
        <v>95</v>
      </c>
      <c r="CL27" s="47" t="s">
        <v>95</v>
      </c>
      <c r="CM27" s="47" t="s">
        <v>95</v>
      </c>
      <c r="CN27" s="47" t="s">
        <v>95</v>
      </c>
      <c r="CO27" s="46" t="s">
        <v>95</v>
      </c>
      <c r="CP27" s="44" t="s">
        <v>95</v>
      </c>
      <c r="CQ27" s="44" t="s">
        <v>95</v>
      </c>
      <c r="CR27" s="44" t="s">
        <v>95</v>
      </c>
      <c r="CS27" s="46" t="s">
        <v>95</v>
      </c>
      <c r="CT27" s="46" t="s">
        <v>95</v>
      </c>
      <c r="CU27" s="46" t="s">
        <v>95</v>
      </c>
      <c r="CV27" s="46" t="s">
        <v>95</v>
      </c>
      <c r="CW27" s="47" t="s">
        <v>95</v>
      </c>
      <c r="CX27" s="46" t="s">
        <v>95</v>
      </c>
      <c r="CY27" s="46" t="s">
        <v>95</v>
      </c>
      <c r="CZ27" s="46" t="s">
        <v>95</v>
      </c>
      <c r="DA27" s="46" t="s">
        <v>95</v>
      </c>
      <c r="DB27" s="46" t="s">
        <v>95</v>
      </c>
      <c r="DC27" s="46" t="s">
        <v>95</v>
      </c>
      <c r="DD27" s="46" t="s">
        <v>95</v>
      </c>
      <c r="DE27" s="46" t="s">
        <v>95</v>
      </c>
      <c r="DF27" s="46" t="s">
        <v>95</v>
      </c>
      <c r="DG27" s="147" t="s">
        <v>95</v>
      </c>
      <c r="DH27" s="46" t="s">
        <v>95</v>
      </c>
      <c r="DI27" s="46" t="s">
        <v>95</v>
      </c>
      <c r="DJ27" s="46" t="s">
        <v>95</v>
      </c>
      <c r="DK27" s="46" t="s">
        <v>95</v>
      </c>
      <c r="DL27" s="46" t="s">
        <v>3457</v>
      </c>
      <c r="DM27" s="46" t="s">
        <v>95</v>
      </c>
      <c r="DN27" s="46" t="s">
        <v>95</v>
      </c>
      <c r="DO27" s="46" t="s">
        <v>95</v>
      </c>
      <c r="DP27" s="46" t="s">
        <v>95</v>
      </c>
      <c r="DQ27" s="46" t="s">
        <v>3</v>
      </c>
      <c r="DR27" s="47" t="s">
        <v>1381</v>
      </c>
      <c r="DS27" s="46" t="s">
        <v>95</v>
      </c>
      <c r="DT27" s="46" t="s">
        <v>95</v>
      </c>
      <c r="DU27" s="47" t="s">
        <v>95</v>
      </c>
      <c r="DV27" s="20" t="s">
        <v>95</v>
      </c>
      <c r="DW27" s="47" t="s">
        <v>95</v>
      </c>
      <c r="DX27" s="47" t="s">
        <v>95</v>
      </c>
      <c r="DY27" s="46" t="s">
        <v>95</v>
      </c>
      <c r="DZ27" s="44"/>
    </row>
    <row r="28" spans="1:130" s="18" customFormat="1" ht="12" customHeight="1" x14ac:dyDescent="0.15">
      <c r="A28" s="76" t="s">
        <v>402</v>
      </c>
      <c r="B28" s="69"/>
      <c r="C28" s="69" t="s">
        <v>2779</v>
      </c>
      <c r="D28" s="69" t="s">
        <v>2779</v>
      </c>
      <c r="E28" s="69" t="s">
        <v>3284</v>
      </c>
      <c r="F28" s="69"/>
      <c r="G28" s="69" t="s">
        <v>1606</v>
      </c>
      <c r="H28" s="69" t="s">
        <v>1468</v>
      </c>
      <c r="I28" s="69" t="s">
        <v>1468</v>
      </c>
      <c r="J28" s="69" t="s">
        <v>1468</v>
      </c>
      <c r="K28" s="69" t="s">
        <v>1468</v>
      </c>
      <c r="L28" s="69" t="s">
        <v>1468</v>
      </c>
      <c r="M28" s="69" t="s">
        <v>1468</v>
      </c>
      <c r="N28" s="69" t="s">
        <v>1350</v>
      </c>
      <c r="O28" s="69"/>
      <c r="P28" s="69"/>
      <c r="Q28" s="69"/>
      <c r="R28" s="69"/>
      <c r="S28" s="128"/>
      <c r="T28" s="128"/>
      <c r="U28" s="69" t="s">
        <v>1723</v>
      </c>
      <c r="V28" s="69"/>
      <c r="W28" s="106" t="s">
        <v>1338</v>
      </c>
      <c r="X28" s="69" t="s">
        <v>1338</v>
      </c>
      <c r="Y28" s="69" t="s">
        <v>2304</v>
      </c>
      <c r="Z28" s="69" t="s">
        <v>2626</v>
      </c>
      <c r="AA28" s="69" t="s">
        <v>3</v>
      </c>
      <c r="AB28" s="69" t="s">
        <v>701</v>
      </c>
      <c r="AC28" s="69" t="s">
        <v>701</v>
      </c>
      <c r="AD28" s="69" t="s">
        <v>701</v>
      </c>
      <c r="AE28" s="69" t="s">
        <v>701</v>
      </c>
      <c r="AF28" s="69" t="s">
        <v>701</v>
      </c>
      <c r="AG28" s="69" t="s">
        <v>701</v>
      </c>
      <c r="AH28" s="69" t="s">
        <v>2831</v>
      </c>
      <c r="AI28" s="69" t="s">
        <v>2831</v>
      </c>
      <c r="AJ28" s="69" t="s">
        <v>2831</v>
      </c>
      <c r="AK28" s="69" t="s">
        <v>3074</v>
      </c>
      <c r="AL28" s="69" t="s">
        <v>3074</v>
      </c>
      <c r="AM28" s="69" t="s">
        <v>3074</v>
      </c>
      <c r="AN28" s="69" t="s">
        <v>473</v>
      </c>
      <c r="AO28" s="131"/>
      <c r="AP28" s="69" t="s">
        <v>473</v>
      </c>
      <c r="AQ28" s="69" t="s">
        <v>3401</v>
      </c>
      <c r="AR28" s="69"/>
      <c r="AS28" s="69"/>
      <c r="AT28" s="69"/>
      <c r="AU28" s="69"/>
      <c r="AV28" s="69" t="s">
        <v>563</v>
      </c>
      <c r="AW28" s="69" t="s">
        <v>563</v>
      </c>
      <c r="AX28" s="69" t="s">
        <v>563</v>
      </c>
      <c r="AY28" s="69" t="s">
        <v>563</v>
      </c>
      <c r="AZ28" s="69" t="s">
        <v>3135</v>
      </c>
      <c r="BA28" s="69" t="s">
        <v>3135</v>
      </c>
      <c r="BB28" s="69" t="s">
        <v>3135</v>
      </c>
      <c r="BC28" s="69" t="s">
        <v>2258</v>
      </c>
      <c r="BD28" s="69" t="s">
        <v>2258</v>
      </c>
      <c r="BE28" s="69" t="s">
        <v>2258</v>
      </c>
      <c r="BF28" s="69" t="s">
        <v>1144</v>
      </c>
      <c r="BG28" s="69" t="s">
        <v>1144</v>
      </c>
      <c r="BH28" s="69"/>
      <c r="BI28" s="69"/>
      <c r="BJ28" s="69" t="s">
        <v>1900</v>
      </c>
      <c r="BK28" s="69" t="s">
        <v>2453</v>
      </c>
      <c r="BL28" s="69" t="s">
        <v>2131</v>
      </c>
      <c r="BM28" s="69"/>
      <c r="BN28" s="69"/>
      <c r="BO28" s="69"/>
      <c r="BP28" s="69" t="s">
        <v>645</v>
      </c>
      <c r="BQ28" s="69" t="s">
        <v>645</v>
      </c>
      <c r="BR28" s="69"/>
      <c r="BS28" s="69"/>
      <c r="BT28" s="69"/>
      <c r="BU28" s="69"/>
      <c r="BV28" s="69"/>
      <c r="BW28" s="69" t="s">
        <v>2102</v>
      </c>
      <c r="BX28" s="69" t="s">
        <v>2102</v>
      </c>
      <c r="BY28" s="69"/>
      <c r="BZ28" s="69" t="s">
        <v>1653</v>
      </c>
      <c r="CA28" s="69" t="s">
        <v>2704</v>
      </c>
      <c r="CB28" s="69" t="s">
        <v>1653</v>
      </c>
      <c r="CC28" s="69"/>
      <c r="CD28" s="69"/>
      <c r="CE28" s="69" t="s">
        <v>1724</v>
      </c>
      <c r="CF28" s="69" t="s">
        <v>1777</v>
      </c>
      <c r="CG28" s="69" t="s">
        <v>1777</v>
      </c>
      <c r="CH28" s="69" t="s">
        <v>1812</v>
      </c>
      <c r="CI28" s="69" t="s">
        <v>3555</v>
      </c>
      <c r="CJ28" s="69" t="s">
        <v>3555</v>
      </c>
      <c r="CK28" s="69" t="s">
        <v>3555</v>
      </c>
      <c r="CL28" s="69" t="s">
        <v>3555</v>
      </c>
      <c r="CM28" s="69" t="s">
        <v>764</v>
      </c>
      <c r="CN28" s="69" t="s">
        <v>764</v>
      </c>
      <c r="CO28" s="69" t="s">
        <v>952</v>
      </c>
      <c r="CP28" s="69" t="s">
        <v>3223</v>
      </c>
      <c r="CQ28" s="69" t="s">
        <v>3223</v>
      </c>
      <c r="CR28" s="69" t="s">
        <v>3223</v>
      </c>
      <c r="CS28" s="69" t="s">
        <v>2502</v>
      </c>
      <c r="CT28" s="69" t="s">
        <v>856</v>
      </c>
      <c r="CU28" s="69" t="s">
        <v>856</v>
      </c>
      <c r="CV28" s="69"/>
      <c r="CW28" s="69"/>
      <c r="CX28" s="69" t="s">
        <v>1248</v>
      </c>
      <c r="CY28" s="69"/>
      <c r="CZ28" s="69"/>
      <c r="DA28" s="69" t="s">
        <v>2130</v>
      </c>
      <c r="DB28" s="69" t="s">
        <v>923</v>
      </c>
      <c r="DC28" s="69" t="s">
        <v>923</v>
      </c>
      <c r="DD28" s="69" t="s">
        <v>923</v>
      </c>
      <c r="DE28" s="69"/>
      <c r="DF28" s="69"/>
      <c r="DG28" s="152" t="s">
        <v>3350</v>
      </c>
      <c r="DH28" s="69"/>
      <c r="DI28" s="69" t="s">
        <v>1009</v>
      </c>
      <c r="DJ28" s="69" t="s">
        <v>1009</v>
      </c>
      <c r="DK28" s="69" t="s">
        <v>1968</v>
      </c>
      <c r="DL28" s="69" t="s">
        <v>3458</v>
      </c>
      <c r="DM28" s="69"/>
      <c r="DN28" s="69"/>
      <c r="DO28" s="69"/>
      <c r="DP28" s="69"/>
      <c r="DQ28" s="69" t="s">
        <v>2949</v>
      </c>
      <c r="DR28" s="69" t="s">
        <v>1382</v>
      </c>
      <c r="DS28" s="69" t="s">
        <v>1901</v>
      </c>
      <c r="DT28" s="69" t="s">
        <v>1783</v>
      </c>
      <c r="DU28" s="69" t="s">
        <v>1783</v>
      </c>
      <c r="DV28" s="69" t="s">
        <v>1569</v>
      </c>
      <c r="DW28" s="69" t="s">
        <v>434</v>
      </c>
      <c r="DX28" s="69" t="s">
        <v>434</v>
      </c>
      <c r="DY28" s="69" t="s">
        <v>1520</v>
      </c>
      <c r="DZ28" s="69"/>
    </row>
    <row r="29" spans="1:130" s="18" customFormat="1" ht="22.5" customHeight="1" x14ac:dyDescent="0.15">
      <c r="A29" s="26" t="s">
        <v>6</v>
      </c>
      <c r="B29" s="46" t="s">
        <v>3</v>
      </c>
      <c r="C29" s="46" t="s">
        <v>95</v>
      </c>
      <c r="D29" s="46" t="s">
        <v>95</v>
      </c>
      <c r="E29" s="46" t="s">
        <v>95</v>
      </c>
      <c r="F29" s="46" t="s">
        <v>95</v>
      </c>
      <c r="G29" s="46" t="s">
        <v>95</v>
      </c>
      <c r="H29" s="46" t="s">
        <v>95</v>
      </c>
      <c r="I29" s="46" t="s">
        <v>95</v>
      </c>
      <c r="J29" s="46" t="s">
        <v>95</v>
      </c>
      <c r="K29" s="46" t="s">
        <v>95</v>
      </c>
      <c r="L29" s="46" t="s">
        <v>95</v>
      </c>
      <c r="M29" s="46" t="s">
        <v>95</v>
      </c>
      <c r="N29" s="46" t="s">
        <v>3</v>
      </c>
      <c r="O29" s="46" t="s">
        <v>95</v>
      </c>
      <c r="P29" s="46" t="s">
        <v>95</v>
      </c>
      <c r="Q29" s="46" t="s">
        <v>95</v>
      </c>
      <c r="R29" s="46" t="s">
        <v>3239</v>
      </c>
      <c r="S29" s="117" t="s">
        <v>95</v>
      </c>
      <c r="T29" s="117" t="s">
        <v>95</v>
      </c>
      <c r="U29" s="46" t="s">
        <v>3</v>
      </c>
      <c r="V29" s="46" t="s">
        <v>3</v>
      </c>
      <c r="W29" s="101" t="s">
        <v>3</v>
      </c>
      <c r="X29" s="46" t="s">
        <v>3</v>
      </c>
      <c r="Y29" s="46" t="s">
        <v>3</v>
      </c>
      <c r="Z29" s="46" t="s">
        <v>95</v>
      </c>
      <c r="AA29" s="46" t="s">
        <v>3</v>
      </c>
      <c r="AB29" s="46" t="s">
        <v>95</v>
      </c>
      <c r="AC29" s="46" t="s">
        <v>95</v>
      </c>
      <c r="AD29" s="46" t="s">
        <v>95</v>
      </c>
      <c r="AE29" s="46" t="s">
        <v>95</v>
      </c>
      <c r="AF29" s="46" t="s">
        <v>95</v>
      </c>
      <c r="AG29" s="46" t="s">
        <v>95</v>
      </c>
      <c r="AH29" s="46" t="s">
        <v>95</v>
      </c>
      <c r="AI29" s="46" t="s">
        <v>3</v>
      </c>
      <c r="AJ29" s="46" t="s">
        <v>3</v>
      </c>
      <c r="AK29" s="46" t="s">
        <v>95</v>
      </c>
      <c r="AL29" s="46" t="s">
        <v>95</v>
      </c>
      <c r="AM29" s="46" t="s">
        <v>3</v>
      </c>
      <c r="AN29" s="20" t="s">
        <v>95</v>
      </c>
      <c r="AO29" s="130" t="s">
        <v>95</v>
      </c>
      <c r="AP29" s="20" t="s">
        <v>95</v>
      </c>
      <c r="AQ29" s="44" t="s">
        <v>95</v>
      </c>
      <c r="AR29" s="44" t="s">
        <v>95</v>
      </c>
      <c r="AS29" s="44" t="s">
        <v>95</v>
      </c>
      <c r="AT29" s="44" t="s">
        <v>95</v>
      </c>
      <c r="AU29" s="42" t="s">
        <v>95</v>
      </c>
      <c r="AV29" s="20" t="s">
        <v>95</v>
      </c>
      <c r="AW29" s="20" t="s">
        <v>95</v>
      </c>
      <c r="AX29" s="20" t="s">
        <v>95</v>
      </c>
      <c r="AY29" s="20" t="s">
        <v>95</v>
      </c>
      <c r="AZ29" s="20" t="s">
        <v>95</v>
      </c>
      <c r="BA29" s="20" t="s">
        <v>95</v>
      </c>
      <c r="BB29" s="20" t="s">
        <v>95</v>
      </c>
      <c r="BC29" s="20" t="s">
        <v>3</v>
      </c>
      <c r="BD29" s="20" t="s">
        <v>3</v>
      </c>
      <c r="BE29" s="20" t="s">
        <v>3</v>
      </c>
      <c r="BF29" s="47" t="s">
        <v>3</v>
      </c>
      <c r="BG29" s="47" t="s">
        <v>95</v>
      </c>
      <c r="BH29" s="47" t="s">
        <v>95</v>
      </c>
      <c r="BI29" s="47" t="s">
        <v>95</v>
      </c>
      <c r="BJ29" s="47" t="s">
        <v>95</v>
      </c>
      <c r="BK29" s="47" t="s">
        <v>95</v>
      </c>
      <c r="BL29" s="47" t="s">
        <v>95</v>
      </c>
      <c r="BM29" s="46" t="s">
        <v>95</v>
      </c>
      <c r="BN29" s="46" t="s">
        <v>95</v>
      </c>
      <c r="BO29" s="46" t="s">
        <v>3</v>
      </c>
      <c r="BP29" s="46" t="s">
        <v>95</v>
      </c>
      <c r="BQ29" s="46" t="s">
        <v>3</v>
      </c>
      <c r="BR29" s="46" t="s">
        <v>95</v>
      </c>
      <c r="BS29" s="46" t="s">
        <v>95</v>
      </c>
      <c r="BT29" s="46" t="s">
        <v>95</v>
      </c>
      <c r="BU29" s="46" t="s">
        <v>3</v>
      </c>
      <c r="BV29" s="46" t="s">
        <v>3</v>
      </c>
      <c r="BW29" s="46" t="s">
        <v>3</v>
      </c>
      <c r="BX29" s="46" t="s">
        <v>3</v>
      </c>
      <c r="BY29" s="46" t="s">
        <v>95</v>
      </c>
      <c r="BZ29" s="46" t="s">
        <v>95</v>
      </c>
      <c r="CA29" s="47" t="s">
        <v>95</v>
      </c>
      <c r="CB29" s="47" t="s">
        <v>95</v>
      </c>
      <c r="CC29" s="47" t="s">
        <v>3</v>
      </c>
      <c r="CD29" s="47" t="s">
        <v>95</v>
      </c>
      <c r="CE29" s="47" t="s">
        <v>95</v>
      </c>
      <c r="CF29" s="47" t="s">
        <v>95</v>
      </c>
      <c r="CG29" s="47" t="s">
        <v>95</v>
      </c>
      <c r="CH29" s="47" t="s">
        <v>95</v>
      </c>
      <c r="CI29" s="47" t="s">
        <v>95</v>
      </c>
      <c r="CJ29" s="47" t="s">
        <v>95</v>
      </c>
      <c r="CK29" s="47" t="s">
        <v>95</v>
      </c>
      <c r="CL29" s="47" t="s">
        <v>95</v>
      </c>
      <c r="CM29" s="47" t="s">
        <v>95</v>
      </c>
      <c r="CN29" s="47" t="s">
        <v>95</v>
      </c>
      <c r="CO29" s="46" t="s">
        <v>95</v>
      </c>
      <c r="CP29" s="44" t="s">
        <v>3</v>
      </c>
      <c r="CQ29" s="44" t="s">
        <v>95</v>
      </c>
      <c r="CR29" s="44" t="s">
        <v>95</v>
      </c>
      <c r="CS29" s="46" t="s">
        <v>95</v>
      </c>
      <c r="CT29" s="46" t="s">
        <v>95</v>
      </c>
      <c r="CU29" s="46" t="s">
        <v>95</v>
      </c>
      <c r="CV29" s="46" t="s">
        <v>3</v>
      </c>
      <c r="CW29" s="47" t="s">
        <v>3</v>
      </c>
      <c r="CX29" s="46" t="s">
        <v>3</v>
      </c>
      <c r="CY29" s="46" t="s">
        <v>3</v>
      </c>
      <c r="CZ29" s="46" t="s">
        <v>3</v>
      </c>
      <c r="DA29" s="46" t="s">
        <v>95</v>
      </c>
      <c r="DB29" s="46" t="s">
        <v>3</v>
      </c>
      <c r="DC29" s="46" t="s">
        <v>3</v>
      </c>
      <c r="DD29" s="46" t="s">
        <v>3</v>
      </c>
      <c r="DE29" s="46" t="s">
        <v>95</v>
      </c>
      <c r="DF29" s="46" t="s">
        <v>3</v>
      </c>
      <c r="DG29" s="147" t="s">
        <v>3</v>
      </c>
      <c r="DH29" s="46" t="s">
        <v>3</v>
      </c>
      <c r="DI29" s="46" t="s">
        <v>95</v>
      </c>
      <c r="DJ29" s="46" t="s">
        <v>95</v>
      </c>
      <c r="DK29" s="46" t="s">
        <v>95</v>
      </c>
      <c r="DL29" s="46" t="s">
        <v>3457</v>
      </c>
      <c r="DM29" s="46" t="s">
        <v>95</v>
      </c>
      <c r="DN29" s="46" t="s">
        <v>95</v>
      </c>
      <c r="DO29" s="46" t="s">
        <v>95</v>
      </c>
      <c r="DP29" s="46" t="s">
        <v>95</v>
      </c>
      <c r="DQ29" s="46" t="s">
        <v>3</v>
      </c>
      <c r="DR29" s="46" t="s">
        <v>3</v>
      </c>
      <c r="DS29" s="46" t="s">
        <v>3</v>
      </c>
      <c r="DT29" s="46" t="s">
        <v>95</v>
      </c>
      <c r="DU29" s="47" t="s">
        <v>95</v>
      </c>
      <c r="DV29" s="20" t="s">
        <v>95</v>
      </c>
      <c r="DW29" s="47" t="s">
        <v>95</v>
      </c>
      <c r="DX29" s="47" t="s">
        <v>95</v>
      </c>
      <c r="DY29" s="46" t="s">
        <v>95</v>
      </c>
      <c r="DZ29" s="44"/>
    </row>
    <row r="30" spans="1:130" s="18" customFormat="1" ht="12" customHeight="1" x14ac:dyDescent="0.15">
      <c r="A30" s="76" t="s">
        <v>402</v>
      </c>
      <c r="B30" s="69"/>
      <c r="C30" s="69" t="s">
        <v>2779</v>
      </c>
      <c r="D30" s="69" t="s">
        <v>2779</v>
      </c>
      <c r="E30" s="69" t="s">
        <v>1591</v>
      </c>
      <c r="F30" s="69"/>
      <c r="G30" s="69" t="s">
        <v>1591</v>
      </c>
      <c r="H30" s="69" t="s">
        <v>1423</v>
      </c>
      <c r="I30" s="69" t="s">
        <v>1424</v>
      </c>
      <c r="J30" s="69" t="s">
        <v>1423</v>
      </c>
      <c r="K30" s="69" t="s">
        <v>1424</v>
      </c>
      <c r="L30" s="69" t="s">
        <v>1423</v>
      </c>
      <c r="M30" s="69" t="s">
        <v>1424</v>
      </c>
      <c r="N30" s="69" t="s">
        <v>1350</v>
      </c>
      <c r="O30" s="69"/>
      <c r="P30" s="69"/>
      <c r="Q30" s="69"/>
      <c r="R30" s="69"/>
      <c r="S30" s="128"/>
      <c r="T30" s="128"/>
      <c r="U30" s="69" t="s">
        <v>3</v>
      </c>
      <c r="V30" s="69"/>
      <c r="W30" s="106" t="s">
        <v>3</v>
      </c>
      <c r="X30" s="69" t="s">
        <v>3</v>
      </c>
      <c r="Y30" s="69" t="s">
        <v>3</v>
      </c>
      <c r="Z30" s="69" t="s">
        <v>2627</v>
      </c>
      <c r="AA30" s="69" t="s">
        <v>3</v>
      </c>
      <c r="AB30" s="69" t="s">
        <v>702</v>
      </c>
      <c r="AC30" s="69" t="s">
        <v>702</v>
      </c>
      <c r="AD30" s="69" t="s">
        <v>702</v>
      </c>
      <c r="AE30" s="69" t="s">
        <v>702</v>
      </c>
      <c r="AF30" s="69" t="s">
        <v>702</v>
      </c>
      <c r="AG30" s="69" t="s">
        <v>702</v>
      </c>
      <c r="AH30" s="69" t="s">
        <v>2832</v>
      </c>
      <c r="AI30" s="69" t="s">
        <v>3</v>
      </c>
      <c r="AJ30" s="69" t="s">
        <v>3</v>
      </c>
      <c r="AK30" s="69" t="s">
        <v>3021</v>
      </c>
      <c r="AL30" s="69" t="s">
        <v>2984</v>
      </c>
      <c r="AM30" s="69" t="s">
        <v>3</v>
      </c>
      <c r="AN30" s="69" t="s">
        <v>474</v>
      </c>
      <c r="AO30" s="131"/>
      <c r="AP30" s="69" t="s">
        <v>474</v>
      </c>
      <c r="AQ30" s="69" t="s">
        <v>3401</v>
      </c>
      <c r="AR30" s="69"/>
      <c r="AS30" s="69"/>
      <c r="AT30" s="69"/>
      <c r="AU30" s="69"/>
      <c r="AV30" s="69" t="s">
        <v>564</v>
      </c>
      <c r="AW30" s="69" t="s">
        <v>564</v>
      </c>
      <c r="AX30" s="69" t="s">
        <v>564</v>
      </c>
      <c r="AY30" s="69" t="s">
        <v>564</v>
      </c>
      <c r="AZ30" s="69" t="s">
        <v>3135</v>
      </c>
      <c r="BA30" s="69" t="s">
        <v>3135</v>
      </c>
      <c r="BB30" s="69" t="s">
        <v>3135</v>
      </c>
      <c r="BC30" s="69" t="s">
        <v>3</v>
      </c>
      <c r="BD30" s="69" t="s">
        <v>3</v>
      </c>
      <c r="BE30" s="69" t="s">
        <v>3</v>
      </c>
      <c r="BF30" s="69" t="s">
        <v>3</v>
      </c>
      <c r="BG30" s="69" t="s">
        <v>1117</v>
      </c>
      <c r="BH30" s="69"/>
      <c r="BI30" s="69"/>
      <c r="BJ30" s="69" t="s">
        <v>1901</v>
      </c>
      <c r="BK30" s="69" t="s">
        <v>2454</v>
      </c>
      <c r="BL30" s="69" t="s">
        <v>2337</v>
      </c>
      <c r="BM30" s="69"/>
      <c r="BN30" s="69"/>
      <c r="BO30" s="69"/>
      <c r="BP30" s="69" t="s">
        <v>583</v>
      </c>
      <c r="BQ30" s="69" t="s">
        <v>3</v>
      </c>
      <c r="BR30" s="69"/>
      <c r="BS30" s="69"/>
      <c r="BT30" s="69"/>
      <c r="BU30" s="69"/>
      <c r="BV30" s="69"/>
      <c r="BW30" s="69" t="s">
        <v>3</v>
      </c>
      <c r="BX30" s="69" t="s">
        <v>3</v>
      </c>
      <c r="BY30" s="69"/>
      <c r="BZ30" s="69" t="s">
        <v>1652</v>
      </c>
      <c r="CA30" s="69" t="s">
        <v>2703</v>
      </c>
      <c r="CB30" s="69" t="s">
        <v>1652</v>
      </c>
      <c r="CC30" s="69"/>
      <c r="CD30" s="69"/>
      <c r="CE30" s="69" t="s">
        <v>1725</v>
      </c>
      <c r="CF30" s="69" t="s">
        <v>1778</v>
      </c>
      <c r="CG30" s="69" t="s">
        <v>1778</v>
      </c>
      <c r="CH30" s="69" t="s">
        <v>1813</v>
      </c>
      <c r="CI30" s="69" t="s">
        <v>3555</v>
      </c>
      <c r="CJ30" s="69" t="s">
        <v>3555</v>
      </c>
      <c r="CK30" s="69" t="s">
        <v>3555</v>
      </c>
      <c r="CL30" s="69" t="s">
        <v>3555</v>
      </c>
      <c r="CM30" s="69" t="s">
        <v>765</v>
      </c>
      <c r="CN30" s="69" t="s">
        <v>765</v>
      </c>
      <c r="CO30" s="69" t="s">
        <v>951</v>
      </c>
      <c r="CP30" s="69" t="s">
        <v>3</v>
      </c>
      <c r="CQ30" s="69" t="s">
        <v>3159</v>
      </c>
      <c r="CR30" s="69" t="s">
        <v>3159</v>
      </c>
      <c r="CS30" s="69" t="s">
        <v>2502</v>
      </c>
      <c r="CT30" s="69" t="s">
        <v>845</v>
      </c>
      <c r="CU30" s="69" t="s">
        <v>836</v>
      </c>
      <c r="CV30" s="69"/>
      <c r="CW30" s="69"/>
      <c r="CX30" s="69" t="s">
        <v>3</v>
      </c>
      <c r="CY30" s="69"/>
      <c r="CZ30" s="69"/>
      <c r="DA30" s="69" t="s">
        <v>2128</v>
      </c>
      <c r="DB30" s="69" t="s">
        <v>3</v>
      </c>
      <c r="DC30" s="69" t="s">
        <v>3</v>
      </c>
      <c r="DD30" s="69" t="s">
        <v>3</v>
      </c>
      <c r="DE30" s="69"/>
      <c r="DF30" s="69"/>
      <c r="DG30" s="152" t="s">
        <v>3</v>
      </c>
      <c r="DH30" s="69"/>
      <c r="DI30" s="69" t="s">
        <v>1010</v>
      </c>
      <c r="DJ30" s="69" t="s">
        <v>1010</v>
      </c>
      <c r="DK30" s="69" t="s">
        <v>1969</v>
      </c>
      <c r="DL30" s="69" t="s">
        <v>3459</v>
      </c>
      <c r="DM30" s="69"/>
      <c r="DN30" s="69"/>
      <c r="DO30" s="69"/>
      <c r="DP30" s="69"/>
      <c r="DQ30" s="69" t="s">
        <v>3</v>
      </c>
      <c r="DR30" s="69" t="s">
        <v>3</v>
      </c>
      <c r="DS30" s="69" t="s">
        <v>3</v>
      </c>
      <c r="DT30" s="69" t="s">
        <v>1162</v>
      </c>
      <c r="DU30" s="69" t="s">
        <v>1162</v>
      </c>
      <c r="DV30" s="69" t="s">
        <v>1569</v>
      </c>
      <c r="DW30" s="69" t="s">
        <v>435</v>
      </c>
      <c r="DX30" s="69" t="s">
        <v>435</v>
      </c>
      <c r="DY30" s="69" t="s">
        <v>1496</v>
      </c>
      <c r="DZ30" s="69"/>
    </row>
    <row r="31" spans="1:130" s="18" customFormat="1" ht="22.5" customHeight="1" x14ac:dyDescent="0.15">
      <c r="A31" s="25" t="s">
        <v>7</v>
      </c>
      <c r="B31" s="46" t="s">
        <v>95</v>
      </c>
      <c r="C31" s="46" t="s">
        <v>95</v>
      </c>
      <c r="D31" s="46" t="s">
        <v>95</v>
      </c>
      <c r="E31" s="46" t="s">
        <v>95</v>
      </c>
      <c r="F31" s="46" t="s">
        <v>95</v>
      </c>
      <c r="G31" s="46" t="s">
        <v>95</v>
      </c>
      <c r="H31" s="46" t="s">
        <v>12</v>
      </c>
      <c r="I31" s="46" t="s">
        <v>95</v>
      </c>
      <c r="J31" s="46" t="s">
        <v>12</v>
      </c>
      <c r="K31" s="46" t="s">
        <v>95</v>
      </c>
      <c r="L31" s="46" t="s">
        <v>12</v>
      </c>
      <c r="M31" s="46" t="s">
        <v>95</v>
      </c>
      <c r="N31" s="46" t="s">
        <v>3</v>
      </c>
      <c r="O31" s="46" t="s">
        <v>95</v>
      </c>
      <c r="P31" s="46" t="s">
        <v>95</v>
      </c>
      <c r="Q31" s="46" t="s">
        <v>95</v>
      </c>
      <c r="R31" s="46" t="s">
        <v>95</v>
      </c>
      <c r="S31" s="117" t="s">
        <v>95</v>
      </c>
      <c r="T31" s="117" t="s">
        <v>95</v>
      </c>
      <c r="U31" s="46" t="s">
        <v>95</v>
      </c>
      <c r="V31" s="46" t="s">
        <v>95</v>
      </c>
      <c r="W31" s="101" t="s">
        <v>95</v>
      </c>
      <c r="X31" s="46" t="s">
        <v>95</v>
      </c>
      <c r="Y31" s="47" t="s">
        <v>2322</v>
      </c>
      <c r="Z31" s="46" t="s">
        <v>95</v>
      </c>
      <c r="AA31" s="46" t="s">
        <v>3</v>
      </c>
      <c r="AB31" s="47" t="s">
        <v>3</v>
      </c>
      <c r="AC31" s="47" t="s">
        <v>95</v>
      </c>
      <c r="AD31" s="47" t="s">
        <v>95</v>
      </c>
      <c r="AE31" s="47" t="s">
        <v>3</v>
      </c>
      <c r="AF31" s="47" t="s">
        <v>95</v>
      </c>
      <c r="AG31" s="47" t="s">
        <v>95</v>
      </c>
      <c r="AH31" s="46" t="s">
        <v>95</v>
      </c>
      <c r="AI31" s="47" t="s">
        <v>2833</v>
      </c>
      <c r="AJ31" s="47" t="s">
        <v>3</v>
      </c>
      <c r="AK31" s="47" t="s">
        <v>95</v>
      </c>
      <c r="AL31" s="47" t="s">
        <v>2974</v>
      </c>
      <c r="AM31" s="47" t="s">
        <v>95</v>
      </c>
      <c r="AN31" s="20" t="s">
        <v>95</v>
      </c>
      <c r="AO31" s="130" t="s">
        <v>95</v>
      </c>
      <c r="AP31" s="20" t="s">
        <v>95</v>
      </c>
      <c r="AQ31" s="43" t="s">
        <v>95</v>
      </c>
      <c r="AR31" s="43" t="s">
        <v>95</v>
      </c>
      <c r="AS31" s="43" t="s">
        <v>95</v>
      </c>
      <c r="AT31" s="43" t="s">
        <v>95</v>
      </c>
      <c r="AU31" s="42" t="s">
        <v>95</v>
      </c>
      <c r="AV31" s="20" t="s">
        <v>524</v>
      </c>
      <c r="AW31" s="44" t="s">
        <v>95</v>
      </c>
      <c r="AX31" s="20" t="s">
        <v>0</v>
      </c>
      <c r="AY31" s="44" t="s">
        <v>95</v>
      </c>
      <c r="AZ31" s="47" t="s">
        <v>15</v>
      </c>
      <c r="BA31" s="43" t="s">
        <v>2209</v>
      </c>
      <c r="BB31" s="43" t="s">
        <v>2209</v>
      </c>
      <c r="BC31" s="47" t="s">
        <v>15</v>
      </c>
      <c r="BD31" s="44" t="s">
        <v>2209</v>
      </c>
      <c r="BE31" s="44" t="s">
        <v>2209</v>
      </c>
      <c r="BF31" s="47" t="s">
        <v>1113</v>
      </c>
      <c r="BG31" s="47" t="s">
        <v>1113</v>
      </c>
      <c r="BH31" s="47" t="s">
        <v>1113</v>
      </c>
      <c r="BI31" s="47" t="s">
        <v>386</v>
      </c>
      <c r="BJ31" s="47" t="s">
        <v>386</v>
      </c>
      <c r="BK31" s="47" t="s">
        <v>2437</v>
      </c>
      <c r="BL31" s="47" t="s">
        <v>95</v>
      </c>
      <c r="BM31" s="46" t="s">
        <v>95</v>
      </c>
      <c r="BN31" s="46" t="s">
        <v>95</v>
      </c>
      <c r="BO31" s="46" t="s">
        <v>95</v>
      </c>
      <c r="BP31" s="46" t="s">
        <v>95</v>
      </c>
      <c r="BQ31" s="46" t="s">
        <v>640</v>
      </c>
      <c r="BR31" s="46" t="s">
        <v>95</v>
      </c>
      <c r="BS31" s="46" t="s">
        <v>95</v>
      </c>
      <c r="BT31" s="46" t="s">
        <v>95</v>
      </c>
      <c r="BU31" s="46" t="s">
        <v>95</v>
      </c>
      <c r="BV31" s="46" t="s">
        <v>95</v>
      </c>
      <c r="BW31" s="46" t="s">
        <v>2024</v>
      </c>
      <c r="BX31" s="46" t="s">
        <v>95</v>
      </c>
      <c r="BY31" s="47" t="s">
        <v>279</v>
      </c>
      <c r="BZ31" s="47" t="s">
        <v>279</v>
      </c>
      <c r="CA31" s="46" t="s">
        <v>95</v>
      </c>
      <c r="CB31" s="47" t="s">
        <v>279</v>
      </c>
      <c r="CC31" s="46" t="s">
        <v>12</v>
      </c>
      <c r="CD31" s="46" t="s">
        <v>95</v>
      </c>
      <c r="CE31" s="46" t="s">
        <v>95</v>
      </c>
      <c r="CF31" s="47" t="s">
        <v>95</v>
      </c>
      <c r="CG31" s="47" t="s">
        <v>95</v>
      </c>
      <c r="CH31" s="47" t="s">
        <v>95</v>
      </c>
      <c r="CI31" s="47" t="s">
        <v>3621</v>
      </c>
      <c r="CJ31" s="47" t="s">
        <v>95</v>
      </c>
      <c r="CK31" s="47" t="s">
        <v>95</v>
      </c>
      <c r="CL31" s="46" t="s">
        <v>95</v>
      </c>
      <c r="CM31" s="46" t="s">
        <v>129</v>
      </c>
      <c r="CN31" s="46" t="s">
        <v>129</v>
      </c>
      <c r="CO31" s="46" t="s">
        <v>95</v>
      </c>
      <c r="CP31" s="47" t="s">
        <v>0</v>
      </c>
      <c r="CQ31" s="44" t="s">
        <v>95</v>
      </c>
      <c r="CR31" s="44" t="s">
        <v>95</v>
      </c>
      <c r="CS31" s="46" t="s">
        <v>95</v>
      </c>
      <c r="CT31" s="46" t="s">
        <v>95</v>
      </c>
      <c r="CU31" s="46" t="s">
        <v>95</v>
      </c>
      <c r="CV31" s="46" t="s">
        <v>95</v>
      </c>
      <c r="CW31" s="47" t="s">
        <v>95</v>
      </c>
      <c r="CX31" s="46" t="s">
        <v>95</v>
      </c>
      <c r="CY31" s="46" t="s">
        <v>95</v>
      </c>
      <c r="CZ31" s="46" t="s">
        <v>95</v>
      </c>
      <c r="DA31" s="46" t="s">
        <v>95</v>
      </c>
      <c r="DB31" s="46" t="s">
        <v>95</v>
      </c>
      <c r="DC31" s="46" t="s">
        <v>95</v>
      </c>
      <c r="DD31" s="46" t="s">
        <v>95</v>
      </c>
      <c r="DE31" s="47" t="s">
        <v>95</v>
      </c>
      <c r="DF31" s="47" t="s">
        <v>95</v>
      </c>
      <c r="DG31" s="147" t="s">
        <v>3351</v>
      </c>
      <c r="DH31" s="46" t="s">
        <v>94</v>
      </c>
      <c r="DI31" s="46" t="s">
        <v>94</v>
      </c>
      <c r="DJ31" s="46" t="s">
        <v>94</v>
      </c>
      <c r="DK31" s="46" t="s">
        <v>95</v>
      </c>
      <c r="DL31" s="46" t="s">
        <v>3457</v>
      </c>
      <c r="DM31" s="46" t="s">
        <v>95</v>
      </c>
      <c r="DN31" s="47" t="s">
        <v>15</v>
      </c>
      <c r="DO31" s="47" t="s">
        <v>95</v>
      </c>
      <c r="DP31" s="46" t="s">
        <v>95</v>
      </c>
      <c r="DQ31" s="47" t="s">
        <v>125</v>
      </c>
      <c r="DR31" s="46" t="s">
        <v>95</v>
      </c>
      <c r="DS31" s="47" t="s">
        <v>2672</v>
      </c>
      <c r="DT31" s="47" t="s">
        <v>127</v>
      </c>
      <c r="DU31" s="47" t="s">
        <v>95</v>
      </c>
      <c r="DV31" s="47" t="s">
        <v>1533</v>
      </c>
      <c r="DW31" s="46" t="s">
        <v>125</v>
      </c>
      <c r="DX31" s="46" t="s">
        <v>95</v>
      </c>
      <c r="DY31" s="46" t="s">
        <v>95</v>
      </c>
      <c r="DZ31" s="43"/>
    </row>
    <row r="32" spans="1:130" s="18" customFormat="1" ht="12" customHeight="1" x14ac:dyDescent="0.15">
      <c r="A32" s="76" t="s">
        <v>402</v>
      </c>
      <c r="B32" s="69"/>
      <c r="C32" s="69" t="s">
        <v>2783</v>
      </c>
      <c r="D32" s="69" t="s">
        <v>2783</v>
      </c>
      <c r="E32" s="69" t="s">
        <v>1591</v>
      </c>
      <c r="F32" s="69"/>
      <c r="G32" s="69" t="s">
        <v>1591</v>
      </c>
      <c r="H32" s="69" t="s">
        <v>1614</v>
      </c>
      <c r="I32" s="69" t="s">
        <v>1615</v>
      </c>
      <c r="J32" s="69" t="s">
        <v>1421</v>
      </c>
      <c r="K32" s="69" t="s">
        <v>1422</v>
      </c>
      <c r="L32" s="69" t="s">
        <v>1614</v>
      </c>
      <c r="M32" s="69" t="s">
        <v>1615</v>
      </c>
      <c r="N32" s="69" t="s">
        <v>1350</v>
      </c>
      <c r="O32" s="69"/>
      <c r="P32" s="69"/>
      <c r="Q32" s="69"/>
      <c r="R32" s="69" t="s">
        <v>1423</v>
      </c>
      <c r="S32" s="128"/>
      <c r="T32" s="128"/>
      <c r="U32" s="69" t="s">
        <v>2536</v>
      </c>
      <c r="V32" s="69"/>
      <c r="W32" s="106" t="s">
        <v>1294</v>
      </c>
      <c r="X32" s="69" t="s">
        <v>1294</v>
      </c>
      <c r="Y32" s="69" t="s">
        <v>2298</v>
      </c>
      <c r="Z32" s="69" t="s">
        <v>2614</v>
      </c>
      <c r="AA32" s="69" t="s">
        <v>3</v>
      </c>
      <c r="AB32" s="69" t="s">
        <v>678</v>
      </c>
      <c r="AC32" s="69" t="s">
        <v>678</v>
      </c>
      <c r="AD32" s="69" t="s">
        <v>678</v>
      </c>
      <c r="AE32" s="69" t="s">
        <v>678</v>
      </c>
      <c r="AF32" s="69" t="s">
        <v>678</v>
      </c>
      <c r="AG32" s="69" t="s">
        <v>678</v>
      </c>
      <c r="AH32" s="69" t="s">
        <v>2834</v>
      </c>
      <c r="AI32" s="69" t="s">
        <v>1486</v>
      </c>
      <c r="AJ32" s="69" t="s">
        <v>3</v>
      </c>
      <c r="AK32" s="69" t="s">
        <v>3075</v>
      </c>
      <c r="AL32" s="69" t="s">
        <v>3076</v>
      </c>
      <c r="AM32" s="69" t="s">
        <v>3075</v>
      </c>
      <c r="AN32" s="69" t="s">
        <v>475</v>
      </c>
      <c r="AO32" s="131"/>
      <c r="AP32" s="69" t="s">
        <v>475</v>
      </c>
      <c r="AQ32" s="69" t="s">
        <v>3400</v>
      </c>
      <c r="AR32" s="69"/>
      <c r="AS32" s="69"/>
      <c r="AT32" s="69"/>
      <c r="AU32" s="69"/>
      <c r="AV32" s="69" t="s">
        <v>514</v>
      </c>
      <c r="AW32" s="69" t="s">
        <v>514</v>
      </c>
      <c r="AX32" s="69" t="s">
        <v>514</v>
      </c>
      <c r="AY32" s="69" t="s">
        <v>514</v>
      </c>
      <c r="AZ32" s="69" t="s">
        <v>3139</v>
      </c>
      <c r="BA32" s="69" t="s">
        <v>2245</v>
      </c>
      <c r="BB32" s="69" t="s">
        <v>2245</v>
      </c>
      <c r="BC32" s="69" t="s">
        <v>2274</v>
      </c>
      <c r="BD32" s="69" t="s">
        <v>2245</v>
      </c>
      <c r="BE32" s="69" t="s">
        <v>2245</v>
      </c>
      <c r="BF32" s="69" t="s">
        <v>1111</v>
      </c>
      <c r="BG32" s="69" t="s">
        <v>1112</v>
      </c>
      <c r="BH32" s="69"/>
      <c r="BI32" s="69"/>
      <c r="BJ32" s="69" t="s">
        <v>1885</v>
      </c>
      <c r="BK32" s="69" t="s">
        <v>2436</v>
      </c>
      <c r="BL32" s="69" t="s">
        <v>2337</v>
      </c>
      <c r="BM32" s="69"/>
      <c r="BN32" s="69"/>
      <c r="BO32" s="69"/>
      <c r="BP32" s="69" t="s">
        <v>639</v>
      </c>
      <c r="BQ32" s="69" t="s">
        <v>639</v>
      </c>
      <c r="BR32" s="69"/>
      <c r="BS32" s="69"/>
      <c r="BT32" s="69"/>
      <c r="BU32" s="69"/>
      <c r="BV32" s="69"/>
      <c r="BW32" s="69" t="s">
        <v>2089</v>
      </c>
      <c r="BX32" s="69" t="s">
        <v>2014</v>
      </c>
      <c r="BY32" s="69"/>
      <c r="BZ32" s="69" t="s">
        <v>1651</v>
      </c>
      <c r="CA32" s="69" t="s">
        <v>2743</v>
      </c>
      <c r="CB32" s="69" t="s">
        <v>1651</v>
      </c>
      <c r="CC32" s="69"/>
      <c r="CD32" s="69"/>
      <c r="CE32" s="69" t="s">
        <v>1723</v>
      </c>
      <c r="CF32" s="69" t="s">
        <v>1781</v>
      </c>
      <c r="CG32" s="69" t="s">
        <v>1781</v>
      </c>
      <c r="CH32" s="69" t="s">
        <v>1814</v>
      </c>
      <c r="CI32" s="69" t="s">
        <v>3555</v>
      </c>
      <c r="CJ32" s="69" t="s">
        <v>3555</v>
      </c>
      <c r="CK32" s="69" t="s">
        <v>3555</v>
      </c>
      <c r="CL32" s="69" t="s">
        <v>3555</v>
      </c>
      <c r="CM32" s="69" t="s">
        <v>741</v>
      </c>
      <c r="CN32" s="69" t="s">
        <v>741</v>
      </c>
      <c r="CO32" s="69" t="s">
        <v>950</v>
      </c>
      <c r="CP32" s="69" t="s">
        <v>2982</v>
      </c>
      <c r="CQ32" s="69" t="s">
        <v>2982</v>
      </c>
      <c r="CR32" s="69" t="s">
        <v>2982</v>
      </c>
      <c r="CS32" s="69" t="s">
        <v>2498</v>
      </c>
      <c r="CT32" s="69" t="s">
        <v>857</v>
      </c>
      <c r="CU32" s="69" t="s">
        <v>857</v>
      </c>
      <c r="CV32" s="69"/>
      <c r="CW32" s="69"/>
      <c r="CX32" s="69" t="s">
        <v>1226</v>
      </c>
      <c r="CY32" s="69"/>
      <c r="CZ32" s="69"/>
      <c r="DA32" s="69" t="s">
        <v>2129</v>
      </c>
      <c r="DB32" s="69" t="s">
        <v>923</v>
      </c>
      <c r="DC32" s="69" t="s">
        <v>923</v>
      </c>
      <c r="DD32" s="69" t="s">
        <v>923</v>
      </c>
      <c r="DE32" s="69"/>
      <c r="DF32" s="69"/>
      <c r="DG32" s="152" t="s">
        <v>3352</v>
      </c>
      <c r="DH32" s="69"/>
      <c r="DI32" s="69" t="s">
        <v>1012</v>
      </c>
      <c r="DJ32" s="69" t="s">
        <v>1012</v>
      </c>
      <c r="DK32" s="69" t="s">
        <v>1957</v>
      </c>
      <c r="DL32" s="69" t="s">
        <v>3460</v>
      </c>
      <c r="DM32" s="69"/>
      <c r="DN32" s="69"/>
      <c r="DO32" s="69"/>
      <c r="DP32" s="69"/>
      <c r="DQ32" s="69" t="s">
        <v>2932</v>
      </c>
      <c r="DR32" s="69" t="s">
        <v>1383</v>
      </c>
      <c r="DS32" s="69" t="s">
        <v>2671</v>
      </c>
      <c r="DT32" s="69" t="s">
        <v>1201</v>
      </c>
      <c r="DU32" s="69" t="s">
        <v>1201</v>
      </c>
      <c r="DV32" s="69" t="s">
        <v>1534</v>
      </c>
      <c r="DW32" s="69" t="s">
        <v>411</v>
      </c>
      <c r="DX32" s="69" t="s">
        <v>439</v>
      </c>
      <c r="DY32" s="69" t="s">
        <v>1486</v>
      </c>
      <c r="DZ32" s="69"/>
    </row>
    <row r="33" spans="1:130" s="18" customFormat="1" ht="22.5" customHeight="1" x14ac:dyDescent="0.15">
      <c r="A33" s="26" t="s">
        <v>82</v>
      </c>
      <c r="B33" s="46" t="s">
        <v>100</v>
      </c>
      <c r="C33" s="47" t="s">
        <v>2763</v>
      </c>
      <c r="D33" s="47" t="s">
        <v>2763</v>
      </c>
      <c r="E33" s="46" t="s">
        <v>3267</v>
      </c>
      <c r="F33" s="46" t="s">
        <v>321</v>
      </c>
      <c r="G33" s="46" t="s">
        <v>321</v>
      </c>
      <c r="H33" s="47" t="s">
        <v>3</v>
      </c>
      <c r="I33" s="46" t="s">
        <v>95</v>
      </c>
      <c r="J33" s="47" t="s">
        <v>3</v>
      </c>
      <c r="K33" s="46" t="s">
        <v>95</v>
      </c>
      <c r="L33" s="47" t="s">
        <v>3</v>
      </c>
      <c r="M33" s="46" t="s">
        <v>95</v>
      </c>
      <c r="N33" s="46" t="s">
        <v>3</v>
      </c>
      <c r="O33" s="47" t="s">
        <v>330</v>
      </c>
      <c r="P33" s="46" t="s">
        <v>100</v>
      </c>
      <c r="Q33" s="46" t="s">
        <v>100</v>
      </c>
      <c r="R33" s="46" t="s">
        <v>3239</v>
      </c>
      <c r="S33" s="117" t="s">
        <v>3292</v>
      </c>
      <c r="T33" s="117" t="s">
        <v>3292</v>
      </c>
      <c r="U33" s="47" t="s">
        <v>2535</v>
      </c>
      <c r="V33" s="47" t="s">
        <v>793</v>
      </c>
      <c r="W33" s="62" t="s">
        <v>1336</v>
      </c>
      <c r="X33" s="47" t="s">
        <v>1336</v>
      </c>
      <c r="Y33" s="47" t="s">
        <v>2286</v>
      </c>
      <c r="Z33" s="47" t="s">
        <v>2016</v>
      </c>
      <c r="AA33" s="46" t="s">
        <v>3</v>
      </c>
      <c r="AB33" s="46" t="s">
        <v>3</v>
      </c>
      <c r="AC33" s="46" t="s">
        <v>3</v>
      </c>
      <c r="AD33" s="46" t="s">
        <v>3</v>
      </c>
      <c r="AE33" s="46" t="s">
        <v>3</v>
      </c>
      <c r="AF33" s="46" t="s">
        <v>3</v>
      </c>
      <c r="AG33" s="46" t="s">
        <v>3</v>
      </c>
      <c r="AH33" s="47" t="s">
        <v>2835</v>
      </c>
      <c r="AI33" s="46" t="s">
        <v>3</v>
      </c>
      <c r="AJ33" s="47" t="s">
        <v>3</v>
      </c>
      <c r="AK33" s="47" t="s">
        <v>2973</v>
      </c>
      <c r="AL33" s="47" t="s">
        <v>95</v>
      </c>
      <c r="AM33" s="47" t="s">
        <v>3</v>
      </c>
      <c r="AN33" s="20" t="s">
        <v>477</v>
      </c>
      <c r="AO33" s="130" t="s">
        <v>3267</v>
      </c>
      <c r="AP33" s="43" t="s">
        <v>478</v>
      </c>
      <c r="AQ33" s="43" t="s">
        <v>3402</v>
      </c>
      <c r="AR33" s="43" t="s">
        <v>3501</v>
      </c>
      <c r="AS33" s="43" t="s">
        <v>3501</v>
      </c>
      <c r="AT33" s="43" t="s">
        <v>3501</v>
      </c>
      <c r="AU33" s="42" t="s">
        <v>95</v>
      </c>
      <c r="AV33" s="20" t="s">
        <v>3</v>
      </c>
      <c r="AW33" s="44" t="s">
        <v>100</v>
      </c>
      <c r="AX33" s="20" t="s">
        <v>3</v>
      </c>
      <c r="AY33" s="44" t="s">
        <v>2571</v>
      </c>
      <c r="AZ33" s="47" t="s">
        <v>3</v>
      </c>
      <c r="BA33" s="43" t="s">
        <v>3106</v>
      </c>
      <c r="BB33" s="43" t="s">
        <v>3106</v>
      </c>
      <c r="BC33" s="47" t="s">
        <v>3</v>
      </c>
      <c r="BD33" s="44" t="s">
        <v>2209</v>
      </c>
      <c r="BE33" s="44" t="s">
        <v>2209</v>
      </c>
      <c r="BF33" s="47" t="s">
        <v>3</v>
      </c>
      <c r="BG33" s="47" t="s">
        <v>259</v>
      </c>
      <c r="BH33" s="47" t="s">
        <v>259</v>
      </c>
      <c r="BI33" s="47" t="s">
        <v>385</v>
      </c>
      <c r="BJ33" s="47" t="s">
        <v>385</v>
      </c>
      <c r="BK33" s="47" t="s">
        <v>2428</v>
      </c>
      <c r="BL33" s="47" t="s">
        <v>2339</v>
      </c>
      <c r="BM33" s="46" t="s">
        <v>95</v>
      </c>
      <c r="BN33" s="46" t="s">
        <v>95</v>
      </c>
      <c r="BO33" s="46" t="s">
        <v>100</v>
      </c>
      <c r="BP33" s="47" t="s">
        <v>643</v>
      </c>
      <c r="BQ33" s="46" t="s">
        <v>100</v>
      </c>
      <c r="BR33" s="46" t="s">
        <v>95</v>
      </c>
      <c r="BS33" s="47" t="s">
        <v>373</v>
      </c>
      <c r="BT33" s="47" t="s">
        <v>373</v>
      </c>
      <c r="BU33" s="47" t="s">
        <v>226</v>
      </c>
      <c r="BV33" s="47" t="s">
        <v>226</v>
      </c>
      <c r="BW33" s="46" t="s">
        <v>3</v>
      </c>
      <c r="BX33" s="46" t="s">
        <v>2016</v>
      </c>
      <c r="BY33" s="47" t="s">
        <v>278</v>
      </c>
      <c r="BZ33" s="47" t="s">
        <v>278</v>
      </c>
      <c r="CA33" s="47" t="s">
        <v>95</v>
      </c>
      <c r="CB33" s="47" t="s">
        <v>278</v>
      </c>
      <c r="CC33" s="47" t="s">
        <v>3</v>
      </c>
      <c r="CD33" s="47" t="s">
        <v>47</v>
      </c>
      <c r="CE33" s="47" t="s">
        <v>47</v>
      </c>
      <c r="CF33" s="47" t="s">
        <v>95</v>
      </c>
      <c r="CG33" s="47" t="s">
        <v>95</v>
      </c>
      <c r="CH33" s="47" t="s">
        <v>47</v>
      </c>
      <c r="CI33" s="47" t="s">
        <v>3620</v>
      </c>
      <c r="CJ33" s="47" t="s">
        <v>95</v>
      </c>
      <c r="CK33" s="47" t="s">
        <v>95</v>
      </c>
      <c r="CL33" s="47" t="s">
        <v>95</v>
      </c>
      <c r="CM33" s="47" t="s">
        <v>3</v>
      </c>
      <c r="CN33" s="47" t="s">
        <v>3</v>
      </c>
      <c r="CO33" s="46" t="s">
        <v>95</v>
      </c>
      <c r="CP33" s="43" t="s">
        <v>3207</v>
      </c>
      <c r="CQ33" s="43" t="s">
        <v>3158</v>
      </c>
      <c r="CR33" s="43" t="s">
        <v>3158</v>
      </c>
      <c r="CS33" s="46" t="s">
        <v>95</v>
      </c>
      <c r="CT33" s="46" t="s">
        <v>95</v>
      </c>
      <c r="CU33" s="46" t="s">
        <v>95</v>
      </c>
      <c r="CV33" s="46" t="s">
        <v>3</v>
      </c>
      <c r="CW33" s="47" t="s">
        <v>229</v>
      </c>
      <c r="CX33" s="47" t="s">
        <v>3</v>
      </c>
      <c r="CY33" s="46" t="s">
        <v>3</v>
      </c>
      <c r="CZ33" s="46" t="s">
        <v>3</v>
      </c>
      <c r="DA33" s="46" t="s">
        <v>2118</v>
      </c>
      <c r="DB33" s="46" t="s">
        <v>3</v>
      </c>
      <c r="DC33" s="47" t="s">
        <v>876</v>
      </c>
      <c r="DD33" s="47" t="s">
        <v>876</v>
      </c>
      <c r="DE33" s="47" t="s">
        <v>285</v>
      </c>
      <c r="DF33" s="46" t="s">
        <v>3</v>
      </c>
      <c r="DG33" s="147" t="s">
        <v>100</v>
      </c>
      <c r="DH33" s="47" t="s">
        <v>100</v>
      </c>
      <c r="DI33" s="47" t="s">
        <v>1003</v>
      </c>
      <c r="DJ33" s="47" t="s">
        <v>1003</v>
      </c>
      <c r="DK33" s="47" t="s">
        <v>1970</v>
      </c>
      <c r="DL33" s="47" t="s">
        <v>3457</v>
      </c>
      <c r="DM33" s="46" t="s">
        <v>95</v>
      </c>
      <c r="DN33" s="46" t="s">
        <v>95</v>
      </c>
      <c r="DO33" s="46" t="s">
        <v>95</v>
      </c>
      <c r="DP33" s="46" t="s">
        <v>95</v>
      </c>
      <c r="DQ33" s="46" t="s">
        <v>3</v>
      </c>
      <c r="DR33" s="47" t="s">
        <v>1384</v>
      </c>
      <c r="DS33" s="47" t="s">
        <v>2693</v>
      </c>
      <c r="DT33" s="46" t="s">
        <v>3</v>
      </c>
      <c r="DU33" s="47" t="s">
        <v>3</v>
      </c>
      <c r="DV33" s="47" t="s">
        <v>1532</v>
      </c>
      <c r="DW33" s="46" t="s">
        <v>3</v>
      </c>
      <c r="DX33" s="47" t="s">
        <v>16</v>
      </c>
      <c r="DY33" s="46" t="s">
        <v>3</v>
      </c>
      <c r="DZ33" s="43"/>
    </row>
    <row r="34" spans="1:130" s="18" customFormat="1" ht="12" customHeight="1" x14ac:dyDescent="0.15">
      <c r="A34" s="76" t="s">
        <v>402</v>
      </c>
      <c r="B34" s="69"/>
      <c r="C34" s="69" t="s">
        <v>2780</v>
      </c>
      <c r="D34" s="69" t="s">
        <v>2780</v>
      </c>
      <c r="E34" s="69" t="s">
        <v>3282</v>
      </c>
      <c r="F34" s="69"/>
      <c r="G34" s="69" t="s">
        <v>1587</v>
      </c>
      <c r="H34" s="69" t="s">
        <v>3</v>
      </c>
      <c r="I34" s="69" t="s">
        <v>1425</v>
      </c>
      <c r="J34" s="69" t="s">
        <v>3</v>
      </c>
      <c r="K34" s="69" t="s">
        <v>1425</v>
      </c>
      <c r="L34" s="69" t="s">
        <v>3</v>
      </c>
      <c r="M34" s="69" t="s">
        <v>1425</v>
      </c>
      <c r="N34" s="69" t="s">
        <v>1350</v>
      </c>
      <c r="O34" s="69"/>
      <c r="P34" s="69"/>
      <c r="Q34" s="69"/>
      <c r="R34" s="69"/>
      <c r="S34" s="128"/>
      <c r="T34" s="128"/>
      <c r="U34" s="69" t="s">
        <v>2534</v>
      </c>
      <c r="V34" s="69"/>
      <c r="W34" s="106" t="s">
        <v>1335</v>
      </c>
      <c r="X34" s="69" t="s">
        <v>1335</v>
      </c>
      <c r="Y34" s="69" t="s">
        <v>2287</v>
      </c>
      <c r="Z34" s="69" t="s">
        <v>2629</v>
      </c>
      <c r="AA34" s="69" t="s">
        <v>3</v>
      </c>
      <c r="AB34" s="69" t="s">
        <v>703</v>
      </c>
      <c r="AC34" s="69" t="s">
        <v>703</v>
      </c>
      <c r="AD34" s="69" t="s">
        <v>703</v>
      </c>
      <c r="AE34" s="69" t="s">
        <v>703</v>
      </c>
      <c r="AF34" s="69" t="s">
        <v>703</v>
      </c>
      <c r="AG34" s="69" t="s">
        <v>703</v>
      </c>
      <c r="AH34" s="69" t="s">
        <v>2837</v>
      </c>
      <c r="AI34" s="69" t="s">
        <v>2836</v>
      </c>
      <c r="AJ34" s="69" t="s">
        <v>2836</v>
      </c>
      <c r="AK34" s="69" t="s">
        <v>3020</v>
      </c>
      <c r="AL34" s="69" t="s">
        <v>2982</v>
      </c>
      <c r="AM34" s="69" t="s">
        <v>3077</v>
      </c>
      <c r="AN34" s="69" t="s">
        <v>480</v>
      </c>
      <c r="AO34" s="131"/>
      <c r="AP34" s="69" t="s">
        <v>479</v>
      </c>
      <c r="AQ34" s="69" t="s">
        <v>3403</v>
      </c>
      <c r="AR34" s="69"/>
      <c r="AS34" s="69"/>
      <c r="AT34" s="69"/>
      <c r="AU34" s="69"/>
      <c r="AV34" s="69" t="s">
        <v>565</v>
      </c>
      <c r="AW34" s="69" t="s">
        <v>515</v>
      </c>
      <c r="AX34" s="69" t="s">
        <v>565</v>
      </c>
      <c r="AY34" s="69" t="s">
        <v>2574</v>
      </c>
      <c r="AZ34" s="69" t="s">
        <v>3137</v>
      </c>
      <c r="BA34" s="69" t="s">
        <v>2244</v>
      </c>
      <c r="BB34" s="69" t="s">
        <v>2244</v>
      </c>
      <c r="BC34" s="69" t="s">
        <v>3</v>
      </c>
      <c r="BD34" s="69" t="s">
        <v>2244</v>
      </c>
      <c r="BE34" s="69" t="s">
        <v>2244</v>
      </c>
      <c r="BF34" s="69" t="s">
        <v>1140</v>
      </c>
      <c r="BG34" s="69" t="s">
        <v>1116</v>
      </c>
      <c r="BH34" s="69"/>
      <c r="BI34" s="69"/>
      <c r="BJ34" s="69" t="s">
        <v>1886</v>
      </c>
      <c r="BK34" s="69" t="s">
        <v>2436</v>
      </c>
      <c r="BL34" s="69" t="s">
        <v>2337</v>
      </c>
      <c r="BM34" s="69"/>
      <c r="BN34" s="69"/>
      <c r="BO34" s="69"/>
      <c r="BP34" s="69" t="s">
        <v>642</v>
      </c>
      <c r="BQ34" s="69" t="s">
        <v>641</v>
      </c>
      <c r="BR34" s="69"/>
      <c r="BS34" s="69"/>
      <c r="BT34" s="69"/>
      <c r="BU34" s="69"/>
      <c r="BV34" s="69"/>
      <c r="BW34" s="69" t="s">
        <v>2103</v>
      </c>
      <c r="BX34" s="69" t="s">
        <v>2104</v>
      </c>
      <c r="BY34" s="69"/>
      <c r="BZ34" s="69" t="s">
        <v>1669</v>
      </c>
      <c r="CA34" s="69" t="s">
        <v>2744</v>
      </c>
      <c r="CB34" s="69" t="s">
        <v>1669</v>
      </c>
      <c r="CC34" s="69"/>
      <c r="CD34" s="69"/>
      <c r="CE34" s="69" t="s">
        <v>1727</v>
      </c>
      <c r="CF34" s="69" t="s">
        <v>1780</v>
      </c>
      <c r="CG34" s="69" t="s">
        <v>1780</v>
      </c>
      <c r="CH34" s="69" t="s">
        <v>1815</v>
      </c>
      <c r="CI34" s="69" t="s">
        <v>3555</v>
      </c>
      <c r="CJ34" s="69" t="s">
        <v>3555</v>
      </c>
      <c r="CK34" s="69" t="s">
        <v>3555</v>
      </c>
      <c r="CL34" s="69" t="s">
        <v>3555</v>
      </c>
      <c r="CM34" s="69" t="s">
        <v>766</v>
      </c>
      <c r="CN34" s="69" t="s">
        <v>766</v>
      </c>
      <c r="CO34" s="69" t="s">
        <v>947</v>
      </c>
      <c r="CP34" s="69" t="s">
        <v>2983</v>
      </c>
      <c r="CQ34" s="69" t="s">
        <v>2983</v>
      </c>
      <c r="CR34" s="69" t="s">
        <v>2983</v>
      </c>
      <c r="CS34" s="69" t="s">
        <v>2502</v>
      </c>
      <c r="CT34" s="69" t="s">
        <v>845</v>
      </c>
      <c r="CU34" s="69" t="s">
        <v>836</v>
      </c>
      <c r="CV34" s="69"/>
      <c r="CW34" s="69"/>
      <c r="CX34" s="69" t="s">
        <v>1249</v>
      </c>
      <c r="CY34" s="69"/>
      <c r="CZ34" s="69"/>
      <c r="DA34" s="69" t="s">
        <v>2132</v>
      </c>
      <c r="DB34" s="69" t="s">
        <v>564</v>
      </c>
      <c r="DC34" s="69" t="s">
        <v>889</v>
      </c>
      <c r="DD34" s="69" t="s">
        <v>889</v>
      </c>
      <c r="DE34" s="69"/>
      <c r="DF34" s="69"/>
      <c r="DG34" s="152" t="s">
        <v>3353</v>
      </c>
      <c r="DH34" s="69"/>
      <c r="DI34" s="69" t="s">
        <v>1011</v>
      </c>
      <c r="DJ34" s="69" t="s">
        <v>1011</v>
      </c>
      <c r="DK34" s="69" t="s">
        <v>1971</v>
      </c>
      <c r="DL34" s="69" t="s">
        <v>3461</v>
      </c>
      <c r="DM34" s="69"/>
      <c r="DN34" s="69"/>
      <c r="DO34" s="69"/>
      <c r="DP34" s="69"/>
      <c r="DQ34" s="69" t="s">
        <v>3</v>
      </c>
      <c r="DR34" s="69" t="s">
        <v>1385</v>
      </c>
      <c r="DS34" s="69" t="s">
        <v>1900</v>
      </c>
      <c r="DT34" s="69" t="s">
        <v>2489</v>
      </c>
      <c r="DU34" s="69" t="s">
        <v>2489</v>
      </c>
      <c r="DV34" s="69" t="s">
        <v>1531</v>
      </c>
      <c r="DW34" s="69" t="s">
        <v>3</v>
      </c>
      <c r="DX34" s="69" t="s">
        <v>440</v>
      </c>
      <c r="DY34" s="69" t="s">
        <v>1519</v>
      </c>
      <c r="DZ34" s="69"/>
    </row>
    <row r="35" spans="1:130" s="18" customFormat="1" ht="22.5" customHeight="1" x14ac:dyDescent="0.15">
      <c r="A35" s="26" t="s">
        <v>34</v>
      </c>
      <c r="B35" s="46" t="s">
        <v>3</v>
      </c>
      <c r="C35" s="47" t="s">
        <v>2761</v>
      </c>
      <c r="D35" s="47" t="s">
        <v>2761</v>
      </c>
      <c r="E35" s="46" t="s">
        <v>95</v>
      </c>
      <c r="F35" s="46" t="s">
        <v>95</v>
      </c>
      <c r="G35" s="46" t="s">
        <v>95</v>
      </c>
      <c r="H35" s="46" t="s">
        <v>95</v>
      </c>
      <c r="I35" s="46" t="s">
        <v>95</v>
      </c>
      <c r="J35" s="46" t="s">
        <v>95</v>
      </c>
      <c r="K35" s="46" t="s">
        <v>95</v>
      </c>
      <c r="L35" s="46" t="s">
        <v>95</v>
      </c>
      <c r="M35" s="46" t="s">
        <v>95</v>
      </c>
      <c r="N35" s="46" t="s">
        <v>3</v>
      </c>
      <c r="O35" s="46" t="s">
        <v>94</v>
      </c>
      <c r="P35" s="46" t="s">
        <v>3</v>
      </c>
      <c r="Q35" s="46" t="s">
        <v>3</v>
      </c>
      <c r="R35" s="46" t="s">
        <v>3239</v>
      </c>
      <c r="S35" s="117" t="s">
        <v>3292</v>
      </c>
      <c r="T35" s="117" t="s">
        <v>3292</v>
      </c>
      <c r="U35" s="46" t="s">
        <v>3</v>
      </c>
      <c r="V35" s="47" t="s">
        <v>793</v>
      </c>
      <c r="W35" s="62" t="s">
        <v>1336</v>
      </c>
      <c r="X35" s="47" t="s">
        <v>1336</v>
      </c>
      <c r="Y35" s="47" t="s">
        <v>2285</v>
      </c>
      <c r="Z35" s="46" t="s">
        <v>95</v>
      </c>
      <c r="AA35" s="46" t="s">
        <v>3</v>
      </c>
      <c r="AB35" s="46" t="s">
        <v>3</v>
      </c>
      <c r="AC35" s="46" t="s">
        <v>3</v>
      </c>
      <c r="AD35" s="46" t="s">
        <v>3</v>
      </c>
      <c r="AE35" s="46" t="s">
        <v>3</v>
      </c>
      <c r="AF35" s="46" t="s">
        <v>3</v>
      </c>
      <c r="AG35" s="46" t="s">
        <v>3</v>
      </c>
      <c r="AH35" s="47" t="s">
        <v>95</v>
      </c>
      <c r="AI35" s="46" t="s">
        <v>3</v>
      </c>
      <c r="AJ35" s="46" t="s">
        <v>3</v>
      </c>
      <c r="AK35" s="46" t="s">
        <v>95</v>
      </c>
      <c r="AL35" s="46" t="s">
        <v>95</v>
      </c>
      <c r="AM35" s="46" t="s">
        <v>3</v>
      </c>
      <c r="AN35" s="20" t="s">
        <v>95</v>
      </c>
      <c r="AO35" s="130" t="s">
        <v>95</v>
      </c>
      <c r="AP35" s="20" t="s">
        <v>95</v>
      </c>
      <c r="AQ35" s="44" t="s">
        <v>95</v>
      </c>
      <c r="AR35" s="44" t="s">
        <v>95</v>
      </c>
      <c r="AS35" s="44" t="s">
        <v>95</v>
      </c>
      <c r="AT35" s="44" t="s">
        <v>95</v>
      </c>
      <c r="AU35" s="42" t="s">
        <v>95</v>
      </c>
      <c r="AV35" s="20" t="s">
        <v>95</v>
      </c>
      <c r="AW35" s="20" t="s">
        <v>95</v>
      </c>
      <c r="AX35" s="20" t="s">
        <v>95</v>
      </c>
      <c r="AY35" s="20" t="s">
        <v>95</v>
      </c>
      <c r="AZ35" s="20" t="s">
        <v>95</v>
      </c>
      <c r="BA35" s="20" t="s">
        <v>95</v>
      </c>
      <c r="BB35" s="20" t="s">
        <v>95</v>
      </c>
      <c r="BC35" s="47" t="s">
        <v>3</v>
      </c>
      <c r="BD35" s="44" t="s">
        <v>2209</v>
      </c>
      <c r="BE35" s="44" t="s">
        <v>2209</v>
      </c>
      <c r="BF35" s="47" t="s">
        <v>3</v>
      </c>
      <c r="BG35" s="47" t="s">
        <v>95</v>
      </c>
      <c r="BH35" s="47" t="s">
        <v>95</v>
      </c>
      <c r="BI35" s="47" t="s">
        <v>95</v>
      </c>
      <c r="BJ35" s="47" t="s">
        <v>95</v>
      </c>
      <c r="BK35" s="47" t="s">
        <v>95</v>
      </c>
      <c r="BL35" s="47" t="s">
        <v>95</v>
      </c>
      <c r="BM35" s="46" t="s">
        <v>95</v>
      </c>
      <c r="BN35" s="46" t="s">
        <v>95</v>
      </c>
      <c r="BO35" s="46" t="s">
        <v>3</v>
      </c>
      <c r="BP35" s="46" t="s">
        <v>95</v>
      </c>
      <c r="BQ35" s="46" t="s">
        <v>3</v>
      </c>
      <c r="BR35" s="46" t="s">
        <v>95</v>
      </c>
      <c r="BS35" s="46" t="s">
        <v>95</v>
      </c>
      <c r="BT35" s="46" t="s">
        <v>95</v>
      </c>
      <c r="BU35" s="46" t="s">
        <v>3</v>
      </c>
      <c r="BV35" s="46" t="s">
        <v>3</v>
      </c>
      <c r="BW35" s="46" t="s">
        <v>3</v>
      </c>
      <c r="BX35" s="46" t="s">
        <v>95</v>
      </c>
      <c r="BY35" s="46" t="s">
        <v>95</v>
      </c>
      <c r="BZ35" s="46" t="s">
        <v>95</v>
      </c>
      <c r="CA35" s="47" t="s">
        <v>95</v>
      </c>
      <c r="CB35" s="47" t="s">
        <v>95</v>
      </c>
      <c r="CC35" s="47" t="s">
        <v>3</v>
      </c>
      <c r="CD35" s="47" t="s">
        <v>95</v>
      </c>
      <c r="CE35" s="47" t="s">
        <v>95</v>
      </c>
      <c r="CF35" s="47" t="s">
        <v>95</v>
      </c>
      <c r="CG35" s="47" t="s">
        <v>95</v>
      </c>
      <c r="CH35" s="47" t="s">
        <v>95</v>
      </c>
      <c r="CI35" s="47" t="s">
        <v>95</v>
      </c>
      <c r="CJ35" s="47" t="s">
        <v>95</v>
      </c>
      <c r="CK35" s="47" t="s">
        <v>95</v>
      </c>
      <c r="CL35" s="47" t="s">
        <v>95</v>
      </c>
      <c r="CM35" s="47" t="s">
        <v>3</v>
      </c>
      <c r="CN35" s="47" t="s">
        <v>3</v>
      </c>
      <c r="CO35" s="46" t="s">
        <v>95</v>
      </c>
      <c r="CP35" s="44" t="s">
        <v>3</v>
      </c>
      <c r="CQ35" s="44" t="s">
        <v>95</v>
      </c>
      <c r="CR35" s="44" t="s">
        <v>95</v>
      </c>
      <c r="CS35" s="46" t="s">
        <v>95</v>
      </c>
      <c r="CT35" s="46" t="s">
        <v>95</v>
      </c>
      <c r="CU35" s="46" t="s">
        <v>95</v>
      </c>
      <c r="CV35" s="46" t="s">
        <v>3</v>
      </c>
      <c r="CW35" s="47" t="s">
        <v>3</v>
      </c>
      <c r="CX35" s="47" t="s">
        <v>3</v>
      </c>
      <c r="CY35" s="46" t="s">
        <v>3</v>
      </c>
      <c r="CZ35" s="46" t="s">
        <v>3</v>
      </c>
      <c r="DA35" s="46" t="s">
        <v>95</v>
      </c>
      <c r="DB35" s="46" t="s">
        <v>3</v>
      </c>
      <c r="DC35" s="46" t="s">
        <v>3</v>
      </c>
      <c r="DD35" s="46" t="s">
        <v>3</v>
      </c>
      <c r="DE35" s="46" t="s">
        <v>94</v>
      </c>
      <c r="DF35" s="46" t="s">
        <v>94</v>
      </c>
      <c r="DG35" s="147" t="s">
        <v>3</v>
      </c>
      <c r="DH35" s="46" t="s">
        <v>95</v>
      </c>
      <c r="DI35" s="46" t="s">
        <v>95</v>
      </c>
      <c r="DJ35" s="46" t="s">
        <v>95</v>
      </c>
      <c r="DK35" s="47" t="s">
        <v>95</v>
      </c>
      <c r="DL35" s="47" t="s">
        <v>3457</v>
      </c>
      <c r="DM35" s="46" t="s">
        <v>95</v>
      </c>
      <c r="DN35" s="46" t="s">
        <v>95</v>
      </c>
      <c r="DO35" s="46" t="s">
        <v>95</v>
      </c>
      <c r="DP35" s="46" t="s">
        <v>95</v>
      </c>
      <c r="DQ35" s="46" t="s">
        <v>3</v>
      </c>
      <c r="DR35" s="46" t="s">
        <v>3</v>
      </c>
      <c r="DS35" s="46" t="s">
        <v>3</v>
      </c>
      <c r="DT35" s="46" t="s">
        <v>3</v>
      </c>
      <c r="DU35" s="47" t="s">
        <v>3</v>
      </c>
      <c r="DV35" s="20" t="s">
        <v>95</v>
      </c>
      <c r="DW35" s="47" t="s">
        <v>95</v>
      </c>
      <c r="DX35" s="47" t="s">
        <v>95</v>
      </c>
      <c r="DY35" s="46" t="s">
        <v>95</v>
      </c>
      <c r="DZ35" s="44"/>
    </row>
    <row r="36" spans="1:130" s="18" customFormat="1" ht="12" customHeight="1" x14ac:dyDescent="0.15">
      <c r="A36" s="76" t="s">
        <v>402</v>
      </c>
      <c r="B36" s="69"/>
      <c r="C36" s="69" t="s">
        <v>2762</v>
      </c>
      <c r="D36" s="69" t="s">
        <v>2762</v>
      </c>
      <c r="E36" s="69" t="s">
        <v>1591</v>
      </c>
      <c r="F36" s="69"/>
      <c r="G36" s="69" t="s">
        <v>1587</v>
      </c>
      <c r="H36" s="69" t="s">
        <v>1451</v>
      </c>
      <c r="I36" s="69" t="s">
        <v>1420</v>
      </c>
      <c r="J36" s="69" t="s">
        <v>1451</v>
      </c>
      <c r="K36" s="69" t="s">
        <v>1420</v>
      </c>
      <c r="L36" s="69" t="s">
        <v>1451</v>
      </c>
      <c r="M36" s="69" t="s">
        <v>1420</v>
      </c>
      <c r="N36" s="69" t="s">
        <v>1350</v>
      </c>
      <c r="O36" s="69"/>
      <c r="P36" s="69"/>
      <c r="Q36" s="69"/>
      <c r="R36" s="69"/>
      <c r="S36" s="128"/>
      <c r="T36" s="128"/>
      <c r="U36" s="69" t="s">
        <v>3</v>
      </c>
      <c r="V36" s="69"/>
      <c r="W36" s="106" t="s">
        <v>1335</v>
      </c>
      <c r="X36" s="69" t="s">
        <v>1335</v>
      </c>
      <c r="Y36" s="69" t="s">
        <v>2288</v>
      </c>
      <c r="Z36" s="69" t="s">
        <v>2625</v>
      </c>
      <c r="AA36" s="69" t="s">
        <v>3</v>
      </c>
      <c r="AB36" s="69" t="s">
        <v>3</v>
      </c>
      <c r="AC36" s="69" t="s">
        <v>3</v>
      </c>
      <c r="AD36" s="69" t="s">
        <v>3</v>
      </c>
      <c r="AE36" s="69" t="s">
        <v>3</v>
      </c>
      <c r="AF36" s="69" t="s">
        <v>3</v>
      </c>
      <c r="AG36" s="69" t="s">
        <v>3</v>
      </c>
      <c r="AH36" s="69" t="s">
        <v>2838</v>
      </c>
      <c r="AI36" s="69" t="s">
        <v>3</v>
      </c>
      <c r="AJ36" s="69" t="s">
        <v>3</v>
      </c>
      <c r="AK36" s="69" t="s">
        <v>3022</v>
      </c>
      <c r="AL36" s="69" t="s">
        <v>2985</v>
      </c>
      <c r="AM36" s="69" t="s">
        <v>3</v>
      </c>
      <c r="AN36" s="69" t="s">
        <v>482</v>
      </c>
      <c r="AO36" s="131"/>
      <c r="AP36" s="69" t="s">
        <v>482</v>
      </c>
      <c r="AQ36" s="69"/>
      <c r="AR36" s="69"/>
      <c r="AS36" s="69"/>
      <c r="AT36" s="69"/>
      <c r="AU36" s="69"/>
      <c r="AV36" s="69" t="s">
        <v>517</v>
      </c>
      <c r="AW36" s="69" t="s">
        <v>517</v>
      </c>
      <c r="AX36" s="69" t="s">
        <v>517</v>
      </c>
      <c r="AY36" s="69" t="s">
        <v>517</v>
      </c>
      <c r="AZ36" s="69" t="s">
        <v>3135</v>
      </c>
      <c r="BA36" s="69" t="s">
        <v>3135</v>
      </c>
      <c r="BB36" s="69" t="s">
        <v>3135</v>
      </c>
      <c r="BC36" s="69" t="s">
        <v>3</v>
      </c>
      <c r="BD36" s="69" t="s">
        <v>2243</v>
      </c>
      <c r="BE36" s="69" t="s">
        <v>2243</v>
      </c>
      <c r="BF36" s="69" t="s">
        <v>3</v>
      </c>
      <c r="BG36" s="69" t="s">
        <v>1095</v>
      </c>
      <c r="BH36" s="69"/>
      <c r="BI36" s="69"/>
      <c r="BJ36" s="69" t="s">
        <v>1884</v>
      </c>
      <c r="BK36" s="69" t="s">
        <v>2430</v>
      </c>
      <c r="BL36" s="69" t="s">
        <v>2337</v>
      </c>
      <c r="BM36" s="69"/>
      <c r="BN36" s="69"/>
      <c r="BO36" s="69"/>
      <c r="BP36" s="69" t="s">
        <v>585</v>
      </c>
      <c r="BQ36" s="69" t="s">
        <v>3</v>
      </c>
      <c r="BR36" s="69"/>
      <c r="BS36" s="69"/>
      <c r="BT36" s="69"/>
      <c r="BU36" s="69"/>
      <c r="BV36" s="69"/>
      <c r="BW36" s="69" t="s">
        <v>3</v>
      </c>
      <c r="BX36" s="69" t="s">
        <v>2017</v>
      </c>
      <c r="BY36" s="69"/>
      <c r="BZ36" s="69" t="s">
        <v>1654</v>
      </c>
      <c r="CA36" s="69" t="s">
        <v>2705</v>
      </c>
      <c r="CB36" s="69" t="s">
        <v>1654</v>
      </c>
      <c r="CC36" s="69"/>
      <c r="CD36" s="69"/>
      <c r="CE36" s="69" t="s">
        <v>1726</v>
      </c>
      <c r="CF36" s="69" t="s">
        <v>1779</v>
      </c>
      <c r="CG36" s="69" t="s">
        <v>1779</v>
      </c>
      <c r="CH36" s="69" t="s">
        <v>1816</v>
      </c>
      <c r="CI36" s="69" t="s">
        <v>3555</v>
      </c>
      <c r="CJ36" s="69" t="s">
        <v>3555</v>
      </c>
      <c r="CK36" s="69" t="s">
        <v>3555</v>
      </c>
      <c r="CL36" s="69" t="s">
        <v>3555</v>
      </c>
      <c r="CM36" s="69" t="s">
        <v>3</v>
      </c>
      <c r="CN36" s="69" t="s">
        <v>3</v>
      </c>
      <c r="CO36" s="69" t="s">
        <v>946</v>
      </c>
      <c r="CP36" s="69" t="s">
        <v>3</v>
      </c>
      <c r="CQ36" s="69" t="s">
        <v>3159</v>
      </c>
      <c r="CR36" s="69" t="s">
        <v>3159</v>
      </c>
      <c r="CS36" s="69" t="s">
        <v>2502</v>
      </c>
      <c r="CT36" s="69" t="s">
        <v>845</v>
      </c>
      <c r="CU36" s="69" t="s">
        <v>836</v>
      </c>
      <c r="CV36" s="69"/>
      <c r="CW36" s="69"/>
      <c r="CX36" s="69" t="s">
        <v>3</v>
      </c>
      <c r="CY36" s="69"/>
      <c r="CZ36" s="69"/>
      <c r="DA36" s="69" t="s">
        <v>2134</v>
      </c>
      <c r="DB36" s="69" t="s">
        <v>3</v>
      </c>
      <c r="DC36" s="69" t="s">
        <v>3</v>
      </c>
      <c r="DD36" s="69" t="s">
        <v>3</v>
      </c>
      <c r="DE36" s="69"/>
      <c r="DF36" s="69"/>
      <c r="DG36" s="152" t="s">
        <v>3</v>
      </c>
      <c r="DH36" s="69"/>
      <c r="DI36" s="69" t="s">
        <v>1014</v>
      </c>
      <c r="DJ36" s="69" t="s">
        <v>1014</v>
      </c>
      <c r="DK36" s="69" t="s">
        <v>1972</v>
      </c>
      <c r="DL36" s="69" t="s">
        <v>3462</v>
      </c>
      <c r="DM36" s="69"/>
      <c r="DN36" s="69"/>
      <c r="DO36" s="69"/>
      <c r="DP36" s="69"/>
      <c r="DQ36" s="69" t="s">
        <v>3</v>
      </c>
      <c r="DR36" s="69" t="s">
        <v>3</v>
      </c>
      <c r="DS36" s="69" t="s">
        <v>3</v>
      </c>
      <c r="DT36" s="69" t="s">
        <v>3</v>
      </c>
      <c r="DU36" s="69" t="s">
        <v>3</v>
      </c>
      <c r="DV36" s="69" t="s">
        <v>1569</v>
      </c>
      <c r="DW36" s="69" t="s">
        <v>436</v>
      </c>
      <c r="DX36" s="69" t="s">
        <v>436</v>
      </c>
      <c r="DY36" s="69" t="s">
        <v>1496</v>
      </c>
      <c r="DZ36" s="69"/>
    </row>
    <row r="37" spans="1:130" s="18" customFormat="1" ht="22.5" customHeight="1" x14ac:dyDescent="0.15">
      <c r="A37" s="26" t="s">
        <v>35</v>
      </c>
      <c r="B37" s="46" t="s">
        <v>3</v>
      </c>
      <c r="C37" s="47" t="s">
        <v>2761</v>
      </c>
      <c r="D37" s="47" t="s">
        <v>2761</v>
      </c>
      <c r="E37" s="47" t="s">
        <v>3270</v>
      </c>
      <c r="F37" s="47" t="s">
        <v>320</v>
      </c>
      <c r="G37" s="47" t="s">
        <v>320</v>
      </c>
      <c r="H37" s="47" t="s">
        <v>3</v>
      </c>
      <c r="I37" s="46" t="s">
        <v>95</v>
      </c>
      <c r="J37" s="47" t="s">
        <v>3</v>
      </c>
      <c r="K37" s="46" t="s">
        <v>95</v>
      </c>
      <c r="L37" s="47" t="s">
        <v>3</v>
      </c>
      <c r="M37" s="46" t="s">
        <v>95</v>
      </c>
      <c r="N37" s="46" t="s">
        <v>3</v>
      </c>
      <c r="O37" s="46" t="s">
        <v>94</v>
      </c>
      <c r="P37" s="46" t="s">
        <v>3</v>
      </c>
      <c r="Q37" s="46" t="s">
        <v>3</v>
      </c>
      <c r="R37" s="46" t="s">
        <v>3239</v>
      </c>
      <c r="S37" s="117" t="s">
        <v>3292</v>
      </c>
      <c r="T37" s="117" t="s">
        <v>3292</v>
      </c>
      <c r="U37" s="46" t="s">
        <v>3</v>
      </c>
      <c r="V37" s="47" t="s">
        <v>794</v>
      </c>
      <c r="W37" s="62" t="s">
        <v>1337</v>
      </c>
      <c r="X37" s="47" t="s">
        <v>1337</v>
      </c>
      <c r="Y37" s="46" t="s">
        <v>3</v>
      </c>
      <c r="Z37" s="47" t="s">
        <v>3</v>
      </c>
      <c r="AA37" s="46" t="s">
        <v>3</v>
      </c>
      <c r="AB37" s="46" t="s">
        <v>3</v>
      </c>
      <c r="AC37" s="46" t="s">
        <v>3</v>
      </c>
      <c r="AD37" s="46" t="s">
        <v>3</v>
      </c>
      <c r="AE37" s="46" t="s">
        <v>3</v>
      </c>
      <c r="AF37" s="46" t="s">
        <v>3</v>
      </c>
      <c r="AG37" s="46" t="s">
        <v>3</v>
      </c>
      <c r="AH37" s="47" t="s">
        <v>95</v>
      </c>
      <c r="AI37" s="46" t="s">
        <v>3</v>
      </c>
      <c r="AJ37" s="46" t="s">
        <v>3</v>
      </c>
      <c r="AK37" s="47" t="s">
        <v>106</v>
      </c>
      <c r="AL37" s="47" t="s">
        <v>106</v>
      </c>
      <c r="AM37" s="46" t="s">
        <v>3</v>
      </c>
      <c r="AN37" s="20" t="s">
        <v>95</v>
      </c>
      <c r="AO37" s="130" t="s">
        <v>95</v>
      </c>
      <c r="AP37" s="20" t="s">
        <v>95</v>
      </c>
      <c r="AQ37" s="44" t="s">
        <v>95</v>
      </c>
      <c r="AR37" s="44" t="s">
        <v>95</v>
      </c>
      <c r="AS37" s="44" t="s">
        <v>95</v>
      </c>
      <c r="AT37" s="44" t="s">
        <v>95</v>
      </c>
      <c r="AU37" s="42" t="s">
        <v>95</v>
      </c>
      <c r="AV37" s="20" t="s">
        <v>3</v>
      </c>
      <c r="AW37" s="44" t="s">
        <v>106</v>
      </c>
      <c r="AX37" s="20" t="s">
        <v>3</v>
      </c>
      <c r="AY37" s="44" t="s">
        <v>106</v>
      </c>
      <c r="AZ37" s="47" t="s">
        <v>3</v>
      </c>
      <c r="BA37" s="44" t="s">
        <v>2209</v>
      </c>
      <c r="BB37" s="44" t="s">
        <v>2209</v>
      </c>
      <c r="BC37" s="47" t="s">
        <v>3</v>
      </c>
      <c r="BD37" s="44" t="s">
        <v>2209</v>
      </c>
      <c r="BE37" s="44" t="s">
        <v>2209</v>
      </c>
      <c r="BF37" s="47" t="s">
        <v>3</v>
      </c>
      <c r="BG37" s="47" t="s">
        <v>3</v>
      </c>
      <c r="BH37" s="47" t="s">
        <v>3</v>
      </c>
      <c r="BI37" s="47" t="s">
        <v>3</v>
      </c>
      <c r="BJ37" s="47" t="s">
        <v>3</v>
      </c>
      <c r="BK37" s="47" t="s">
        <v>2455</v>
      </c>
      <c r="BL37" s="47" t="s">
        <v>95</v>
      </c>
      <c r="BM37" s="47" t="s">
        <v>156</v>
      </c>
      <c r="BN37" s="46" t="s">
        <v>106</v>
      </c>
      <c r="BO37" s="46" t="s">
        <v>3</v>
      </c>
      <c r="BP37" s="46" t="s">
        <v>106</v>
      </c>
      <c r="BQ37" s="46" t="s">
        <v>3</v>
      </c>
      <c r="BR37" s="46" t="s">
        <v>3</v>
      </c>
      <c r="BS37" s="46" t="s">
        <v>3</v>
      </c>
      <c r="BT37" s="46" t="s">
        <v>3</v>
      </c>
      <c r="BU37" s="46" t="s">
        <v>3</v>
      </c>
      <c r="BV37" s="46" t="s">
        <v>3</v>
      </c>
      <c r="BW37" s="46" t="s">
        <v>3</v>
      </c>
      <c r="BX37" s="46" t="s">
        <v>3</v>
      </c>
      <c r="BY37" s="46" t="s">
        <v>95</v>
      </c>
      <c r="BZ37" s="46" t="s">
        <v>95</v>
      </c>
      <c r="CA37" s="46" t="s">
        <v>106</v>
      </c>
      <c r="CB37" s="46" t="s">
        <v>95</v>
      </c>
      <c r="CC37" s="47" t="s">
        <v>3</v>
      </c>
      <c r="CD37" s="47" t="s">
        <v>47</v>
      </c>
      <c r="CE37" s="47" t="s">
        <v>47</v>
      </c>
      <c r="CF37" s="47" t="s">
        <v>95</v>
      </c>
      <c r="CG37" s="47" t="s">
        <v>95</v>
      </c>
      <c r="CH37" s="47" t="s">
        <v>47</v>
      </c>
      <c r="CI37" s="47" t="s">
        <v>95</v>
      </c>
      <c r="CJ37" s="47" t="s">
        <v>95</v>
      </c>
      <c r="CK37" s="47" t="s">
        <v>95</v>
      </c>
      <c r="CL37" s="47" t="s">
        <v>95</v>
      </c>
      <c r="CM37" s="47" t="s">
        <v>3</v>
      </c>
      <c r="CN37" s="47" t="s">
        <v>3</v>
      </c>
      <c r="CO37" s="46" t="s">
        <v>95</v>
      </c>
      <c r="CP37" s="47" t="s">
        <v>3</v>
      </c>
      <c r="CQ37" s="44" t="s">
        <v>3161</v>
      </c>
      <c r="CR37" s="44" t="s">
        <v>3161</v>
      </c>
      <c r="CS37" s="46" t="s">
        <v>3</v>
      </c>
      <c r="CT37" s="46" t="s">
        <v>3</v>
      </c>
      <c r="CU37" s="46" t="s">
        <v>95</v>
      </c>
      <c r="CV37" s="46" t="s">
        <v>3</v>
      </c>
      <c r="CW37" s="47" t="s">
        <v>3</v>
      </c>
      <c r="CX37" s="47" t="s">
        <v>3</v>
      </c>
      <c r="CY37" s="46" t="s">
        <v>3</v>
      </c>
      <c r="CZ37" s="46" t="s">
        <v>3</v>
      </c>
      <c r="DA37" s="46" t="s">
        <v>3</v>
      </c>
      <c r="DB37" s="46" t="s">
        <v>3</v>
      </c>
      <c r="DC37" s="46" t="s">
        <v>3</v>
      </c>
      <c r="DD37" s="46" t="s">
        <v>3</v>
      </c>
      <c r="DE37" s="46" t="s">
        <v>94</v>
      </c>
      <c r="DF37" s="46" t="s">
        <v>94</v>
      </c>
      <c r="DG37" s="147" t="s">
        <v>3</v>
      </c>
      <c r="DH37" s="46" t="s">
        <v>3</v>
      </c>
      <c r="DI37" s="46" t="s">
        <v>3</v>
      </c>
      <c r="DJ37" s="46" t="s">
        <v>3</v>
      </c>
      <c r="DK37" s="47" t="s">
        <v>320</v>
      </c>
      <c r="DL37" s="47" t="s">
        <v>3</v>
      </c>
      <c r="DM37" s="57" t="s">
        <v>3</v>
      </c>
      <c r="DN37" s="57" t="s">
        <v>3</v>
      </c>
      <c r="DO37" s="46" t="s">
        <v>95</v>
      </c>
      <c r="DP37" s="46" t="s">
        <v>95</v>
      </c>
      <c r="DQ37" s="47" t="s">
        <v>2927</v>
      </c>
      <c r="DR37" s="47" t="s">
        <v>1386</v>
      </c>
      <c r="DS37" s="46" t="s">
        <v>3</v>
      </c>
      <c r="DT37" s="46" t="s">
        <v>3</v>
      </c>
      <c r="DU37" s="47" t="s">
        <v>3</v>
      </c>
      <c r="DV37" s="44" t="s">
        <v>106</v>
      </c>
      <c r="DW37" s="46" t="s">
        <v>3</v>
      </c>
      <c r="DX37" s="46" t="s">
        <v>3</v>
      </c>
      <c r="DY37" s="46" t="s">
        <v>95</v>
      </c>
      <c r="DZ37" s="44"/>
    </row>
    <row r="38" spans="1:130" s="18" customFormat="1" ht="12" customHeight="1" x14ac:dyDescent="0.15">
      <c r="A38" s="76" t="s">
        <v>402</v>
      </c>
      <c r="B38" s="69"/>
      <c r="C38" s="69" t="s">
        <v>2784</v>
      </c>
      <c r="D38" s="69" t="s">
        <v>2784</v>
      </c>
      <c r="E38" s="69" t="s">
        <v>3279</v>
      </c>
      <c r="F38" s="69"/>
      <c r="G38" s="69" t="s">
        <v>1588</v>
      </c>
      <c r="H38" s="69" t="s">
        <v>3</v>
      </c>
      <c r="I38" s="69" t="s">
        <v>1433</v>
      </c>
      <c r="J38" s="69" t="s">
        <v>3</v>
      </c>
      <c r="K38" s="69" t="s">
        <v>1433</v>
      </c>
      <c r="L38" s="69" t="s">
        <v>3329</v>
      </c>
      <c r="M38" s="69" t="s">
        <v>1433</v>
      </c>
      <c r="N38" s="69" t="s">
        <v>1351</v>
      </c>
      <c r="O38" s="69"/>
      <c r="P38" s="69"/>
      <c r="Q38" s="69"/>
      <c r="R38" s="69"/>
      <c r="S38" s="128"/>
      <c r="T38" s="128"/>
      <c r="U38" s="69" t="s">
        <v>2537</v>
      </c>
      <c r="V38" s="69"/>
      <c r="W38" s="106" t="s">
        <v>1335</v>
      </c>
      <c r="X38" s="69" t="s">
        <v>1335</v>
      </c>
      <c r="Y38" s="69" t="s">
        <v>2305</v>
      </c>
      <c r="Z38" s="69" t="s">
        <v>2628</v>
      </c>
      <c r="AA38" s="69" t="s">
        <v>2189</v>
      </c>
      <c r="AB38" s="69" t="s">
        <v>706</v>
      </c>
      <c r="AC38" s="69" t="s">
        <v>706</v>
      </c>
      <c r="AD38" s="69" t="s">
        <v>706</v>
      </c>
      <c r="AE38" s="69" t="s">
        <v>706</v>
      </c>
      <c r="AF38" s="69" t="s">
        <v>706</v>
      </c>
      <c r="AG38" s="69" t="s">
        <v>706</v>
      </c>
      <c r="AH38" s="69" t="s">
        <v>2840</v>
      </c>
      <c r="AI38" s="69" t="s">
        <v>2839</v>
      </c>
      <c r="AJ38" s="69" t="s">
        <v>2839</v>
      </c>
      <c r="AK38" s="69" t="s">
        <v>3043</v>
      </c>
      <c r="AL38" s="69" t="s">
        <v>3014</v>
      </c>
      <c r="AM38" s="69" t="s">
        <v>3078</v>
      </c>
      <c r="AN38" s="69" t="s">
        <v>492</v>
      </c>
      <c r="AO38" s="131"/>
      <c r="AP38" s="69" t="s">
        <v>492</v>
      </c>
      <c r="AQ38" s="69" t="s">
        <v>3407</v>
      </c>
      <c r="AR38" s="69"/>
      <c r="AS38" s="69"/>
      <c r="AT38" s="69"/>
      <c r="AU38" s="69"/>
      <c r="AV38" s="69" t="s">
        <v>566</v>
      </c>
      <c r="AW38" s="69" t="s">
        <v>541</v>
      </c>
      <c r="AX38" s="69" t="s">
        <v>566</v>
      </c>
      <c r="AY38" s="69" t="s">
        <v>541</v>
      </c>
      <c r="AZ38" s="69" t="s">
        <v>3136</v>
      </c>
      <c r="BA38" s="69" t="s">
        <v>2215</v>
      </c>
      <c r="BB38" s="69" t="s">
        <v>2215</v>
      </c>
      <c r="BC38" s="69" t="s">
        <v>3</v>
      </c>
      <c r="BD38" s="69" t="s">
        <v>2215</v>
      </c>
      <c r="BE38" s="69" t="s">
        <v>2215</v>
      </c>
      <c r="BF38" s="69" t="s">
        <v>1143</v>
      </c>
      <c r="BG38" s="69" t="s">
        <v>1143</v>
      </c>
      <c r="BH38" s="69"/>
      <c r="BI38" s="69"/>
      <c r="BJ38" s="69" t="s">
        <v>1899</v>
      </c>
      <c r="BK38" s="69" t="s">
        <v>2456</v>
      </c>
      <c r="BL38" s="69" t="s">
        <v>2337</v>
      </c>
      <c r="BM38" s="69"/>
      <c r="BN38" s="69"/>
      <c r="BO38" s="69"/>
      <c r="BP38" s="69" t="s">
        <v>576</v>
      </c>
      <c r="BQ38" s="69" t="s">
        <v>644</v>
      </c>
      <c r="BR38" s="69"/>
      <c r="BS38" s="69"/>
      <c r="BT38" s="69"/>
      <c r="BU38" s="69"/>
      <c r="BV38" s="69"/>
      <c r="BW38" s="69" t="s">
        <v>1143</v>
      </c>
      <c r="BX38" s="69" t="s">
        <v>1143</v>
      </c>
      <c r="BY38" s="69"/>
      <c r="BZ38" s="69" t="s">
        <v>1656</v>
      </c>
      <c r="CA38" s="69" t="s">
        <v>1673</v>
      </c>
      <c r="CB38" s="69" t="s">
        <v>1656</v>
      </c>
      <c r="CC38" s="69"/>
      <c r="CD38" s="69"/>
      <c r="CE38" s="69" t="s">
        <v>1721</v>
      </c>
      <c r="CF38" s="69" t="s">
        <v>1782</v>
      </c>
      <c r="CG38" s="69" t="s">
        <v>1782</v>
      </c>
      <c r="CH38" s="69" t="s">
        <v>1817</v>
      </c>
      <c r="CI38" s="69" t="s">
        <v>3555</v>
      </c>
      <c r="CJ38" s="69" t="s">
        <v>3555</v>
      </c>
      <c r="CK38" s="69" t="s">
        <v>3555</v>
      </c>
      <c r="CL38" s="69" t="s">
        <v>3555</v>
      </c>
      <c r="CM38" s="69" t="s">
        <v>767</v>
      </c>
      <c r="CN38" s="69" t="s">
        <v>767</v>
      </c>
      <c r="CO38" s="69" t="s">
        <v>948</v>
      </c>
      <c r="CP38" s="69" t="s">
        <v>3224</v>
      </c>
      <c r="CQ38" s="69" t="s">
        <v>3160</v>
      </c>
      <c r="CR38" s="69" t="s">
        <v>3160</v>
      </c>
      <c r="CS38" s="69" t="s">
        <v>2499</v>
      </c>
      <c r="CT38" s="69" t="s">
        <v>855</v>
      </c>
      <c r="CU38" s="69" t="s">
        <v>836</v>
      </c>
      <c r="CV38" s="69"/>
      <c r="CW38" s="69"/>
      <c r="CX38" s="69" t="s">
        <v>706</v>
      </c>
      <c r="CY38" s="69"/>
      <c r="CZ38" s="69"/>
      <c r="DA38" s="69" t="s">
        <v>2135</v>
      </c>
      <c r="DB38" s="69" t="s">
        <v>924</v>
      </c>
      <c r="DC38" s="69" t="s">
        <v>924</v>
      </c>
      <c r="DD38" s="69" t="s">
        <v>924</v>
      </c>
      <c r="DE38" s="69"/>
      <c r="DF38" s="69"/>
      <c r="DG38" s="152" t="s">
        <v>3354</v>
      </c>
      <c r="DH38" s="69"/>
      <c r="DI38" s="69" t="s">
        <v>1061</v>
      </c>
      <c r="DJ38" s="69" t="s">
        <v>1061</v>
      </c>
      <c r="DK38" s="69" t="s">
        <v>1961</v>
      </c>
      <c r="DL38" s="69" t="s">
        <v>3463</v>
      </c>
      <c r="DM38" s="69"/>
      <c r="DN38" s="69"/>
      <c r="DO38" s="69"/>
      <c r="DP38" s="69"/>
      <c r="DQ38" s="69" t="s">
        <v>2928</v>
      </c>
      <c r="DR38" s="69" t="s">
        <v>1387</v>
      </c>
      <c r="DS38" s="69" t="s">
        <v>2360</v>
      </c>
      <c r="DT38" s="69" t="s">
        <v>437</v>
      </c>
      <c r="DU38" s="69" t="s">
        <v>437</v>
      </c>
      <c r="DV38" s="69" t="s">
        <v>1561</v>
      </c>
      <c r="DW38" s="69" t="s">
        <v>437</v>
      </c>
      <c r="DX38" s="69" t="s">
        <v>437</v>
      </c>
      <c r="DY38" s="69" t="s">
        <v>1496</v>
      </c>
      <c r="DZ38" s="69"/>
    </row>
    <row r="39" spans="1:130" s="18" customFormat="1" ht="22.5" customHeight="1" x14ac:dyDescent="0.15">
      <c r="A39" s="25" t="s">
        <v>744</v>
      </c>
      <c r="B39" s="46" t="s">
        <v>95</v>
      </c>
      <c r="C39" s="47" t="s">
        <v>2782</v>
      </c>
      <c r="D39" s="47" t="s">
        <v>2782</v>
      </c>
      <c r="E39" s="47" t="s">
        <v>1279</v>
      </c>
      <c r="F39" s="46" t="s">
        <v>95</v>
      </c>
      <c r="G39" s="47" t="s">
        <v>1279</v>
      </c>
      <c r="H39" s="46" t="s">
        <v>242</v>
      </c>
      <c r="I39" s="46" t="s">
        <v>95</v>
      </c>
      <c r="J39" s="46" t="s">
        <v>242</v>
      </c>
      <c r="K39" s="46" t="s">
        <v>95</v>
      </c>
      <c r="L39" s="46" t="s">
        <v>242</v>
      </c>
      <c r="M39" s="46" t="s">
        <v>95</v>
      </c>
      <c r="N39" s="46" t="s">
        <v>3</v>
      </c>
      <c r="O39" s="46" t="s">
        <v>95</v>
      </c>
      <c r="P39" s="46" t="s">
        <v>95</v>
      </c>
      <c r="Q39" s="46" t="s">
        <v>95</v>
      </c>
      <c r="R39" s="46" t="s">
        <v>3239</v>
      </c>
      <c r="S39" s="117" t="s">
        <v>95</v>
      </c>
      <c r="T39" s="117" t="s">
        <v>95</v>
      </c>
      <c r="U39" s="47" t="s">
        <v>1279</v>
      </c>
      <c r="V39" s="46" t="s">
        <v>95</v>
      </c>
      <c r="W39" s="62" t="s">
        <v>1279</v>
      </c>
      <c r="X39" s="47" t="s">
        <v>1279</v>
      </c>
      <c r="Y39" s="47" t="s">
        <v>2285</v>
      </c>
      <c r="Z39" s="46" t="s">
        <v>95</v>
      </c>
      <c r="AA39" s="46" t="s">
        <v>2205</v>
      </c>
      <c r="AB39" s="46" t="s">
        <v>3</v>
      </c>
      <c r="AC39" s="46" t="s">
        <v>95</v>
      </c>
      <c r="AD39" s="46" t="s">
        <v>95</v>
      </c>
      <c r="AE39" s="46" t="s">
        <v>3</v>
      </c>
      <c r="AF39" s="46" t="s">
        <v>95</v>
      </c>
      <c r="AG39" s="46" t="s">
        <v>95</v>
      </c>
      <c r="AH39" s="47" t="s">
        <v>95</v>
      </c>
      <c r="AI39" s="46" t="s">
        <v>3</v>
      </c>
      <c r="AJ39" s="46" t="s">
        <v>3</v>
      </c>
      <c r="AK39" s="46" t="s">
        <v>95</v>
      </c>
      <c r="AL39" s="46" t="s">
        <v>95</v>
      </c>
      <c r="AM39" s="46" t="s">
        <v>95</v>
      </c>
      <c r="AN39" s="20" t="s">
        <v>95</v>
      </c>
      <c r="AO39" s="130" t="s">
        <v>95</v>
      </c>
      <c r="AP39" s="44" t="s">
        <v>95</v>
      </c>
      <c r="AQ39" s="44" t="s">
        <v>95</v>
      </c>
      <c r="AR39" s="44" t="s">
        <v>95</v>
      </c>
      <c r="AS39" s="44" t="s">
        <v>95</v>
      </c>
      <c r="AT39" s="44" t="s">
        <v>95</v>
      </c>
      <c r="AU39" s="42" t="s">
        <v>95</v>
      </c>
      <c r="AV39" s="20" t="s">
        <v>3</v>
      </c>
      <c r="AW39" s="44" t="s">
        <v>95</v>
      </c>
      <c r="AX39" s="20" t="s">
        <v>3</v>
      </c>
      <c r="AY39" s="44" t="s">
        <v>95</v>
      </c>
      <c r="AZ39" s="20" t="s">
        <v>3</v>
      </c>
      <c r="BA39" s="44" t="s">
        <v>2209</v>
      </c>
      <c r="BB39" s="44" t="s">
        <v>2209</v>
      </c>
      <c r="BC39" s="47" t="s">
        <v>3</v>
      </c>
      <c r="BD39" s="44" t="s">
        <v>2209</v>
      </c>
      <c r="BE39" s="44" t="s">
        <v>2209</v>
      </c>
      <c r="BF39" s="47" t="s">
        <v>1142</v>
      </c>
      <c r="BG39" s="47" t="s">
        <v>95</v>
      </c>
      <c r="BH39" s="47" t="s">
        <v>95</v>
      </c>
      <c r="BI39" s="46" t="s">
        <v>95</v>
      </c>
      <c r="BJ39" s="46" t="s">
        <v>95</v>
      </c>
      <c r="BK39" s="46" t="s">
        <v>95</v>
      </c>
      <c r="BL39" s="47" t="s">
        <v>2340</v>
      </c>
      <c r="BM39" s="46" t="s">
        <v>95</v>
      </c>
      <c r="BN39" s="46" t="s">
        <v>95</v>
      </c>
      <c r="BO39" s="46" t="s">
        <v>3</v>
      </c>
      <c r="BP39" s="46" t="s">
        <v>95</v>
      </c>
      <c r="BQ39" s="46" t="s">
        <v>293</v>
      </c>
      <c r="BR39" s="46" t="s">
        <v>95</v>
      </c>
      <c r="BS39" s="47" t="s">
        <v>3</v>
      </c>
      <c r="BT39" s="47" t="s">
        <v>95</v>
      </c>
      <c r="BU39" s="47" t="s">
        <v>1142</v>
      </c>
      <c r="BV39" s="47" t="s">
        <v>216</v>
      </c>
      <c r="BW39" s="47" t="s">
        <v>2056</v>
      </c>
      <c r="BX39" s="47" t="s">
        <v>2005</v>
      </c>
      <c r="BY39" s="47" t="s">
        <v>95</v>
      </c>
      <c r="BZ39" s="47" t="s">
        <v>95</v>
      </c>
      <c r="CA39" s="46" t="s">
        <v>95</v>
      </c>
      <c r="CB39" s="46" t="s">
        <v>95</v>
      </c>
      <c r="CC39" s="46" t="s">
        <v>3</v>
      </c>
      <c r="CD39" s="46" t="s">
        <v>95</v>
      </c>
      <c r="CE39" s="46" t="s">
        <v>95</v>
      </c>
      <c r="CF39" s="47" t="s">
        <v>95</v>
      </c>
      <c r="CG39" s="47" t="s">
        <v>95</v>
      </c>
      <c r="CH39" s="47" t="s">
        <v>95</v>
      </c>
      <c r="CI39" s="47" t="s">
        <v>95</v>
      </c>
      <c r="CJ39" s="47" t="s">
        <v>95</v>
      </c>
      <c r="CK39" s="47" t="s">
        <v>95</v>
      </c>
      <c r="CL39" s="46" t="s">
        <v>95</v>
      </c>
      <c r="CM39" s="46" t="s">
        <v>3</v>
      </c>
      <c r="CN39" s="46" t="s">
        <v>95</v>
      </c>
      <c r="CO39" s="46" t="s">
        <v>95</v>
      </c>
      <c r="CP39" s="47" t="s">
        <v>3</v>
      </c>
      <c r="CQ39" s="43" t="s">
        <v>2005</v>
      </c>
      <c r="CR39" s="43" t="s">
        <v>2005</v>
      </c>
      <c r="CS39" s="46" t="s">
        <v>95</v>
      </c>
      <c r="CT39" s="46" t="s">
        <v>95</v>
      </c>
      <c r="CU39" s="46" t="s">
        <v>95</v>
      </c>
      <c r="CV39" s="46" t="s">
        <v>95</v>
      </c>
      <c r="CW39" s="47" t="s">
        <v>0</v>
      </c>
      <c r="CX39" s="46" t="s">
        <v>95</v>
      </c>
      <c r="CY39" s="46" t="s">
        <v>3</v>
      </c>
      <c r="CZ39" s="46" t="s">
        <v>95</v>
      </c>
      <c r="DA39" s="46" t="s">
        <v>95</v>
      </c>
      <c r="DB39" s="46" t="s">
        <v>3</v>
      </c>
      <c r="DC39" s="46" t="s">
        <v>95</v>
      </c>
      <c r="DD39" s="46" t="s">
        <v>95</v>
      </c>
      <c r="DE39" s="47" t="s">
        <v>284</v>
      </c>
      <c r="DF39" s="46" t="s">
        <v>293</v>
      </c>
      <c r="DG39" s="147" t="s">
        <v>95</v>
      </c>
      <c r="DH39" s="46" t="s">
        <v>95</v>
      </c>
      <c r="DI39" s="46" t="s">
        <v>95</v>
      </c>
      <c r="DJ39" s="46" t="s">
        <v>95</v>
      </c>
      <c r="DK39" s="46" t="s">
        <v>95</v>
      </c>
      <c r="DL39" s="46" t="s">
        <v>3464</v>
      </c>
      <c r="DM39" s="46" t="s">
        <v>95</v>
      </c>
      <c r="DN39" s="46" t="s">
        <v>95</v>
      </c>
      <c r="DO39" s="46" t="s">
        <v>95</v>
      </c>
      <c r="DP39" s="46" t="s">
        <v>95</v>
      </c>
      <c r="DQ39" s="74" t="s">
        <v>1199</v>
      </c>
      <c r="DR39" s="47" t="s">
        <v>1388</v>
      </c>
      <c r="DS39" s="47" t="s">
        <v>273</v>
      </c>
      <c r="DT39" s="47" t="s">
        <v>1199</v>
      </c>
      <c r="DU39" s="47" t="s">
        <v>273</v>
      </c>
      <c r="DV39" s="46" t="s">
        <v>95</v>
      </c>
      <c r="DW39" s="46" t="s">
        <v>95</v>
      </c>
      <c r="DX39" s="46" t="s">
        <v>95</v>
      </c>
      <c r="DY39" s="47" t="s">
        <v>1487</v>
      </c>
      <c r="DZ39" s="44"/>
    </row>
    <row r="40" spans="1:130" s="18" customFormat="1" ht="22.5" customHeight="1" x14ac:dyDescent="0.15">
      <c r="A40" s="25"/>
      <c r="B40" s="46"/>
      <c r="C40" s="47"/>
      <c r="D40" s="47"/>
      <c r="E40" s="47"/>
      <c r="F40" s="46"/>
      <c r="G40" s="47"/>
      <c r="H40" s="46"/>
      <c r="I40" s="46"/>
      <c r="J40" s="46"/>
      <c r="K40" s="46"/>
      <c r="L40" s="46"/>
      <c r="M40" s="46"/>
      <c r="N40" s="46"/>
      <c r="O40" s="46"/>
      <c r="P40" s="46"/>
      <c r="Q40" s="46"/>
      <c r="R40" s="46"/>
      <c r="S40" s="117"/>
      <c r="T40" s="117"/>
      <c r="U40" s="47"/>
      <c r="V40" s="46"/>
      <c r="W40" s="62"/>
      <c r="X40" s="47"/>
      <c r="Y40" s="47"/>
      <c r="Z40" s="46"/>
      <c r="AA40" s="46"/>
      <c r="AB40" s="46"/>
      <c r="AC40" s="46"/>
      <c r="AD40" s="46"/>
      <c r="AE40" s="46"/>
      <c r="AF40" s="46"/>
      <c r="AG40" s="46"/>
      <c r="AH40" s="47"/>
      <c r="AI40" s="46"/>
      <c r="AJ40" s="46"/>
      <c r="AK40" s="46"/>
      <c r="AL40" s="46"/>
      <c r="AM40" s="46"/>
      <c r="AN40" s="20"/>
      <c r="AO40" s="130"/>
      <c r="AP40" s="44"/>
      <c r="AQ40" s="44"/>
      <c r="AR40" s="44"/>
      <c r="AS40" s="44"/>
      <c r="AT40" s="44"/>
      <c r="AU40" s="42"/>
      <c r="AV40" s="20"/>
      <c r="AW40" s="44"/>
      <c r="AX40" s="20"/>
      <c r="AY40" s="44"/>
      <c r="AZ40" s="20"/>
      <c r="BA40" s="44"/>
      <c r="BB40" s="44"/>
      <c r="BC40" s="47"/>
      <c r="BD40" s="44"/>
      <c r="BE40" s="44"/>
      <c r="BF40" s="47"/>
      <c r="BG40" s="47"/>
      <c r="BH40" s="47"/>
      <c r="BI40" s="46"/>
      <c r="BJ40" s="46"/>
      <c r="BK40" s="46"/>
      <c r="BL40" s="47"/>
      <c r="BM40" s="46"/>
      <c r="BN40" s="46"/>
      <c r="BO40" s="46"/>
      <c r="BP40" s="46"/>
      <c r="BQ40" s="46"/>
      <c r="BR40" s="46"/>
      <c r="BS40" s="47"/>
      <c r="BT40" s="47"/>
      <c r="BU40" s="47"/>
      <c r="BV40" s="47"/>
      <c r="BW40" s="47"/>
      <c r="BX40" s="47"/>
      <c r="BY40" s="47"/>
      <c r="BZ40" s="47"/>
      <c r="CA40" s="46"/>
      <c r="CB40" s="46"/>
      <c r="CC40" s="46"/>
      <c r="CD40" s="46"/>
      <c r="CE40" s="46"/>
      <c r="CF40" s="47"/>
      <c r="CG40" s="47"/>
      <c r="CH40" s="47"/>
      <c r="CI40" s="47"/>
      <c r="CJ40" s="47"/>
      <c r="CK40" s="47"/>
      <c r="CL40" s="46"/>
      <c r="CM40" s="46"/>
      <c r="CN40" s="46"/>
      <c r="CO40" s="46"/>
      <c r="CP40" s="47"/>
      <c r="CQ40" s="43"/>
      <c r="CR40" s="43"/>
      <c r="CS40" s="46"/>
      <c r="CT40" s="46"/>
      <c r="CU40" s="46"/>
      <c r="CV40" s="46"/>
      <c r="CW40" s="47"/>
      <c r="CX40" s="46"/>
      <c r="CY40" s="46"/>
      <c r="CZ40" s="46"/>
      <c r="DA40" s="46"/>
      <c r="DB40" s="46"/>
      <c r="DC40" s="46"/>
      <c r="DD40" s="46"/>
      <c r="DE40" s="47"/>
      <c r="DF40" s="46"/>
      <c r="DG40" s="147"/>
      <c r="DH40" s="46"/>
      <c r="DI40" s="46"/>
      <c r="DJ40" s="46"/>
      <c r="DK40" s="46"/>
      <c r="DL40" s="46"/>
      <c r="DM40" s="46"/>
      <c r="DN40" s="46"/>
      <c r="DO40" s="46"/>
      <c r="DP40" s="46"/>
      <c r="DQ40" s="74"/>
      <c r="DR40" s="47"/>
      <c r="DS40" s="47"/>
      <c r="DT40" s="47"/>
      <c r="DU40" s="47"/>
      <c r="DV40" s="46"/>
      <c r="DW40" s="46"/>
      <c r="DX40" s="46"/>
      <c r="DY40" s="47"/>
      <c r="DZ40" s="44"/>
    </row>
    <row r="41" spans="1:130" s="18" customFormat="1" ht="12" customHeight="1" x14ac:dyDescent="0.15">
      <c r="A41" s="76" t="s">
        <v>402</v>
      </c>
      <c r="B41" s="69"/>
      <c r="C41" s="69" t="s">
        <v>2781</v>
      </c>
      <c r="D41" s="69" t="s">
        <v>2781</v>
      </c>
      <c r="E41" s="69" t="s">
        <v>3275</v>
      </c>
      <c r="F41" s="69"/>
      <c r="G41" s="69" t="s">
        <v>1586</v>
      </c>
      <c r="H41" s="69" t="s">
        <v>1612</v>
      </c>
      <c r="I41" s="69" t="s">
        <v>1613</v>
      </c>
      <c r="J41" s="69" t="s">
        <v>1452</v>
      </c>
      <c r="K41" s="69" t="s">
        <v>1421</v>
      </c>
      <c r="L41" s="69" t="s">
        <v>3330</v>
      </c>
      <c r="M41" s="69" t="s">
        <v>1421</v>
      </c>
      <c r="N41" s="69" t="s">
        <v>1350</v>
      </c>
      <c r="O41" s="69"/>
      <c r="P41" s="69"/>
      <c r="Q41" s="69"/>
      <c r="R41" s="69"/>
      <c r="S41" s="128"/>
      <c r="T41" s="128"/>
      <c r="U41" s="69" t="s">
        <v>2538</v>
      </c>
      <c r="V41" s="69"/>
      <c r="W41" s="106" t="s">
        <v>1339</v>
      </c>
      <c r="X41" s="69" t="s">
        <v>1339</v>
      </c>
      <c r="Y41" s="69" t="s">
        <v>2289</v>
      </c>
      <c r="Z41" s="69" t="s">
        <v>2624</v>
      </c>
      <c r="AA41" s="69" t="s">
        <v>3</v>
      </c>
      <c r="AB41" s="69" t="s">
        <v>704</v>
      </c>
      <c r="AC41" s="69" t="s">
        <v>704</v>
      </c>
      <c r="AD41" s="69" t="s">
        <v>704</v>
      </c>
      <c r="AE41" s="69" t="s">
        <v>704</v>
      </c>
      <c r="AF41" s="69" t="s">
        <v>704</v>
      </c>
      <c r="AG41" s="69" t="s">
        <v>704</v>
      </c>
      <c r="AH41" s="69" t="s">
        <v>2841</v>
      </c>
      <c r="AI41" s="69" t="s">
        <v>3</v>
      </c>
      <c r="AJ41" s="69" t="s">
        <v>3</v>
      </c>
      <c r="AK41" s="69" t="s">
        <v>3079</v>
      </c>
      <c r="AL41" s="69" t="s">
        <v>3079</v>
      </c>
      <c r="AM41" s="69" t="s">
        <v>3079</v>
      </c>
      <c r="AN41" s="69" t="s">
        <v>481</v>
      </c>
      <c r="AO41" s="131"/>
      <c r="AP41" s="69" t="s">
        <v>481</v>
      </c>
      <c r="AQ41" s="69" t="s">
        <v>3404</v>
      </c>
      <c r="AR41" s="69"/>
      <c r="AS41" s="69"/>
      <c r="AT41" s="69"/>
      <c r="AU41" s="69"/>
      <c r="AV41" s="69" t="s">
        <v>517</v>
      </c>
      <c r="AW41" s="69" t="s">
        <v>516</v>
      </c>
      <c r="AX41" s="69" t="s">
        <v>517</v>
      </c>
      <c r="AY41" s="69" t="s">
        <v>2575</v>
      </c>
      <c r="AZ41" s="69" t="s">
        <v>3135</v>
      </c>
      <c r="BA41" s="69" t="s">
        <v>2242</v>
      </c>
      <c r="BB41" s="69" t="s">
        <v>2242</v>
      </c>
      <c r="BC41" s="69" t="s">
        <v>3</v>
      </c>
      <c r="BD41" s="69" t="s">
        <v>2242</v>
      </c>
      <c r="BE41" s="69" t="s">
        <v>2242</v>
      </c>
      <c r="BF41" s="69" t="s">
        <v>1141</v>
      </c>
      <c r="BG41" s="69" t="s">
        <v>1094</v>
      </c>
      <c r="BH41" s="69"/>
      <c r="BI41" s="69"/>
      <c r="BJ41" s="69" t="s">
        <v>1883</v>
      </c>
      <c r="BK41" s="69" t="s">
        <v>2430</v>
      </c>
      <c r="BL41" s="69" t="s">
        <v>745</v>
      </c>
      <c r="BM41" s="69"/>
      <c r="BN41" s="69"/>
      <c r="BO41" s="69"/>
      <c r="BP41" s="69" t="s">
        <v>584</v>
      </c>
      <c r="BQ41" s="69" t="s">
        <v>645</v>
      </c>
      <c r="BR41" s="69"/>
      <c r="BS41" s="69"/>
      <c r="BT41" s="69"/>
      <c r="BU41" s="69"/>
      <c r="BV41" s="69"/>
      <c r="BW41" s="69" t="s">
        <v>2055</v>
      </c>
      <c r="BX41" s="69" t="s">
        <v>2015</v>
      </c>
      <c r="BY41" s="69"/>
      <c r="BZ41" s="69" t="s">
        <v>1655</v>
      </c>
      <c r="CA41" s="69" t="s">
        <v>2706</v>
      </c>
      <c r="CB41" s="69" t="s">
        <v>1655</v>
      </c>
      <c r="CC41" s="69"/>
      <c r="CD41" s="69"/>
      <c r="CE41" s="69" t="s">
        <v>1722</v>
      </c>
      <c r="CF41" s="69" t="s">
        <v>1783</v>
      </c>
      <c r="CG41" s="69" t="s">
        <v>1783</v>
      </c>
      <c r="CH41" s="69" t="s">
        <v>1783</v>
      </c>
      <c r="CI41" s="69" t="s">
        <v>3555</v>
      </c>
      <c r="CJ41" s="69" t="s">
        <v>3555</v>
      </c>
      <c r="CK41" s="69" t="s">
        <v>3555</v>
      </c>
      <c r="CL41" s="69" t="s">
        <v>3555</v>
      </c>
      <c r="CM41" s="69" t="s">
        <v>746</v>
      </c>
      <c r="CN41" s="69" t="s">
        <v>745</v>
      </c>
      <c r="CO41" s="69" t="s">
        <v>949</v>
      </c>
      <c r="CP41" s="69" t="s">
        <v>3225</v>
      </c>
      <c r="CQ41" s="69" t="s">
        <v>3031</v>
      </c>
      <c r="CR41" s="69" t="s">
        <v>3031</v>
      </c>
      <c r="CS41" s="69" t="s">
        <v>2502</v>
      </c>
      <c r="CT41" s="69" t="s">
        <v>845</v>
      </c>
      <c r="CU41" s="69" t="s">
        <v>836</v>
      </c>
      <c r="CV41" s="69"/>
      <c r="CW41" s="69"/>
      <c r="CX41" s="69" t="s">
        <v>1238</v>
      </c>
      <c r="CY41" s="69"/>
      <c r="CZ41" s="69"/>
      <c r="DA41" s="69" t="s">
        <v>2131</v>
      </c>
      <c r="DB41" s="69" t="s">
        <v>564</v>
      </c>
      <c r="DC41" s="69" t="s">
        <v>888</v>
      </c>
      <c r="DD41" s="69" t="s">
        <v>888</v>
      </c>
      <c r="DE41" s="69"/>
      <c r="DF41" s="69"/>
      <c r="DG41" s="152" t="s">
        <v>3355</v>
      </c>
      <c r="DH41" s="69"/>
      <c r="DI41" s="69" t="s">
        <v>1013</v>
      </c>
      <c r="DJ41" s="69" t="s">
        <v>1013</v>
      </c>
      <c r="DK41" s="69" t="s">
        <v>1973</v>
      </c>
      <c r="DL41" s="69" t="s">
        <v>3465</v>
      </c>
      <c r="DM41" s="69"/>
      <c r="DN41" s="69"/>
      <c r="DO41" s="69"/>
      <c r="DP41" s="69"/>
      <c r="DQ41" s="69" t="s">
        <v>2946</v>
      </c>
      <c r="DR41" s="69" t="s">
        <v>1389</v>
      </c>
      <c r="DS41" s="69" t="s">
        <v>2674</v>
      </c>
      <c r="DT41" s="69" t="s">
        <v>1202</v>
      </c>
      <c r="DU41" s="69" t="s">
        <v>1175</v>
      </c>
      <c r="DV41" s="69" t="s">
        <v>1535</v>
      </c>
      <c r="DW41" s="69" t="s">
        <v>411</v>
      </c>
      <c r="DX41" s="69" t="s">
        <v>440</v>
      </c>
      <c r="DY41" s="69" t="s">
        <v>1499</v>
      </c>
      <c r="DZ41" s="69"/>
    </row>
    <row r="42" spans="1:130" s="18" customFormat="1" ht="22.5" customHeight="1" x14ac:dyDescent="0.15">
      <c r="A42" s="25" t="s">
        <v>79</v>
      </c>
      <c r="B42" s="46" t="s">
        <v>95</v>
      </c>
      <c r="C42" s="46" t="s">
        <v>95</v>
      </c>
      <c r="D42" s="46" t="s">
        <v>95</v>
      </c>
      <c r="E42" s="46" t="s">
        <v>95</v>
      </c>
      <c r="F42" s="46" t="s">
        <v>95</v>
      </c>
      <c r="G42" s="46" t="s">
        <v>95</v>
      </c>
      <c r="H42" s="46" t="s">
        <v>95</v>
      </c>
      <c r="I42" s="46" t="s">
        <v>95</v>
      </c>
      <c r="J42" s="46" t="s">
        <v>95</v>
      </c>
      <c r="K42" s="46" t="s">
        <v>95</v>
      </c>
      <c r="L42" s="46" t="s">
        <v>95</v>
      </c>
      <c r="M42" s="46" t="s">
        <v>95</v>
      </c>
      <c r="N42" s="46" t="s">
        <v>3</v>
      </c>
      <c r="O42" s="46" t="s">
        <v>95</v>
      </c>
      <c r="P42" s="46" t="s">
        <v>95</v>
      </c>
      <c r="Q42" s="46" t="s">
        <v>95</v>
      </c>
      <c r="R42" s="46" t="s">
        <v>95</v>
      </c>
      <c r="S42" s="117" t="s">
        <v>95</v>
      </c>
      <c r="T42" s="117" t="s">
        <v>95</v>
      </c>
      <c r="U42" s="46" t="s">
        <v>95</v>
      </c>
      <c r="V42" s="46" t="s">
        <v>95</v>
      </c>
      <c r="W42" s="101" t="s">
        <v>95</v>
      </c>
      <c r="X42" s="46" t="s">
        <v>95</v>
      </c>
      <c r="Y42" s="46" t="s">
        <v>95</v>
      </c>
      <c r="Z42" s="46" t="s">
        <v>95</v>
      </c>
      <c r="AA42" s="46" t="s">
        <v>3</v>
      </c>
      <c r="AB42" s="46" t="s">
        <v>705</v>
      </c>
      <c r="AC42" s="46" t="s">
        <v>705</v>
      </c>
      <c r="AD42" s="46" t="s">
        <v>705</v>
      </c>
      <c r="AE42" s="47" t="s">
        <v>2417</v>
      </c>
      <c r="AF42" s="47" t="s">
        <v>2417</v>
      </c>
      <c r="AG42" s="47" t="s">
        <v>2417</v>
      </c>
      <c r="AH42" s="46" t="s">
        <v>95</v>
      </c>
      <c r="AI42" s="46" t="s">
        <v>95</v>
      </c>
      <c r="AJ42" s="46" t="s">
        <v>95</v>
      </c>
      <c r="AK42" s="46" t="s">
        <v>95</v>
      </c>
      <c r="AL42" s="46" t="s">
        <v>95</v>
      </c>
      <c r="AM42" s="46" t="s">
        <v>95</v>
      </c>
      <c r="AN42" s="20" t="s">
        <v>95</v>
      </c>
      <c r="AO42" s="130" t="s">
        <v>95</v>
      </c>
      <c r="AP42" s="20" t="s">
        <v>95</v>
      </c>
      <c r="AQ42" s="44" t="s">
        <v>95</v>
      </c>
      <c r="AR42" s="44" t="s">
        <v>95</v>
      </c>
      <c r="AS42" s="44" t="s">
        <v>95</v>
      </c>
      <c r="AT42" s="44" t="s">
        <v>95</v>
      </c>
      <c r="AU42" s="42" t="s">
        <v>95</v>
      </c>
      <c r="AV42" s="20" t="s">
        <v>95</v>
      </c>
      <c r="AW42" s="20" t="s">
        <v>95</v>
      </c>
      <c r="AX42" s="20" t="s">
        <v>95</v>
      </c>
      <c r="AY42" s="20" t="s">
        <v>95</v>
      </c>
      <c r="AZ42" s="20" t="s">
        <v>95</v>
      </c>
      <c r="BA42" s="20" t="s">
        <v>95</v>
      </c>
      <c r="BB42" s="20" t="s">
        <v>95</v>
      </c>
      <c r="BC42" s="20" t="s">
        <v>95</v>
      </c>
      <c r="BD42" s="20" t="s">
        <v>95</v>
      </c>
      <c r="BE42" s="20" t="s">
        <v>95</v>
      </c>
      <c r="BF42" s="47" t="s">
        <v>95</v>
      </c>
      <c r="BG42" s="47" t="s">
        <v>95</v>
      </c>
      <c r="BH42" s="47" t="s">
        <v>95</v>
      </c>
      <c r="BI42" s="46" t="s">
        <v>95</v>
      </c>
      <c r="BJ42" s="47" t="s">
        <v>95</v>
      </c>
      <c r="BK42" s="47" t="s">
        <v>95</v>
      </c>
      <c r="BL42" s="47" t="s">
        <v>95</v>
      </c>
      <c r="BM42" s="46" t="s">
        <v>95</v>
      </c>
      <c r="BN42" s="46" t="s">
        <v>95</v>
      </c>
      <c r="BO42" s="46" t="s">
        <v>95</v>
      </c>
      <c r="BP42" s="46" t="s">
        <v>95</v>
      </c>
      <c r="BQ42" s="46" t="s">
        <v>95</v>
      </c>
      <c r="BR42" s="46" t="s">
        <v>95</v>
      </c>
      <c r="BS42" s="46" t="s">
        <v>95</v>
      </c>
      <c r="BT42" s="46" t="s">
        <v>95</v>
      </c>
      <c r="BU42" s="46" t="s">
        <v>95</v>
      </c>
      <c r="BV42" s="46" t="s">
        <v>95</v>
      </c>
      <c r="BW42" s="46" t="s">
        <v>2024</v>
      </c>
      <c r="BX42" s="46" t="s">
        <v>95</v>
      </c>
      <c r="BY42" s="46" t="s">
        <v>95</v>
      </c>
      <c r="BZ42" s="46" t="s">
        <v>95</v>
      </c>
      <c r="CA42" s="46" t="s">
        <v>95</v>
      </c>
      <c r="CB42" s="46" t="s">
        <v>95</v>
      </c>
      <c r="CC42" s="46" t="s">
        <v>95</v>
      </c>
      <c r="CD42" s="46" t="s">
        <v>95</v>
      </c>
      <c r="CE42" s="46" t="s">
        <v>95</v>
      </c>
      <c r="CF42" s="47" t="s">
        <v>95</v>
      </c>
      <c r="CG42" s="47" t="s">
        <v>95</v>
      </c>
      <c r="CH42" s="46" t="s">
        <v>95</v>
      </c>
      <c r="CI42" s="47" t="s">
        <v>3620</v>
      </c>
      <c r="CJ42" s="47" t="s">
        <v>95</v>
      </c>
      <c r="CK42" s="47" t="s">
        <v>95</v>
      </c>
      <c r="CL42" s="46" t="s">
        <v>95</v>
      </c>
      <c r="CM42" s="46" t="s">
        <v>95</v>
      </c>
      <c r="CN42" s="46" t="s">
        <v>95</v>
      </c>
      <c r="CO42" s="46" t="s">
        <v>95</v>
      </c>
      <c r="CP42" s="20" t="s">
        <v>0</v>
      </c>
      <c r="CQ42" s="20" t="s">
        <v>95</v>
      </c>
      <c r="CR42" s="20" t="s">
        <v>95</v>
      </c>
      <c r="CS42" s="46" t="s">
        <v>95</v>
      </c>
      <c r="CT42" s="46" t="s">
        <v>95</v>
      </c>
      <c r="CU42" s="46" t="s">
        <v>95</v>
      </c>
      <c r="CV42" s="46" t="s">
        <v>95</v>
      </c>
      <c r="CW42" s="47" t="s">
        <v>95</v>
      </c>
      <c r="CX42" s="46" t="s">
        <v>95</v>
      </c>
      <c r="CY42" s="46" t="s">
        <v>95</v>
      </c>
      <c r="CZ42" s="46" t="s">
        <v>95</v>
      </c>
      <c r="DA42" s="46" t="s">
        <v>95</v>
      </c>
      <c r="DB42" s="47" t="s">
        <v>925</v>
      </c>
      <c r="DC42" s="47" t="s">
        <v>925</v>
      </c>
      <c r="DD42" s="47" t="s">
        <v>925</v>
      </c>
      <c r="DE42" s="46" t="s">
        <v>95</v>
      </c>
      <c r="DF42" s="46" t="s">
        <v>95</v>
      </c>
      <c r="DG42" s="147" t="s">
        <v>3</v>
      </c>
      <c r="DH42" s="46" t="s">
        <v>95</v>
      </c>
      <c r="DI42" s="46" t="s">
        <v>95</v>
      </c>
      <c r="DJ42" s="46" t="s">
        <v>95</v>
      </c>
      <c r="DK42" s="46" t="s">
        <v>95</v>
      </c>
      <c r="DL42" s="46" t="s">
        <v>3457</v>
      </c>
      <c r="DM42" s="46" t="s">
        <v>95</v>
      </c>
      <c r="DN42" s="46" t="s">
        <v>95</v>
      </c>
      <c r="DO42" s="46" t="s">
        <v>95</v>
      </c>
      <c r="DP42" s="46" t="s">
        <v>95</v>
      </c>
      <c r="DQ42" s="46" t="s">
        <v>95</v>
      </c>
      <c r="DR42" s="46" t="s">
        <v>95</v>
      </c>
      <c r="DS42" s="46" t="s">
        <v>95</v>
      </c>
      <c r="DT42" s="46" t="s">
        <v>95</v>
      </c>
      <c r="DU42" s="47" t="s">
        <v>95</v>
      </c>
      <c r="DV42" s="20" t="s">
        <v>95</v>
      </c>
      <c r="DW42" s="46" t="s">
        <v>95</v>
      </c>
      <c r="DX42" s="46" t="s">
        <v>95</v>
      </c>
      <c r="DY42" s="46" t="s">
        <v>95</v>
      </c>
      <c r="DZ42" s="44"/>
    </row>
    <row r="43" spans="1:130" s="18" customFormat="1" ht="12" customHeight="1" x14ac:dyDescent="0.15">
      <c r="A43" s="76" t="s">
        <v>402</v>
      </c>
      <c r="B43" s="69"/>
      <c r="C43" s="69" t="s">
        <v>2805</v>
      </c>
      <c r="D43" s="69" t="s">
        <v>2805</v>
      </c>
      <c r="E43" s="69" t="s">
        <v>1591</v>
      </c>
      <c r="F43" s="69"/>
      <c r="G43" s="69" t="s">
        <v>1591</v>
      </c>
      <c r="H43" s="69" t="s">
        <v>1453</v>
      </c>
      <c r="I43" s="69" t="s">
        <v>1423</v>
      </c>
      <c r="J43" s="69" t="s">
        <v>1453</v>
      </c>
      <c r="K43" s="69" t="s">
        <v>1423</v>
      </c>
      <c r="L43" s="69" t="s">
        <v>1453</v>
      </c>
      <c r="M43" s="69" t="s">
        <v>1423</v>
      </c>
      <c r="N43" s="69" t="s">
        <v>1350</v>
      </c>
      <c r="O43" s="69"/>
      <c r="P43" s="69"/>
      <c r="Q43" s="69"/>
      <c r="R43" s="69" t="s">
        <v>3242</v>
      </c>
      <c r="S43" s="128"/>
      <c r="T43" s="128"/>
      <c r="U43" s="69" t="s">
        <v>2534</v>
      </c>
      <c r="V43" s="69"/>
      <c r="W43" s="106" t="s">
        <v>1295</v>
      </c>
      <c r="X43" s="69" t="s">
        <v>1295</v>
      </c>
      <c r="Y43" s="69" t="s">
        <v>2280</v>
      </c>
      <c r="Z43" s="69" t="s">
        <v>2601</v>
      </c>
      <c r="AA43" s="69" t="s">
        <v>2190</v>
      </c>
      <c r="AB43" s="69" t="s">
        <v>403</v>
      </c>
      <c r="AC43" s="69" t="s">
        <v>403</v>
      </c>
      <c r="AD43" s="69" t="s">
        <v>403</v>
      </c>
      <c r="AE43" s="69" t="s">
        <v>403</v>
      </c>
      <c r="AF43" s="69" t="s">
        <v>403</v>
      </c>
      <c r="AG43" s="69" t="s">
        <v>403</v>
      </c>
      <c r="AH43" s="69" t="s">
        <v>2842</v>
      </c>
      <c r="AI43" s="69" t="s">
        <v>2842</v>
      </c>
      <c r="AJ43" s="69" t="s">
        <v>2842</v>
      </c>
      <c r="AK43" s="69" t="s">
        <v>3080</v>
      </c>
      <c r="AL43" s="69" t="s">
        <v>3080</v>
      </c>
      <c r="AM43" s="69" t="s">
        <v>3080</v>
      </c>
      <c r="AN43" s="69" t="s">
        <v>476</v>
      </c>
      <c r="AO43" s="131"/>
      <c r="AP43" s="69" t="s">
        <v>476</v>
      </c>
      <c r="AQ43" s="69" t="s">
        <v>3399</v>
      </c>
      <c r="AR43" s="69"/>
      <c r="AS43" s="69"/>
      <c r="AT43" s="69"/>
      <c r="AU43" s="69"/>
      <c r="AV43" s="69" t="s">
        <v>567</v>
      </c>
      <c r="AW43" s="69" t="s">
        <v>567</v>
      </c>
      <c r="AX43" s="69" t="s">
        <v>567</v>
      </c>
      <c r="AY43" s="69" t="s">
        <v>567</v>
      </c>
      <c r="AZ43" s="69" t="s">
        <v>3138</v>
      </c>
      <c r="BA43" s="69" t="s">
        <v>3138</v>
      </c>
      <c r="BB43" s="69" t="s">
        <v>3138</v>
      </c>
      <c r="BC43" s="69" t="s">
        <v>2259</v>
      </c>
      <c r="BD43" s="69" t="s">
        <v>2259</v>
      </c>
      <c r="BE43" s="69" t="s">
        <v>2259</v>
      </c>
      <c r="BF43" s="69" t="s">
        <v>1128</v>
      </c>
      <c r="BG43" s="69" t="s">
        <v>1114</v>
      </c>
      <c r="BH43" s="69"/>
      <c r="BI43" s="69"/>
      <c r="BJ43" s="69" t="s">
        <v>1902</v>
      </c>
      <c r="BK43" s="69" t="s">
        <v>2457</v>
      </c>
      <c r="BL43" s="69" t="s">
        <v>740</v>
      </c>
      <c r="BM43" s="69"/>
      <c r="BN43" s="69"/>
      <c r="BO43" s="69"/>
      <c r="BP43" s="69" t="s">
        <v>638</v>
      </c>
      <c r="BQ43" s="69" t="s">
        <v>638</v>
      </c>
      <c r="BR43" s="69"/>
      <c r="BS43" s="69"/>
      <c r="BT43" s="69"/>
      <c r="BU43" s="69"/>
      <c r="BV43" s="69"/>
      <c r="BW43" s="69" t="s">
        <v>2054</v>
      </c>
      <c r="BX43" s="69" t="s">
        <v>2013</v>
      </c>
      <c r="BY43" s="69"/>
      <c r="BZ43" s="69" t="s">
        <v>1650</v>
      </c>
      <c r="CA43" s="69" t="s">
        <v>2745</v>
      </c>
      <c r="CB43" s="69" t="s">
        <v>1650</v>
      </c>
      <c r="CC43" s="69"/>
      <c r="CD43" s="69"/>
      <c r="CE43" s="69" t="s">
        <v>1728</v>
      </c>
      <c r="CF43" s="69" t="s">
        <v>1784</v>
      </c>
      <c r="CG43" s="69" t="s">
        <v>1784</v>
      </c>
      <c r="CH43" s="69" t="s">
        <v>1818</v>
      </c>
      <c r="CI43" s="69" t="s">
        <v>3555</v>
      </c>
      <c r="CJ43" s="69" t="s">
        <v>1784</v>
      </c>
      <c r="CK43" s="69" t="s">
        <v>3555</v>
      </c>
      <c r="CL43" s="69" t="s">
        <v>3555</v>
      </c>
      <c r="CM43" s="69" t="s">
        <v>740</v>
      </c>
      <c r="CN43" s="69" t="s">
        <v>740</v>
      </c>
      <c r="CO43" s="69" t="s">
        <v>953</v>
      </c>
      <c r="CP43" s="69" t="s">
        <v>3159</v>
      </c>
      <c r="CQ43" s="69" t="s">
        <v>3162</v>
      </c>
      <c r="CR43" s="69" t="s">
        <v>3162</v>
      </c>
      <c r="CS43" s="69" t="s">
        <v>2502</v>
      </c>
      <c r="CT43" s="69" t="s">
        <v>845</v>
      </c>
      <c r="CU43" s="69" t="s">
        <v>836</v>
      </c>
      <c r="CV43" s="69"/>
      <c r="CW43" s="69"/>
      <c r="CX43" s="69" t="s">
        <v>1239</v>
      </c>
      <c r="CY43" s="69"/>
      <c r="CZ43" s="69"/>
      <c r="DA43" s="69" t="s">
        <v>2133</v>
      </c>
      <c r="DB43" s="69" t="s">
        <v>403</v>
      </c>
      <c r="DC43" s="69" t="s">
        <v>403</v>
      </c>
      <c r="DD43" s="69" t="s">
        <v>403</v>
      </c>
      <c r="DE43" s="69"/>
      <c r="DF43" s="69"/>
      <c r="DG43" s="152" t="s">
        <v>3</v>
      </c>
      <c r="DH43" s="69"/>
      <c r="DI43" s="69" t="s">
        <v>1062</v>
      </c>
      <c r="DJ43" s="69" t="s">
        <v>1062</v>
      </c>
      <c r="DK43" s="69" t="s">
        <v>1974</v>
      </c>
      <c r="DL43" s="69" t="s">
        <v>3466</v>
      </c>
      <c r="DM43" s="69"/>
      <c r="DN43" s="69"/>
      <c r="DO43" s="69"/>
      <c r="DP43" s="69"/>
      <c r="DQ43" s="69" t="s">
        <v>2945</v>
      </c>
      <c r="DR43" s="69" t="s">
        <v>1383</v>
      </c>
      <c r="DS43" s="69" t="s">
        <v>2678</v>
      </c>
      <c r="DT43" s="69" t="s">
        <v>740</v>
      </c>
      <c r="DU43" s="69" t="s">
        <v>740</v>
      </c>
      <c r="DV43" s="69" t="s">
        <v>567</v>
      </c>
      <c r="DW43" s="69" t="s">
        <v>411</v>
      </c>
      <c r="DX43" s="69" t="s">
        <v>440</v>
      </c>
      <c r="DY43" s="69" t="s">
        <v>740</v>
      </c>
      <c r="DZ43" s="69"/>
    </row>
    <row r="44" spans="1:130" s="18" customFormat="1" ht="22.5" customHeight="1" x14ac:dyDescent="0.15">
      <c r="A44" s="25" t="s">
        <v>42</v>
      </c>
      <c r="B44" s="47" t="s">
        <v>3</v>
      </c>
      <c r="C44" s="47" t="s">
        <v>43</v>
      </c>
      <c r="D44" s="47" t="s">
        <v>43</v>
      </c>
      <c r="E44" s="47" t="s">
        <v>3277</v>
      </c>
      <c r="F44" s="47" t="s">
        <v>43</v>
      </c>
      <c r="G44" s="47" t="s">
        <v>43</v>
      </c>
      <c r="H44" s="47" t="s">
        <v>21</v>
      </c>
      <c r="I44" s="47" t="s">
        <v>43</v>
      </c>
      <c r="J44" s="47" t="s">
        <v>21</v>
      </c>
      <c r="K44" s="47" t="s">
        <v>43</v>
      </c>
      <c r="L44" s="47" t="s">
        <v>21</v>
      </c>
      <c r="M44" s="47" t="s">
        <v>43</v>
      </c>
      <c r="N44" s="46" t="s">
        <v>3</v>
      </c>
      <c r="O44" s="47" t="s">
        <v>3</v>
      </c>
      <c r="P44" s="46" t="s">
        <v>95</v>
      </c>
      <c r="Q44" s="46" t="s">
        <v>95</v>
      </c>
      <c r="R44" s="46" t="s">
        <v>3239</v>
      </c>
      <c r="S44" s="117" t="s">
        <v>43</v>
      </c>
      <c r="T44" s="117" t="s">
        <v>43</v>
      </c>
      <c r="U44" s="46" t="s">
        <v>43</v>
      </c>
      <c r="V44" s="47" t="s">
        <v>795</v>
      </c>
      <c r="W44" s="62" t="s">
        <v>795</v>
      </c>
      <c r="X44" s="47" t="s">
        <v>795</v>
      </c>
      <c r="Y44" s="47" t="s">
        <v>2315</v>
      </c>
      <c r="Z44" s="47" t="s">
        <v>2617</v>
      </c>
      <c r="AA44" s="47" t="s">
        <v>2186</v>
      </c>
      <c r="AB44" s="47" t="s">
        <v>372</v>
      </c>
      <c r="AC44" s="47" t="s">
        <v>372</v>
      </c>
      <c r="AD44" s="47" t="s">
        <v>372</v>
      </c>
      <c r="AE44" s="47" t="s">
        <v>372</v>
      </c>
      <c r="AF44" s="47" t="s">
        <v>372</v>
      </c>
      <c r="AG44" s="47" t="s">
        <v>372</v>
      </c>
      <c r="AH44" s="47" t="s">
        <v>2843</v>
      </c>
      <c r="AI44" s="47" t="s">
        <v>21</v>
      </c>
      <c r="AJ44" s="47" t="s">
        <v>21</v>
      </c>
      <c r="AK44" s="47" t="s">
        <v>3019</v>
      </c>
      <c r="AL44" s="47" t="s">
        <v>3018</v>
      </c>
      <c r="AM44" s="47" t="s">
        <v>21</v>
      </c>
      <c r="AN44" s="20" t="s">
        <v>510</v>
      </c>
      <c r="AO44" s="130" t="s">
        <v>3315</v>
      </c>
      <c r="AP44" s="20" t="s">
        <v>510</v>
      </c>
      <c r="AQ44" s="20" t="s">
        <v>201</v>
      </c>
      <c r="AR44" s="20" t="s">
        <v>201</v>
      </c>
      <c r="AS44" s="20" t="s">
        <v>201</v>
      </c>
      <c r="AT44" s="20" t="s">
        <v>201</v>
      </c>
      <c r="AU44" s="42" t="s">
        <v>43</v>
      </c>
      <c r="AV44" s="20" t="s">
        <v>569</v>
      </c>
      <c r="AW44" s="20" t="s">
        <v>570</v>
      </c>
      <c r="AX44" s="20" t="s">
        <v>2592</v>
      </c>
      <c r="AY44" s="20" t="s">
        <v>2592</v>
      </c>
      <c r="AZ44" s="20" t="s">
        <v>3125</v>
      </c>
      <c r="BA44" s="20" t="s">
        <v>3125</v>
      </c>
      <c r="BB44" s="20" t="s">
        <v>3125</v>
      </c>
      <c r="BC44" s="20" t="s">
        <v>2261</v>
      </c>
      <c r="BD44" s="20" t="s">
        <v>2261</v>
      </c>
      <c r="BE44" s="20" t="s">
        <v>2261</v>
      </c>
      <c r="BF44" s="20" t="s">
        <v>21</v>
      </c>
      <c r="BG44" s="20" t="s">
        <v>21</v>
      </c>
      <c r="BH44" s="47" t="s">
        <v>3</v>
      </c>
      <c r="BI44" s="47" t="s">
        <v>384</v>
      </c>
      <c r="BJ44" s="47" t="s">
        <v>384</v>
      </c>
      <c r="BK44" s="47" t="s">
        <v>2459</v>
      </c>
      <c r="BL44" s="47" t="s">
        <v>43</v>
      </c>
      <c r="BM44" s="47" t="s">
        <v>21</v>
      </c>
      <c r="BN44" s="47" t="s">
        <v>21</v>
      </c>
      <c r="BO44" s="47" t="s">
        <v>21</v>
      </c>
      <c r="BP44" s="47" t="s">
        <v>21</v>
      </c>
      <c r="BQ44" s="47" t="s">
        <v>21</v>
      </c>
      <c r="BR44" s="47" t="s">
        <v>95</v>
      </c>
      <c r="BS44" s="46" t="s">
        <v>372</v>
      </c>
      <c r="BT44" s="46" t="s">
        <v>372</v>
      </c>
      <c r="BU44" s="46" t="s">
        <v>213</v>
      </c>
      <c r="BV44" s="46" t="s">
        <v>213</v>
      </c>
      <c r="BW44" s="47" t="s">
        <v>21</v>
      </c>
      <c r="BX44" s="47" t="s">
        <v>2006</v>
      </c>
      <c r="BY44" s="47" t="s">
        <v>43</v>
      </c>
      <c r="BZ44" s="47" t="s">
        <v>43</v>
      </c>
      <c r="CA44" s="47" t="s">
        <v>43</v>
      </c>
      <c r="CB44" s="47" t="s">
        <v>43</v>
      </c>
      <c r="CC44" s="47" t="s">
        <v>21</v>
      </c>
      <c r="CD44" s="47" t="s">
        <v>43</v>
      </c>
      <c r="CE44" s="47" t="s">
        <v>43</v>
      </c>
      <c r="CF44" s="47" t="s">
        <v>43</v>
      </c>
      <c r="CG44" s="47" t="s">
        <v>43</v>
      </c>
      <c r="CH44" s="47" t="s">
        <v>43</v>
      </c>
      <c r="CI44" s="47" t="s">
        <v>21</v>
      </c>
      <c r="CJ44" s="47" t="s">
        <v>43</v>
      </c>
      <c r="CK44" s="47" t="s">
        <v>43</v>
      </c>
      <c r="CL44" s="47" t="s">
        <v>54</v>
      </c>
      <c r="CM44" s="47" t="s">
        <v>43</v>
      </c>
      <c r="CN44" s="47" t="s">
        <v>43</v>
      </c>
      <c r="CO44" s="47" t="s">
        <v>95</v>
      </c>
      <c r="CP44" s="20" t="s">
        <v>21</v>
      </c>
      <c r="CQ44" s="20" t="s">
        <v>43</v>
      </c>
      <c r="CR44" s="20" t="s">
        <v>43</v>
      </c>
      <c r="CS44" s="46" t="s">
        <v>95</v>
      </c>
      <c r="CT44" s="46" t="s">
        <v>21</v>
      </c>
      <c r="CU44" s="46" t="s">
        <v>43</v>
      </c>
      <c r="CV44" s="46" t="s">
        <v>54</v>
      </c>
      <c r="CW44" s="47" t="s">
        <v>43</v>
      </c>
      <c r="CX44" s="47" t="s">
        <v>43</v>
      </c>
      <c r="CY44" s="46" t="s">
        <v>3</v>
      </c>
      <c r="CZ44" s="46" t="s">
        <v>3</v>
      </c>
      <c r="DA44" s="47" t="s">
        <v>2138</v>
      </c>
      <c r="DB44" s="46" t="s">
        <v>43</v>
      </c>
      <c r="DC44" s="46" t="s">
        <v>43</v>
      </c>
      <c r="DD44" s="46" t="s">
        <v>43</v>
      </c>
      <c r="DE44" s="46" t="s">
        <v>43</v>
      </c>
      <c r="DF44" s="46" t="s">
        <v>21</v>
      </c>
      <c r="DG44" s="146" t="s">
        <v>3356</v>
      </c>
      <c r="DH44" s="46" t="s">
        <v>43</v>
      </c>
      <c r="DI44" s="47" t="s">
        <v>43</v>
      </c>
      <c r="DJ44" s="47" t="s">
        <v>43</v>
      </c>
      <c r="DK44" s="47" t="s">
        <v>1967</v>
      </c>
      <c r="DL44" s="156" t="s">
        <v>21</v>
      </c>
      <c r="DM44" s="47" t="s">
        <v>43</v>
      </c>
      <c r="DN44" s="47" t="s">
        <v>54</v>
      </c>
      <c r="DO44" s="47" t="s">
        <v>1894</v>
      </c>
      <c r="DP44" s="47" t="s">
        <v>1894</v>
      </c>
      <c r="DQ44" s="47" t="s">
        <v>21</v>
      </c>
      <c r="DR44" s="47" t="s">
        <v>1390</v>
      </c>
      <c r="DS44" s="47" t="s">
        <v>2680</v>
      </c>
      <c r="DT44" s="47" t="s">
        <v>21</v>
      </c>
      <c r="DU44" s="47" t="s">
        <v>43</v>
      </c>
      <c r="DV44" s="47" t="s">
        <v>3</v>
      </c>
      <c r="DW44" s="47" t="s">
        <v>54</v>
      </c>
      <c r="DX44" s="47" t="s">
        <v>43</v>
      </c>
      <c r="DY44" s="47" t="s">
        <v>21</v>
      </c>
      <c r="DZ44" s="20"/>
    </row>
    <row r="45" spans="1:130" s="18" customFormat="1" ht="12" customHeight="1" x14ac:dyDescent="0.15">
      <c r="A45" s="76" t="s">
        <v>402</v>
      </c>
      <c r="B45" s="69"/>
      <c r="C45" s="69" t="s">
        <v>2806</v>
      </c>
      <c r="D45" s="69" t="s">
        <v>2806</v>
      </c>
      <c r="E45" s="69" t="s">
        <v>3276</v>
      </c>
      <c r="F45" s="69"/>
      <c r="G45" s="69" t="s">
        <v>1605</v>
      </c>
      <c r="H45" s="69" t="s">
        <v>1469</v>
      </c>
      <c r="I45" s="69" t="s">
        <v>1469</v>
      </c>
      <c r="J45" s="69" t="s">
        <v>1469</v>
      </c>
      <c r="K45" s="69" t="s">
        <v>1469</v>
      </c>
      <c r="L45" s="69" t="s">
        <v>1469</v>
      </c>
      <c r="M45" s="69" t="s">
        <v>1469</v>
      </c>
      <c r="N45" s="69" t="s">
        <v>1350</v>
      </c>
      <c r="O45" s="69"/>
      <c r="P45" s="69"/>
      <c r="Q45" s="69"/>
      <c r="R45" s="69"/>
      <c r="S45" s="128"/>
      <c r="T45" s="128"/>
      <c r="U45" s="69" t="s">
        <v>2539</v>
      </c>
      <c r="V45" s="69"/>
      <c r="W45" s="106" t="s">
        <v>1282</v>
      </c>
      <c r="X45" s="69" t="s">
        <v>1282</v>
      </c>
      <c r="Y45" s="69" t="s">
        <v>403</v>
      </c>
      <c r="Z45" s="69" t="s">
        <v>2651</v>
      </c>
      <c r="AA45" s="69" t="s">
        <v>2185</v>
      </c>
      <c r="AB45" s="69" t="s">
        <v>677</v>
      </c>
      <c r="AC45" s="69" t="s">
        <v>677</v>
      </c>
      <c r="AD45" s="69" t="s">
        <v>677</v>
      </c>
      <c r="AE45" s="69" t="s">
        <v>677</v>
      </c>
      <c r="AF45" s="69" t="s">
        <v>677</v>
      </c>
      <c r="AG45" s="69" t="s">
        <v>677</v>
      </c>
      <c r="AH45" s="69" t="s">
        <v>2845</v>
      </c>
      <c r="AI45" s="69" t="s">
        <v>2844</v>
      </c>
      <c r="AJ45" s="69" t="s">
        <v>2844</v>
      </c>
      <c r="AK45" s="69" t="s">
        <v>3017</v>
      </c>
      <c r="AL45" s="69" t="s">
        <v>2981</v>
      </c>
      <c r="AM45" s="69" t="s">
        <v>3081</v>
      </c>
      <c r="AN45" s="69" t="s">
        <v>403</v>
      </c>
      <c r="AO45" s="131"/>
      <c r="AP45" s="69" t="s">
        <v>403</v>
      </c>
      <c r="AQ45" s="69"/>
      <c r="AR45" s="69"/>
      <c r="AS45" s="69"/>
      <c r="AT45" s="69"/>
      <c r="AU45" s="69"/>
      <c r="AV45" s="69" t="s">
        <v>571</v>
      </c>
      <c r="AW45" s="69" t="s">
        <v>571</v>
      </c>
      <c r="AX45" s="69" t="s">
        <v>571</v>
      </c>
      <c r="AY45" s="69" t="s">
        <v>571</v>
      </c>
      <c r="AZ45" s="69" t="s">
        <v>2260</v>
      </c>
      <c r="BA45" s="69" t="s">
        <v>2260</v>
      </c>
      <c r="BB45" s="69" t="s">
        <v>2260</v>
      </c>
      <c r="BC45" s="69" t="s">
        <v>2260</v>
      </c>
      <c r="BD45" s="69" t="s">
        <v>2260</v>
      </c>
      <c r="BE45" s="69" t="s">
        <v>2260</v>
      </c>
      <c r="BF45" s="69" t="s">
        <v>1159</v>
      </c>
      <c r="BG45" s="69" t="s">
        <v>1159</v>
      </c>
      <c r="BH45" s="69"/>
      <c r="BI45" s="69"/>
      <c r="BJ45" s="69" t="s">
        <v>1866</v>
      </c>
      <c r="BK45" s="69" t="s">
        <v>2458</v>
      </c>
      <c r="BL45" s="69" t="s">
        <v>2341</v>
      </c>
      <c r="BM45" s="69"/>
      <c r="BN45" s="69"/>
      <c r="BO45" s="69"/>
      <c r="BP45" s="69" t="s">
        <v>636</v>
      </c>
      <c r="BQ45" s="69" t="s">
        <v>636</v>
      </c>
      <c r="BR45" s="69"/>
      <c r="BS45" s="69"/>
      <c r="BT45" s="69"/>
      <c r="BU45" s="69"/>
      <c r="BV45" s="69"/>
      <c r="BW45" s="69" t="s">
        <v>2059</v>
      </c>
      <c r="BX45" s="69" t="s">
        <v>2020</v>
      </c>
      <c r="BY45" s="69"/>
      <c r="BZ45" s="69" t="s">
        <v>1670</v>
      </c>
      <c r="CA45" s="69" t="s">
        <v>2753</v>
      </c>
      <c r="CB45" s="69" t="s">
        <v>2753</v>
      </c>
      <c r="CC45" s="69"/>
      <c r="CD45" s="69"/>
      <c r="CE45" s="69" t="s">
        <v>1744</v>
      </c>
      <c r="CF45" s="69" t="s">
        <v>1744</v>
      </c>
      <c r="CG45" s="69" t="s">
        <v>1744</v>
      </c>
      <c r="CH45" s="69" t="s">
        <v>1744</v>
      </c>
      <c r="CI45" s="69" t="s">
        <v>3555</v>
      </c>
      <c r="CJ45" s="69" t="s">
        <v>3555</v>
      </c>
      <c r="CK45" s="69" t="s">
        <v>3555</v>
      </c>
      <c r="CL45" s="69" t="s">
        <v>3555</v>
      </c>
      <c r="CM45" s="69" t="s">
        <v>789</v>
      </c>
      <c r="CN45" s="69" t="s">
        <v>789</v>
      </c>
      <c r="CO45" s="69" t="s">
        <v>954</v>
      </c>
      <c r="CP45" s="69" t="s">
        <v>2981</v>
      </c>
      <c r="CQ45" s="69" t="s">
        <v>2981</v>
      </c>
      <c r="CR45" s="69" t="s">
        <v>2981</v>
      </c>
      <c r="CS45" s="69" t="s">
        <v>2497</v>
      </c>
      <c r="CT45" s="69" t="s">
        <v>845</v>
      </c>
      <c r="CU45" s="69" t="s">
        <v>836</v>
      </c>
      <c r="CV45" s="69"/>
      <c r="CW45" s="69"/>
      <c r="CX45" s="69" t="s">
        <v>1250</v>
      </c>
      <c r="CY45" s="69"/>
      <c r="CZ45" s="69"/>
      <c r="DA45" s="69" t="s">
        <v>2137</v>
      </c>
      <c r="DB45" s="69" t="s">
        <v>907</v>
      </c>
      <c r="DC45" s="69" t="s">
        <v>907</v>
      </c>
      <c r="DD45" s="69" t="s">
        <v>907</v>
      </c>
      <c r="DE45" s="69"/>
      <c r="DF45" s="69"/>
      <c r="DG45" s="152" t="s">
        <v>3348</v>
      </c>
      <c r="DH45" s="69"/>
      <c r="DI45" s="69" t="s">
        <v>405</v>
      </c>
      <c r="DJ45" s="69" t="s">
        <v>405</v>
      </c>
      <c r="DK45" s="69" t="s">
        <v>1966</v>
      </c>
      <c r="DL45" s="69" t="s">
        <v>789</v>
      </c>
      <c r="DM45" s="69"/>
      <c r="DN45" s="69"/>
      <c r="DO45" s="69"/>
      <c r="DP45" s="69"/>
      <c r="DQ45" s="69" t="s">
        <v>2948</v>
      </c>
      <c r="DR45" s="69" t="s">
        <v>1391</v>
      </c>
      <c r="DS45" s="69" t="s">
        <v>2679</v>
      </c>
      <c r="DT45" s="69" t="s">
        <v>1203</v>
      </c>
      <c r="DU45" s="69" t="s">
        <v>1203</v>
      </c>
      <c r="DV45" s="69" t="s">
        <v>3</v>
      </c>
      <c r="DW45" s="69" t="s">
        <v>403</v>
      </c>
      <c r="DX45" s="69" t="s">
        <v>415</v>
      </c>
      <c r="DY45" s="69" t="s">
        <v>1507</v>
      </c>
      <c r="DZ45" s="69"/>
    </row>
    <row r="46" spans="1:130" s="18" customFormat="1" ht="18" x14ac:dyDescent="0.15">
      <c r="A46" s="25" t="s">
        <v>2815</v>
      </c>
      <c r="B46" s="57" t="s">
        <v>3</v>
      </c>
      <c r="C46" s="46" t="s">
        <v>2757</v>
      </c>
      <c r="D46" s="46" t="s">
        <v>2757</v>
      </c>
      <c r="E46" s="46" t="s">
        <v>3</v>
      </c>
      <c r="F46" s="57" t="s">
        <v>3</v>
      </c>
      <c r="G46" s="46" t="s">
        <v>3</v>
      </c>
      <c r="H46" s="46" t="s">
        <v>3</v>
      </c>
      <c r="I46" s="46" t="s">
        <v>3</v>
      </c>
      <c r="J46" s="46" t="s">
        <v>3</v>
      </c>
      <c r="K46" s="46" t="s">
        <v>3</v>
      </c>
      <c r="L46" s="46" t="s">
        <v>3</v>
      </c>
      <c r="M46" s="46" t="s">
        <v>3</v>
      </c>
      <c r="N46" s="46" t="s">
        <v>3</v>
      </c>
      <c r="O46" s="57" t="s">
        <v>3</v>
      </c>
      <c r="P46" s="57" t="s">
        <v>3</v>
      </c>
      <c r="Q46" s="57" t="s">
        <v>3</v>
      </c>
      <c r="R46" s="46" t="s">
        <v>3239</v>
      </c>
      <c r="S46" s="117" t="s">
        <v>3239</v>
      </c>
      <c r="T46" s="117" t="s">
        <v>3239</v>
      </c>
      <c r="U46" s="46" t="s">
        <v>3</v>
      </c>
      <c r="V46" s="57" t="s">
        <v>3</v>
      </c>
      <c r="W46" s="62" t="s">
        <v>3</v>
      </c>
      <c r="X46" s="47" t="s">
        <v>3</v>
      </c>
      <c r="Y46" s="46" t="s">
        <v>3</v>
      </c>
      <c r="Z46" s="47" t="s">
        <v>3</v>
      </c>
      <c r="AA46" s="46" t="s">
        <v>3</v>
      </c>
      <c r="AB46" s="46" t="s">
        <v>3</v>
      </c>
      <c r="AC46" s="46" t="s">
        <v>3</v>
      </c>
      <c r="AD46" s="46" t="s">
        <v>3</v>
      </c>
      <c r="AE46" s="46" t="s">
        <v>3</v>
      </c>
      <c r="AF46" s="46" t="s">
        <v>3</v>
      </c>
      <c r="AG46" s="46" t="s">
        <v>3</v>
      </c>
      <c r="AH46" s="47" t="s">
        <v>3</v>
      </c>
      <c r="AI46" s="47" t="s">
        <v>3</v>
      </c>
      <c r="AJ46" s="47" t="s">
        <v>3</v>
      </c>
      <c r="AK46" s="47" t="s">
        <v>3</v>
      </c>
      <c r="AL46" s="47" t="s">
        <v>3</v>
      </c>
      <c r="AM46" s="47" t="s">
        <v>3</v>
      </c>
      <c r="AN46" s="20" t="s">
        <v>3</v>
      </c>
      <c r="AO46" s="130" t="s">
        <v>231</v>
      </c>
      <c r="AP46" s="20" t="s">
        <v>14</v>
      </c>
      <c r="AQ46" s="20" t="s">
        <v>3</v>
      </c>
      <c r="AR46" s="20" t="s">
        <v>3</v>
      </c>
      <c r="AS46" s="20" t="s">
        <v>3</v>
      </c>
      <c r="AT46" s="20" t="s">
        <v>3</v>
      </c>
      <c r="AU46" s="20" t="s">
        <v>94</v>
      </c>
      <c r="AV46" s="20" t="s">
        <v>3</v>
      </c>
      <c r="AW46" s="20" t="s">
        <v>3</v>
      </c>
      <c r="AX46" s="20" t="s">
        <v>3</v>
      </c>
      <c r="AY46" s="20" t="s">
        <v>3</v>
      </c>
      <c r="AZ46" s="20" t="s">
        <v>3</v>
      </c>
      <c r="BA46" s="20" t="s">
        <v>3</v>
      </c>
      <c r="BB46" s="20" t="s">
        <v>3121</v>
      </c>
      <c r="BC46" s="20" t="s">
        <v>3</v>
      </c>
      <c r="BD46" s="20" t="s">
        <v>3</v>
      </c>
      <c r="BE46" s="20" t="s">
        <v>3</v>
      </c>
      <c r="BF46" s="47" t="s">
        <v>3</v>
      </c>
      <c r="BG46" s="47" t="s">
        <v>260</v>
      </c>
      <c r="BH46" s="47" t="s">
        <v>260</v>
      </c>
      <c r="BI46" s="47" t="s">
        <v>3</v>
      </c>
      <c r="BJ46" s="47" t="s">
        <v>3</v>
      </c>
      <c r="BK46" s="47" t="s">
        <v>3</v>
      </c>
      <c r="BL46" s="47" t="s">
        <v>3</v>
      </c>
      <c r="BM46" s="57" t="s">
        <v>3</v>
      </c>
      <c r="BN46" s="57" t="s">
        <v>3</v>
      </c>
      <c r="BO46" s="57" t="s">
        <v>3</v>
      </c>
      <c r="BP46" s="47" t="s">
        <v>580</v>
      </c>
      <c r="BQ46" s="57" t="s">
        <v>3</v>
      </c>
      <c r="BR46" s="46" t="s">
        <v>95</v>
      </c>
      <c r="BS46" s="47" t="s">
        <v>364</v>
      </c>
      <c r="BT46" s="47" t="s">
        <v>364</v>
      </c>
      <c r="BU46" s="46" t="s">
        <v>3</v>
      </c>
      <c r="BV46" s="46" t="s">
        <v>3</v>
      </c>
      <c r="BW46" s="46" t="s">
        <v>3</v>
      </c>
      <c r="BX46" s="46" t="s">
        <v>3</v>
      </c>
      <c r="BY46" s="47" t="s">
        <v>1672</v>
      </c>
      <c r="BZ46" s="47" t="s">
        <v>1672</v>
      </c>
      <c r="CA46" s="47" t="s">
        <v>3</v>
      </c>
      <c r="CB46" s="47" t="s">
        <v>1672</v>
      </c>
      <c r="CC46" s="47" t="s">
        <v>3</v>
      </c>
      <c r="CD46" s="47" t="s">
        <v>14</v>
      </c>
      <c r="CE46" s="47" t="s">
        <v>1672</v>
      </c>
      <c r="CF46" s="47" t="s">
        <v>1672</v>
      </c>
      <c r="CG46" s="47" t="s">
        <v>1830</v>
      </c>
      <c r="CH46" s="47" t="s">
        <v>14</v>
      </c>
      <c r="CI46" s="47" t="s">
        <v>3</v>
      </c>
      <c r="CJ46" s="47" t="s">
        <v>3562</v>
      </c>
      <c r="CK46" s="47" t="s">
        <v>3604</v>
      </c>
      <c r="CL46" s="47" t="s">
        <v>3562</v>
      </c>
      <c r="CM46" s="47" t="s">
        <v>3</v>
      </c>
      <c r="CN46" s="47" t="s">
        <v>3</v>
      </c>
      <c r="CO46" s="46" t="s">
        <v>3</v>
      </c>
      <c r="CP46" s="20" t="s">
        <v>3</v>
      </c>
      <c r="CQ46" s="20" t="s">
        <v>3196</v>
      </c>
      <c r="CR46" s="20" t="s">
        <v>3</v>
      </c>
      <c r="CS46" s="46" t="s">
        <v>95</v>
      </c>
      <c r="CT46" s="46" t="s">
        <v>3</v>
      </c>
      <c r="CU46" s="46" t="s">
        <v>3</v>
      </c>
      <c r="CV46" s="46" t="s">
        <v>3</v>
      </c>
      <c r="CW46" s="47" t="s">
        <v>14</v>
      </c>
      <c r="CX46" s="46" t="s">
        <v>3</v>
      </c>
      <c r="CY46" s="46" t="s">
        <v>3</v>
      </c>
      <c r="CZ46" s="46" t="s">
        <v>131</v>
      </c>
      <c r="DA46" s="46" t="s">
        <v>3</v>
      </c>
      <c r="DB46" s="46" t="s">
        <v>3</v>
      </c>
      <c r="DC46" s="46" t="s">
        <v>131</v>
      </c>
      <c r="DD46" s="46" t="s">
        <v>131</v>
      </c>
      <c r="DE46" s="46" t="s">
        <v>3</v>
      </c>
      <c r="DF46" s="46" t="s">
        <v>3</v>
      </c>
      <c r="DG46" s="147" t="s">
        <v>3</v>
      </c>
      <c r="DH46" s="46" t="s">
        <v>3</v>
      </c>
      <c r="DI46" s="46" t="s">
        <v>14</v>
      </c>
      <c r="DJ46" s="46" t="s">
        <v>14</v>
      </c>
      <c r="DK46" s="46" t="s">
        <v>3</v>
      </c>
      <c r="DL46" s="47" t="s">
        <v>364</v>
      </c>
      <c r="DM46" s="57" t="s">
        <v>3</v>
      </c>
      <c r="DN46" s="57" t="s">
        <v>3</v>
      </c>
      <c r="DO46" s="46" t="s">
        <v>3</v>
      </c>
      <c r="DP46" s="46" t="s">
        <v>1</v>
      </c>
      <c r="DQ46" s="46" t="s">
        <v>3</v>
      </c>
      <c r="DR46" s="46" t="s">
        <v>3</v>
      </c>
      <c r="DS46" s="46" t="s">
        <v>3</v>
      </c>
      <c r="DT46" s="57" t="s">
        <v>3</v>
      </c>
      <c r="DU46" s="47" t="s">
        <v>263</v>
      </c>
      <c r="DV46" s="46" t="s">
        <v>3</v>
      </c>
      <c r="DW46" s="47" t="s">
        <v>432</v>
      </c>
      <c r="DX46" s="47" t="s">
        <v>432</v>
      </c>
      <c r="DY46" s="46" t="s">
        <v>3</v>
      </c>
      <c r="DZ46" s="20"/>
    </row>
    <row r="47" spans="1:130" s="18" customFormat="1" ht="12" customHeight="1" x14ac:dyDescent="0.15">
      <c r="A47" s="76" t="s">
        <v>402</v>
      </c>
      <c r="B47" s="69"/>
      <c r="C47" s="69" t="s">
        <v>2787</v>
      </c>
      <c r="D47" s="69" t="s">
        <v>2787</v>
      </c>
      <c r="E47" s="69" t="s">
        <v>3</v>
      </c>
      <c r="F47" s="69"/>
      <c r="G47" s="69" t="s">
        <v>3</v>
      </c>
      <c r="H47" s="69" t="s">
        <v>3</v>
      </c>
      <c r="I47" s="69" t="s">
        <v>3</v>
      </c>
      <c r="J47" s="69" t="s">
        <v>3</v>
      </c>
      <c r="K47" s="69" t="s">
        <v>3</v>
      </c>
      <c r="L47" s="69" t="s">
        <v>3</v>
      </c>
      <c r="M47" s="69" t="s">
        <v>3</v>
      </c>
      <c r="N47" s="69" t="s">
        <v>3</v>
      </c>
      <c r="O47" s="69"/>
      <c r="P47" s="69"/>
      <c r="Q47" s="69"/>
      <c r="R47" s="69"/>
      <c r="S47" s="128"/>
      <c r="T47" s="128"/>
      <c r="U47" s="69" t="s">
        <v>3</v>
      </c>
      <c r="V47" s="69"/>
      <c r="W47" s="106" t="s">
        <v>1642</v>
      </c>
      <c r="X47" s="69" t="s">
        <v>1642</v>
      </c>
      <c r="Y47" s="69" t="s">
        <v>3</v>
      </c>
      <c r="Z47" s="69" t="s">
        <v>3</v>
      </c>
      <c r="AA47" s="69" t="s">
        <v>3</v>
      </c>
      <c r="AB47" s="69" t="s">
        <v>3</v>
      </c>
      <c r="AC47" s="69" t="s">
        <v>3</v>
      </c>
      <c r="AD47" s="69" t="s">
        <v>3</v>
      </c>
      <c r="AE47" s="69" t="s">
        <v>3</v>
      </c>
      <c r="AF47" s="69" t="s">
        <v>3</v>
      </c>
      <c r="AG47" s="69" t="s">
        <v>3</v>
      </c>
      <c r="AH47" s="69" t="s">
        <v>3</v>
      </c>
      <c r="AI47" s="69" t="s">
        <v>3</v>
      </c>
      <c r="AJ47" s="69" t="s">
        <v>3</v>
      </c>
      <c r="AK47" s="69" t="s">
        <v>3</v>
      </c>
      <c r="AL47" s="69" t="s">
        <v>3</v>
      </c>
      <c r="AM47" s="69" t="s">
        <v>3</v>
      </c>
      <c r="AN47" s="69" t="s">
        <v>3</v>
      </c>
      <c r="AO47" s="131"/>
      <c r="AP47" s="69" t="s">
        <v>455</v>
      </c>
      <c r="AQ47" s="69"/>
      <c r="AR47" s="69"/>
      <c r="AS47" s="69"/>
      <c r="AT47" s="69"/>
      <c r="AU47" s="69"/>
      <c r="AV47" s="69" t="s">
        <v>3</v>
      </c>
      <c r="AW47" s="69" t="s">
        <v>3</v>
      </c>
      <c r="AX47" s="69" t="s">
        <v>3</v>
      </c>
      <c r="AY47" s="69" t="s">
        <v>3</v>
      </c>
      <c r="AZ47" s="69" t="s">
        <v>3</v>
      </c>
      <c r="BA47" s="69" t="s">
        <v>3</v>
      </c>
      <c r="BB47" s="69" t="s">
        <v>2222</v>
      </c>
      <c r="BC47" s="69" t="s">
        <v>3</v>
      </c>
      <c r="BD47" s="69" t="s">
        <v>3</v>
      </c>
      <c r="BE47" s="69" t="s">
        <v>3</v>
      </c>
      <c r="BF47" s="69" t="s">
        <v>3</v>
      </c>
      <c r="BG47" s="69" t="s">
        <v>1090</v>
      </c>
      <c r="BH47" s="69"/>
      <c r="BI47" s="69"/>
      <c r="BJ47" s="69" t="s">
        <v>3</v>
      </c>
      <c r="BK47" s="69" t="s">
        <v>3</v>
      </c>
      <c r="BL47" s="69" t="s">
        <v>3</v>
      </c>
      <c r="BM47" s="69"/>
      <c r="BN47" s="69"/>
      <c r="BO47" s="69"/>
      <c r="BP47" s="69" t="s">
        <v>579</v>
      </c>
      <c r="BQ47" s="69" t="s">
        <v>3</v>
      </c>
      <c r="BR47" s="69"/>
      <c r="BS47" s="69"/>
      <c r="BT47" s="69"/>
      <c r="BU47" s="69"/>
      <c r="BV47" s="69"/>
      <c r="BW47" s="69" t="s">
        <v>3</v>
      </c>
      <c r="BX47" s="69" t="s">
        <v>3</v>
      </c>
      <c r="BY47" s="69"/>
      <c r="BZ47" s="69" t="s">
        <v>1671</v>
      </c>
      <c r="CA47" s="69" t="s">
        <v>3</v>
      </c>
      <c r="CB47" s="69" t="s">
        <v>1671</v>
      </c>
      <c r="CC47" s="69"/>
      <c r="CD47" s="69"/>
      <c r="CE47" s="69" t="s">
        <v>1720</v>
      </c>
      <c r="CF47" s="69" t="s">
        <v>1722</v>
      </c>
      <c r="CG47" s="69" t="s">
        <v>1722</v>
      </c>
      <c r="CH47" s="69" t="s">
        <v>1782</v>
      </c>
      <c r="CI47" s="69" t="s">
        <v>3</v>
      </c>
      <c r="CJ47" s="69" t="s">
        <v>3555</v>
      </c>
      <c r="CK47" s="69" t="s">
        <v>3555</v>
      </c>
      <c r="CL47" s="69" t="s">
        <v>3555</v>
      </c>
      <c r="CM47" s="69" t="s">
        <v>3</v>
      </c>
      <c r="CN47" s="69" t="s">
        <v>3</v>
      </c>
      <c r="CO47" s="69" t="s">
        <v>3</v>
      </c>
      <c r="CP47" s="69" t="s">
        <v>3</v>
      </c>
      <c r="CQ47" s="69" t="s">
        <v>3012</v>
      </c>
      <c r="CR47" s="69" t="s">
        <v>3</v>
      </c>
      <c r="CS47" s="69" t="s">
        <v>2502</v>
      </c>
      <c r="CT47" s="69" t="s">
        <v>3</v>
      </c>
      <c r="CU47" s="69" t="s">
        <v>3</v>
      </c>
      <c r="CV47" s="69"/>
      <c r="CW47" s="69"/>
      <c r="CX47" s="69" t="s">
        <v>3</v>
      </c>
      <c r="CY47" s="69"/>
      <c r="CZ47" s="69"/>
      <c r="DA47" s="69" t="s">
        <v>3</v>
      </c>
      <c r="DB47" s="69" t="s">
        <v>3</v>
      </c>
      <c r="DC47" s="69" t="s">
        <v>890</v>
      </c>
      <c r="DD47" s="69" t="s">
        <v>890</v>
      </c>
      <c r="DE47" s="69"/>
      <c r="DF47" s="69"/>
      <c r="DG47" s="152" t="s">
        <v>3</v>
      </c>
      <c r="DH47" s="69"/>
      <c r="DI47" s="96" t="s">
        <v>1051</v>
      </c>
      <c r="DJ47" s="96" t="s">
        <v>1051</v>
      </c>
      <c r="DK47" s="96" t="s">
        <v>3</v>
      </c>
      <c r="DL47" s="69" t="s">
        <v>3467</v>
      </c>
      <c r="DM47" s="69"/>
      <c r="DN47" s="69"/>
      <c r="DO47" s="69"/>
      <c r="DP47" s="69"/>
      <c r="DQ47" s="69" t="s">
        <v>3</v>
      </c>
      <c r="DR47" s="69" t="s">
        <v>3</v>
      </c>
      <c r="DS47" s="69" t="s">
        <v>3</v>
      </c>
      <c r="DT47" s="69" t="s">
        <v>3</v>
      </c>
      <c r="DU47" s="69" t="s">
        <v>1169</v>
      </c>
      <c r="DV47" s="69" t="s">
        <v>3</v>
      </c>
      <c r="DW47" s="69" t="s">
        <v>433</v>
      </c>
      <c r="DX47" s="69" t="s">
        <v>433</v>
      </c>
      <c r="DY47" s="69" t="s">
        <v>3</v>
      </c>
      <c r="DZ47" s="69"/>
    </row>
    <row r="48" spans="1:130" s="18" customFormat="1" ht="22.5" customHeight="1" x14ac:dyDescent="0.15">
      <c r="A48" s="25" t="s">
        <v>52</v>
      </c>
      <c r="B48" s="20" t="s">
        <v>305</v>
      </c>
      <c r="C48" s="20" t="s">
        <v>305</v>
      </c>
      <c r="D48" s="20" t="s">
        <v>305</v>
      </c>
      <c r="E48" s="20" t="s">
        <v>305</v>
      </c>
      <c r="F48" s="20" t="s">
        <v>305</v>
      </c>
      <c r="G48" s="20" t="s">
        <v>305</v>
      </c>
      <c r="H48" s="20" t="s">
        <v>305</v>
      </c>
      <c r="I48" s="20" t="s">
        <v>305</v>
      </c>
      <c r="J48" s="20" t="s">
        <v>305</v>
      </c>
      <c r="K48" s="20" t="s">
        <v>305</v>
      </c>
      <c r="L48" s="20" t="s">
        <v>305</v>
      </c>
      <c r="M48" s="20" t="s">
        <v>305</v>
      </c>
      <c r="N48" s="47" t="s">
        <v>1352</v>
      </c>
      <c r="O48" s="20" t="s">
        <v>305</v>
      </c>
      <c r="P48" s="20" t="s">
        <v>305</v>
      </c>
      <c r="Q48" s="20" t="s">
        <v>305</v>
      </c>
      <c r="R48" s="47" t="s">
        <v>3240</v>
      </c>
      <c r="S48" s="117" t="s">
        <v>3293</v>
      </c>
      <c r="T48" s="117" t="s">
        <v>3293</v>
      </c>
      <c r="U48" s="20" t="s">
        <v>305</v>
      </c>
      <c r="V48" s="20" t="s">
        <v>305</v>
      </c>
      <c r="W48" s="102" t="s">
        <v>305</v>
      </c>
      <c r="X48" s="20" t="s">
        <v>305</v>
      </c>
      <c r="Y48" s="20" t="s">
        <v>305</v>
      </c>
      <c r="Z48" s="20" t="s">
        <v>305</v>
      </c>
      <c r="AA48" s="20" t="s">
        <v>2125</v>
      </c>
      <c r="AB48" s="20" t="s">
        <v>3</v>
      </c>
      <c r="AC48" s="20" t="s">
        <v>305</v>
      </c>
      <c r="AD48" s="20" t="s">
        <v>305</v>
      </c>
      <c r="AE48" s="20" t="s">
        <v>3</v>
      </c>
      <c r="AF48" s="20" t="s">
        <v>305</v>
      </c>
      <c r="AG48" s="20" t="s">
        <v>305</v>
      </c>
      <c r="AH48" s="20" t="s">
        <v>305</v>
      </c>
      <c r="AI48" s="20" t="s">
        <v>305</v>
      </c>
      <c r="AJ48" s="20" t="s">
        <v>2846</v>
      </c>
      <c r="AK48" s="20" t="s">
        <v>3058</v>
      </c>
      <c r="AL48" s="20" t="s">
        <v>3058</v>
      </c>
      <c r="AM48" s="20" t="s">
        <v>3058</v>
      </c>
      <c r="AN48" s="20" t="s">
        <v>305</v>
      </c>
      <c r="AO48" s="130" t="s">
        <v>95</v>
      </c>
      <c r="AP48" s="20" t="s">
        <v>305</v>
      </c>
      <c r="AQ48" s="20" t="s">
        <v>305</v>
      </c>
      <c r="AR48" s="20" t="s">
        <v>305</v>
      </c>
      <c r="AS48" s="20" t="s">
        <v>305</v>
      </c>
      <c r="AT48" s="20" t="s">
        <v>305</v>
      </c>
      <c r="AU48" s="20" t="s">
        <v>305</v>
      </c>
      <c r="AV48" s="20" t="s">
        <v>305</v>
      </c>
      <c r="AW48" s="20" t="s">
        <v>305</v>
      </c>
      <c r="AX48" s="20" t="s">
        <v>305</v>
      </c>
      <c r="AY48" s="20" t="s">
        <v>305</v>
      </c>
      <c r="AZ48" s="20" t="s">
        <v>305</v>
      </c>
      <c r="BA48" s="20" t="s">
        <v>305</v>
      </c>
      <c r="BB48" s="20" t="s">
        <v>305</v>
      </c>
      <c r="BC48" s="20" t="s">
        <v>305</v>
      </c>
      <c r="BD48" s="20" t="s">
        <v>305</v>
      </c>
      <c r="BE48" s="20" t="s">
        <v>305</v>
      </c>
      <c r="BF48" s="47" t="s">
        <v>237</v>
      </c>
      <c r="BG48" s="47" t="s">
        <v>237</v>
      </c>
      <c r="BH48" s="47" t="s">
        <v>237</v>
      </c>
      <c r="BI48" s="20" t="s">
        <v>305</v>
      </c>
      <c r="BJ48" s="20" t="s">
        <v>1874</v>
      </c>
      <c r="BK48" s="20" t="s">
        <v>1874</v>
      </c>
      <c r="BL48" s="20" t="s">
        <v>305</v>
      </c>
      <c r="BM48" s="20" t="s">
        <v>305</v>
      </c>
      <c r="BN48" s="20" t="s">
        <v>305</v>
      </c>
      <c r="BO48" s="20" t="s">
        <v>305</v>
      </c>
      <c r="BP48" s="20" t="s">
        <v>305</v>
      </c>
      <c r="BQ48" s="20" t="s">
        <v>305</v>
      </c>
      <c r="BR48" s="20" t="s">
        <v>95</v>
      </c>
      <c r="BS48" s="20" t="s">
        <v>305</v>
      </c>
      <c r="BT48" s="20" t="s">
        <v>305</v>
      </c>
      <c r="BU48" s="20" t="s">
        <v>305</v>
      </c>
      <c r="BV48" s="20" t="s">
        <v>305</v>
      </c>
      <c r="BW48" s="20" t="s">
        <v>305</v>
      </c>
      <c r="BX48" s="20" t="s">
        <v>305</v>
      </c>
      <c r="BY48" s="20" t="s">
        <v>305</v>
      </c>
      <c r="BZ48" s="20" t="s">
        <v>305</v>
      </c>
      <c r="CA48" s="20" t="s">
        <v>305</v>
      </c>
      <c r="CB48" s="20" t="s">
        <v>305</v>
      </c>
      <c r="CC48" s="46" t="s">
        <v>3</v>
      </c>
      <c r="CD48" s="20" t="s">
        <v>305</v>
      </c>
      <c r="CE48" s="20" t="s">
        <v>305</v>
      </c>
      <c r="CF48" s="20" t="s">
        <v>305</v>
      </c>
      <c r="CG48" s="20" t="s">
        <v>1834</v>
      </c>
      <c r="CH48" s="20" t="s">
        <v>305</v>
      </c>
      <c r="CI48" s="20" t="s">
        <v>305</v>
      </c>
      <c r="CJ48" s="20" t="s">
        <v>305</v>
      </c>
      <c r="CK48" s="20" t="s">
        <v>305</v>
      </c>
      <c r="CL48" s="20" t="s">
        <v>305</v>
      </c>
      <c r="CM48" s="20" t="s">
        <v>305</v>
      </c>
      <c r="CN48" s="20" t="s">
        <v>305</v>
      </c>
      <c r="CO48" s="20" t="s">
        <v>941</v>
      </c>
      <c r="CP48" s="20" t="s">
        <v>305</v>
      </c>
      <c r="CQ48" s="20" t="s">
        <v>3186</v>
      </c>
      <c r="CR48" s="20" t="s">
        <v>3186</v>
      </c>
      <c r="CS48" s="46" t="s">
        <v>95</v>
      </c>
      <c r="CT48" s="20" t="s">
        <v>305</v>
      </c>
      <c r="CU48" s="20" t="s">
        <v>305</v>
      </c>
      <c r="CV48" s="20" t="s">
        <v>305</v>
      </c>
      <c r="CW48" s="47" t="s">
        <v>237</v>
      </c>
      <c r="CX48" s="20" t="s">
        <v>305</v>
      </c>
      <c r="CY48" s="20" t="s">
        <v>305</v>
      </c>
      <c r="CZ48" s="20" t="s">
        <v>305</v>
      </c>
      <c r="DA48" s="20" t="s">
        <v>305</v>
      </c>
      <c r="DB48" s="20" t="s">
        <v>911</v>
      </c>
      <c r="DC48" s="20" t="s">
        <v>305</v>
      </c>
      <c r="DD48" s="20" t="s">
        <v>305</v>
      </c>
      <c r="DE48" s="20" t="s">
        <v>305</v>
      </c>
      <c r="DF48" s="20" t="s">
        <v>305</v>
      </c>
      <c r="DG48" s="139" t="s">
        <v>3</v>
      </c>
      <c r="DH48" s="20" t="s">
        <v>305</v>
      </c>
      <c r="DI48" s="20" t="s">
        <v>305</v>
      </c>
      <c r="DJ48" s="20" t="s">
        <v>305</v>
      </c>
      <c r="DK48" s="20" t="s">
        <v>1946</v>
      </c>
      <c r="DL48" s="20" t="s">
        <v>305</v>
      </c>
      <c r="DM48" s="20" t="s">
        <v>305</v>
      </c>
      <c r="DN48" s="20" t="s">
        <v>305</v>
      </c>
      <c r="DO48" s="20" t="s">
        <v>305</v>
      </c>
      <c r="DP48" s="20" t="s">
        <v>305</v>
      </c>
      <c r="DQ48" s="47" t="s">
        <v>3</v>
      </c>
      <c r="DR48" s="46" t="s">
        <v>3</v>
      </c>
      <c r="DS48" s="47" t="s">
        <v>2664</v>
      </c>
      <c r="DT48" s="47" t="s">
        <v>342</v>
      </c>
      <c r="DU48" s="47" t="s">
        <v>342</v>
      </c>
      <c r="DV48" s="20" t="s">
        <v>305</v>
      </c>
      <c r="DW48" s="20" t="s">
        <v>305</v>
      </c>
      <c r="DX48" s="20" t="s">
        <v>305</v>
      </c>
      <c r="DY48" s="20" t="s">
        <v>305</v>
      </c>
      <c r="DZ48" s="20"/>
    </row>
    <row r="49" spans="1:130" s="18" customFormat="1" ht="12" customHeight="1" x14ac:dyDescent="0.15">
      <c r="A49" s="76" t="s">
        <v>402</v>
      </c>
      <c r="B49" s="69"/>
      <c r="C49" s="69" t="s">
        <v>2799</v>
      </c>
      <c r="D49" s="69" t="s">
        <v>2799</v>
      </c>
      <c r="E49" s="69" t="s">
        <v>3285</v>
      </c>
      <c r="F49" s="69"/>
      <c r="G49" s="69" t="s">
        <v>403</v>
      </c>
      <c r="H49" s="69" t="s">
        <v>1470</v>
      </c>
      <c r="I49" s="69" t="s">
        <v>1470</v>
      </c>
      <c r="J49" s="69" t="s">
        <v>1470</v>
      </c>
      <c r="K49" s="69" t="s">
        <v>1470</v>
      </c>
      <c r="L49" s="69" t="s">
        <v>1470</v>
      </c>
      <c r="M49" s="69" t="s">
        <v>1470</v>
      </c>
      <c r="N49" s="69" t="s">
        <v>1353</v>
      </c>
      <c r="O49" s="69"/>
      <c r="P49" s="69"/>
      <c r="Q49" s="69"/>
      <c r="R49" s="69"/>
      <c r="S49" s="128"/>
      <c r="T49" s="128"/>
      <c r="U49" s="69" t="s">
        <v>2540</v>
      </c>
      <c r="V49" s="69"/>
      <c r="W49" s="106" t="s">
        <v>1317</v>
      </c>
      <c r="X49" s="69" t="s">
        <v>1317</v>
      </c>
      <c r="Y49" s="69" t="s">
        <v>3</v>
      </c>
      <c r="Z49" s="69" t="s">
        <v>3</v>
      </c>
      <c r="AA49" s="69" t="s">
        <v>3</v>
      </c>
      <c r="AB49" s="69" t="s">
        <v>403</v>
      </c>
      <c r="AC49" s="69" t="s">
        <v>729</v>
      </c>
      <c r="AD49" s="69" t="s">
        <v>729</v>
      </c>
      <c r="AE49" s="69" t="s">
        <v>403</v>
      </c>
      <c r="AF49" s="69" t="s">
        <v>729</v>
      </c>
      <c r="AG49" s="69" t="s">
        <v>729</v>
      </c>
      <c r="AH49" s="69" t="s">
        <v>3</v>
      </c>
      <c r="AI49" s="69" t="s">
        <v>2847</v>
      </c>
      <c r="AJ49" s="69" t="s">
        <v>2847</v>
      </c>
      <c r="AK49" s="69" t="s">
        <v>3057</v>
      </c>
      <c r="AL49" s="69" t="s">
        <v>3057</v>
      </c>
      <c r="AM49" s="69" t="s">
        <v>3057</v>
      </c>
      <c r="AN49" s="69" t="s">
        <v>493</v>
      </c>
      <c r="AO49" s="131"/>
      <c r="AP49" s="69" t="s">
        <v>493</v>
      </c>
      <c r="AQ49" s="69"/>
      <c r="AR49" s="69"/>
      <c r="AS49" s="69"/>
      <c r="AT49" s="69"/>
      <c r="AU49" s="69"/>
      <c r="AV49" s="69" t="s">
        <v>568</v>
      </c>
      <c r="AW49" s="69" t="s">
        <v>568</v>
      </c>
      <c r="AX49" s="69" t="s">
        <v>568</v>
      </c>
      <c r="AY49" s="69" t="s">
        <v>568</v>
      </c>
      <c r="AZ49" s="69" t="s">
        <v>3140</v>
      </c>
      <c r="BA49" s="69" t="s">
        <v>3140</v>
      </c>
      <c r="BB49" s="69" t="s">
        <v>3140</v>
      </c>
      <c r="BC49" s="69" t="s">
        <v>2253</v>
      </c>
      <c r="BD49" s="69" t="s">
        <v>2253</v>
      </c>
      <c r="BE49" s="69" t="s">
        <v>2253</v>
      </c>
      <c r="BF49" s="69" t="s">
        <v>1150</v>
      </c>
      <c r="BG49" s="69" t="s">
        <v>1150</v>
      </c>
      <c r="BH49" s="69"/>
      <c r="BI49" s="69"/>
      <c r="BJ49" s="69" t="s">
        <v>1875</v>
      </c>
      <c r="BK49" s="69" t="s">
        <v>2440</v>
      </c>
      <c r="BL49" s="69" t="s">
        <v>1358</v>
      </c>
      <c r="BM49" s="69"/>
      <c r="BN49" s="69"/>
      <c r="BO49" s="69"/>
      <c r="BP49" s="69" t="s">
        <v>631</v>
      </c>
      <c r="BQ49" s="69" t="s">
        <v>631</v>
      </c>
      <c r="BR49" s="69"/>
      <c r="BS49" s="69"/>
      <c r="BT49" s="69"/>
      <c r="BU49" s="69"/>
      <c r="BV49" s="69"/>
      <c r="BW49" s="69" t="s">
        <v>2095</v>
      </c>
      <c r="BX49" s="69" t="s">
        <v>2095</v>
      </c>
      <c r="BY49" s="69"/>
      <c r="BZ49" s="69" t="s">
        <v>1666</v>
      </c>
      <c r="CA49" s="69" t="s">
        <v>1666</v>
      </c>
      <c r="CB49" s="69" t="s">
        <v>1666</v>
      </c>
      <c r="CC49" s="69"/>
      <c r="CD49" s="69"/>
      <c r="CE49" s="69" t="s">
        <v>1715</v>
      </c>
      <c r="CF49" s="69" t="s">
        <v>1715</v>
      </c>
      <c r="CG49" s="69" t="s">
        <v>1833</v>
      </c>
      <c r="CH49" s="69" t="s">
        <v>1715</v>
      </c>
      <c r="CI49" s="69" t="s">
        <v>3555</v>
      </c>
      <c r="CJ49" s="69" t="s">
        <v>3555</v>
      </c>
      <c r="CK49" s="69" t="s">
        <v>3555</v>
      </c>
      <c r="CL49" s="69" t="s">
        <v>3555</v>
      </c>
      <c r="CM49" s="69" t="s">
        <v>768</v>
      </c>
      <c r="CN49" s="69" t="s">
        <v>768</v>
      </c>
      <c r="CO49" s="69" t="s">
        <v>955</v>
      </c>
      <c r="CP49" s="69" t="s">
        <v>1252</v>
      </c>
      <c r="CQ49" s="69" t="s">
        <v>3185</v>
      </c>
      <c r="CR49" s="69" t="s">
        <v>3185</v>
      </c>
      <c r="CS49" s="69" t="s">
        <v>2502</v>
      </c>
      <c r="CT49" s="69" t="s">
        <v>852</v>
      </c>
      <c r="CU49" s="69" t="s">
        <v>852</v>
      </c>
      <c r="CV49" s="69"/>
      <c r="CW49" s="69"/>
      <c r="CX49" s="69" t="s">
        <v>1251</v>
      </c>
      <c r="CY49" s="69"/>
      <c r="CZ49" s="69"/>
      <c r="DA49" s="69" t="s">
        <v>403</v>
      </c>
      <c r="DB49" s="69" t="s">
        <v>403</v>
      </c>
      <c r="DC49" s="69" t="s">
        <v>913</v>
      </c>
      <c r="DD49" s="69" t="s">
        <v>913</v>
      </c>
      <c r="DE49" s="69"/>
      <c r="DF49" s="69"/>
      <c r="DG49" s="152" t="s">
        <v>3357</v>
      </c>
      <c r="DH49" s="69"/>
      <c r="DI49" s="69" t="s">
        <v>1031</v>
      </c>
      <c r="DJ49" s="69" t="s">
        <v>1031</v>
      </c>
      <c r="DK49" s="69" t="s">
        <v>1945</v>
      </c>
      <c r="DL49" s="69" t="s">
        <v>3497</v>
      </c>
      <c r="DM49" s="69"/>
      <c r="DN49" s="69"/>
      <c r="DO49" s="69"/>
      <c r="DP49" s="69"/>
      <c r="DQ49" s="69" t="s">
        <v>3</v>
      </c>
      <c r="DR49" s="69" t="s">
        <v>3</v>
      </c>
      <c r="DS49" s="69" t="s">
        <v>2666</v>
      </c>
      <c r="DT49" s="69" t="s">
        <v>3</v>
      </c>
      <c r="DU49" s="69" t="s">
        <v>3</v>
      </c>
      <c r="DV49" s="69" t="s">
        <v>1545</v>
      </c>
      <c r="DW49" s="69" t="s">
        <v>405</v>
      </c>
      <c r="DX49" s="69" t="s">
        <v>405</v>
      </c>
      <c r="DY49" s="69" t="s">
        <v>1518</v>
      </c>
      <c r="DZ49" s="69"/>
    </row>
    <row r="50" spans="1:130" s="18" customFormat="1" ht="22.5" customHeight="1" x14ac:dyDescent="0.15">
      <c r="A50" s="25" t="s">
        <v>13</v>
      </c>
      <c r="B50" s="46" t="s">
        <v>95</v>
      </c>
      <c r="C50" s="46" t="s">
        <v>95</v>
      </c>
      <c r="D50" s="46" t="s">
        <v>3</v>
      </c>
      <c r="E50" s="47" t="s">
        <v>324</v>
      </c>
      <c r="F50" s="47" t="s">
        <v>324</v>
      </c>
      <c r="G50" s="47" t="s">
        <v>324</v>
      </c>
      <c r="H50" s="46" t="s">
        <v>95</v>
      </c>
      <c r="I50" s="46" t="s">
        <v>95</v>
      </c>
      <c r="J50" s="46" t="s">
        <v>95</v>
      </c>
      <c r="K50" s="46" t="s">
        <v>95</v>
      </c>
      <c r="L50" s="46" t="s">
        <v>95</v>
      </c>
      <c r="M50" s="46" t="s">
        <v>95</v>
      </c>
      <c r="N50" s="46" t="s">
        <v>3</v>
      </c>
      <c r="O50" s="46" t="s">
        <v>95</v>
      </c>
      <c r="P50" s="46" t="s">
        <v>95</v>
      </c>
      <c r="Q50" s="46" t="s">
        <v>95</v>
      </c>
      <c r="R50" s="46" t="s">
        <v>95</v>
      </c>
      <c r="S50" s="117" t="s">
        <v>95</v>
      </c>
      <c r="T50" s="117" t="s">
        <v>95</v>
      </c>
      <c r="U50" s="46" t="s">
        <v>95</v>
      </c>
      <c r="V50" s="46" t="s">
        <v>95</v>
      </c>
      <c r="W50" s="101" t="s">
        <v>94</v>
      </c>
      <c r="X50" s="46" t="s">
        <v>94</v>
      </c>
      <c r="Y50" s="46" t="s">
        <v>95</v>
      </c>
      <c r="Z50" s="46" t="s">
        <v>95</v>
      </c>
      <c r="AA50" s="46" t="s">
        <v>3</v>
      </c>
      <c r="AB50" s="46" t="s">
        <v>95</v>
      </c>
      <c r="AC50" s="46" t="s">
        <v>95</v>
      </c>
      <c r="AD50" s="46" t="s">
        <v>95</v>
      </c>
      <c r="AE50" s="46" t="s">
        <v>95</v>
      </c>
      <c r="AF50" s="46" t="s">
        <v>95</v>
      </c>
      <c r="AG50" s="46" t="s">
        <v>95</v>
      </c>
      <c r="AH50" s="46" t="s">
        <v>95</v>
      </c>
      <c r="AI50" s="47" t="s">
        <v>3</v>
      </c>
      <c r="AJ50" s="47" t="s">
        <v>3</v>
      </c>
      <c r="AK50" s="47" t="s">
        <v>95</v>
      </c>
      <c r="AL50" s="47" t="s">
        <v>95</v>
      </c>
      <c r="AM50" s="47" t="s">
        <v>95</v>
      </c>
      <c r="AN50" s="20" t="s">
        <v>95</v>
      </c>
      <c r="AO50" s="130" t="s">
        <v>95</v>
      </c>
      <c r="AP50" s="44" t="s">
        <v>95</v>
      </c>
      <c r="AQ50" s="44" t="s">
        <v>95</v>
      </c>
      <c r="AR50" s="44" t="s">
        <v>95</v>
      </c>
      <c r="AS50" s="44" t="s">
        <v>95</v>
      </c>
      <c r="AT50" s="44" t="s">
        <v>95</v>
      </c>
      <c r="AU50" s="42" t="s">
        <v>95</v>
      </c>
      <c r="AV50" s="42" t="s">
        <v>95</v>
      </c>
      <c r="AW50" s="42" t="s">
        <v>95</v>
      </c>
      <c r="AX50" s="20" t="s">
        <v>95</v>
      </c>
      <c r="AY50" s="20" t="s">
        <v>95</v>
      </c>
      <c r="AZ50" s="46" t="s">
        <v>651</v>
      </c>
      <c r="BA50" s="46" t="s">
        <v>651</v>
      </c>
      <c r="BB50" s="46" t="s">
        <v>651</v>
      </c>
      <c r="BC50" s="46" t="s">
        <v>95</v>
      </c>
      <c r="BD50" s="20" t="s">
        <v>95</v>
      </c>
      <c r="BE50" s="20" t="s">
        <v>95</v>
      </c>
      <c r="BF50" s="47" t="s">
        <v>94</v>
      </c>
      <c r="BG50" s="47" t="s">
        <v>94</v>
      </c>
      <c r="BH50" s="47" t="s">
        <v>94</v>
      </c>
      <c r="BI50" s="46" t="s">
        <v>95</v>
      </c>
      <c r="BJ50" s="46" t="s">
        <v>95</v>
      </c>
      <c r="BK50" s="46" t="s">
        <v>95</v>
      </c>
      <c r="BL50" s="46" t="s">
        <v>651</v>
      </c>
      <c r="BM50" s="46" t="s">
        <v>95</v>
      </c>
      <c r="BN50" s="47" t="s">
        <v>95</v>
      </c>
      <c r="BO50" s="47" t="s">
        <v>103</v>
      </c>
      <c r="BP50" s="47" t="s">
        <v>95</v>
      </c>
      <c r="BQ50" s="47" t="s">
        <v>3</v>
      </c>
      <c r="BR50" s="47" t="s">
        <v>95</v>
      </c>
      <c r="BS50" s="47" t="s">
        <v>363</v>
      </c>
      <c r="BT50" s="47" t="s">
        <v>363</v>
      </c>
      <c r="BU50" s="46" t="s">
        <v>95</v>
      </c>
      <c r="BV50" s="46" t="s">
        <v>95</v>
      </c>
      <c r="BW50" s="46" t="s">
        <v>95</v>
      </c>
      <c r="BX50" s="46" t="s">
        <v>95</v>
      </c>
      <c r="BY50" s="46" t="s">
        <v>95</v>
      </c>
      <c r="BZ50" s="46" t="s">
        <v>95</v>
      </c>
      <c r="CA50" s="46" t="s">
        <v>95</v>
      </c>
      <c r="CB50" s="46" t="s">
        <v>95</v>
      </c>
      <c r="CC50" s="46" t="s">
        <v>153</v>
      </c>
      <c r="CD50" s="46" t="s">
        <v>95</v>
      </c>
      <c r="CE50" s="46" t="s">
        <v>95</v>
      </c>
      <c r="CF50" s="46" t="s">
        <v>95</v>
      </c>
      <c r="CG50" s="46" t="s">
        <v>95</v>
      </c>
      <c r="CH50" s="46" t="s">
        <v>95</v>
      </c>
      <c r="CI50" s="46"/>
      <c r="CJ50" s="46"/>
      <c r="CK50" s="46"/>
      <c r="CL50" s="46"/>
      <c r="CM50" s="46" t="s">
        <v>788</v>
      </c>
      <c r="CN50" s="46" t="s">
        <v>95</v>
      </c>
      <c r="CO50" s="46" t="s">
        <v>95</v>
      </c>
      <c r="CP50" s="20" t="s">
        <v>3203</v>
      </c>
      <c r="CQ50" s="20" t="s">
        <v>3203</v>
      </c>
      <c r="CR50" s="20" t="s">
        <v>3203</v>
      </c>
      <c r="CS50" s="46" t="s">
        <v>95</v>
      </c>
      <c r="CT50" s="46" t="s">
        <v>95</v>
      </c>
      <c r="CU50" s="46" t="s">
        <v>95</v>
      </c>
      <c r="CV50" s="46" t="s">
        <v>95</v>
      </c>
      <c r="CW50" s="47" t="s">
        <v>95</v>
      </c>
      <c r="CX50" s="46" t="s">
        <v>95</v>
      </c>
      <c r="CY50" s="46" t="s">
        <v>95</v>
      </c>
      <c r="CZ50" s="46" t="s">
        <v>95</v>
      </c>
      <c r="DA50" s="46" t="s">
        <v>95</v>
      </c>
      <c r="DB50" s="46" t="s">
        <v>95</v>
      </c>
      <c r="DC50" s="46" t="s">
        <v>95</v>
      </c>
      <c r="DD50" s="46" t="s">
        <v>95</v>
      </c>
      <c r="DE50" s="46" t="s">
        <v>95</v>
      </c>
      <c r="DF50" s="46" t="s">
        <v>95</v>
      </c>
      <c r="DG50" s="146" t="s">
        <v>3358</v>
      </c>
      <c r="DH50" s="47" t="s">
        <v>354</v>
      </c>
      <c r="DI50" s="47" t="s">
        <v>95</v>
      </c>
      <c r="DJ50" s="47" t="s">
        <v>95</v>
      </c>
      <c r="DK50" s="46" t="s">
        <v>95</v>
      </c>
      <c r="DL50" s="46" t="s">
        <v>3457</v>
      </c>
      <c r="DM50" s="46" t="s">
        <v>95</v>
      </c>
      <c r="DN50" s="46" t="s">
        <v>95</v>
      </c>
      <c r="DO50" s="46" t="s">
        <v>95</v>
      </c>
      <c r="DP50" s="46" t="s">
        <v>95</v>
      </c>
      <c r="DQ50" s="47" t="s">
        <v>2914</v>
      </c>
      <c r="DR50" s="46" t="s">
        <v>3</v>
      </c>
      <c r="DS50" s="47" t="s">
        <v>95</v>
      </c>
      <c r="DT50" s="47" t="s">
        <v>95</v>
      </c>
      <c r="DU50" s="47" t="s">
        <v>95</v>
      </c>
      <c r="DV50" s="46" t="s">
        <v>3</v>
      </c>
      <c r="DW50" s="46" t="s">
        <v>95</v>
      </c>
      <c r="DX50" s="46" t="s">
        <v>95</v>
      </c>
      <c r="DY50" s="46" t="s">
        <v>95</v>
      </c>
      <c r="DZ50" s="44"/>
    </row>
    <row r="51" spans="1:130" s="18" customFormat="1" ht="12" customHeight="1" x14ac:dyDescent="0.15">
      <c r="A51" s="76" t="s">
        <v>402</v>
      </c>
      <c r="B51" s="69"/>
      <c r="C51" s="69" t="s">
        <v>3</v>
      </c>
      <c r="D51" s="69" t="s">
        <v>3</v>
      </c>
      <c r="E51" s="69" t="s">
        <v>403</v>
      </c>
      <c r="F51" s="69"/>
      <c r="G51" s="69" t="s">
        <v>403</v>
      </c>
      <c r="H51" s="69" t="s">
        <v>403</v>
      </c>
      <c r="I51" s="69" t="s">
        <v>403</v>
      </c>
      <c r="J51" s="69" t="s">
        <v>403</v>
      </c>
      <c r="K51" s="69" t="s">
        <v>403</v>
      </c>
      <c r="L51" s="69" t="s">
        <v>403</v>
      </c>
      <c r="M51" s="69" t="s">
        <v>403</v>
      </c>
      <c r="N51" s="69" t="s">
        <v>3</v>
      </c>
      <c r="O51" s="69"/>
      <c r="P51" s="69"/>
      <c r="Q51" s="69"/>
      <c r="R51" s="69" t="s">
        <v>3241</v>
      </c>
      <c r="S51" s="128"/>
      <c r="T51" s="128"/>
      <c r="U51" s="69" t="s">
        <v>403</v>
      </c>
      <c r="V51" s="69"/>
      <c r="W51" s="106" t="s">
        <v>1334</v>
      </c>
      <c r="X51" s="69" t="s">
        <v>1334</v>
      </c>
      <c r="Y51" s="69" t="s">
        <v>2306</v>
      </c>
      <c r="Z51" s="69" t="s">
        <v>2602</v>
      </c>
      <c r="AA51" s="69" t="s">
        <v>3</v>
      </c>
      <c r="AB51" s="69" t="s">
        <v>403</v>
      </c>
      <c r="AC51" s="69" t="s">
        <v>403</v>
      </c>
      <c r="AD51" s="69" t="s">
        <v>403</v>
      </c>
      <c r="AE51" s="69" t="s">
        <v>403</v>
      </c>
      <c r="AF51" s="69" t="s">
        <v>403</v>
      </c>
      <c r="AG51" s="69" t="s">
        <v>403</v>
      </c>
      <c r="AH51" s="69" t="s">
        <v>2848</v>
      </c>
      <c r="AI51" s="69" t="s">
        <v>3</v>
      </c>
      <c r="AJ51" s="69" t="s">
        <v>3</v>
      </c>
      <c r="AK51" s="69" t="s">
        <v>3082</v>
      </c>
      <c r="AL51" s="69" t="s">
        <v>3082</v>
      </c>
      <c r="AM51" s="69" t="s">
        <v>3082</v>
      </c>
      <c r="AN51" s="69" t="s">
        <v>403</v>
      </c>
      <c r="AO51" s="131"/>
      <c r="AP51" s="69" t="s">
        <v>403</v>
      </c>
      <c r="AQ51" s="69"/>
      <c r="AR51" s="69"/>
      <c r="AS51" s="69"/>
      <c r="AT51" s="69"/>
      <c r="AU51" s="69"/>
      <c r="AV51" s="69" t="s">
        <v>3</v>
      </c>
      <c r="AW51" s="69" t="s">
        <v>3</v>
      </c>
      <c r="AX51" s="69" t="s">
        <v>3</v>
      </c>
      <c r="AY51" s="69" t="s">
        <v>3</v>
      </c>
      <c r="AZ51" s="69" t="s">
        <v>851</v>
      </c>
      <c r="BA51" s="69" t="s">
        <v>851</v>
      </c>
      <c r="BB51" s="69" t="s">
        <v>851</v>
      </c>
      <c r="BC51" s="69" t="s">
        <v>1463</v>
      </c>
      <c r="BD51" s="69" t="s">
        <v>1463</v>
      </c>
      <c r="BE51" s="69" t="s">
        <v>1463</v>
      </c>
      <c r="BF51" s="69" t="s">
        <v>1145</v>
      </c>
      <c r="BG51" s="69" t="s">
        <v>1145</v>
      </c>
      <c r="BH51" s="69"/>
      <c r="BI51" s="69"/>
      <c r="BJ51" s="69" t="s">
        <v>3</v>
      </c>
      <c r="BK51" s="69" t="s">
        <v>2460</v>
      </c>
      <c r="BL51" s="69" t="s">
        <v>2337</v>
      </c>
      <c r="BM51" s="69"/>
      <c r="BN51" s="69"/>
      <c r="BO51" s="69"/>
      <c r="BP51" s="69" t="s">
        <v>602</v>
      </c>
      <c r="BQ51" s="69" t="s">
        <v>3</v>
      </c>
      <c r="BR51" s="69"/>
      <c r="BS51" s="69"/>
      <c r="BT51" s="69"/>
      <c r="BU51" s="69"/>
      <c r="BV51" s="69"/>
      <c r="BW51" s="69" t="s">
        <v>2060</v>
      </c>
      <c r="BX51" s="69" t="s">
        <v>2021</v>
      </c>
      <c r="BY51" s="69"/>
      <c r="BZ51" s="69" t="s">
        <v>3</v>
      </c>
      <c r="CA51" s="69" t="s">
        <v>3</v>
      </c>
      <c r="CB51" s="69" t="s">
        <v>3</v>
      </c>
      <c r="CC51" s="69"/>
      <c r="CD51" s="69"/>
      <c r="CE51" s="69" t="s">
        <v>3</v>
      </c>
      <c r="CF51" s="69" t="s">
        <v>3</v>
      </c>
      <c r="CG51" s="69" t="s">
        <v>3</v>
      </c>
      <c r="CH51" s="69" t="s">
        <v>3</v>
      </c>
      <c r="CI51" s="69" t="s">
        <v>3</v>
      </c>
      <c r="CJ51" s="69" t="s">
        <v>3</v>
      </c>
      <c r="CK51" s="69" t="s">
        <v>3</v>
      </c>
      <c r="CL51" s="69" t="s">
        <v>3</v>
      </c>
      <c r="CM51" s="69" t="s">
        <v>789</v>
      </c>
      <c r="CN51" s="69" t="s">
        <v>789</v>
      </c>
      <c r="CO51" s="69" t="s">
        <v>3</v>
      </c>
      <c r="CP51" s="69" t="s">
        <v>3163</v>
      </c>
      <c r="CQ51" s="69" t="s">
        <v>3174</v>
      </c>
      <c r="CR51" s="69" t="s">
        <v>3174</v>
      </c>
      <c r="CS51" s="69" t="s">
        <v>2493</v>
      </c>
      <c r="CT51" s="69" t="s">
        <v>3</v>
      </c>
      <c r="CU51" s="69" t="s">
        <v>3</v>
      </c>
      <c r="CV51" s="69"/>
      <c r="CW51" s="69"/>
      <c r="CX51" s="69" t="s">
        <v>1222</v>
      </c>
      <c r="CY51" s="69"/>
      <c r="CZ51" s="69"/>
      <c r="DA51" s="69" t="s">
        <v>2141</v>
      </c>
      <c r="DB51" s="69" t="s">
        <v>3</v>
      </c>
      <c r="DC51" s="69" t="s">
        <v>3</v>
      </c>
      <c r="DD51" s="69" t="s">
        <v>3</v>
      </c>
      <c r="DE51" s="69"/>
      <c r="DF51" s="69"/>
      <c r="DG51" s="152" t="s">
        <v>3359</v>
      </c>
      <c r="DH51" s="69"/>
      <c r="DI51" s="69" t="s">
        <v>1021</v>
      </c>
      <c r="DJ51" s="69" t="s">
        <v>1021</v>
      </c>
      <c r="DK51" s="69" t="s">
        <v>1947</v>
      </c>
      <c r="DL51" s="69" t="s">
        <v>3468</v>
      </c>
      <c r="DM51" s="69"/>
      <c r="DN51" s="69"/>
      <c r="DO51" s="69"/>
      <c r="DP51" s="69"/>
      <c r="DQ51" s="69" t="s">
        <v>1222</v>
      </c>
      <c r="DR51" s="69" t="s">
        <v>3</v>
      </c>
      <c r="DS51" s="69" t="s">
        <v>1222</v>
      </c>
      <c r="DT51" s="69" t="s">
        <v>1163</v>
      </c>
      <c r="DU51" s="69" t="s">
        <v>1163</v>
      </c>
      <c r="DV51" s="69" t="s">
        <v>3</v>
      </c>
      <c r="DW51" s="69" t="s">
        <v>411</v>
      </c>
      <c r="DX51" s="69" t="s">
        <v>411</v>
      </c>
      <c r="DY51" s="69" t="s">
        <v>1496</v>
      </c>
      <c r="DZ51" s="69"/>
    </row>
    <row r="52" spans="1:130" s="18" customFormat="1" ht="12" customHeight="1" x14ac:dyDescent="0.15">
      <c r="A52" s="25" t="s">
        <v>3631</v>
      </c>
      <c r="B52" s="311"/>
      <c r="C52" s="311"/>
      <c r="D52" s="47" t="s">
        <v>3524</v>
      </c>
      <c r="E52" s="47" t="s">
        <v>3526</v>
      </c>
      <c r="F52" s="311"/>
      <c r="G52" s="311"/>
      <c r="H52" s="311"/>
      <c r="I52" s="311"/>
      <c r="J52" s="311"/>
      <c r="K52" s="311"/>
      <c r="L52" s="46" t="s">
        <v>3</v>
      </c>
      <c r="M52" s="47" t="s">
        <v>3632</v>
      </c>
      <c r="N52" s="311"/>
      <c r="O52" s="311"/>
      <c r="P52" s="311"/>
      <c r="Q52" s="311"/>
      <c r="R52" s="311"/>
      <c r="S52" s="117" t="s">
        <v>3</v>
      </c>
      <c r="T52" s="117" t="s">
        <v>3</v>
      </c>
      <c r="U52" s="46" t="s">
        <v>3</v>
      </c>
      <c r="V52" s="311"/>
      <c r="W52" s="311"/>
      <c r="X52" s="46" t="s">
        <v>3</v>
      </c>
      <c r="Y52" s="311"/>
      <c r="Z52" s="311"/>
      <c r="AA52" s="311"/>
      <c r="AB52" s="311"/>
      <c r="AC52" s="311"/>
      <c r="AD52" s="311"/>
      <c r="AE52" s="46" t="s">
        <v>3</v>
      </c>
      <c r="AF52" s="46" t="s">
        <v>3</v>
      </c>
      <c r="AG52" s="47" t="s">
        <v>3530</v>
      </c>
      <c r="AH52" s="311"/>
      <c r="AI52" s="311"/>
      <c r="AJ52" s="311"/>
      <c r="AK52" s="47" t="s">
        <v>3532</v>
      </c>
      <c r="AL52" s="47" t="s">
        <v>3534</v>
      </c>
      <c r="AM52" s="44" t="s">
        <v>3</v>
      </c>
      <c r="AN52" s="44" t="s">
        <v>3</v>
      </c>
      <c r="AO52" s="44" t="s">
        <v>3</v>
      </c>
      <c r="AP52" s="44" t="s">
        <v>3</v>
      </c>
      <c r="AQ52" s="311"/>
      <c r="AR52" s="311"/>
      <c r="AS52" s="43" t="s">
        <v>3535</v>
      </c>
      <c r="AT52" s="43" t="s">
        <v>3536</v>
      </c>
      <c r="AU52" s="311"/>
      <c r="AV52" s="311"/>
      <c r="AW52" s="311"/>
      <c r="AX52" s="20" t="s">
        <v>3</v>
      </c>
      <c r="AY52" s="20" t="s">
        <v>3</v>
      </c>
      <c r="AZ52" s="46" t="s">
        <v>3</v>
      </c>
      <c r="BA52" s="46" t="s">
        <v>3</v>
      </c>
      <c r="BB52" s="46" t="s">
        <v>3</v>
      </c>
      <c r="BC52" s="311"/>
      <c r="BD52" s="311"/>
      <c r="BE52" s="311"/>
      <c r="BF52" s="311"/>
      <c r="BG52" s="311"/>
      <c r="BH52" s="311"/>
      <c r="BI52" s="311"/>
      <c r="BJ52" s="311"/>
      <c r="BK52" s="46" t="s">
        <v>3</v>
      </c>
      <c r="BL52" s="46" t="s">
        <v>3</v>
      </c>
      <c r="BM52" s="311"/>
      <c r="BN52" s="311"/>
      <c r="BO52" s="311"/>
      <c r="BP52" s="47" t="s">
        <v>3</v>
      </c>
      <c r="BQ52" s="47" t="s">
        <v>3</v>
      </c>
      <c r="BR52" s="47" t="s">
        <v>3</v>
      </c>
      <c r="BS52" s="47" t="s">
        <v>3</v>
      </c>
      <c r="BT52" s="47" t="s">
        <v>3</v>
      </c>
      <c r="BU52" s="311"/>
      <c r="BV52" s="311"/>
      <c r="BW52" s="311"/>
      <c r="BX52" s="311"/>
      <c r="BY52" s="311"/>
      <c r="BZ52" s="311"/>
      <c r="CA52" s="46" t="s">
        <v>3</v>
      </c>
      <c r="CB52" s="46" t="s">
        <v>3</v>
      </c>
      <c r="CC52" s="311"/>
      <c r="CD52" s="311"/>
      <c r="CE52" s="69"/>
      <c r="CF52" s="69"/>
      <c r="CG52" s="69"/>
      <c r="CH52" s="46" t="s">
        <v>3</v>
      </c>
      <c r="CI52" s="46" t="s">
        <v>3</v>
      </c>
      <c r="CJ52" s="47" t="s">
        <v>3637</v>
      </c>
      <c r="CK52" s="47" t="s">
        <v>3637</v>
      </c>
      <c r="CL52" s="47" t="s">
        <v>3637</v>
      </c>
      <c r="CM52" s="46" t="s">
        <v>3</v>
      </c>
      <c r="CN52" s="46" t="s">
        <v>3634</v>
      </c>
      <c r="CO52" s="311"/>
      <c r="CP52" s="20" t="s">
        <v>3</v>
      </c>
      <c r="CQ52" s="20" t="s">
        <v>3</v>
      </c>
      <c r="CR52" s="20" t="s">
        <v>3</v>
      </c>
      <c r="CS52" s="311"/>
      <c r="CT52" s="311"/>
      <c r="CU52" s="311"/>
      <c r="CV52" s="311"/>
      <c r="CW52" s="311"/>
      <c r="CX52" s="46" t="s">
        <v>3</v>
      </c>
      <c r="CY52" s="311"/>
      <c r="CZ52" s="311"/>
      <c r="DA52" s="311"/>
      <c r="DB52" s="46" t="s">
        <v>3</v>
      </c>
      <c r="DC52" s="46" t="s">
        <v>3</v>
      </c>
      <c r="DD52" s="46" t="s">
        <v>3</v>
      </c>
      <c r="DE52" s="311"/>
      <c r="DF52" s="311"/>
      <c r="DG52" s="312"/>
      <c r="DH52" s="311"/>
      <c r="DI52" s="311"/>
      <c r="DJ52" s="47" t="s">
        <v>3</v>
      </c>
      <c r="DK52" s="46" t="s">
        <v>3</v>
      </c>
      <c r="DL52" s="46" t="s">
        <v>3</v>
      </c>
      <c r="DM52" s="311"/>
      <c r="DN52" s="311"/>
      <c r="DO52" s="46" t="s">
        <v>3</v>
      </c>
      <c r="DP52" s="47" t="s">
        <v>3633</v>
      </c>
      <c r="DQ52" s="311"/>
      <c r="DR52" s="311"/>
      <c r="DS52" s="311"/>
      <c r="DT52" s="47" t="s">
        <v>3</v>
      </c>
      <c r="DU52" s="47" t="s">
        <v>3</v>
      </c>
      <c r="DV52" s="311"/>
      <c r="DW52" s="311"/>
      <c r="DX52" s="311"/>
      <c r="DY52" s="46" t="s">
        <v>3</v>
      </c>
      <c r="DZ52" s="311"/>
    </row>
    <row r="53" spans="1:130" s="18" customFormat="1" ht="12" customHeight="1" x14ac:dyDescent="0.15">
      <c r="A53" s="76" t="s">
        <v>402</v>
      </c>
      <c r="B53" s="76" t="s">
        <v>402</v>
      </c>
      <c r="C53" s="76" t="s">
        <v>402</v>
      </c>
      <c r="D53" s="76" t="s">
        <v>402</v>
      </c>
      <c r="E53" s="76" t="s">
        <v>402</v>
      </c>
      <c r="F53" s="76" t="s">
        <v>402</v>
      </c>
      <c r="G53" s="76" t="s">
        <v>402</v>
      </c>
      <c r="H53" s="76" t="s">
        <v>402</v>
      </c>
      <c r="I53" s="76" t="s">
        <v>402</v>
      </c>
      <c r="J53" s="76" t="s">
        <v>402</v>
      </c>
      <c r="K53" s="76" t="s">
        <v>402</v>
      </c>
      <c r="L53" s="76" t="s">
        <v>402</v>
      </c>
      <c r="M53" s="76" t="s">
        <v>402</v>
      </c>
      <c r="N53" s="76" t="s">
        <v>402</v>
      </c>
      <c r="O53" s="76" t="s">
        <v>402</v>
      </c>
      <c r="P53" s="76" t="s">
        <v>402</v>
      </c>
      <c r="Q53" s="76" t="s">
        <v>402</v>
      </c>
      <c r="R53" s="76" t="s">
        <v>402</v>
      </c>
      <c r="S53" s="128" t="s">
        <v>3</v>
      </c>
      <c r="T53" s="128" t="s">
        <v>3</v>
      </c>
      <c r="U53" s="69" t="s">
        <v>3</v>
      </c>
      <c r="V53" s="76" t="s">
        <v>402</v>
      </c>
      <c r="W53" s="76" t="s">
        <v>402</v>
      </c>
      <c r="X53" s="69" t="s">
        <v>3</v>
      </c>
      <c r="Y53" s="76" t="s">
        <v>402</v>
      </c>
      <c r="Z53" s="76" t="s">
        <v>402</v>
      </c>
      <c r="AA53" s="76" t="s">
        <v>402</v>
      </c>
      <c r="AB53" s="76" t="s">
        <v>402</v>
      </c>
      <c r="AC53" s="76" t="s">
        <v>402</v>
      </c>
      <c r="AD53" s="76" t="s">
        <v>402</v>
      </c>
      <c r="AE53" s="69" t="s">
        <v>3</v>
      </c>
      <c r="AF53" s="69" t="s">
        <v>3</v>
      </c>
      <c r="AG53" s="69" t="s">
        <v>403</v>
      </c>
      <c r="AH53" s="76" t="s">
        <v>402</v>
      </c>
      <c r="AI53" s="76" t="s">
        <v>402</v>
      </c>
      <c r="AJ53" s="76" t="s">
        <v>402</v>
      </c>
      <c r="AK53" s="69"/>
      <c r="AL53" s="69"/>
      <c r="AM53" s="69" t="s">
        <v>3</v>
      </c>
      <c r="AN53" s="69" t="s">
        <v>3</v>
      </c>
      <c r="AO53" s="69" t="s">
        <v>3</v>
      </c>
      <c r="AP53" s="69" t="s">
        <v>3</v>
      </c>
      <c r="AQ53" s="76" t="s">
        <v>402</v>
      </c>
      <c r="AR53" s="76" t="s">
        <v>402</v>
      </c>
      <c r="AS53" s="69"/>
      <c r="AT53" s="69"/>
      <c r="AU53" s="76" t="s">
        <v>402</v>
      </c>
      <c r="AV53" s="76" t="s">
        <v>402</v>
      </c>
      <c r="AW53" s="76" t="s">
        <v>402</v>
      </c>
      <c r="AX53" s="69" t="s">
        <v>3</v>
      </c>
      <c r="AY53" s="69" t="s">
        <v>3</v>
      </c>
      <c r="AZ53" s="69" t="s">
        <v>3</v>
      </c>
      <c r="BA53" s="69" t="s">
        <v>3</v>
      </c>
      <c r="BB53" s="69" t="s">
        <v>3</v>
      </c>
      <c r="BC53" s="76" t="s">
        <v>402</v>
      </c>
      <c r="BD53" s="76" t="s">
        <v>402</v>
      </c>
      <c r="BE53" s="76" t="s">
        <v>402</v>
      </c>
      <c r="BF53" s="76" t="s">
        <v>402</v>
      </c>
      <c r="BG53" s="76" t="s">
        <v>402</v>
      </c>
      <c r="BH53" s="76" t="s">
        <v>402</v>
      </c>
      <c r="BI53" s="76" t="s">
        <v>402</v>
      </c>
      <c r="BJ53" s="76" t="s">
        <v>402</v>
      </c>
      <c r="BK53" s="69" t="s">
        <v>3</v>
      </c>
      <c r="BL53" s="69" t="s">
        <v>3</v>
      </c>
      <c r="BM53" s="76" t="s">
        <v>402</v>
      </c>
      <c r="BN53" s="76" t="s">
        <v>402</v>
      </c>
      <c r="BO53" s="76" t="s">
        <v>402</v>
      </c>
      <c r="BP53" s="69" t="s">
        <v>3</v>
      </c>
      <c r="BQ53" s="69" t="s">
        <v>3</v>
      </c>
      <c r="BR53" s="69" t="s">
        <v>3</v>
      </c>
      <c r="BS53" s="69" t="s">
        <v>3</v>
      </c>
      <c r="BT53" s="69" t="s">
        <v>3</v>
      </c>
      <c r="BU53" s="76" t="s">
        <v>402</v>
      </c>
      <c r="BV53" s="76" t="s">
        <v>402</v>
      </c>
      <c r="BW53" s="76" t="s">
        <v>402</v>
      </c>
      <c r="BX53" s="76" t="s">
        <v>402</v>
      </c>
      <c r="BY53" s="76" t="s">
        <v>402</v>
      </c>
      <c r="BZ53" s="76" t="s">
        <v>402</v>
      </c>
      <c r="CA53" s="69" t="s">
        <v>3</v>
      </c>
      <c r="CB53" s="69" t="s">
        <v>3</v>
      </c>
      <c r="CC53" s="76" t="s">
        <v>402</v>
      </c>
      <c r="CD53" s="76" t="s">
        <v>402</v>
      </c>
      <c r="CE53" s="76" t="s">
        <v>402</v>
      </c>
      <c r="CF53" s="76" t="s">
        <v>402</v>
      </c>
      <c r="CG53" s="76" t="s">
        <v>402</v>
      </c>
      <c r="CH53" s="69" t="s">
        <v>3</v>
      </c>
      <c r="CI53" s="69" t="s">
        <v>3</v>
      </c>
      <c r="CJ53" s="69" t="s">
        <v>3638</v>
      </c>
      <c r="CK53" s="69" t="s">
        <v>3636</v>
      </c>
      <c r="CL53" s="69" t="s">
        <v>3636</v>
      </c>
      <c r="CM53" s="69" t="s">
        <v>3</v>
      </c>
      <c r="CN53" s="69" t="s">
        <v>3635</v>
      </c>
      <c r="CO53" s="76" t="s">
        <v>402</v>
      </c>
      <c r="CP53" s="69" t="s">
        <v>3</v>
      </c>
      <c r="CQ53" s="69" t="s">
        <v>3</v>
      </c>
      <c r="CR53" s="69" t="s">
        <v>3</v>
      </c>
      <c r="CS53" s="76" t="s">
        <v>402</v>
      </c>
      <c r="CT53" s="76" t="s">
        <v>402</v>
      </c>
      <c r="CU53" s="76" t="s">
        <v>402</v>
      </c>
      <c r="CV53" s="76" t="s">
        <v>402</v>
      </c>
      <c r="CW53" s="76" t="s">
        <v>402</v>
      </c>
      <c r="CX53" s="69" t="s">
        <v>3</v>
      </c>
      <c r="CY53" s="76" t="s">
        <v>402</v>
      </c>
      <c r="CZ53" s="76" t="s">
        <v>402</v>
      </c>
      <c r="DA53" s="76" t="s">
        <v>402</v>
      </c>
      <c r="DB53" s="69" t="s">
        <v>3</v>
      </c>
      <c r="DC53" s="69" t="s">
        <v>3</v>
      </c>
      <c r="DD53" s="69" t="s">
        <v>3</v>
      </c>
      <c r="DE53" s="76" t="s">
        <v>402</v>
      </c>
      <c r="DF53" s="76" t="s">
        <v>402</v>
      </c>
      <c r="DG53" s="76" t="s">
        <v>402</v>
      </c>
      <c r="DH53" s="76" t="s">
        <v>402</v>
      </c>
      <c r="DI53" s="76" t="s">
        <v>402</v>
      </c>
      <c r="DJ53" s="69" t="s">
        <v>3</v>
      </c>
      <c r="DK53" s="69" t="s">
        <v>3</v>
      </c>
      <c r="DL53" s="69" t="s">
        <v>3</v>
      </c>
      <c r="DM53" s="76" t="s">
        <v>402</v>
      </c>
      <c r="DN53" s="76" t="s">
        <v>402</v>
      </c>
      <c r="DO53" s="69" t="s">
        <v>3</v>
      </c>
      <c r="DP53" s="69" t="s">
        <v>403</v>
      </c>
      <c r="DQ53" s="76" t="s">
        <v>402</v>
      </c>
      <c r="DR53" s="76" t="s">
        <v>402</v>
      </c>
      <c r="DS53" s="76" t="s">
        <v>402</v>
      </c>
      <c r="DT53" s="69" t="s">
        <v>3</v>
      </c>
      <c r="DU53" s="69" t="s">
        <v>3</v>
      </c>
      <c r="DV53" s="76" t="s">
        <v>402</v>
      </c>
      <c r="DW53" s="76" t="s">
        <v>402</v>
      </c>
      <c r="DX53" s="76" t="s">
        <v>402</v>
      </c>
      <c r="DY53" s="69" t="s">
        <v>3</v>
      </c>
      <c r="DZ53" s="76" t="s">
        <v>402</v>
      </c>
    </row>
    <row r="54" spans="1:130" ht="12" customHeight="1" x14ac:dyDescent="0.15">
      <c r="A54" s="28"/>
      <c r="B54" s="29"/>
      <c r="C54" s="29"/>
      <c r="D54" s="31"/>
      <c r="E54" s="31"/>
      <c r="F54" s="29"/>
      <c r="G54" s="29"/>
      <c r="H54" s="29"/>
      <c r="I54" s="29"/>
      <c r="J54" s="29"/>
      <c r="K54" s="29"/>
      <c r="L54" s="31"/>
      <c r="M54" s="31"/>
      <c r="N54" s="29"/>
      <c r="O54" s="29"/>
      <c r="P54" s="29"/>
      <c r="Q54" s="29"/>
      <c r="R54" s="29"/>
      <c r="S54" s="113"/>
      <c r="T54" s="116"/>
      <c r="U54" s="31"/>
      <c r="V54" s="29"/>
      <c r="W54" s="29"/>
      <c r="X54" s="31"/>
      <c r="Y54" s="29"/>
      <c r="Z54" s="29"/>
      <c r="AA54" s="29"/>
      <c r="AB54" s="29"/>
      <c r="AC54" s="29"/>
      <c r="AD54" s="29"/>
      <c r="AE54" s="31"/>
      <c r="AF54" s="31"/>
      <c r="AG54" s="31"/>
      <c r="AH54" s="29"/>
      <c r="AI54" s="29"/>
      <c r="AJ54" s="29"/>
      <c r="AK54" s="31"/>
      <c r="AL54" s="31"/>
      <c r="AM54" s="31"/>
      <c r="AN54" s="31"/>
      <c r="AO54" s="132"/>
      <c r="AP54" s="31"/>
      <c r="AQ54" s="29"/>
      <c r="AR54" s="29"/>
      <c r="AS54" s="31"/>
      <c r="AT54" s="31"/>
      <c r="AU54" s="29"/>
      <c r="AV54" s="29"/>
      <c r="AW54" s="29"/>
      <c r="AX54" s="31"/>
      <c r="AY54" s="31"/>
      <c r="AZ54" s="32"/>
      <c r="BA54" s="31"/>
      <c r="BB54" s="31"/>
      <c r="BC54" s="29"/>
      <c r="BD54" s="29"/>
      <c r="BE54" s="29"/>
      <c r="BI54" s="29"/>
      <c r="BJ54" s="29"/>
      <c r="BK54" s="32"/>
      <c r="BL54" s="32"/>
      <c r="BM54" s="29"/>
      <c r="BN54" s="29"/>
      <c r="BO54" s="29"/>
      <c r="BP54" s="31"/>
      <c r="BQ54" s="31"/>
      <c r="BR54" s="31"/>
      <c r="BS54" s="32"/>
      <c r="BT54" s="32"/>
      <c r="BU54" s="29"/>
      <c r="BV54" s="29"/>
      <c r="BW54" s="29"/>
      <c r="BX54" s="29"/>
      <c r="BY54" s="29"/>
      <c r="BZ54" s="29"/>
      <c r="CA54" s="32"/>
      <c r="CB54" s="32"/>
      <c r="CC54" s="29"/>
      <c r="CD54" s="29"/>
      <c r="CE54" s="46" t="s">
        <v>3</v>
      </c>
      <c r="CF54" s="46" t="s">
        <v>3</v>
      </c>
      <c r="CG54" s="46" t="s">
        <v>3</v>
      </c>
      <c r="CH54" s="32"/>
      <c r="CI54" s="32"/>
      <c r="CJ54" s="32"/>
      <c r="CK54" s="32"/>
      <c r="CL54" s="32"/>
      <c r="CM54" s="32"/>
      <c r="CN54" s="32"/>
      <c r="CO54" s="29"/>
      <c r="CP54" s="32"/>
      <c r="CQ54" s="31"/>
      <c r="CR54" s="31"/>
      <c r="CS54" s="29"/>
      <c r="CT54" s="29"/>
      <c r="CU54" s="29"/>
      <c r="CV54" s="29"/>
      <c r="CX54" s="31"/>
      <c r="CY54" s="29"/>
      <c r="CZ54" s="29"/>
      <c r="DA54" s="29"/>
      <c r="DB54" s="32"/>
      <c r="DC54" s="32"/>
      <c r="DD54" s="32"/>
      <c r="DE54" s="29"/>
      <c r="DF54" s="29"/>
      <c r="DG54" s="142"/>
      <c r="DH54" s="29"/>
      <c r="DI54" s="29"/>
      <c r="DJ54" s="32"/>
      <c r="DK54" s="32"/>
      <c r="DL54" s="32"/>
      <c r="DM54" s="29"/>
      <c r="DN54" s="29"/>
      <c r="DO54" s="31"/>
      <c r="DP54" s="31"/>
      <c r="DQ54" s="29"/>
      <c r="DR54" s="29"/>
      <c r="DS54" s="29"/>
      <c r="DT54" s="22"/>
      <c r="DV54" s="29"/>
      <c r="DW54" s="29"/>
      <c r="DX54" s="29"/>
      <c r="DY54" s="31"/>
      <c r="DZ54" s="29"/>
    </row>
    <row r="55" spans="1:130" ht="22.5" customHeight="1" x14ac:dyDescent="0.15">
      <c r="A55" s="80" t="s">
        <v>142</v>
      </c>
      <c r="B55" s="28"/>
      <c r="C55" s="28"/>
      <c r="D55" s="28"/>
      <c r="E55" s="28"/>
      <c r="F55" s="28"/>
      <c r="G55" s="28"/>
      <c r="H55" s="28"/>
      <c r="I55" s="28"/>
      <c r="J55" s="28"/>
      <c r="K55" s="28"/>
      <c r="L55" s="28"/>
      <c r="M55" s="28"/>
      <c r="N55" s="28"/>
      <c r="O55" s="28"/>
      <c r="P55" s="28"/>
      <c r="Q55" s="28"/>
      <c r="R55" s="28"/>
      <c r="S55" s="113"/>
      <c r="T55" s="116"/>
      <c r="U55" s="28"/>
      <c r="V55" s="28"/>
      <c r="W55" s="28"/>
      <c r="X55" s="28"/>
      <c r="Y55" s="28"/>
      <c r="Z55" s="28"/>
      <c r="AA55" s="28"/>
      <c r="AB55" s="28"/>
      <c r="AC55" s="28"/>
      <c r="AD55" s="28"/>
      <c r="AE55" s="28"/>
      <c r="AF55" s="28"/>
      <c r="AG55" s="28"/>
      <c r="AH55" s="28"/>
      <c r="AI55" s="28"/>
      <c r="AJ55" s="28"/>
      <c r="AK55" s="28"/>
      <c r="AL55" s="28"/>
      <c r="AM55" s="28"/>
      <c r="AN55" s="28"/>
      <c r="AO55" s="132"/>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69" t="s">
        <v>3</v>
      </c>
      <c r="CF55" s="69" t="s">
        <v>3</v>
      </c>
      <c r="CG55" s="69" t="s">
        <v>3</v>
      </c>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138"/>
      <c r="DH55" s="28"/>
      <c r="DI55" s="28"/>
      <c r="DJ55" s="28"/>
      <c r="DK55" s="28"/>
      <c r="DL55" s="28"/>
      <c r="DM55" s="28"/>
      <c r="DN55" s="28"/>
      <c r="DO55" s="28"/>
      <c r="DP55" s="28"/>
      <c r="DQ55" s="28"/>
      <c r="DR55" s="28"/>
      <c r="DS55" s="28"/>
      <c r="DT55" s="28"/>
      <c r="DU55" s="28"/>
      <c r="DV55" s="28"/>
      <c r="DW55" s="28"/>
      <c r="DX55" s="28"/>
      <c r="DY55" s="28"/>
      <c r="DZ55" s="28"/>
    </row>
    <row r="56" spans="1:130" s="18" customFormat="1" ht="22.5" customHeight="1" x14ac:dyDescent="0.15">
      <c r="A56" s="25" t="s">
        <v>31</v>
      </c>
      <c r="B56" s="46" t="s">
        <v>95</v>
      </c>
      <c r="C56" s="46" t="s">
        <v>95</v>
      </c>
      <c r="D56" s="46" t="s">
        <v>95</v>
      </c>
      <c r="E56" s="46" t="s">
        <v>95</v>
      </c>
      <c r="F56" s="46" t="s">
        <v>95</v>
      </c>
      <c r="G56" s="46" t="s">
        <v>95</v>
      </c>
      <c r="H56" s="46" t="s">
        <v>95</v>
      </c>
      <c r="I56" s="46" t="s">
        <v>95</v>
      </c>
      <c r="J56" s="46" t="s">
        <v>95</v>
      </c>
      <c r="K56" s="46" t="s">
        <v>95</v>
      </c>
      <c r="L56" s="46" t="s">
        <v>95</v>
      </c>
      <c r="M56" s="46" t="s">
        <v>95</v>
      </c>
      <c r="N56" s="46" t="s">
        <v>95</v>
      </c>
      <c r="O56" s="46" t="s">
        <v>95</v>
      </c>
      <c r="P56" s="46" t="s">
        <v>95</v>
      </c>
      <c r="Q56" s="46" t="s">
        <v>95</v>
      </c>
      <c r="R56" s="46" t="s">
        <v>95</v>
      </c>
      <c r="S56" s="117" t="s">
        <v>95</v>
      </c>
      <c r="T56" s="117" t="s">
        <v>95</v>
      </c>
      <c r="U56" s="46" t="s">
        <v>95</v>
      </c>
      <c r="V56" s="46" t="s">
        <v>95</v>
      </c>
      <c r="W56" s="101" t="s">
        <v>95</v>
      </c>
      <c r="X56" s="46" t="s">
        <v>95</v>
      </c>
      <c r="Y56" s="46" t="s">
        <v>95</v>
      </c>
      <c r="Z56" s="46" t="s">
        <v>95</v>
      </c>
      <c r="AA56" s="46" t="s">
        <v>95</v>
      </c>
      <c r="AB56" s="46" t="s">
        <v>95</v>
      </c>
      <c r="AC56" s="46" t="s">
        <v>95</v>
      </c>
      <c r="AD56" s="46" t="s">
        <v>95</v>
      </c>
      <c r="AE56" s="46" t="s">
        <v>95</v>
      </c>
      <c r="AF56" s="46" t="s">
        <v>95</v>
      </c>
      <c r="AG56" s="46" t="s">
        <v>95</v>
      </c>
      <c r="AH56" s="47" t="s">
        <v>95</v>
      </c>
      <c r="AI56" s="47" t="s">
        <v>95</v>
      </c>
      <c r="AJ56" s="47" t="s">
        <v>95</v>
      </c>
      <c r="AK56" s="47" t="s">
        <v>95</v>
      </c>
      <c r="AL56" s="47" t="s">
        <v>95</v>
      </c>
      <c r="AM56" s="47" t="s">
        <v>95</v>
      </c>
      <c r="AN56" s="20" t="s">
        <v>95</v>
      </c>
      <c r="AO56" s="130" t="s">
        <v>95</v>
      </c>
      <c r="AP56" s="20" t="s">
        <v>95</v>
      </c>
      <c r="AQ56" s="44" t="s">
        <v>95</v>
      </c>
      <c r="AR56" s="44" t="s">
        <v>95</v>
      </c>
      <c r="AS56" s="44" t="s">
        <v>95</v>
      </c>
      <c r="AT56" s="44" t="s">
        <v>95</v>
      </c>
      <c r="AU56" s="42" t="s">
        <v>95</v>
      </c>
      <c r="AV56" s="20" t="s">
        <v>95</v>
      </c>
      <c r="AW56" s="20" t="s">
        <v>95</v>
      </c>
      <c r="AX56" s="20" t="s">
        <v>95</v>
      </c>
      <c r="AY56" s="20" t="s">
        <v>95</v>
      </c>
      <c r="AZ56" s="20" t="s">
        <v>95</v>
      </c>
      <c r="BA56" s="20" t="s">
        <v>95</v>
      </c>
      <c r="BB56" s="20" t="s">
        <v>95</v>
      </c>
      <c r="BC56" s="20" t="s">
        <v>95</v>
      </c>
      <c r="BD56" s="20" t="s">
        <v>95</v>
      </c>
      <c r="BE56" s="20" t="s">
        <v>95</v>
      </c>
      <c r="BF56" s="47" t="s">
        <v>95</v>
      </c>
      <c r="BG56" s="47" t="s">
        <v>95</v>
      </c>
      <c r="BH56" s="47" t="s">
        <v>95</v>
      </c>
      <c r="BI56" s="46" t="s">
        <v>95</v>
      </c>
      <c r="BJ56" s="46" t="s">
        <v>95</v>
      </c>
      <c r="BK56" s="46" t="s">
        <v>95</v>
      </c>
      <c r="BL56" s="46" t="s">
        <v>95</v>
      </c>
      <c r="BM56" s="46" t="s">
        <v>95</v>
      </c>
      <c r="BN56" s="46" t="s">
        <v>95</v>
      </c>
      <c r="BO56" s="46" t="s">
        <v>95</v>
      </c>
      <c r="BP56" s="46" t="s">
        <v>95</v>
      </c>
      <c r="BQ56" s="46" t="s">
        <v>95</v>
      </c>
      <c r="BR56" s="46" t="s">
        <v>95</v>
      </c>
      <c r="BS56" s="46" t="s">
        <v>95</v>
      </c>
      <c r="BT56" s="46" t="s">
        <v>95</v>
      </c>
      <c r="BU56" s="46" t="s">
        <v>95</v>
      </c>
      <c r="BV56" s="46" t="s">
        <v>95</v>
      </c>
      <c r="BW56" s="46" t="s">
        <v>95</v>
      </c>
      <c r="BX56" s="46" t="s">
        <v>95</v>
      </c>
      <c r="BY56" s="46" t="s">
        <v>95</v>
      </c>
      <c r="BZ56" s="46" t="s">
        <v>95</v>
      </c>
      <c r="CA56" s="46" t="s">
        <v>95</v>
      </c>
      <c r="CB56" s="46" t="s">
        <v>95</v>
      </c>
      <c r="CC56" s="46" t="s">
        <v>95</v>
      </c>
      <c r="CD56" s="46" t="s">
        <v>95</v>
      </c>
      <c r="CE56" s="32"/>
      <c r="CF56" s="32"/>
      <c r="CG56" s="32"/>
      <c r="CH56" s="46" t="s">
        <v>95</v>
      </c>
      <c r="CI56" s="156" t="s">
        <v>95</v>
      </c>
      <c r="CJ56" s="46" t="s">
        <v>95</v>
      </c>
      <c r="CK56" s="46" t="s">
        <v>95</v>
      </c>
      <c r="CL56" s="46" t="s">
        <v>95</v>
      </c>
      <c r="CM56" s="46" t="s">
        <v>95</v>
      </c>
      <c r="CN56" s="46" t="s">
        <v>95</v>
      </c>
      <c r="CO56" s="46" t="s">
        <v>95</v>
      </c>
      <c r="CP56" s="46" t="s">
        <v>95</v>
      </c>
      <c r="CQ56" s="46" t="s">
        <v>95</v>
      </c>
      <c r="CR56" s="46" t="s">
        <v>95</v>
      </c>
      <c r="CS56" s="46" t="s">
        <v>95</v>
      </c>
      <c r="CT56" s="46" t="s">
        <v>95</v>
      </c>
      <c r="CU56" s="46" t="s">
        <v>95</v>
      </c>
      <c r="CV56" s="46" t="s">
        <v>95</v>
      </c>
      <c r="CW56" s="47" t="s">
        <v>95</v>
      </c>
      <c r="CX56" s="46" t="s">
        <v>95</v>
      </c>
      <c r="CY56" s="46" t="s">
        <v>95</v>
      </c>
      <c r="CZ56" s="46" t="s">
        <v>95</v>
      </c>
      <c r="DA56" s="46" t="s">
        <v>95</v>
      </c>
      <c r="DB56" s="46" t="s">
        <v>95</v>
      </c>
      <c r="DC56" s="46" t="s">
        <v>95</v>
      </c>
      <c r="DD56" s="46" t="s">
        <v>95</v>
      </c>
      <c r="DE56" s="46" t="s">
        <v>95</v>
      </c>
      <c r="DF56" s="46" t="s">
        <v>95</v>
      </c>
      <c r="DG56" s="147" t="s">
        <v>3360</v>
      </c>
      <c r="DH56" s="46" t="s">
        <v>95</v>
      </c>
      <c r="DI56" s="46" t="s">
        <v>95</v>
      </c>
      <c r="DJ56" s="46" t="s">
        <v>95</v>
      </c>
      <c r="DK56" s="46" t="s">
        <v>95</v>
      </c>
      <c r="DL56" s="46" t="s">
        <v>95</v>
      </c>
      <c r="DM56" s="46" t="s">
        <v>95</v>
      </c>
      <c r="DN56" s="46" t="s">
        <v>95</v>
      </c>
      <c r="DO56" s="46" t="s">
        <v>95</v>
      </c>
      <c r="DP56" s="46" t="s">
        <v>95</v>
      </c>
      <c r="DQ56" s="47" t="s">
        <v>95</v>
      </c>
      <c r="DR56" s="46" t="s">
        <v>3</v>
      </c>
      <c r="DS56" s="47" t="s">
        <v>95</v>
      </c>
      <c r="DT56" s="47" t="s">
        <v>95</v>
      </c>
      <c r="DU56" s="47" t="s">
        <v>95</v>
      </c>
      <c r="DV56" s="46" t="s">
        <v>95</v>
      </c>
      <c r="DW56" s="46" t="s">
        <v>95</v>
      </c>
      <c r="DX56" s="46" t="s">
        <v>95</v>
      </c>
      <c r="DY56" s="46" t="s">
        <v>95</v>
      </c>
      <c r="DZ56" s="44"/>
    </row>
    <row r="57" spans="1:130" s="18" customFormat="1" ht="12" customHeight="1" x14ac:dyDescent="0.15">
      <c r="A57" s="76" t="s">
        <v>402</v>
      </c>
      <c r="B57" s="69"/>
      <c r="C57" s="69" t="s">
        <v>2785</v>
      </c>
      <c r="D57" s="69" t="s">
        <v>2785</v>
      </c>
      <c r="E57" s="69" t="s">
        <v>1600</v>
      </c>
      <c r="F57" s="69"/>
      <c r="G57" s="69" t="s">
        <v>1600</v>
      </c>
      <c r="H57" s="69" t="s">
        <v>1471</v>
      </c>
      <c r="I57" s="69" t="s">
        <v>1471</v>
      </c>
      <c r="J57" s="69" t="s">
        <v>1471</v>
      </c>
      <c r="K57" s="69" t="s">
        <v>1471</v>
      </c>
      <c r="L57" s="69" t="s">
        <v>1471</v>
      </c>
      <c r="M57" s="69" t="s">
        <v>1471</v>
      </c>
      <c r="N57" s="69" t="s">
        <v>1354</v>
      </c>
      <c r="O57" s="69"/>
      <c r="P57" s="69"/>
      <c r="Q57" s="69"/>
      <c r="R57" s="69" t="s">
        <v>3243</v>
      </c>
      <c r="S57" s="128"/>
      <c r="T57" s="128"/>
      <c r="U57" s="69" t="s">
        <v>2548</v>
      </c>
      <c r="V57" s="69"/>
      <c r="W57" s="106" t="s">
        <v>1327</v>
      </c>
      <c r="X57" s="69" t="s">
        <v>1327</v>
      </c>
      <c r="Y57" s="69" t="s">
        <v>2307</v>
      </c>
      <c r="Z57" s="69" t="s">
        <v>2602</v>
      </c>
      <c r="AA57" s="69" t="s">
        <v>2191</v>
      </c>
      <c r="AB57" s="69" t="s">
        <v>707</v>
      </c>
      <c r="AC57" s="69" t="s">
        <v>707</v>
      </c>
      <c r="AD57" s="69" t="s">
        <v>707</v>
      </c>
      <c r="AE57" s="69" t="s">
        <v>707</v>
      </c>
      <c r="AF57" s="69" t="s">
        <v>707</v>
      </c>
      <c r="AG57" s="69" t="s">
        <v>707</v>
      </c>
      <c r="AH57" s="69" t="s">
        <v>2849</v>
      </c>
      <c r="AI57" s="69" t="s">
        <v>2849</v>
      </c>
      <c r="AJ57" s="69" t="s">
        <v>2849</v>
      </c>
      <c r="AK57" s="69" t="s">
        <v>3082</v>
      </c>
      <c r="AL57" s="69" t="s">
        <v>3082</v>
      </c>
      <c r="AM57" s="69" t="s">
        <v>3082</v>
      </c>
      <c r="AN57" s="69" t="s">
        <v>483</v>
      </c>
      <c r="AO57" s="131"/>
      <c r="AP57" s="69" t="s">
        <v>483</v>
      </c>
      <c r="AQ57" s="69" t="s">
        <v>3408</v>
      </c>
      <c r="AR57" s="69"/>
      <c r="AS57" s="69"/>
      <c r="AT57" s="69"/>
      <c r="AU57" s="69"/>
      <c r="AV57" s="69" t="s">
        <v>556</v>
      </c>
      <c r="AW57" s="69" t="s">
        <v>556</v>
      </c>
      <c r="AX57" s="69" t="s">
        <v>556</v>
      </c>
      <c r="AY57" s="69" t="s">
        <v>556</v>
      </c>
      <c r="AZ57" s="69" t="s">
        <v>2262</v>
      </c>
      <c r="BA57" s="69" t="s">
        <v>2262</v>
      </c>
      <c r="BB57" s="69" t="s">
        <v>2262</v>
      </c>
      <c r="BC57" s="69" t="s">
        <v>2262</v>
      </c>
      <c r="BD57" s="69" t="s">
        <v>2262</v>
      </c>
      <c r="BE57" s="69" t="s">
        <v>2262</v>
      </c>
      <c r="BF57" s="69" t="s">
        <v>1146</v>
      </c>
      <c r="BG57" s="69" t="s">
        <v>1146</v>
      </c>
      <c r="BH57" s="69"/>
      <c r="BI57" s="69"/>
      <c r="BJ57" s="69" t="s">
        <v>1327</v>
      </c>
      <c r="BK57" s="69" t="s">
        <v>2461</v>
      </c>
      <c r="BL57" s="69" t="s">
        <v>2142</v>
      </c>
      <c r="BM57" s="69"/>
      <c r="BN57" s="69"/>
      <c r="BO57" s="69"/>
      <c r="BP57" s="69" t="s">
        <v>623</v>
      </c>
      <c r="BQ57" s="69" t="s">
        <v>623</v>
      </c>
      <c r="BR57" s="69"/>
      <c r="BS57" s="69"/>
      <c r="BT57" s="69"/>
      <c r="BU57" s="69"/>
      <c r="BV57" s="69"/>
      <c r="BW57" s="69" t="s">
        <v>1146</v>
      </c>
      <c r="BX57" s="69" t="s">
        <v>1146</v>
      </c>
      <c r="BY57" s="69"/>
      <c r="BZ57" s="69" t="s">
        <v>1683</v>
      </c>
      <c r="CA57" s="69" t="s">
        <v>2746</v>
      </c>
      <c r="CB57" s="69" t="s">
        <v>1683</v>
      </c>
      <c r="CC57" s="69"/>
      <c r="CD57" s="69"/>
      <c r="CE57" s="28"/>
      <c r="CF57" s="28"/>
      <c r="CG57" s="28"/>
      <c r="CH57" s="69" t="s">
        <v>1737</v>
      </c>
      <c r="CI57" s="69" t="s">
        <v>3555</v>
      </c>
      <c r="CJ57" s="69" t="s">
        <v>1737</v>
      </c>
      <c r="CK57" s="69" t="s">
        <v>3605</v>
      </c>
      <c r="CL57" s="69" t="s">
        <v>3563</v>
      </c>
      <c r="CM57" s="69" t="s">
        <v>769</v>
      </c>
      <c r="CN57" s="69" t="s">
        <v>769</v>
      </c>
      <c r="CO57" s="69" t="s">
        <v>963</v>
      </c>
      <c r="CP57" s="69" t="s">
        <v>3180</v>
      </c>
      <c r="CQ57" s="69" t="s">
        <v>3226</v>
      </c>
      <c r="CR57" s="69" t="s">
        <v>3226</v>
      </c>
      <c r="CS57" s="69" t="s">
        <v>2502</v>
      </c>
      <c r="CT57" s="69" t="s">
        <v>861</v>
      </c>
      <c r="CU57" s="69" t="s">
        <v>861</v>
      </c>
      <c r="CV57" s="69"/>
      <c r="CW57" s="69"/>
      <c r="CX57" s="69" t="s">
        <v>707</v>
      </c>
      <c r="CY57" s="69"/>
      <c r="CZ57" s="69"/>
      <c r="DA57" s="69" t="s">
        <v>2142</v>
      </c>
      <c r="DB57" s="69" t="s">
        <v>926</v>
      </c>
      <c r="DC57" s="69" t="s">
        <v>926</v>
      </c>
      <c r="DD57" s="69" t="s">
        <v>926</v>
      </c>
      <c r="DE57" s="69"/>
      <c r="DF57" s="69"/>
      <c r="DG57" s="152" t="s">
        <v>3361</v>
      </c>
      <c r="DH57" s="69"/>
      <c r="DI57" s="69" t="s">
        <v>1020</v>
      </c>
      <c r="DJ57" s="69" t="s">
        <v>1020</v>
      </c>
      <c r="DK57" s="69" t="s">
        <v>1975</v>
      </c>
      <c r="DL57" s="69" t="s">
        <v>3469</v>
      </c>
      <c r="DM57" s="69"/>
      <c r="DN57" s="69"/>
      <c r="DO57" s="69"/>
      <c r="DP57" s="69"/>
      <c r="DQ57" s="69" t="s">
        <v>2921</v>
      </c>
      <c r="DR57" s="69" t="s">
        <v>1392</v>
      </c>
      <c r="DS57" s="69" t="s">
        <v>1327</v>
      </c>
      <c r="DT57" s="69" t="s">
        <v>1204</v>
      </c>
      <c r="DU57" s="69" t="s">
        <v>1204</v>
      </c>
      <c r="DV57" s="69" t="s">
        <v>556</v>
      </c>
      <c r="DW57" s="69" t="s">
        <v>430</v>
      </c>
      <c r="DX57" s="69" t="s">
        <v>430</v>
      </c>
      <c r="DY57" s="69" t="s">
        <v>1512</v>
      </c>
      <c r="DZ57" s="69"/>
    </row>
    <row r="58" spans="1:130" s="18" customFormat="1" ht="22.5" customHeight="1" x14ac:dyDescent="0.15">
      <c r="A58" s="25" t="s">
        <v>78</v>
      </c>
      <c r="B58" s="46" t="s">
        <v>95</v>
      </c>
      <c r="C58" s="46" t="s">
        <v>95</v>
      </c>
      <c r="D58" s="46" t="s">
        <v>95</v>
      </c>
      <c r="E58" s="46" t="s">
        <v>95</v>
      </c>
      <c r="F58" s="46" t="s">
        <v>95</v>
      </c>
      <c r="G58" s="46" t="s">
        <v>95</v>
      </c>
      <c r="H58" s="46" t="s">
        <v>95</v>
      </c>
      <c r="I58" s="46" t="s">
        <v>95</v>
      </c>
      <c r="J58" s="46" t="s">
        <v>95</v>
      </c>
      <c r="K58" s="46" t="s">
        <v>95</v>
      </c>
      <c r="L58" s="46" t="s">
        <v>95</v>
      </c>
      <c r="M58" s="46" t="s">
        <v>95</v>
      </c>
      <c r="N58" s="47" t="s">
        <v>3</v>
      </c>
      <c r="O58" s="46" t="s">
        <v>95</v>
      </c>
      <c r="P58" s="46" t="s">
        <v>95</v>
      </c>
      <c r="Q58" s="46" t="s">
        <v>95</v>
      </c>
      <c r="R58" s="47" t="s">
        <v>3239</v>
      </c>
      <c r="S58" s="117"/>
      <c r="T58" s="117" t="s">
        <v>95</v>
      </c>
      <c r="U58" s="46" t="s">
        <v>95</v>
      </c>
      <c r="V58" s="46" t="s">
        <v>95</v>
      </c>
      <c r="W58" s="101" t="s">
        <v>95</v>
      </c>
      <c r="X58" s="46" t="s">
        <v>95</v>
      </c>
      <c r="Y58" s="47" t="s">
        <v>2319</v>
      </c>
      <c r="Z58" s="47" t="s">
        <v>2618</v>
      </c>
      <c r="AA58" s="46" t="s">
        <v>3</v>
      </c>
      <c r="AB58" s="47" t="s">
        <v>3</v>
      </c>
      <c r="AC58" s="47" t="s">
        <v>3</v>
      </c>
      <c r="AD58" s="47" t="s">
        <v>95</v>
      </c>
      <c r="AE58" s="47" t="s">
        <v>3</v>
      </c>
      <c r="AF58" s="47" t="s">
        <v>3</v>
      </c>
      <c r="AG58" s="47" t="s">
        <v>95</v>
      </c>
      <c r="AH58" s="46" t="s">
        <v>95</v>
      </c>
      <c r="AI58" s="46" t="s">
        <v>3</v>
      </c>
      <c r="AJ58" s="46" t="s">
        <v>3</v>
      </c>
      <c r="AK58" s="47" t="s">
        <v>95</v>
      </c>
      <c r="AL58" s="47" t="s">
        <v>95</v>
      </c>
      <c r="AM58" s="46" t="s">
        <v>3</v>
      </c>
      <c r="AN58" s="20" t="s">
        <v>3</v>
      </c>
      <c r="AO58" s="130" t="s">
        <v>95</v>
      </c>
      <c r="AP58" s="44" t="s">
        <v>95</v>
      </c>
      <c r="AQ58" s="44" t="s">
        <v>95</v>
      </c>
      <c r="AR58" s="44" t="s">
        <v>95</v>
      </c>
      <c r="AS58" s="44" t="s">
        <v>95</v>
      </c>
      <c r="AT58" s="44" t="s">
        <v>95</v>
      </c>
      <c r="AU58" s="42" t="s">
        <v>95</v>
      </c>
      <c r="AV58" s="20" t="s">
        <v>3</v>
      </c>
      <c r="AW58" s="44" t="s">
        <v>95</v>
      </c>
      <c r="AX58" s="20" t="s">
        <v>3</v>
      </c>
      <c r="AY58" s="44" t="s">
        <v>95</v>
      </c>
      <c r="AZ58" s="47" t="s">
        <v>3</v>
      </c>
      <c r="BA58" s="44" t="s">
        <v>2209</v>
      </c>
      <c r="BB58" s="44" t="s">
        <v>2209</v>
      </c>
      <c r="BC58" s="47" t="s">
        <v>3</v>
      </c>
      <c r="BD58" s="44" t="s">
        <v>2209</v>
      </c>
      <c r="BE58" s="44" t="s">
        <v>2209</v>
      </c>
      <c r="BF58" s="47" t="s">
        <v>3</v>
      </c>
      <c r="BG58" s="47" t="s">
        <v>95</v>
      </c>
      <c r="BH58" s="47" t="s">
        <v>95</v>
      </c>
      <c r="BI58" s="50" t="s">
        <v>387</v>
      </c>
      <c r="BJ58" s="50" t="s">
        <v>387</v>
      </c>
      <c r="BK58" s="50" t="s">
        <v>387</v>
      </c>
      <c r="BL58" s="50" t="s">
        <v>95</v>
      </c>
      <c r="BM58" s="46" t="s">
        <v>95</v>
      </c>
      <c r="BN58" s="46" t="s">
        <v>95</v>
      </c>
      <c r="BO58" s="46" t="s">
        <v>3</v>
      </c>
      <c r="BP58" s="46" t="s">
        <v>95</v>
      </c>
      <c r="BQ58" s="46" t="s">
        <v>3</v>
      </c>
      <c r="BR58" s="46" t="s">
        <v>95</v>
      </c>
      <c r="BS58" s="46" t="s">
        <v>95</v>
      </c>
      <c r="BT58" s="46" t="s">
        <v>95</v>
      </c>
      <c r="BU58" s="46" t="s">
        <v>3</v>
      </c>
      <c r="BV58" s="46" t="s">
        <v>3</v>
      </c>
      <c r="BW58" s="46" t="s">
        <v>2024</v>
      </c>
      <c r="BX58" s="46" t="s">
        <v>2024</v>
      </c>
      <c r="BY58" s="46" t="s">
        <v>95</v>
      </c>
      <c r="BZ58" s="46" t="s">
        <v>95</v>
      </c>
      <c r="CA58" s="46" t="s">
        <v>95</v>
      </c>
      <c r="CB58" s="46" t="s">
        <v>95</v>
      </c>
      <c r="CC58" s="50" t="s">
        <v>95</v>
      </c>
      <c r="CD58" s="46" t="s">
        <v>95</v>
      </c>
      <c r="CE58" s="46" t="s">
        <v>95</v>
      </c>
      <c r="CF58" s="46" t="s">
        <v>95</v>
      </c>
      <c r="CG58" s="46" t="s">
        <v>95</v>
      </c>
      <c r="CH58" s="46" t="s">
        <v>95</v>
      </c>
      <c r="CI58" s="47" t="s">
        <v>1785</v>
      </c>
      <c r="CJ58" s="47" t="s">
        <v>1785</v>
      </c>
      <c r="CK58" s="47" t="s">
        <v>1785</v>
      </c>
      <c r="CL58" s="46" t="s">
        <v>95</v>
      </c>
      <c r="CM58" s="50" t="s">
        <v>3</v>
      </c>
      <c r="CN58" s="50" t="s">
        <v>3</v>
      </c>
      <c r="CO58" s="47" t="s">
        <v>3</v>
      </c>
      <c r="CP58" s="47" t="s">
        <v>3</v>
      </c>
      <c r="CQ58" s="46" t="s">
        <v>95</v>
      </c>
      <c r="CR58" s="46" t="s">
        <v>95</v>
      </c>
      <c r="CS58" s="46" t="s">
        <v>95</v>
      </c>
      <c r="CT58" s="46" t="s">
        <v>95</v>
      </c>
      <c r="CU58" s="46" t="s">
        <v>95</v>
      </c>
      <c r="CV58" s="46" t="s">
        <v>95</v>
      </c>
      <c r="CW58" s="47" t="s">
        <v>3</v>
      </c>
      <c r="CX58" s="46" t="s">
        <v>95</v>
      </c>
      <c r="CY58" s="46" t="s">
        <v>3</v>
      </c>
      <c r="CZ58" s="46" t="s">
        <v>95</v>
      </c>
      <c r="DA58" s="46" t="s">
        <v>95</v>
      </c>
      <c r="DB58" s="46" t="s">
        <v>3</v>
      </c>
      <c r="DC58" s="46" t="s">
        <v>95</v>
      </c>
      <c r="DD58" s="46" t="s">
        <v>95</v>
      </c>
      <c r="DE58" s="46" t="s">
        <v>95</v>
      </c>
      <c r="DF58" s="46" t="s">
        <v>3</v>
      </c>
      <c r="DG58" s="146" t="s">
        <v>3362</v>
      </c>
      <c r="DH58" s="46" t="s">
        <v>95</v>
      </c>
      <c r="DI58" s="46" t="s">
        <v>95</v>
      </c>
      <c r="DJ58" s="46" t="s">
        <v>95</v>
      </c>
      <c r="DK58" s="46" t="s">
        <v>95</v>
      </c>
      <c r="DL58" s="156" t="s">
        <v>3</v>
      </c>
      <c r="DM58" s="46" t="s">
        <v>95</v>
      </c>
      <c r="DN58" s="47" t="s">
        <v>12</v>
      </c>
      <c r="DO58" s="47" t="s">
        <v>12</v>
      </c>
      <c r="DP58" s="46" t="s">
        <v>95</v>
      </c>
      <c r="DQ58" s="47" t="s">
        <v>3</v>
      </c>
      <c r="DR58" s="47" t="s">
        <v>3</v>
      </c>
      <c r="DS58" s="47" t="s">
        <v>3</v>
      </c>
      <c r="DT58" s="47" t="s">
        <v>3</v>
      </c>
      <c r="DU58" s="47" t="s">
        <v>0</v>
      </c>
      <c r="DV58" s="46" t="s">
        <v>95</v>
      </c>
      <c r="DW58" s="46" t="s">
        <v>95</v>
      </c>
      <c r="DX58" s="46" t="s">
        <v>95</v>
      </c>
      <c r="DY58" s="46" t="s">
        <v>95</v>
      </c>
      <c r="DZ58" s="44"/>
    </row>
    <row r="59" spans="1:130" s="18" customFormat="1" ht="12" customHeight="1" x14ac:dyDescent="0.15">
      <c r="A59" s="76" t="s">
        <v>402</v>
      </c>
      <c r="B59" s="69"/>
      <c r="C59" s="69" t="s">
        <v>2785</v>
      </c>
      <c r="D59" s="69" t="s">
        <v>2785</v>
      </c>
      <c r="E59" s="69" t="s">
        <v>1587</v>
      </c>
      <c r="F59" s="69"/>
      <c r="G59" s="69" t="s">
        <v>1587</v>
      </c>
      <c r="H59" s="69" t="s">
        <v>1454</v>
      </c>
      <c r="I59" s="69" t="s">
        <v>1430</v>
      </c>
      <c r="J59" s="69" t="s">
        <v>1454</v>
      </c>
      <c r="K59" s="69" t="s">
        <v>1430</v>
      </c>
      <c r="L59" s="69" t="s">
        <v>1454</v>
      </c>
      <c r="M59" s="69" t="s">
        <v>1430</v>
      </c>
      <c r="N59" s="69" t="s">
        <v>3</v>
      </c>
      <c r="O59" s="69"/>
      <c r="P59" s="69"/>
      <c r="Q59" s="69"/>
      <c r="R59" s="69" t="s">
        <v>3239</v>
      </c>
      <c r="S59" s="128"/>
      <c r="T59" s="128"/>
      <c r="U59" s="69" t="s">
        <v>1737</v>
      </c>
      <c r="V59" s="69"/>
      <c r="W59" s="106" t="s">
        <v>1298</v>
      </c>
      <c r="X59" s="69" t="s">
        <v>1298</v>
      </c>
      <c r="Y59" s="69" t="s">
        <v>2311</v>
      </c>
      <c r="Z59" s="69" t="s">
        <v>2621</v>
      </c>
      <c r="AA59" s="69" t="s">
        <v>3</v>
      </c>
      <c r="AB59" s="69" t="s">
        <v>690</v>
      </c>
      <c r="AC59" s="69" t="s">
        <v>690</v>
      </c>
      <c r="AD59" s="69" t="s">
        <v>692</v>
      </c>
      <c r="AE59" s="69" t="s">
        <v>690</v>
      </c>
      <c r="AF59" s="69" t="s">
        <v>690</v>
      </c>
      <c r="AG59" s="69" t="s">
        <v>692</v>
      </c>
      <c r="AH59" s="69" t="s">
        <v>2851</v>
      </c>
      <c r="AI59" s="69" t="s">
        <v>2850</v>
      </c>
      <c r="AJ59" s="69" t="s">
        <v>2850</v>
      </c>
      <c r="AK59" s="69" t="s">
        <v>3026</v>
      </c>
      <c r="AL59" s="69" t="s">
        <v>2986</v>
      </c>
      <c r="AM59" s="69" t="s">
        <v>3083</v>
      </c>
      <c r="AN59" s="69" t="s">
        <v>484</v>
      </c>
      <c r="AO59" s="131"/>
      <c r="AP59" s="69" t="s">
        <v>456</v>
      </c>
      <c r="AQ59" s="69" t="s">
        <v>3408</v>
      </c>
      <c r="AR59" s="69"/>
      <c r="AS59" s="69"/>
      <c r="AT59" s="69"/>
      <c r="AU59" s="69"/>
      <c r="AV59" s="69" t="s">
        <v>3</v>
      </c>
      <c r="AW59" s="69" t="s">
        <v>526</v>
      </c>
      <c r="AX59" s="69" t="s">
        <v>3</v>
      </c>
      <c r="AY59" s="69" t="s">
        <v>2579</v>
      </c>
      <c r="AZ59" s="69" t="s">
        <v>3141</v>
      </c>
      <c r="BA59" s="69" t="s">
        <v>2241</v>
      </c>
      <c r="BB59" s="69" t="s">
        <v>2241</v>
      </c>
      <c r="BC59" s="69" t="s">
        <v>3</v>
      </c>
      <c r="BD59" s="69" t="s">
        <v>2241</v>
      </c>
      <c r="BE59" s="69" t="s">
        <v>2241</v>
      </c>
      <c r="BF59" s="69" t="s">
        <v>1139</v>
      </c>
      <c r="BG59" s="69" t="s">
        <v>1109</v>
      </c>
      <c r="BH59" s="69"/>
      <c r="BI59" s="69"/>
      <c r="BJ59" s="69" t="s">
        <v>1867</v>
      </c>
      <c r="BK59" s="69" t="s">
        <v>2432</v>
      </c>
      <c r="BL59" s="69" t="s">
        <v>1498</v>
      </c>
      <c r="BM59" s="69"/>
      <c r="BN59" s="69"/>
      <c r="BO59" s="69"/>
      <c r="BP59" s="69" t="s">
        <v>598</v>
      </c>
      <c r="BQ59" s="69" t="s">
        <v>3</v>
      </c>
      <c r="BR59" s="69"/>
      <c r="BS59" s="69"/>
      <c r="BT59" s="69"/>
      <c r="BU59" s="69"/>
      <c r="BV59" s="69"/>
      <c r="BW59" s="69" t="s">
        <v>2061</v>
      </c>
      <c r="BX59" s="69" t="s">
        <v>2022</v>
      </c>
      <c r="BY59" s="69"/>
      <c r="BZ59" s="69" t="s">
        <v>1684</v>
      </c>
      <c r="CA59" s="69" t="s">
        <v>2750</v>
      </c>
      <c r="CB59" s="69" t="s">
        <v>1684</v>
      </c>
      <c r="CC59" s="69"/>
      <c r="CD59" s="69"/>
      <c r="CE59" s="69" t="s">
        <v>1737</v>
      </c>
      <c r="CF59" s="69" t="s">
        <v>1737</v>
      </c>
      <c r="CG59" s="69" t="s">
        <v>1737</v>
      </c>
      <c r="CH59" s="69" t="s">
        <v>1737</v>
      </c>
      <c r="CI59" s="69" t="s">
        <v>1737</v>
      </c>
      <c r="CJ59" s="69" t="s">
        <v>3555</v>
      </c>
      <c r="CK59" s="69" t="s">
        <v>3606</v>
      </c>
      <c r="CL59" s="69" t="s">
        <v>3564</v>
      </c>
      <c r="CM59" s="69" t="s">
        <v>770</v>
      </c>
      <c r="CN59" s="69" t="s">
        <v>770</v>
      </c>
      <c r="CO59" s="69" t="s">
        <v>3</v>
      </c>
      <c r="CP59" s="69" t="s">
        <v>3229</v>
      </c>
      <c r="CQ59" s="69" t="s">
        <v>3175</v>
      </c>
      <c r="CR59" s="69" t="s">
        <v>3175</v>
      </c>
      <c r="CS59" s="69" t="s">
        <v>2502</v>
      </c>
      <c r="CT59" s="69" t="s">
        <v>845</v>
      </c>
      <c r="CU59" s="69" t="s">
        <v>836</v>
      </c>
      <c r="CV59" s="69"/>
      <c r="CW59" s="69"/>
      <c r="CX59" s="69" t="s">
        <v>1234</v>
      </c>
      <c r="CY59" s="69"/>
      <c r="CZ59" s="69"/>
      <c r="DA59" s="69" t="s">
        <v>2143</v>
      </c>
      <c r="DB59" s="69" t="s">
        <v>3</v>
      </c>
      <c r="DC59" s="69" t="s">
        <v>892</v>
      </c>
      <c r="DD59" s="69" t="s">
        <v>892</v>
      </c>
      <c r="DE59" s="69"/>
      <c r="DF59" s="69"/>
      <c r="DG59" s="152" t="s">
        <v>3348</v>
      </c>
      <c r="DH59" s="69"/>
      <c r="DI59" s="69" t="s">
        <v>1022</v>
      </c>
      <c r="DJ59" s="69" t="s">
        <v>1022</v>
      </c>
      <c r="DK59" s="69" t="s">
        <v>1977</v>
      </c>
      <c r="DL59" s="69"/>
      <c r="DM59" s="69"/>
      <c r="DN59" s="69"/>
      <c r="DO59" s="69"/>
      <c r="DP59" s="69"/>
      <c r="DQ59" s="69" t="s">
        <v>3</v>
      </c>
      <c r="DR59" s="69" t="s">
        <v>1392</v>
      </c>
      <c r="DS59" s="69" t="s">
        <v>3</v>
      </c>
      <c r="DT59" s="69" t="s">
        <v>3</v>
      </c>
      <c r="DU59" s="69" t="s">
        <v>1192</v>
      </c>
      <c r="DV59" s="69" t="s">
        <v>1543</v>
      </c>
      <c r="DW59" s="69" t="s">
        <v>430</v>
      </c>
      <c r="DX59" s="69" t="s">
        <v>430</v>
      </c>
      <c r="DY59" s="69" t="s">
        <v>1498</v>
      </c>
      <c r="DZ59" s="69"/>
    </row>
    <row r="60" spans="1:130" s="18" customFormat="1" ht="22.5" customHeight="1" x14ac:dyDescent="0.15">
      <c r="A60" s="25" t="s">
        <v>22</v>
      </c>
      <c r="B60" s="46" t="s">
        <v>95</v>
      </c>
      <c r="C60" s="46" t="s">
        <v>95</v>
      </c>
      <c r="D60" s="46" t="s">
        <v>95</v>
      </c>
      <c r="E60" s="46" t="s">
        <v>95</v>
      </c>
      <c r="F60" s="46" t="s">
        <v>95</v>
      </c>
      <c r="G60" s="46" t="s">
        <v>95</v>
      </c>
      <c r="H60" s="46" t="s">
        <v>95</v>
      </c>
      <c r="I60" s="46" t="s">
        <v>95</v>
      </c>
      <c r="J60" s="46" t="s">
        <v>95</v>
      </c>
      <c r="K60" s="46" t="s">
        <v>95</v>
      </c>
      <c r="L60" s="46" t="s">
        <v>95</v>
      </c>
      <c r="M60" s="46" t="s">
        <v>95</v>
      </c>
      <c r="N60" s="46" t="s">
        <v>3</v>
      </c>
      <c r="O60" s="46" t="s">
        <v>95</v>
      </c>
      <c r="P60" s="46" t="s">
        <v>95</v>
      </c>
      <c r="Q60" s="46" t="s">
        <v>95</v>
      </c>
      <c r="R60" s="46" t="s">
        <v>3239</v>
      </c>
      <c r="S60" s="117" t="s">
        <v>95</v>
      </c>
      <c r="T60" s="117"/>
      <c r="U60" s="46" t="s">
        <v>95</v>
      </c>
      <c r="V60" s="46" t="s">
        <v>95</v>
      </c>
      <c r="W60" s="101" t="s">
        <v>95</v>
      </c>
      <c r="X60" s="46" t="s">
        <v>95</v>
      </c>
      <c r="Y60" s="46" t="s">
        <v>95</v>
      </c>
      <c r="Z60" s="46" t="s">
        <v>95</v>
      </c>
      <c r="AA60" s="47" t="s">
        <v>2182</v>
      </c>
      <c r="AB60" s="46" t="s">
        <v>95</v>
      </c>
      <c r="AC60" s="46" t="s">
        <v>95</v>
      </c>
      <c r="AD60" s="46" t="s">
        <v>95</v>
      </c>
      <c r="AE60" s="46" t="s">
        <v>95</v>
      </c>
      <c r="AF60" s="46" t="s">
        <v>95</v>
      </c>
      <c r="AG60" s="46" t="s">
        <v>95</v>
      </c>
      <c r="AH60" s="46" t="s">
        <v>95</v>
      </c>
      <c r="AI60" s="46" t="s">
        <v>95</v>
      </c>
      <c r="AJ60" s="46" t="s">
        <v>95</v>
      </c>
      <c r="AK60" s="46" t="s">
        <v>95</v>
      </c>
      <c r="AL60" s="46" t="s">
        <v>95</v>
      </c>
      <c r="AM60" s="46" t="s">
        <v>95</v>
      </c>
      <c r="AN60" s="20" t="s">
        <v>95</v>
      </c>
      <c r="AO60" s="130" t="s">
        <v>95</v>
      </c>
      <c r="AP60" s="20" t="s">
        <v>95</v>
      </c>
      <c r="AQ60" s="44" t="s">
        <v>95</v>
      </c>
      <c r="AR60" s="44" t="s">
        <v>95</v>
      </c>
      <c r="AS60" s="44" t="s">
        <v>95</v>
      </c>
      <c r="AT60" s="44" t="s">
        <v>95</v>
      </c>
      <c r="AU60" s="42" t="s">
        <v>95</v>
      </c>
      <c r="AV60" s="20" t="s">
        <v>95</v>
      </c>
      <c r="AW60" s="20" t="s">
        <v>95</v>
      </c>
      <c r="AX60" s="20" t="s">
        <v>95</v>
      </c>
      <c r="AY60" s="20" t="s">
        <v>95</v>
      </c>
      <c r="AZ60" s="20" t="s">
        <v>95</v>
      </c>
      <c r="BA60" s="20" t="s">
        <v>95</v>
      </c>
      <c r="BB60" s="20" t="s">
        <v>95</v>
      </c>
      <c r="BC60" s="20" t="s">
        <v>95</v>
      </c>
      <c r="BD60" s="20" t="s">
        <v>95</v>
      </c>
      <c r="BE60" s="20" t="s">
        <v>95</v>
      </c>
      <c r="BF60" s="47" t="s">
        <v>95</v>
      </c>
      <c r="BG60" s="47" t="s">
        <v>95</v>
      </c>
      <c r="BH60" s="47" t="s">
        <v>95</v>
      </c>
      <c r="BI60" s="46" t="s">
        <v>95</v>
      </c>
      <c r="BJ60" s="46" t="s">
        <v>95</v>
      </c>
      <c r="BK60" s="46" t="s">
        <v>95</v>
      </c>
      <c r="BL60" s="50" t="s">
        <v>95</v>
      </c>
      <c r="BM60" s="46" t="s">
        <v>95</v>
      </c>
      <c r="BN60" s="46" t="s">
        <v>95</v>
      </c>
      <c r="BO60" s="46" t="s">
        <v>95</v>
      </c>
      <c r="BP60" s="46" t="s">
        <v>95</v>
      </c>
      <c r="BQ60" s="46" t="s">
        <v>95</v>
      </c>
      <c r="BR60" s="46" t="s">
        <v>95</v>
      </c>
      <c r="BS60" s="46" t="s">
        <v>95</v>
      </c>
      <c r="BT60" s="46" t="s">
        <v>95</v>
      </c>
      <c r="BU60" s="46" t="s">
        <v>95</v>
      </c>
      <c r="BV60" s="46" t="s">
        <v>95</v>
      </c>
      <c r="BW60" s="46" t="s">
        <v>95</v>
      </c>
      <c r="BX60" s="46" t="s">
        <v>95</v>
      </c>
      <c r="BY60" s="46" t="s">
        <v>95</v>
      </c>
      <c r="BZ60" s="46" t="s">
        <v>95</v>
      </c>
      <c r="CA60" s="46" t="s">
        <v>95</v>
      </c>
      <c r="CB60" s="46" t="s">
        <v>95</v>
      </c>
      <c r="CC60" s="50" t="s">
        <v>95</v>
      </c>
      <c r="CD60" s="46" t="s">
        <v>95</v>
      </c>
      <c r="CE60" s="46" t="s">
        <v>95</v>
      </c>
      <c r="CF60" s="47" t="s">
        <v>1785</v>
      </c>
      <c r="CG60" s="47" t="s">
        <v>1785</v>
      </c>
      <c r="CH60" s="46" t="s">
        <v>95</v>
      </c>
      <c r="CI60" s="46" t="s">
        <v>95</v>
      </c>
      <c r="CJ60" s="46" t="s">
        <v>95</v>
      </c>
      <c r="CK60" s="46" t="s">
        <v>95</v>
      </c>
      <c r="CL60" s="46" t="s">
        <v>3565</v>
      </c>
      <c r="CM60" s="46" t="s">
        <v>95</v>
      </c>
      <c r="CN60" s="46" t="s">
        <v>95</v>
      </c>
      <c r="CO60" s="46" t="s">
        <v>95</v>
      </c>
      <c r="CP60" s="46" t="s">
        <v>95</v>
      </c>
      <c r="CQ60" s="46" t="s">
        <v>95</v>
      </c>
      <c r="CR60" s="46" t="s">
        <v>95</v>
      </c>
      <c r="CS60" s="46" t="s">
        <v>95</v>
      </c>
      <c r="CT60" s="46" t="s">
        <v>95</v>
      </c>
      <c r="CU60" s="46" t="s">
        <v>95</v>
      </c>
      <c r="CV60" s="46" t="s">
        <v>95</v>
      </c>
      <c r="CW60" s="47" t="s">
        <v>95</v>
      </c>
      <c r="CX60" s="46" t="s">
        <v>95</v>
      </c>
      <c r="CY60" s="46" t="s">
        <v>95</v>
      </c>
      <c r="CZ60" s="46" t="s">
        <v>95</v>
      </c>
      <c r="DA60" s="46" t="s">
        <v>95</v>
      </c>
      <c r="DB60" s="46" t="s">
        <v>95</v>
      </c>
      <c r="DC60" s="46" t="s">
        <v>95</v>
      </c>
      <c r="DD60" s="46" t="s">
        <v>95</v>
      </c>
      <c r="DE60" s="46" t="s">
        <v>95</v>
      </c>
      <c r="DF60" s="46" t="s">
        <v>95</v>
      </c>
      <c r="DG60" s="146" t="s">
        <v>95</v>
      </c>
      <c r="DH60" s="46" t="s">
        <v>95</v>
      </c>
      <c r="DI60" s="46" t="s">
        <v>95</v>
      </c>
      <c r="DJ60" s="46" t="s">
        <v>95</v>
      </c>
      <c r="DK60" s="46" t="s">
        <v>95</v>
      </c>
      <c r="DL60" s="46" t="s">
        <v>95</v>
      </c>
      <c r="DM60" s="46" t="s">
        <v>95</v>
      </c>
      <c r="DN60" s="46" t="s">
        <v>95</v>
      </c>
      <c r="DO60" s="46" t="s">
        <v>95</v>
      </c>
      <c r="DP60" s="46" t="s">
        <v>95</v>
      </c>
      <c r="DQ60" s="47" t="s">
        <v>3</v>
      </c>
      <c r="DR60" s="46" t="s">
        <v>3</v>
      </c>
      <c r="DS60" s="47" t="s">
        <v>95</v>
      </c>
      <c r="DT60" s="47" t="s">
        <v>95</v>
      </c>
      <c r="DU60" s="47" t="s">
        <v>95</v>
      </c>
      <c r="DV60" s="46" t="s">
        <v>95</v>
      </c>
      <c r="DW60" s="46" t="s">
        <v>95</v>
      </c>
      <c r="DX60" s="46" t="s">
        <v>95</v>
      </c>
      <c r="DY60" s="46" t="s">
        <v>95</v>
      </c>
      <c r="DZ60" s="44"/>
    </row>
    <row r="61" spans="1:130" s="18" customFormat="1" ht="12" customHeight="1" x14ac:dyDescent="0.15">
      <c r="A61" s="76" t="s">
        <v>402</v>
      </c>
      <c r="B61" s="69"/>
      <c r="C61" s="69" t="s">
        <v>2785</v>
      </c>
      <c r="D61" s="69" t="s">
        <v>2785</v>
      </c>
      <c r="E61" s="69" t="s">
        <v>1591</v>
      </c>
      <c r="F61" s="69"/>
      <c r="G61" s="69" t="s">
        <v>1591</v>
      </c>
      <c r="H61" s="69" t="s">
        <v>1471</v>
      </c>
      <c r="I61" s="69" t="s">
        <v>1471</v>
      </c>
      <c r="J61" s="69" t="s">
        <v>1471</v>
      </c>
      <c r="K61" s="69" t="s">
        <v>1471</v>
      </c>
      <c r="L61" s="69" t="s">
        <v>1471</v>
      </c>
      <c r="M61" s="69" t="s">
        <v>1471</v>
      </c>
      <c r="N61" s="69" t="s">
        <v>3</v>
      </c>
      <c r="O61" s="69"/>
      <c r="P61" s="69"/>
      <c r="Q61" s="69"/>
      <c r="R61" s="69" t="s">
        <v>3239</v>
      </c>
      <c r="S61" s="128"/>
      <c r="T61" s="128"/>
      <c r="U61" s="69" t="s">
        <v>2550</v>
      </c>
      <c r="V61" s="69"/>
      <c r="W61" s="106" t="s">
        <v>1328</v>
      </c>
      <c r="X61" s="69" t="s">
        <v>1328</v>
      </c>
      <c r="Y61" s="69" t="s">
        <v>2308</v>
      </c>
      <c r="Z61" s="69" t="s">
        <v>2602</v>
      </c>
      <c r="AA61" s="69" t="s">
        <v>2181</v>
      </c>
      <c r="AB61" s="69" t="s">
        <v>707</v>
      </c>
      <c r="AC61" s="69" t="s">
        <v>707</v>
      </c>
      <c r="AD61" s="69" t="s">
        <v>707</v>
      </c>
      <c r="AE61" s="69" t="s">
        <v>707</v>
      </c>
      <c r="AF61" s="69" t="s">
        <v>707</v>
      </c>
      <c r="AG61" s="69" t="s">
        <v>707</v>
      </c>
      <c r="AH61" s="69" t="s">
        <v>2849</v>
      </c>
      <c r="AI61" s="69" t="s">
        <v>2849</v>
      </c>
      <c r="AJ61" s="69" t="s">
        <v>2849</v>
      </c>
      <c r="AK61" s="69" t="s">
        <v>3082</v>
      </c>
      <c r="AL61" s="69" t="s">
        <v>3082</v>
      </c>
      <c r="AM61" s="69" t="s">
        <v>3082</v>
      </c>
      <c r="AN61" s="69" t="s">
        <v>483</v>
      </c>
      <c r="AO61" s="131"/>
      <c r="AP61" s="69" t="s">
        <v>483</v>
      </c>
      <c r="AQ61" s="69" t="s">
        <v>3408</v>
      </c>
      <c r="AR61" s="69"/>
      <c r="AS61" s="69"/>
      <c r="AT61" s="69"/>
      <c r="AU61" s="69"/>
      <c r="AV61" s="69" t="s">
        <v>556</v>
      </c>
      <c r="AW61" s="69" t="s">
        <v>556</v>
      </c>
      <c r="AX61" s="69" t="s">
        <v>556</v>
      </c>
      <c r="AY61" s="69" t="s">
        <v>556</v>
      </c>
      <c r="AZ61" s="69" t="s">
        <v>2263</v>
      </c>
      <c r="BA61" s="69" t="s">
        <v>2263</v>
      </c>
      <c r="BB61" s="69" t="s">
        <v>2263</v>
      </c>
      <c r="BC61" s="69" t="s">
        <v>2263</v>
      </c>
      <c r="BD61" s="69" t="s">
        <v>2263</v>
      </c>
      <c r="BE61" s="69" t="s">
        <v>2263</v>
      </c>
      <c r="BF61" s="69" t="s">
        <v>1146</v>
      </c>
      <c r="BG61" s="69" t="s">
        <v>1146</v>
      </c>
      <c r="BH61" s="69"/>
      <c r="BI61" s="69"/>
      <c r="BJ61" s="69" t="s">
        <v>1328</v>
      </c>
      <c r="BK61" s="69" t="s">
        <v>2462</v>
      </c>
      <c r="BL61" s="69" t="s">
        <v>2142</v>
      </c>
      <c r="BM61" s="69"/>
      <c r="BN61" s="69"/>
      <c r="BO61" s="69"/>
      <c r="BP61" s="69" t="s">
        <v>625</v>
      </c>
      <c r="BQ61" s="69" t="s">
        <v>625</v>
      </c>
      <c r="BR61" s="69"/>
      <c r="BS61" s="69"/>
      <c r="BT61" s="69"/>
      <c r="BU61" s="69"/>
      <c r="BV61" s="69"/>
      <c r="BW61" s="69" t="s">
        <v>1146</v>
      </c>
      <c r="BX61" s="69" t="s">
        <v>1146</v>
      </c>
      <c r="BY61" s="69"/>
      <c r="BZ61" s="69" t="s">
        <v>1685</v>
      </c>
      <c r="CA61" s="69" t="s">
        <v>2747</v>
      </c>
      <c r="CB61" s="69" t="s">
        <v>1685</v>
      </c>
      <c r="CC61" s="69"/>
      <c r="CD61" s="69"/>
      <c r="CE61" s="69" t="s">
        <v>1737</v>
      </c>
      <c r="CF61" s="69" t="s">
        <v>1737</v>
      </c>
      <c r="CG61" s="69" t="s">
        <v>1737</v>
      </c>
      <c r="CH61" s="69" t="s">
        <v>1737</v>
      </c>
      <c r="CI61" s="69" t="s">
        <v>3555</v>
      </c>
      <c r="CJ61" s="69" t="s">
        <v>3555</v>
      </c>
      <c r="CK61" s="69" t="s">
        <v>3606</v>
      </c>
      <c r="CL61" s="69" t="s">
        <v>3566</v>
      </c>
      <c r="CM61" s="69" t="s">
        <v>769</v>
      </c>
      <c r="CN61" s="69" t="s">
        <v>769</v>
      </c>
      <c r="CO61" s="69" t="s">
        <v>963</v>
      </c>
      <c r="CP61" s="69" t="s">
        <v>3180</v>
      </c>
      <c r="CQ61" s="69" t="s">
        <v>3180</v>
      </c>
      <c r="CR61" s="69" t="s">
        <v>3180</v>
      </c>
      <c r="CS61" s="69" t="s">
        <v>2502</v>
      </c>
      <c r="CT61" s="69" t="s">
        <v>861</v>
      </c>
      <c r="CU61" s="69" t="s">
        <v>861</v>
      </c>
      <c r="CV61" s="69"/>
      <c r="CW61" s="69"/>
      <c r="CX61" s="69" t="s">
        <v>707</v>
      </c>
      <c r="CY61" s="69"/>
      <c r="CZ61" s="69"/>
      <c r="DA61" s="69" t="s">
        <v>2141</v>
      </c>
      <c r="DB61" s="69" t="s">
        <v>926</v>
      </c>
      <c r="DC61" s="69" t="s">
        <v>926</v>
      </c>
      <c r="DD61" s="69" t="s">
        <v>926</v>
      </c>
      <c r="DE61" s="69"/>
      <c r="DF61" s="69"/>
      <c r="DG61" s="152" t="s">
        <v>3363</v>
      </c>
      <c r="DH61" s="69"/>
      <c r="DI61" s="69" t="s">
        <v>1023</v>
      </c>
      <c r="DJ61" s="69" t="s">
        <v>1023</v>
      </c>
      <c r="DK61" s="69" t="s">
        <v>1976</v>
      </c>
      <c r="DL61" s="69" t="s">
        <v>3470</v>
      </c>
      <c r="DM61" s="69"/>
      <c r="DN61" s="69"/>
      <c r="DO61" s="69"/>
      <c r="DP61" s="69"/>
      <c r="DQ61" s="69" t="s">
        <v>3</v>
      </c>
      <c r="DR61" s="69" t="s">
        <v>1392</v>
      </c>
      <c r="DS61" s="69" t="s">
        <v>1328</v>
      </c>
      <c r="DT61" s="69" t="s">
        <v>1204</v>
      </c>
      <c r="DU61" s="69" t="s">
        <v>1204</v>
      </c>
      <c r="DV61" s="69" t="s">
        <v>556</v>
      </c>
      <c r="DW61" s="69" t="s">
        <v>430</v>
      </c>
      <c r="DX61" s="69" t="s">
        <v>430</v>
      </c>
      <c r="DY61" s="69" t="s">
        <v>1512</v>
      </c>
      <c r="DZ61" s="69"/>
    </row>
    <row r="62" spans="1:130" s="18" customFormat="1" ht="22.5" customHeight="1" x14ac:dyDescent="0.15">
      <c r="A62" s="25" t="s">
        <v>9</v>
      </c>
      <c r="B62" s="46" t="s">
        <v>95</v>
      </c>
      <c r="C62" s="46" t="s">
        <v>95</v>
      </c>
      <c r="D62" s="46" t="s">
        <v>95</v>
      </c>
      <c r="E62" s="46" t="s">
        <v>95</v>
      </c>
      <c r="F62" s="46" t="s">
        <v>95</v>
      </c>
      <c r="G62" s="46" t="s">
        <v>95</v>
      </c>
      <c r="H62" s="46" t="s">
        <v>95</v>
      </c>
      <c r="I62" s="46" t="s">
        <v>95</v>
      </c>
      <c r="J62" s="46" t="s">
        <v>95</v>
      </c>
      <c r="K62" s="46" t="s">
        <v>95</v>
      </c>
      <c r="L62" s="46" t="s">
        <v>95</v>
      </c>
      <c r="M62" s="46" t="s">
        <v>95</v>
      </c>
      <c r="N62" s="46" t="s">
        <v>3</v>
      </c>
      <c r="O62" s="46" t="s">
        <v>95</v>
      </c>
      <c r="P62" s="46" t="s">
        <v>95</v>
      </c>
      <c r="Q62" s="46" t="s">
        <v>95</v>
      </c>
      <c r="R62" s="46" t="s">
        <v>3239</v>
      </c>
      <c r="S62" s="117" t="s">
        <v>95</v>
      </c>
      <c r="T62" s="117" t="s">
        <v>95</v>
      </c>
      <c r="U62" s="46" t="s">
        <v>95</v>
      </c>
      <c r="V62" s="46" t="s">
        <v>95</v>
      </c>
      <c r="W62" s="101" t="s">
        <v>95</v>
      </c>
      <c r="X62" s="46" t="s">
        <v>95</v>
      </c>
      <c r="Y62" s="46" t="s">
        <v>95</v>
      </c>
      <c r="Z62" s="46" t="s">
        <v>95</v>
      </c>
      <c r="AA62" s="46" t="s">
        <v>3</v>
      </c>
      <c r="AB62" s="46" t="s">
        <v>3</v>
      </c>
      <c r="AC62" s="46" t="s">
        <v>95</v>
      </c>
      <c r="AD62" s="46" t="s">
        <v>95</v>
      </c>
      <c r="AE62" s="46" t="s">
        <v>3</v>
      </c>
      <c r="AF62" s="46" t="s">
        <v>95</v>
      </c>
      <c r="AG62" s="46" t="s">
        <v>95</v>
      </c>
      <c r="AH62" s="46" t="s">
        <v>95</v>
      </c>
      <c r="AI62" s="46" t="s">
        <v>95</v>
      </c>
      <c r="AJ62" s="46" t="s">
        <v>95</v>
      </c>
      <c r="AK62" s="47" t="s">
        <v>2989</v>
      </c>
      <c r="AL62" s="47" t="s">
        <v>2989</v>
      </c>
      <c r="AM62" s="46" t="s">
        <v>95</v>
      </c>
      <c r="AN62" s="20" t="s">
        <v>95</v>
      </c>
      <c r="AO62" s="130" t="s">
        <v>95</v>
      </c>
      <c r="AP62" s="20" t="s">
        <v>95</v>
      </c>
      <c r="AQ62" s="44" t="s">
        <v>95</v>
      </c>
      <c r="AR62" s="44" t="s">
        <v>95</v>
      </c>
      <c r="AS62" s="44" t="s">
        <v>95</v>
      </c>
      <c r="AT62" s="44" t="s">
        <v>95</v>
      </c>
      <c r="AU62" s="42" t="s">
        <v>95</v>
      </c>
      <c r="AV62" s="20" t="s">
        <v>194</v>
      </c>
      <c r="AW62" s="44" t="s">
        <v>95</v>
      </c>
      <c r="AX62" s="20" t="s">
        <v>194</v>
      </c>
      <c r="AY62" s="44" t="s">
        <v>95</v>
      </c>
      <c r="AZ62" s="20" t="s">
        <v>95</v>
      </c>
      <c r="BA62" s="20" t="s">
        <v>3100</v>
      </c>
      <c r="BB62" s="20" t="s">
        <v>3100</v>
      </c>
      <c r="BC62" s="20" t="s">
        <v>95</v>
      </c>
      <c r="BD62" s="20" t="s">
        <v>95</v>
      </c>
      <c r="BE62" s="20" t="s">
        <v>95</v>
      </c>
      <c r="BF62" s="47" t="s">
        <v>95</v>
      </c>
      <c r="BG62" s="47" t="s">
        <v>95</v>
      </c>
      <c r="BH62" s="47" t="s">
        <v>95</v>
      </c>
      <c r="BI62" s="46" t="s">
        <v>95</v>
      </c>
      <c r="BJ62" s="46" t="s">
        <v>95</v>
      </c>
      <c r="BK62" s="46" t="s">
        <v>95</v>
      </c>
      <c r="BL62" s="50" t="s">
        <v>95</v>
      </c>
      <c r="BM62" s="46" t="s">
        <v>95</v>
      </c>
      <c r="BN62" s="46" t="s">
        <v>95</v>
      </c>
      <c r="BO62" s="46" t="s">
        <v>95</v>
      </c>
      <c r="BP62" s="46" t="s">
        <v>95</v>
      </c>
      <c r="BQ62" s="46" t="s">
        <v>95</v>
      </c>
      <c r="BR62" s="46" t="s">
        <v>95</v>
      </c>
      <c r="BS62" s="46" t="s">
        <v>95</v>
      </c>
      <c r="BT62" s="46" t="s">
        <v>95</v>
      </c>
      <c r="BU62" s="46" t="s">
        <v>95</v>
      </c>
      <c r="BV62" s="46" t="s">
        <v>95</v>
      </c>
      <c r="BW62" s="46" t="s">
        <v>95</v>
      </c>
      <c r="BX62" s="46" t="s">
        <v>95</v>
      </c>
      <c r="BY62" s="46" t="s">
        <v>95</v>
      </c>
      <c r="BZ62" s="46" t="s">
        <v>95</v>
      </c>
      <c r="CA62" s="46" t="s">
        <v>95</v>
      </c>
      <c r="CB62" s="46" t="s">
        <v>95</v>
      </c>
      <c r="CC62" s="50" t="s">
        <v>95</v>
      </c>
      <c r="CD62" s="46" t="s">
        <v>95</v>
      </c>
      <c r="CE62" s="46" t="s">
        <v>95</v>
      </c>
      <c r="CF62" s="46" t="s">
        <v>95</v>
      </c>
      <c r="CG62" s="46" t="s">
        <v>95</v>
      </c>
      <c r="CH62" s="46" t="s">
        <v>95</v>
      </c>
      <c r="CI62" s="46" t="s">
        <v>95</v>
      </c>
      <c r="CJ62" s="46" t="s">
        <v>95</v>
      </c>
      <c r="CK62" s="46" t="s">
        <v>95</v>
      </c>
      <c r="CL62" s="46" t="s">
        <v>95</v>
      </c>
      <c r="CM62" s="46" t="s">
        <v>95</v>
      </c>
      <c r="CN62" s="46" t="s">
        <v>95</v>
      </c>
      <c r="CO62" s="46" t="s">
        <v>95</v>
      </c>
      <c r="CP62" s="46" t="s">
        <v>95</v>
      </c>
      <c r="CQ62" s="20" t="s">
        <v>3178</v>
      </c>
      <c r="CR62" s="20" t="s">
        <v>3178</v>
      </c>
      <c r="CS62" s="46" t="s">
        <v>95</v>
      </c>
      <c r="CT62" s="46" t="s">
        <v>95</v>
      </c>
      <c r="CU62" s="46" t="s">
        <v>95</v>
      </c>
      <c r="CV62" s="46" t="s">
        <v>95</v>
      </c>
      <c r="CW62" s="47" t="s">
        <v>95</v>
      </c>
      <c r="CX62" s="46" t="s">
        <v>95</v>
      </c>
      <c r="CY62" s="46" t="s">
        <v>95</v>
      </c>
      <c r="CZ62" s="46" t="s">
        <v>95</v>
      </c>
      <c r="DA62" s="46" t="s">
        <v>95</v>
      </c>
      <c r="DB62" s="46" t="s">
        <v>95</v>
      </c>
      <c r="DC62" s="46" t="s">
        <v>95</v>
      </c>
      <c r="DD62" s="46" t="s">
        <v>95</v>
      </c>
      <c r="DE62" s="47" t="s">
        <v>294</v>
      </c>
      <c r="DF62" s="46" t="s">
        <v>295</v>
      </c>
      <c r="DG62" s="146" t="s">
        <v>95</v>
      </c>
      <c r="DH62" s="46" t="s">
        <v>95</v>
      </c>
      <c r="DI62" s="46" t="s">
        <v>95</v>
      </c>
      <c r="DJ62" s="46" t="s">
        <v>95</v>
      </c>
      <c r="DK62" s="46" t="s">
        <v>95</v>
      </c>
      <c r="DL62" s="46" t="s">
        <v>95</v>
      </c>
      <c r="DM62" s="46" t="s">
        <v>95</v>
      </c>
      <c r="DN62" s="46" t="s">
        <v>95</v>
      </c>
      <c r="DO62" s="46" t="s">
        <v>95</v>
      </c>
      <c r="DP62" s="46" t="s">
        <v>95</v>
      </c>
      <c r="DQ62" s="47" t="s">
        <v>3</v>
      </c>
      <c r="DR62" s="46" t="s">
        <v>3</v>
      </c>
      <c r="DS62" s="47" t="s">
        <v>95</v>
      </c>
      <c r="DT62" s="47" t="s">
        <v>95</v>
      </c>
      <c r="DU62" s="47" t="s">
        <v>95</v>
      </c>
      <c r="DV62" s="46" t="s">
        <v>95</v>
      </c>
      <c r="DW62" s="46" t="s">
        <v>95</v>
      </c>
      <c r="DX62" s="46" t="s">
        <v>95</v>
      </c>
      <c r="DY62" s="46" t="s">
        <v>95</v>
      </c>
      <c r="DZ62" s="44"/>
    </row>
    <row r="63" spans="1:130" s="18" customFormat="1" ht="12" customHeight="1" x14ac:dyDescent="0.15">
      <c r="A63" s="76" t="s">
        <v>402</v>
      </c>
      <c r="B63" s="69"/>
      <c r="C63" s="69" t="s">
        <v>2785</v>
      </c>
      <c r="D63" s="69" t="s">
        <v>2785</v>
      </c>
      <c r="E63" s="69" t="s">
        <v>1600</v>
      </c>
      <c r="F63" s="69"/>
      <c r="G63" s="69" t="s">
        <v>1591</v>
      </c>
      <c r="H63" s="69" t="s">
        <v>1471</v>
      </c>
      <c r="I63" s="69" t="s">
        <v>1471</v>
      </c>
      <c r="J63" s="69" t="s">
        <v>1471</v>
      </c>
      <c r="K63" s="69" t="s">
        <v>1471</v>
      </c>
      <c r="L63" s="69" t="s">
        <v>1471</v>
      </c>
      <c r="M63" s="69" t="s">
        <v>1471</v>
      </c>
      <c r="N63" s="69" t="s">
        <v>3</v>
      </c>
      <c r="O63" s="69"/>
      <c r="P63" s="69"/>
      <c r="Q63" s="69"/>
      <c r="R63" s="69" t="s">
        <v>3239</v>
      </c>
      <c r="S63" s="128"/>
      <c r="T63" s="128"/>
      <c r="U63" s="69" t="s">
        <v>2549</v>
      </c>
      <c r="V63" s="69"/>
      <c r="W63" s="106" t="s">
        <v>1329</v>
      </c>
      <c r="X63" s="69" t="s">
        <v>1329</v>
      </c>
      <c r="Y63" s="69" t="s">
        <v>2309</v>
      </c>
      <c r="Z63" s="69" t="s">
        <v>2602</v>
      </c>
      <c r="AA63" s="69" t="s">
        <v>3</v>
      </c>
      <c r="AB63" s="69" t="s">
        <v>3</v>
      </c>
      <c r="AC63" s="69" t="s">
        <v>707</v>
      </c>
      <c r="AD63" s="69" t="s">
        <v>707</v>
      </c>
      <c r="AE63" s="69" t="s">
        <v>707</v>
      </c>
      <c r="AF63" s="69" t="s">
        <v>707</v>
      </c>
      <c r="AG63" s="69" t="s">
        <v>707</v>
      </c>
      <c r="AH63" s="69" t="s">
        <v>2849</v>
      </c>
      <c r="AI63" s="69" t="s">
        <v>2849</v>
      </c>
      <c r="AJ63" s="69" t="s">
        <v>2849</v>
      </c>
      <c r="AK63" s="69" t="s">
        <v>3084</v>
      </c>
      <c r="AL63" s="69" t="s">
        <v>3085</v>
      </c>
      <c r="AM63" s="69" t="s">
        <v>3082</v>
      </c>
      <c r="AN63" s="69" t="s">
        <v>483</v>
      </c>
      <c r="AO63" s="131"/>
      <c r="AP63" s="69" t="s">
        <v>483</v>
      </c>
      <c r="AQ63" s="69" t="s">
        <v>3408</v>
      </c>
      <c r="AR63" s="69"/>
      <c r="AS63" s="69"/>
      <c r="AT63" s="69"/>
      <c r="AU63" s="69"/>
      <c r="AV63" s="69" t="s">
        <v>522</v>
      </c>
      <c r="AW63" s="69" t="s">
        <v>523</v>
      </c>
      <c r="AX63" s="69" t="s">
        <v>522</v>
      </c>
      <c r="AY63" s="69" t="s">
        <v>523</v>
      </c>
      <c r="AZ63" s="69" t="s">
        <v>2264</v>
      </c>
      <c r="BA63" s="69" t="s">
        <v>3111</v>
      </c>
      <c r="BB63" s="69" t="s">
        <v>3111</v>
      </c>
      <c r="BC63" s="69" t="s">
        <v>2264</v>
      </c>
      <c r="BD63" s="69" t="s">
        <v>2264</v>
      </c>
      <c r="BE63" s="69" t="s">
        <v>2264</v>
      </c>
      <c r="BF63" s="69" t="s">
        <v>1146</v>
      </c>
      <c r="BG63" s="69" t="s">
        <v>1146</v>
      </c>
      <c r="BH63" s="69"/>
      <c r="BI63" s="69"/>
      <c r="BJ63" s="69" t="s">
        <v>1329</v>
      </c>
      <c r="BK63" s="69" t="s">
        <v>2463</v>
      </c>
      <c r="BL63" s="69" t="s">
        <v>2142</v>
      </c>
      <c r="BM63" s="69"/>
      <c r="BN63" s="69"/>
      <c r="BO63" s="69"/>
      <c r="BP63" s="69" t="s">
        <v>624</v>
      </c>
      <c r="BQ63" s="69" t="s">
        <v>624</v>
      </c>
      <c r="BR63" s="69"/>
      <c r="BS63" s="69"/>
      <c r="BT63" s="69"/>
      <c r="BU63" s="69"/>
      <c r="BV63" s="69"/>
      <c r="BW63" s="69" t="s">
        <v>1146</v>
      </c>
      <c r="BX63" s="69" t="s">
        <v>1146</v>
      </c>
      <c r="BY63" s="69"/>
      <c r="BZ63" s="69" t="s">
        <v>1686</v>
      </c>
      <c r="CA63" s="69" t="s">
        <v>2748</v>
      </c>
      <c r="CB63" s="69" t="s">
        <v>1686</v>
      </c>
      <c r="CC63" s="69"/>
      <c r="CD63" s="69"/>
      <c r="CE63" s="69" t="s">
        <v>1737</v>
      </c>
      <c r="CF63" s="69" t="s">
        <v>1737</v>
      </c>
      <c r="CG63" s="69" t="s">
        <v>1737</v>
      </c>
      <c r="CH63" s="69" t="s">
        <v>1737</v>
      </c>
      <c r="CI63" s="69" t="s">
        <v>3555</v>
      </c>
      <c r="CJ63" s="69" t="s">
        <v>3555</v>
      </c>
      <c r="CK63" s="69" t="s">
        <v>3608</v>
      </c>
      <c r="CL63" s="69" t="s">
        <v>1737</v>
      </c>
      <c r="CM63" s="69" t="s">
        <v>769</v>
      </c>
      <c r="CN63" s="69" t="s">
        <v>769</v>
      </c>
      <c r="CO63" s="69" t="s">
        <v>963</v>
      </c>
      <c r="CP63" s="69" t="s">
        <v>3180</v>
      </c>
      <c r="CQ63" s="69" t="s">
        <v>3179</v>
      </c>
      <c r="CR63" s="69" t="s">
        <v>3179</v>
      </c>
      <c r="CS63" s="69" t="s">
        <v>2502</v>
      </c>
      <c r="CT63" s="69" t="s">
        <v>861</v>
      </c>
      <c r="CU63" s="69" t="s">
        <v>861</v>
      </c>
      <c r="CV63" s="69"/>
      <c r="CW63" s="69"/>
      <c r="CX63" s="69" t="s">
        <v>707</v>
      </c>
      <c r="CY63" s="69"/>
      <c r="CZ63" s="69"/>
      <c r="DA63" s="69" t="s">
        <v>2144</v>
      </c>
      <c r="DB63" s="69" t="s">
        <v>926</v>
      </c>
      <c r="DC63" s="69" t="s">
        <v>926</v>
      </c>
      <c r="DD63" s="69" t="s">
        <v>926</v>
      </c>
      <c r="DE63" s="69"/>
      <c r="DF63" s="69"/>
      <c r="DG63" s="152" t="s">
        <v>3364</v>
      </c>
      <c r="DH63" s="69"/>
      <c r="DI63" s="69" t="s">
        <v>1024</v>
      </c>
      <c r="DJ63" s="69" t="s">
        <v>1024</v>
      </c>
      <c r="DK63" s="69" t="s">
        <v>1978</v>
      </c>
      <c r="DL63" s="69" t="s">
        <v>3471</v>
      </c>
      <c r="DM63" s="69"/>
      <c r="DN63" s="69"/>
      <c r="DO63" s="69"/>
      <c r="DP63" s="69"/>
      <c r="DQ63" s="69" t="s">
        <v>3</v>
      </c>
      <c r="DR63" s="69" t="s">
        <v>1392</v>
      </c>
      <c r="DS63" s="69" t="s">
        <v>1329</v>
      </c>
      <c r="DT63" s="69" t="s">
        <v>1204</v>
      </c>
      <c r="DU63" s="69" t="s">
        <v>1204</v>
      </c>
      <c r="DV63" s="69" t="s">
        <v>1539</v>
      </c>
      <c r="DW63" s="69" t="s">
        <v>430</v>
      </c>
      <c r="DX63" s="69" t="s">
        <v>430</v>
      </c>
      <c r="DY63" s="69" t="s">
        <v>1512</v>
      </c>
      <c r="DZ63" s="69"/>
    </row>
    <row r="64" spans="1:130" s="18" customFormat="1" ht="22.5" customHeight="1" x14ac:dyDescent="0.15">
      <c r="A64" s="25" t="s">
        <v>30</v>
      </c>
      <c r="B64" s="46" t="s">
        <v>3</v>
      </c>
      <c r="C64" s="46" t="s">
        <v>3</v>
      </c>
      <c r="D64" s="46" t="s">
        <v>3</v>
      </c>
      <c r="E64" s="46" t="s">
        <v>95</v>
      </c>
      <c r="F64" s="46" t="s">
        <v>95</v>
      </c>
      <c r="G64" s="46" t="s">
        <v>95</v>
      </c>
      <c r="H64" s="46" t="s">
        <v>95</v>
      </c>
      <c r="I64" s="46" t="s">
        <v>95</v>
      </c>
      <c r="J64" s="46" t="s">
        <v>95</v>
      </c>
      <c r="K64" s="46" t="s">
        <v>95</v>
      </c>
      <c r="L64" s="46" t="s">
        <v>95</v>
      </c>
      <c r="M64" s="46" t="s">
        <v>95</v>
      </c>
      <c r="N64" s="47" t="s">
        <v>1355</v>
      </c>
      <c r="O64" s="46" t="s">
        <v>94</v>
      </c>
      <c r="P64" s="46" t="s">
        <v>94</v>
      </c>
      <c r="Q64" s="46" t="s">
        <v>94</v>
      </c>
      <c r="R64" s="47" t="s">
        <v>3239</v>
      </c>
      <c r="S64" s="117" t="s">
        <v>95</v>
      </c>
      <c r="T64" s="117" t="s">
        <v>95</v>
      </c>
      <c r="U64" s="46" t="s">
        <v>95</v>
      </c>
      <c r="V64" s="46" t="s">
        <v>95</v>
      </c>
      <c r="W64" s="101" t="s">
        <v>95</v>
      </c>
      <c r="X64" s="46" t="s">
        <v>95</v>
      </c>
      <c r="Y64" s="46" t="s">
        <v>3</v>
      </c>
      <c r="Z64" s="46" t="s">
        <v>3</v>
      </c>
      <c r="AA64" s="46" t="s">
        <v>3</v>
      </c>
      <c r="AB64" s="46" t="s">
        <v>94</v>
      </c>
      <c r="AC64" s="46" t="s">
        <v>94</v>
      </c>
      <c r="AD64" s="46" t="s">
        <v>94</v>
      </c>
      <c r="AE64" s="46" t="s">
        <v>94</v>
      </c>
      <c r="AF64" s="46" t="s">
        <v>94</v>
      </c>
      <c r="AG64" s="46" t="s">
        <v>94</v>
      </c>
      <c r="AH64" s="47" t="s">
        <v>2852</v>
      </c>
      <c r="AI64" s="46" t="s">
        <v>94</v>
      </c>
      <c r="AJ64" s="46" t="s">
        <v>94</v>
      </c>
      <c r="AK64" s="47" t="s">
        <v>2980</v>
      </c>
      <c r="AL64" s="47" t="s">
        <v>2980</v>
      </c>
      <c r="AM64" s="47" t="s">
        <v>2980</v>
      </c>
      <c r="AN64" s="20" t="s">
        <v>95</v>
      </c>
      <c r="AO64" s="130" t="s">
        <v>95</v>
      </c>
      <c r="AP64" s="20" t="s">
        <v>95</v>
      </c>
      <c r="AQ64" s="20" t="s">
        <v>95</v>
      </c>
      <c r="AR64" s="20" t="s">
        <v>95</v>
      </c>
      <c r="AS64" s="20" t="s">
        <v>95</v>
      </c>
      <c r="AT64" s="20" t="s">
        <v>95</v>
      </c>
      <c r="AU64" s="20" t="s">
        <v>94</v>
      </c>
      <c r="AV64" s="20" t="s">
        <v>94</v>
      </c>
      <c r="AW64" s="20" t="s">
        <v>94</v>
      </c>
      <c r="AX64" s="20" t="s">
        <v>94</v>
      </c>
      <c r="AY64" s="20" t="s">
        <v>94</v>
      </c>
      <c r="AZ64" s="20" t="s">
        <v>651</v>
      </c>
      <c r="BA64" s="20" t="s">
        <v>651</v>
      </c>
      <c r="BB64" s="20" t="s">
        <v>651</v>
      </c>
      <c r="BC64" s="20" t="s">
        <v>3</v>
      </c>
      <c r="BD64" s="20" t="s">
        <v>3</v>
      </c>
      <c r="BE64" s="20" t="s">
        <v>3</v>
      </c>
      <c r="BF64" s="20" t="s">
        <v>94</v>
      </c>
      <c r="BG64" s="20" t="s">
        <v>94</v>
      </c>
      <c r="BH64" s="47" t="s">
        <v>94</v>
      </c>
      <c r="BI64" s="46" t="s">
        <v>95</v>
      </c>
      <c r="BJ64" s="46" t="s">
        <v>95</v>
      </c>
      <c r="BK64" s="46" t="s">
        <v>95</v>
      </c>
      <c r="BL64" s="46" t="s">
        <v>651</v>
      </c>
      <c r="BM64" s="46" t="s">
        <v>95</v>
      </c>
      <c r="BN64" s="46" t="s">
        <v>95</v>
      </c>
      <c r="BO64" s="46" t="s">
        <v>3</v>
      </c>
      <c r="BP64" s="46" t="s">
        <v>95</v>
      </c>
      <c r="BQ64" s="46" t="s">
        <v>3</v>
      </c>
      <c r="BR64" s="46" t="s">
        <v>95</v>
      </c>
      <c r="BS64" s="46" t="s">
        <v>3</v>
      </c>
      <c r="BT64" s="46" t="s">
        <v>3</v>
      </c>
      <c r="BU64" s="46" t="s">
        <v>3</v>
      </c>
      <c r="BV64" s="46" t="s">
        <v>3</v>
      </c>
      <c r="BW64" s="46" t="s">
        <v>94</v>
      </c>
      <c r="BX64" s="46" t="s">
        <v>94</v>
      </c>
      <c r="BY64" s="46" t="s">
        <v>95</v>
      </c>
      <c r="BZ64" s="46" t="s">
        <v>95</v>
      </c>
      <c r="CA64" s="46" t="s">
        <v>95</v>
      </c>
      <c r="CB64" s="46" t="s">
        <v>95</v>
      </c>
      <c r="CC64" s="50" t="s">
        <v>95</v>
      </c>
      <c r="CD64" s="46" t="s">
        <v>95</v>
      </c>
      <c r="CE64" s="46" t="s">
        <v>95</v>
      </c>
      <c r="CF64" s="46" t="s">
        <v>95</v>
      </c>
      <c r="CG64" s="46" t="s">
        <v>95</v>
      </c>
      <c r="CH64" s="46" t="s">
        <v>95</v>
      </c>
      <c r="CI64" s="46" t="s">
        <v>95</v>
      </c>
      <c r="CJ64" s="46" t="s">
        <v>95</v>
      </c>
      <c r="CK64" s="46" t="s">
        <v>95</v>
      </c>
      <c r="CL64" s="46" t="s">
        <v>95</v>
      </c>
      <c r="CM64" s="50" t="s">
        <v>94</v>
      </c>
      <c r="CN64" s="50" t="s">
        <v>94</v>
      </c>
      <c r="CO64" s="46" t="s">
        <v>94</v>
      </c>
      <c r="CP64" s="46" t="s">
        <v>94</v>
      </c>
      <c r="CQ64" s="46" t="s">
        <v>94</v>
      </c>
      <c r="CR64" s="46" t="s">
        <v>94</v>
      </c>
      <c r="CS64" s="46" t="s">
        <v>95</v>
      </c>
      <c r="CT64" s="46" t="s">
        <v>94</v>
      </c>
      <c r="CU64" s="46" t="s">
        <v>94</v>
      </c>
      <c r="CV64" s="46" t="s">
        <v>3</v>
      </c>
      <c r="CW64" s="47" t="s">
        <v>3</v>
      </c>
      <c r="CX64" s="46" t="s">
        <v>94</v>
      </c>
      <c r="CY64" s="46" t="s">
        <v>94</v>
      </c>
      <c r="CZ64" s="46" t="s">
        <v>94</v>
      </c>
      <c r="DA64" s="46" t="s">
        <v>3</v>
      </c>
      <c r="DB64" s="46" t="s">
        <v>94</v>
      </c>
      <c r="DC64" s="46" t="s">
        <v>94</v>
      </c>
      <c r="DD64" s="46" t="s">
        <v>94</v>
      </c>
      <c r="DE64" s="46" t="s">
        <v>95</v>
      </c>
      <c r="DF64" s="46" t="s">
        <v>3</v>
      </c>
      <c r="DG64" s="146" t="s">
        <v>3</v>
      </c>
      <c r="DH64" s="46" t="s">
        <v>3</v>
      </c>
      <c r="DI64" s="46" t="s">
        <v>3</v>
      </c>
      <c r="DJ64" s="46" t="s">
        <v>3</v>
      </c>
      <c r="DK64" s="46" t="s">
        <v>95</v>
      </c>
      <c r="DL64" s="46" t="s">
        <v>3</v>
      </c>
      <c r="DM64" s="46" t="s">
        <v>94</v>
      </c>
      <c r="DN64" s="46" t="s">
        <v>94</v>
      </c>
      <c r="DO64" s="46" t="s">
        <v>94</v>
      </c>
      <c r="DP64" s="46" t="s">
        <v>94</v>
      </c>
      <c r="DQ64" s="47" t="s">
        <v>3</v>
      </c>
      <c r="DR64" s="46" t="s">
        <v>3</v>
      </c>
      <c r="DS64" s="47" t="s">
        <v>3</v>
      </c>
      <c r="DT64" s="47" t="s">
        <v>272</v>
      </c>
      <c r="DU64" s="47" t="s">
        <v>272</v>
      </c>
      <c r="DV64" s="46" t="s">
        <v>3</v>
      </c>
      <c r="DW64" s="46" t="s">
        <v>3</v>
      </c>
      <c r="DX64" s="46" t="s">
        <v>3</v>
      </c>
      <c r="DY64" s="46" t="s">
        <v>3</v>
      </c>
      <c r="DZ64" s="20"/>
    </row>
    <row r="65" spans="1:130" s="18" customFormat="1" ht="12" customHeight="1" x14ac:dyDescent="0.15">
      <c r="A65" s="76" t="s">
        <v>402</v>
      </c>
      <c r="B65" s="69"/>
      <c r="C65" s="69" t="s">
        <v>3</v>
      </c>
      <c r="D65" s="69" t="s">
        <v>3</v>
      </c>
      <c r="E65" s="69" t="s">
        <v>1591</v>
      </c>
      <c r="F65" s="69"/>
      <c r="G65" s="69" t="s">
        <v>1591</v>
      </c>
      <c r="H65" s="69" t="s">
        <v>1463</v>
      </c>
      <c r="I65" s="69" t="s">
        <v>1463</v>
      </c>
      <c r="J65" s="69" t="s">
        <v>1463</v>
      </c>
      <c r="K65" s="69" t="s">
        <v>1463</v>
      </c>
      <c r="L65" s="69" t="s">
        <v>1463</v>
      </c>
      <c r="M65" s="69" t="s">
        <v>1463</v>
      </c>
      <c r="N65" s="69" t="s">
        <v>1354</v>
      </c>
      <c r="O65" s="69"/>
      <c r="P65" s="69"/>
      <c r="Q65" s="69"/>
      <c r="R65" s="69" t="s">
        <v>3239</v>
      </c>
      <c r="S65" s="128"/>
      <c r="T65" s="128"/>
      <c r="U65" s="69" t="s">
        <v>1737</v>
      </c>
      <c r="V65" s="69"/>
      <c r="W65" s="106" t="s">
        <v>1300</v>
      </c>
      <c r="X65" s="69" t="s">
        <v>1300</v>
      </c>
      <c r="Y65" s="69" t="s">
        <v>3</v>
      </c>
      <c r="Z65" s="69" t="s">
        <v>3</v>
      </c>
      <c r="AA65" s="69" t="s">
        <v>3</v>
      </c>
      <c r="AB65" s="69" t="s">
        <v>403</v>
      </c>
      <c r="AC65" s="69" t="s">
        <v>403</v>
      </c>
      <c r="AD65" s="69" t="s">
        <v>403</v>
      </c>
      <c r="AE65" s="69" t="s">
        <v>403</v>
      </c>
      <c r="AF65" s="69" t="s">
        <v>403</v>
      </c>
      <c r="AG65" s="69" t="s">
        <v>403</v>
      </c>
      <c r="AH65" s="69" t="s">
        <v>2848</v>
      </c>
      <c r="AI65" s="69" t="s">
        <v>405</v>
      </c>
      <c r="AJ65" s="69" t="s">
        <v>405</v>
      </c>
      <c r="AK65" s="69" t="s">
        <v>3086</v>
      </c>
      <c r="AL65" s="69" t="s">
        <v>3086</v>
      </c>
      <c r="AM65" s="69" t="s">
        <v>3086</v>
      </c>
      <c r="AN65" s="69" t="s">
        <v>483</v>
      </c>
      <c r="AO65" s="131"/>
      <c r="AP65" s="69" t="s">
        <v>483</v>
      </c>
      <c r="AQ65" s="69" t="s">
        <v>3408</v>
      </c>
      <c r="AR65" s="69"/>
      <c r="AS65" s="69"/>
      <c r="AT65" s="69"/>
      <c r="AU65" s="69"/>
      <c r="AV65" s="69" t="s">
        <v>561</v>
      </c>
      <c r="AW65" s="69" t="s">
        <v>561</v>
      </c>
      <c r="AX65" s="69" t="s">
        <v>561</v>
      </c>
      <c r="AY65" s="69" t="s">
        <v>561</v>
      </c>
      <c r="AZ65" s="69" t="s">
        <v>851</v>
      </c>
      <c r="BA65" s="69" t="s">
        <v>851</v>
      </c>
      <c r="BB65" s="69" t="s">
        <v>851</v>
      </c>
      <c r="BC65" s="69" t="s">
        <v>3</v>
      </c>
      <c r="BD65" s="69" t="s">
        <v>3</v>
      </c>
      <c r="BE65" s="69" t="s">
        <v>3</v>
      </c>
      <c r="BF65" s="69" t="s">
        <v>1145</v>
      </c>
      <c r="BG65" s="69" t="s">
        <v>1145</v>
      </c>
      <c r="BH65" s="69"/>
      <c r="BI65" s="69"/>
      <c r="BJ65" s="69" t="s">
        <v>1903</v>
      </c>
      <c r="BK65" s="69" t="s">
        <v>2464</v>
      </c>
      <c r="BL65" s="69" t="s">
        <v>2365</v>
      </c>
      <c r="BM65" s="69"/>
      <c r="BN65" s="69"/>
      <c r="BO65" s="69"/>
      <c r="BP65" s="69" t="s">
        <v>601</v>
      </c>
      <c r="BQ65" s="69" t="s">
        <v>3</v>
      </c>
      <c r="BR65" s="69"/>
      <c r="BS65" s="69"/>
      <c r="BT65" s="69"/>
      <c r="BU65" s="69"/>
      <c r="BV65" s="69"/>
      <c r="BW65" s="69" t="s">
        <v>552</v>
      </c>
      <c r="BX65" s="69" t="s">
        <v>552</v>
      </c>
      <c r="BY65" s="69"/>
      <c r="BZ65" s="69" t="s">
        <v>1686</v>
      </c>
      <c r="CA65" s="69" t="s">
        <v>2748</v>
      </c>
      <c r="CB65" s="69" t="s">
        <v>1686</v>
      </c>
      <c r="CC65" s="69"/>
      <c r="CD65" s="69"/>
      <c r="CE65" s="69" t="s">
        <v>1737</v>
      </c>
      <c r="CF65" s="69" t="s">
        <v>1737</v>
      </c>
      <c r="CG65" s="69" t="s">
        <v>1737</v>
      </c>
      <c r="CH65" s="69" t="s">
        <v>1737</v>
      </c>
      <c r="CI65" s="69" t="s">
        <v>3622</v>
      </c>
      <c r="CJ65" s="69" t="s">
        <v>3555</v>
      </c>
      <c r="CK65" s="69" t="s">
        <v>3608</v>
      </c>
      <c r="CL65" s="69" t="s">
        <v>1737</v>
      </c>
      <c r="CM65" s="69" t="s">
        <v>789</v>
      </c>
      <c r="CN65" s="69" t="s">
        <v>789</v>
      </c>
      <c r="CO65" s="69" t="s">
        <v>3</v>
      </c>
      <c r="CP65" s="69" t="s">
        <v>405</v>
      </c>
      <c r="CQ65" s="69" t="s">
        <v>405</v>
      </c>
      <c r="CR65" s="69" t="s">
        <v>405</v>
      </c>
      <c r="CS65" s="69" t="s">
        <v>2502</v>
      </c>
      <c r="CT65" s="69" t="s">
        <v>552</v>
      </c>
      <c r="CU65" s="69" t="s">
        <v>552</v>
      </c>
      <c r="CV65" s="69"/>
      <c r="CW65" s="69"/>
      <c r="CX65" s="69" t="s">
        <v>405</v>
      </c>
      <c r="CY65" s="69"/>
      <c r="CZ65" s="69"/>
      <c r="DA65" s="69" t="s">
        <v>2145</v>
      </c>
      <c r="DB65" s="69" t="s">
        <v>927</v>
      </c>
      <c r="DC65" s="69" t="s">
        <v>927</v>
      </c>
      <c r="DD65" s="69" t="s">
        <v>927</v>
      </c>
      <c r="DE65" s="69"/>
      <c r="DF65" s="69"/>
      <c r="DG65" s="152" t="s">
        <v>3</v>
      </c>
      <c r="DH65" s="69"/>
      <c r="DI65" s="69" t="s">
        <v>3</v>
      </c>
      <c r="DJ65" s="69" t="s">
        <v>3</v>
      </c>
      <c r="DK65" s="69" t="s">
        <v>1979</v>
      </c>
      <c r="DL65" s="69"/>
      <c r="DM65" s="69"/>
      <c r="DN65" s="69"/>
      <c r="DO65" s="69"/>
      <c r="DP65" s="69"/>
      <c r="DQ65" s="69" t="s">
        <v>3</v>
      </c>
      <c r="DR65" s="69" t="s">
        <v>1392</v>
      </c>
      <c r="DS65" s="69" t="s">
        <v>3</v>
      </c>
      <c r="DT65" s="69" t="s">
        <v>1163</v>
      </c>
      <c r="DU65" s="69" t="s">
        <v>1163</v>
      </c>
      <c r="DV65" s="69" t="s">
        <v>3</v>
      </c>
      <c r="DW65" s="69" t="s">
        <v>3</v>
      </c>
      <c r="DX65" s="69" t="s">
        <v>3</v>
      </c>
      <c r="DY65" s="69" t="s">
        <v>3</v>
      </c>
      <c r="DZ65" s="69"/>
    </row>
    <row r="66" spans="1:130" s="18" customFormat="1" ht="22.5" customHeight="1" x14ac:dyDescent="0.15">
      <c r="A66" s="25" t="s">
        <v>143</v>
      </c>
      <c r="B66" s="46" t="s">
        <v>3</v>
      </c>
      <c r="C66" s="46" t="s">
        <v>3</v>
      </c>
      <c r="D66" s="46" t="s">
        <v>3</v>
      </c>
      <c r="E66" s="46" t="s">
        <v>3</v>
      </c>
      <c r="F66" s="46" t="s">
        <v>3</v>
      </c>
      <c r="G66" s="46" t="s">
        <v>3</v>
      </c>
      <c r="H66" s="46" t="s">
        <v>3</v>
      </c>
      <c r="I66" s="46" t="s">
        <v>3</v>
      </c>
      <c r="J66" s="46" t="s">
        <v>3</v>
      </c>
      <c r="K66" s="46" t="s">
        <v>3</v>
      </c>
      <c r="L66" s="46" t="s">
        <v>3</v>
      </c>
      <c r="M66" s="46" t="s">
        <v>3</v>
      </c>
      <c r="N66" s="46" t="s">
        <v>3</v>
      </c>
      <c r="O66" s="46" t="s">
        <v>3</v>
      </c>
      <c r="P66" s="46" t="s">
        <v>3</v>
      </c>
      <c r="Q66" s="46" t="s">
        <v>3</v>
      </c>
      <c r="R66" s="46" t="s">
        <v>3239</v>
      </c>
      <c r="S66" s="117" t="s">
        <v>3239</v>
      </c>
      <c r="T66" s="117" t="s">
        <v>3239</v>
      </c>
      <c r="U66" s="46" t="s">
        <v>3</v>
      </c>
      <c r="V66" s="46" t="s">
        <v>3</v>
      </c>
      <c r="W66" s="101" t="s">
        <v>3</v>
      </c>
      <c r="X66" s="46" t="s">
        <v>3</v>
      </c>
      <c r="Y66" s="46" t="s">
        <v>3</v>
      </c>
      <c r="Z66" s="46" t="s">
        <v>3</v>
      </c>
      <c r="AA66" s="46" t="s">
        <v>3</v>
      </c>
      <c r="AB66" s="46" t="s">
        <v>3</v>
      </c>
      <c r="AC66" s="46" t="s">
        <v>3</v>
      </c>
      <c r="AD66" s="46" t="s">
        <v>3</v>
      </c>
      <c r="AE66" s="46" t="s">
        <v>3</v>
      </c>
      <c r="AF66" s="46" t="s">
        <v>3</v>
      </c>
      <c r="AG66" s="46" t="s">
        <v>3</v>
      </c>
      <c r="AH66" s="46" t="s">
        <v>3</v>
      </c>
      <c r="AI66" s="46" t="s">
        <v>3</v>
      </c>
      <c r="AJ66" s="46" t="s">
        <v>3</v>
      </c>
      <c r="AK66" s="46" t="s">
        <v>3</v>
      </c>
      <c r="AL66" s="46" t="s">
        <v>3</v>
      </c>
      <c r="AM66" s="46" t="s">
        <v>3</v>
      </c>
      <c r="AN66" s="20" t="s">
        <v>3</v>
      </c>
      <c r="AO66" s="130" t="s">
        <v>3239</v>
      </c>
      <c r="AP66" s="20" t="s">
        <v>3</v>
      </c>
      <c r="AQ66" s="44" t="s">
        <v>3</v>
      </c>
      <c r="AR66" s="44" t="s">
        <v>3</v>
      </c>
      <c r="AS66" s="44" t="s">
        <v>3</v>
      </c>
      <c r="AT66" s="44" t="s">
        <v>3</v>
      </c>
      <c r="AU66" s="42" t="s">
        <v>3</v>
      </c>
      <c r="AV66" s="20" t="s">
        <v>3</v>
      </c>
      <c r="AW66" s="20" t="s">
        <v>3</v>
      </c>
      <c r="AX66" s="20" t="s">
        <v>3</v>
      </c>
      <c r="AY66" s="20" t="s">
        <v>3</v>
      </c>
      <c r="AZ66" s="47" t="s">
        <v>3</v>
      </c>
      <c r="BA66" s="47" t="s">
        <v>3</v>
      </c>
      <c r="BB66" s="47" t="s">
        <v>3</v>
      </c>
      <c r="BC66" s="46" t="s">
        <v>3</v>
      </c>
      <c r="BD66" s="20" t="s">
        <v>3</v>
      </c>
      <c r="BE66" s="20" t="s">
        <v>3</v>
      </c>
      <c r="BF66" s="47" t="s">
        <v>3</v>
      </c>
      <c r="BG66" s="47" t="s">
        <v>3</v>
      </c>
      <c r="BH66" s="47" t="s">
        <v>3</v>
      </c>
      <c r="BI66" s="46" t="s">
        <v>3</v>
      </c>
      <c r="BJ66" s="46" t="s">
        <v>3</v>
      </c>
      <c r="BK66" s="46" t="s">
        <v>3</v>
      </c>
      <c r="BL66" s="46" t="s">
        <v>3</v>
      </c>
      <c r="BM66" s="46" t="s">
        <v>3</v>
      </c>
      <c r="BN66" s="46" t="s">
        <v>3</v>
      </c>
      <c r="BO66" s="46" t="s">
        <v>3</v>
      </c>
      <c r="BP66" s="46" t="s">
        <v>3</v>
      </c>
      <c r="BQ66" s="46" t="s">
        <v>3</v>
      </c>
      <c r="BR66" s="46" t="s">
        <v>95</v>
      </c>
      <c r="BS66" s="46" t="s">
        <v>3</v>
      </c>
      <c r="BT66" s="46" t="s">
        <v>3</v>
      </c>
      <c r="BU66" s="46" t="s">
        <v>3</v>
      </c>
      <c r="BV66" s="46" t="s">
        <v>3</v>
      </c>
      <c r="BW66" s="46" t="s">
        <v>3</v>
      </c>
      <c r="BX66" s="46" t="s">
        <v>3</v>
      </c>
      <c r="BY66" s="46" t="s">
        <v>3</v>
      </c>
      <c r="BZ66" s="46" t="s">
        <v>3</v>
      </c>
      <c r="CA66" s="46" t="s">
        <v>3</v>
      </c>
      <c r="CB66" s="46" t="s">
        <v>3</v>
      </c>
      <c r="CC66" s="46" t="s">
        <v>3</v>
      </c>
      <c r="CD66" s="46" t="s">
        <v>3</v>
      </c>
      <c r="CE66" s="46" t="s">
        <v>95</v>
      </c>
      <c r="CF66" s="46" t="s">
        <v>95</v>
      </c>
      <c r="CG66" s="46" t="s">
        <v>95</v>
      </c>
      <c r="CH66" s="46" t="s">
        <v>3</v>
      </c>
      <c r="CI66" s="46" t="s">
        <v>3</v>
      </c>
      <c r="CJ66" s="46" t="s">
        <v>3</v>
      </c>
      <c r="CK66" s="46" t="s">
        <v>95</v>
      </c>
      <c r="CL66" s="46" t="s">
        <v>3</v>
      </c>
      <c r="CM66" s="50" t="s">
        <v>3</v>
      </c>
      <c r="CN66" s="50" t="s">
        <v>3</v>
      </c>
      <c r="CO66" s="46" t="s">
        <v>3</v>
      </c>
      <c r="CP66" s="46" t="s">
        <v>3</v>
      </c>
      <c r="CQ66" s="46" t="s">
        <v>3</v>
      </c>
      <c r="CR66" s="46" t="s">
        <v>3</v>
      </c>
      <c r="CS66" s="46" t="s">
        <v>95</v>
      </c>
      <c r="CT66" s="46" t="s">
        <v>3</v>
      </c>
      <c r="CU66" s="46" t="s">
        <v>3</v>
      </c>
      <c r="CV66" s="46" t="s">
        <v>3</v>
      </c>
      <c r="CW66" s="47" t="s">
        <v>3</v>
      </c>
      <c r="CX66" s="46" t="s">
        <v>3</v>
      </c>
      <c r="CY66" s="46" t="s">
        <v>3</v>
      </c>
      <c r="CZ66" s="46" t="s">
        <v>3</v>
      </c>
      <c r="DA66" s="46" t="s">
        <v>3</v>
      </c>
      <c r="DB66" s="46" t="s">
        <v>3</v>
      </c>
      <c r="DC66" s="46" t="s">
        <v>3</v>
      </c>
      <c r="DD66" s="46" t="s">
        <v>3</v>
      </c>
      <c r="DE66" s="46" t="s">
        <v>3</v>
      </c>
      <c r="DF66" s="46" t="s">
        <v>3</v>
      </c>
      <c r="DG66" s="146" t="s">
        <v>3</v>
      </c>
      <c r="DH66" s="46" t="s">
        <v>3</v>
      </c>
      <c r="DI66" s="46" t="s">
        <v>3</v>
      </c>
      <c r="DJ66" s="46" t="s">
        <v>3</v>
      </c>
      <c r="DK66" s="46" t="s">
        <v>3</v>
      </c>
      <c r="DL66" s="46" t="s">
        <v>3</v>
      </c>
      <c r="DM66" s="46" t="s">
        <v>3</v>
      </c>
      <c r="DN66" s="46" t="s">
        <v>3</v>
      </c>
      <c r="DO66" s="46" t="s">
        <v>3</v>
      </c>
      <c r="DP66" s="46" t="s">
        <v>3</v>
      </c>
      <c r="DQ66" s="47" t="s">
        <v>3</v>
      </c>
      <c r="DR66" s="46" t="s">
        <v>3</v>
      </c>
      <c r="DS66" s="47" t="s">
        <v>3</v>
      </c>
      <c r="DT66" s="47" t="s">
        <v>3</v>
      </c>
      <c r="DU66" s="47" t="s">
        <v>3</v>
      </c>
      <c r="DV66" s="46" t="s">
        <v>3</v>
      </c>
      <c r="DW66" s="46" t="s">
        <v>3</v>
      </c>
      <c r="DX66" s="46" t="s">
        <v>3</v>
      </c>
      <c r="DY66" s="46" t="s">
        <v>3</v>
      </c>
      <c r="DZ66" s="44"/>
    </row>
    <row r="67" spans="1:130" s="18" customFormat="1" ht="12" customHeight="1" x14ac:dyDescent="0.15">
      <c r="A67" s="76" t="s">
        <v>402</v>
      </c>
      <c r="B67" s="69"/>
      <c r="C67" s="69" t="s">
        <v>2790</v>
      </c>
      <c r="D67" s="69" t="s">
        <v>2790</v>
      </c>
      <c r="E67" s="69" t="s">
        <v>1601</v>
      </c>
      <c r="F67" s="69"/>
      <c r="G67" s="69" t="s">
        <v>1601</v>
      </c>
      <c r="H67" s="69" t="s">
        <v>1472</v>
      </c>
      <c r="I67" s="69" t="s">
        <v>1472</v>
      </c>
      <c r="J67" s="69" t="s">
        <v>1472</v>
      </c>
      <c r="K67" s="69" t="s">
        <v>1472</v>
      </c>
      <c r="L67" s="69" t="s">
        <v>1472</v>
      </c>
      <c r="M67" s="69" t="s">
        <v>1472</v>
      </c>
      <c r="N67" s="69" t="s">
        <v>1356</v>
      </c>
      <c r="O67" s="69"/>
      <c r="P67" s="69"/>
      <c r="Q67" s="69"/>
      <c r="R67" s="69" t="s">
        <v>3239</v>
      </c>
      <c r="S67" s="128"/>
      <c r="T67" s="128"/>
      <c r="U67" s="69" t="s">
        <v>2551</v>
      </c>
      <c r="V67" s="69"/>
      <c r="W67" s="106" t="s">
        <v>1330</v>
      </c>
      <c r="X67" s="69" t="s">
        <v>1330</v>
      </c>
      <c r="Y67" s="69" t="s">
        <v>2310</v>
      </c>
      <c r="Z67" s="69" t="s">
        <v>2636</v>
      </c>
      <c r="AA67" s="69" t="s">
        <v>2196</v>
      </c>
      <c r="AB67" s="69" t="s">
        <v>708</v>
      </c>
      <c r="AC67" s="69" t="s">
        <v>708</v>
      </c>
      <c r="AD67" s="69" t="s">
        <v>708</v>
      </c>
      <c r="AE67" s="69" t="s">
        <v>708</v>
      </c>
      <c r="AF67" s="69" t="s">
        <v>708</v>
      </c>
      <c r="AG67" s="69" t="s">
        <v>708</v>
      </c>
      <c r="AH67" s="69" t="s">
        <v>2853</v>
      </c>
      <c r="AI67" s="69" t="s">
        <v>2853</v>
      </c>
      <c r="AJ67" s="69" t="s">
        <v>2853</v>
      </c>
      <c r="AK67" s="69" t="s">
        <v>3087</v>
      </c>
      <c r="AL67" s="69" t="s">
        <v>3087</v>
      </c>
      <c r="AM67" s="69" t="s">
        <v>3087</v>
      </c>
      <c r="AN67" s="69" t="s">
        <v>485</v>
      </c>
      <c r="AO67" s="131"/>
      <c r="AP67" s="69" t="s">
        <v>485</v>
      </c>
      <c r="AQ67" s="69" t="s">
        <v>3</v>
      </c>
      <c r="AR67" s="69"/>
      <c r="AS67" s="69"/>
      <c r="AT67" s="69"/>
      <c r="AU67" s="69"/>
      <c r="AV67" s="69" t="s">
        <v>555</v>
      </c>
      <c r="AW67" s="69" t="s">
        <v>555</v>
      </c>
      <c r="AX67" s="69" t="s">
        <v>555</v>
      </c>
      <c r="AY67" s="69" t="s">
        <v>555</v>
      </c>
      <c r="AZ67" s="69" t="s">
        <v>2265</v>
      </c>
      <c r="BA67" s="69" t="s">
        <v>2265</v>
      </c>
      <c r="BB67" s="69" t="s">
        <v>2265</v>
      </c>
      <c r="BC67" s="69" t="s">
        <v>2265</v>
      </c>
      <c r="BD67" s="69" t="s">
        <v>2265</v>
      </c>
      <c r="BE67" s="69" t="s">
        <v>2265</v>
      </c>
      <c r="BF67" s="69" t="s">
        <v>1147</v>
      </c>
      <c r="BG67" s="69" t="s">
        <v>1147</v>
      </c>
      <c r="BH67" s="69"/>
      <c r="BI67" s="69"/>
      <c r="BJ67" s="69" t="s">
        <v>1330</v>
      </c>
      <c r="BK67" s="69" t="s">
        <v>2465</v>
      </c>
      <c r="BL67" s="69" t="s">
        <v>2364</v>
      </c>
      <c r="BM67" s="69"/>
      <c r="BN67" s="69"/>
      <c r="BO67" s="69"/>
      <c r="BP67" s="69" t="s">
        <v>626</v>
      </c>
      <c r="BQ67" s="69" t="s">
        <v>626</v>
      </c>
      <c r="BR67" s="69"/>
      <c r="BS67" s="69"/>
      <c r="BT67" s="69"/>
      <c r="BU67" s="69"/>
      <c r="BV67" s="69"/>
      <c r="BW67" s="69" t="s">
        <v>1147</v>
      </c>
      <c r="BX67" s="69" t="s">
        <v>1147</v>
      </c>
      <c r="BY67" s="69"/>
      <c r="BZ67" s="69" t="s">
        <v>1687</v>
      </c>
      <c r="CA67" s="69" t="s">
        <v>2749</v>
      </c>
      <c r="CB67" s="69" t="s">
        <v>1687</v>
      </c>
      <c r="CC67" s="69"/>
      <c r="CD67" s="69"/>
      <c r="CE67" s="69" t="s">
        <v>1737</v>
      </c>
      <c r="CF67" s="69" t="s">
        <v>1737</v>
      </c>
      <c r="CG67" s="69" t="s">
        <v>1737</v>
      </c>
      <c r="CH67" s="69" t="s">
        <v>1738</v>
      </c>
      <c r="CI67" s="69" t="s">
        <v>1738</v>
      </c>
      <c r="CJ67" s="69" t="s">
        <v>2551</v>
      </c>
      <c r="CK67" s="69" t="s">
        <v>3607</v>
      </c>
      <c r="CL67" s="69" t="s">
        <v>1738</v>
      </c>
      <c r="CM67" s="69" t="s">
        <v>771</v>
      </c>
      <c r="CN67" s="69" t="s">
        <v>771</v>
      </c>
      <c r="CO67" s="69" t="s">
        <v>964</v>
      </c>
      <c r="CP67" s="69" t="s">
        <v>3228</v>
      </c>
      <c r="CQ67" s="69" t="s">
        <v>3228</v>
      </c>
      <c r="CR67" s="69" t="s">
        <v>3228</v>
      </c>
      <c r="CS67" s="69" t="s">
        <v>2502</v>
      </c>
      <c r="CT67" s="69" t="s">
        <v>862</v>
      </c>
      <c r="CU67" s="69" t="s">
        <v>862</v>
      </c>
      <c r="CV67" s="69"/>
      <c r="CW67" s="69"/>
      <c r="CX67" s="69" t="s">
        <v>1266</v>
      </c>
      <c r="CY67" s="69"/>
      <c r="CZ67" s="69"/>
      <c r="DA67" s="69" t="s">
        <v>2146</v>
      </c>
      <c r="DB67" s="69" t="s">
        <v>928</v>
      </c>
      <c r="DC67" s="69" t="s">
        <v>928</v>
      </c>
      <c r="DD67" s="69" t="s">
        <v>928</v>
      </c>
      <c r="DE67" s="69"/>
      <c r="DF67" s="69"/>
      <c r="DG67" s="152" t="s">
        <v>3365</v>
      </c>
      <c r="DH67" s="69"/>
      <c r="DI67" s="69" t="s">
        <v>1025</v>
      </c>
      <c r="DJ67" s="69" t="s">
        <v>1025</v>
      </c>
      <c r="DK67" s="69" t="s">
        <v>1980</v>
      </c>
      <c r="DL67" s="69" t="s">
        <v>3472</v>
      </c>
      <c r="DM67" s="69"/>
      <c r="DN67" s="69"/>
      <c r="DO67" s="69"/>
      <c r="DP67" s="69"/>
      <c r="DQ67" s="69" t="s">
        <v>2922</v>
      </c>
      <c r="DR67" s="69" t="s">
        <v>1392</v>
      </c>
      <c r="DS67" s="69" t="s">
        <v>1330</v>
      </c>
      <c r="DT67" s="69" t="s">
        <v>431</v>
      </c>
      <c r="DU67" s="69" t="s">
        <v>431</v>
      </c>
      <c r="DV67" s="69" t="s">
        <v>1570</v>
      </c>
      <c r="DW67" s="69" t="s">
        <v>431</v>
      </c>
      <c r="DX67" s="69" t="s">
        <v>431</v>
      </c>
      <c r="DY67" s="69" t="s">
        <v>1513</v>
      </c>
      <c r="DZ67" s="69"/>
    </row>
    <row r="68" spans="1:130" ht="15" customHeight="1" x14ac:dyDescent="0.15">
      <c r="A68" s="28"/>
      <c r="B68" s="31"/>
      <c r="C68" s="31"/>
      <c r="D68" s="31"/>
      <c r="E68" s="31"/>
      <c r="F68" s="31"/>
      <c r="G68" s="31"/>
      <c r="H68" s="31"/>
      <c r="I68" s="31"/>
      <c r="J68" s="31"/>
      <c r="K68" s="31"/>
      <c r="L68" s="31"/>
      <c r="M68" s="31"/>
      <c r="N68" s="31"/>
      <c r="O68" s="31"/>
      <c r="P68" s="31"/>
      <c r="Q68" s="31"/>
      <c r="R68" s="31"/>
      <c r="S68" s="113"/>
      <c r="T68" s="116"/>
      <c r="U68" s="31"/>
      <c r="V68" s="31"/>
      <c r="W68" s="31"/>
      <c r="X68" s="31"/>
      <c r="Y68" s="31"/>
      <c r="Z68" s="32"/>
      <c r="AA68" s="31"/>
      <c r="AB68" s="31"/>
      <c r="AC68" s="31"/>
      <c r="AD68" s="31"/>
      <c r="AE68" s="31"/>
      <c r="AF68" s="31"/>
      <c r="AG68" s="31"/>
      <c r="AH68" s="31"/>
      <c r="AI68" s="31"/>
      <c r="AJ68" s="31"/>
      <c r="AK68" s="31"/>
      <c r="AL68" s="31"/>
      <c r="AM68" s="31"/>
      <c r="AN68" s="31"/>
      <c r="AO68" s="132"/>
      <c r="AP68" s="31"/>
      <c r="AQ68" s="31"/>
      <c r="AR68" s="31"/>
      <c r="AS68" s="31"/>
      <c r="AT68" s="31"/>
      <c r="AU68" s="31"/>
      <c r="AV68" s="31"/>
      <c r="AW68" s="31"/>
      <c r="AX68" s="31"/>
      <c r="AY68" s="31"/>
      <c r="AZ68" s="32"/>
      <c r="BA68" s="31"/>
      <c r="BB68" s="31"/>
      <c r="BC68" s="32"/>
      <c r="BD68" s="31"/>
      <c r="BE68" s="31"/>
      <c r="BI68" s="32"/>
      <c r="BJ68" s="32"/>
      <c r="BK68" s="32"/>
      <c r="BL68" s="32"/>
      <c r="BM68" s="31"/>
      <c r="BN68" s="31"/>
      <c r="BO68" s="31"/>
      <c r="BP68" s="31"/>
      <c r="BQ68" s="31"/>
      <c r="BR68" s="31"/>
      <c r="BS68" s="32"/>
      <c r="BT68" s="32"/>
      <c r="BU68" s="32"/>
      <c r="BV68" s="32"/>
      <c r="BW68" s="31"/>
      <c r="BX68" s="31"/>
      <c r="BY68" s="32"/>
      <c r="BZ68" s="32"/>
      <c r="CA68" s="32"/>
      <c r="CB68" s="32"/>
      <c r="CC68" s="32"/>
      <c r="CD68" s="32"/>
      <c r="CE68" s="46" t="s">
        <v>3</v>
      </c>
      <c r="CF68" s="46" t="s">
        <v>3</v>
      </c>
      <c r="CG68" s="46" t="s">
        <v>95</v>
      </c>
      <c r="CH68" s="32"/>
      <c r="CI68" s="32"/>
      <c r="CJ68" s="32"/>
      <c r="CK68" s="32"/>
      <c r="CL68" s="32"/>
      <c r="CM68" s="32"/>
      <c r="CN68" s="32"/>
      <c r="CO68" s="31"/>
      <c r="CP68" s="32"/>
      <c r="CQ68" s="31"/>
      <c r="CR68" s="31"/>
      <c r="CS68" s="32"/>
      <c r="CT68" s="32"/>
      <c r="CU68" s="32"/>
      <c r="CV68" s="32"/>
      <c r="CX68" s="31"/>
      <c r="CY68" s="32"/>
      <c r="CZ68" s="32"/>
      <c r="DA68" s="32"/>
      <c r="DB68" s="32"/>
      <c r="DC68" s="32"/>
      <c r="DD68" s="32"/>
      <c r="DG68" s="143"/>
      <c r="DH68" s="32"/>
      <c r="DI68" s="32"/>
      <c r="DJ68" s="32"/>
      <c r="DK68" s="32"/>
      <c r="DL68" s="32"/>
      <c r="DM68" s="63"/>
      <c r="DN68" s="63"/>
      <c r="DO68" s="31"/>
      <c r="DP68" s="31"/>
      <c r="DQ68" s="22"/>
      <c r="DR68" s="31"/>
      <c r="DS68" s="22"/>
      <c r="DT68" s="22"/>
      <c r="DV68" s="31"/>
      <c r="DW68" s="32"/>
      <c r="DX68" s="32"/>
      <c r="DY68" s="31"/>
      <c r="DZ68" s="31"/>
    </row>
    <row r="69" spans="1:130" ht="22.5" customHeight="1" x14ac:dyDescent="0.15">
      <c r="A69" s="90" t="s">
        <v>144</v>
      </c>
      <c r="B69" s="56"/>
      <c r="C69" s="56"/>
      <c r="D69" s="56"/>
      <c r="E69" s="56"/>
      <c r="F69" s="56"/>
      <c r="G69" s="56"/>
      <c r="H69" s="56"/>
      <c r="I69" s="56"/>
      <c r="J69" s="56"/>
      <c r="K69" s="56"/>
      <c r="L69" s="56"/>
      <c r="M69" s="56"/>
      <c r="N69" s="56"/>
      <c r="O69" s="56"/>
      <c r="P69" s="56"/>
      <c r="Q69" s="56"/>
      <c r="R69" s="56"/>
      <c r="S69" s="113"/>
      <c r="T69" s="116"/>
      <c r="U69" s="56"/>
      <c r="V69" s="56"/>
      <c r="W69" s="56"/>
      <c r="X69" s="56"/>
      <c r="Y69" s="56"/>
      <c r="Z69" s="56"/>
      <c r="AA69" s="56"/>
      <c r="AB69" s="56"/>
      <c r="AC69" s="56"/>
      <c r="AD69" s="56"/>
      <c r="AE69" s="56"/>
      <c r="AF69" s="56"/>
      <c r="AG69" s="56"/>
      <c r="AH69" s="56"/>
      <c r="AI69" s="56"/>
      <c r="AJ69" s="56"/>
      <c r="AK69" s="56"/>
      <c r="AL69" s="56"/>
      <c r="AM69" s="56"/>
      <c r="AN69" s="56"/>
      <c r="AO69" s="132"/>
      <c r="AP69" s="56"/>
      <c r="AQ69" s="56"/>
      <c r="AR69" s="56"/>
      <c r="AS69" s="56"/>
      <c r="AT69" s="56"/>
      <c r="AU69" s="56"/>
      <c r="AV69" s="56"/>
      <c r="AW69" s="56"/>
      <c r="AX69" s="56"/>
      <c r="AY69" s="56"/>
      <c r="AZ69" s="56"/>
      <c r="BA69" s="56"/>
      <c r="BB69" s="56"/>
      <c r="BC69" s="56"/>
      <c r="BD69" s="56"/>
      <c r="BE69" s="56"/>
      <c r="BF69" s="28"/>
      <c r="BG69" s="28"/>
      <c r="BH69" s="28"/>
      <c r="BI69" s="56"/>
      <c r="BJ69" s="56"/>
      <c r="BK69" s="56"/>
      <c r="BL69" s="56"/>
      <c r="BM69" s="56"/>
      <c r="BN69" s="56"/>
      <c r="BO69" s="56"/>
      <c r="BP69" s="56"/>
      <c r="BQ69" s="56"/>
      <c r="BR69" s="56"/>
      <c r="BS69" s="56"/>
      <c r="BT69" s="56"/>
      <c r="BU69" s="56"/>
      <c r="BV69" s="56"/>
      <c r="BW69" s="56"/>
      <c r="BX69" s="56"/>
      <c r="BY69" s="56"/>
      <c r="BZ69" s="56"/>
      <c r="CA69" s="56"/>
      <c r="CB69" s="56"/>
      <c r="CC69" s="56"/>
      <c r="CD69" s="56"/>
      <c r="CE69" s="69" t="s">
        <v>1738</v>
      </c>
      <c r="CF69" s="69" t="s">
        <v>1738</v>
      </c>
      <c r="CG69" s="69" t="s">
        <v>1737</v>
      </c>
      <c r="CH69" s="56"/>
      <c r="CI69" s="56"/>
      <c r="CJ69" s="56"/>
      <c r="CK69" s="56"/>
      <c r="CL69" s="56"/>
      <c r="CM69" s="56"/>
      <c r="CN69" s="56"/>
      <c r="CO69" s="56"/>
      <c r="CP69" s="56"/>
      <c r="CQ69" s="56"/>
      <c r="CR69" s="56"/>
      <c r="CS69" s="56"/>
      <c r="CT69" s="56"/>
      <c r="CU69" s="56"/>
      <c r="CV69" s="56"/>
      <c r="CW69" s="28"/>
      <c r="CX69" s="56"/>
      <c r="CY69" s="56"/>
      <c r="CZ69" s="56"/>
      <c r="DA69" s="56"/>
      <c r="DB69" s="56"/>
      <c r="DC69" s="56"/>
      <c r="DD69" s="56"/>
      <c r="DG69" s="150"/>
      <c r="DH69" s="56"/>
      <c r="DI69" s="56"/>
      <c r="DJ69" s="56"/>
      <c r="DK69" s="56"/>
      <c r="DL69" s="56"/>
      <c r="DM69" s="56"/>
      <c r="DN69" s="56"/>
      <c r="DO69" s="56"/>
      <c r="DP69" s="56"/>
      <c r="DQ69" s="56"/>
      <c r="DR69" s="56"/>
      <c r="DS69" s="56"/>
      <c r="DT69" s="56"/>
      <c r="DU69" s="28"/>
      <c r="DV69" s="56"/>
      <c r="DW69" s="56"/>
      <c r="DX69" s="56"/>
      <c r="DY69" s="56"/>
      <c r="DZ69" s="56"/>
    </row>
    <row r="70" spans="1:130" s="18" customFormat="1" ht="22.5" customHeight="1" x14ac:dyDescent="0.15">
      <c r="A70" s="25" t="s">
        <v>22</v>
      </c>
      <c r="B70" s="46" t="s">
        <v>95</v>
      </c>
      <c r="C70" s="46" t="s">
        <v>95</v>
      </c>
      <c r="D70" s="46" t="s">
        <v>95</v>
      </c>
      <c r="E70" s="46" t="s">
        <v>95</v>
      </c>
      <c r="F70" s="46" t="s">
        <v>95</v>
      </c>
      <c r="G70" s="46" t="s">
        <v>95</v>
      </c>
      <c r="H70" s="46" t="s">
        <v>95</v>
      </c>
      <c r="I70" s="46" t="s">
        <v>95</v>
      </c>
      <c r="J70" s="46" t="s">
        <v>95</v>
      </c>
      <c r="K70" s="46" t="s">
        <v>95</v>
      </c>
      <c r="L70" s="46" t="s">
        <v>95</v>
      </c>
      <c r="M70" s="46" t="s">
        <v>95</v>
      </c>
      <c r="N70" s="47" t="s">
        <v>1357</v>
      </c>
      <c r="O70" s="46" t="s">
        <v>95</v>
      </c>
      <c r="P70" s="46" t="s">
        <v>95</v>
      </c>
      <c r="Q70" s="46" t="s">
        <v>95</v>
      </c>
      <c r="R70" s="47" t="s">
        <v>95</v>
      </c>
      <c r="S70" s="117" t="s">
        <v>14</v>
      </c>
      <c r="T70" s="117" t="s">
        <v>95</v>
      </c>
      <c r="U70" s="47" t="s">
        <v>95</v>
      </c>
      <c r="V70" s="46" t="s">
        <v>3</v>
      </c>
      <c r="W70" s="62" t="s">
        <v>95</v>
      </c>
      <c r="X70" s="47" t="s">
        <v>95</v>
      </c>
      <c r="Y70" s="46" t="s">
        <v>95</v>
      </c>
      <c r="Z70" s="46" t="s">
        <v>95</v>
      </c>
      <c r="AA70" s="47" t="s">
        <v>2192</v>
      </c>
      <c r="AB70" s="46" t="s">
        <v>95</v>
      </c>
      <c r="AC70" s="46" t="s">
        <v>95</v>
      </c>
      <c r="AD70" s="46" t="s">
        <v>95</v>
      </c>
      <c r="AE70" s="46" t="s">
        <v>95</v>
      </c>
      <c r="AF70" s="46" t="s">
        <v>95</v>
      </c>
      <c r="AG70" s="46" t="s">
        <v>95</v>
      </c>
      <c r="AH70" s="46" t="s">
        <v>95</v>
      </c>
      <c r="AI70" s="46" t="s">
        <v>95</v>
      </c>
      <c r="AJ70" s="46" t="s">
        <v>95</v>
      </c>
      <c r="AK70" s="46" t="s">
        <v>95</v>
      </c>
      <c r="AL70" s="46" t="s">
        <v>95</v>
      </c>
      <c r="AM70" s="46" t="s">
        <v>95</v>
      </c>
      <c r="AN70" s="20" t="s">
        <v>95</v>
      </c>
      <c r="AO70" s="130" t="s">
        <v>95</v>
      </c>
      <c r="AP70" s="20" t="s">
        <v>95</v>
      </c>
      <c r="AQ70" s="46" t="s">
        <v>238</v>
      </c>
      <c r="AR70" s="44" t="s">
        <v>95</v>
      </c>
      <c r="AS70" s="44" t="s">
        <v>95</v>
      </c>
      <c r="AT70" s="44" t="s">
        <v>95</v>
      </c>
      <c r="AU70" s="42" t="s">
        <v>95</v>
      </c>
      <c r="AV70" s="20" t="s">
        <v>95</v>
      </c>
      <c r="AW70" s="20" t="s">
        <v>95</v>
      </c>
      <c r="AX70" s="20" t="s">
        <v>95</v>
      </c>
      <c r="AY70" s="20" t="s">
        <v>95</v>
      </c>
      <c r="AZ70" s="20" t="s">
        <v>95</v>
      </c>
      <c r="BA70" s="20" t="s">
        <v>95</v>
      </c>
      <c r="BB70" s="20" t="s">
        <v>95</v>
      </c>
      <c r="BC70" s="20" t="s">
        <v>95</v>
      </c>
      <c r="BD70" s="20" t="s">
        <v>95</v>
      </c>
      <c r="BE70" s="20" t="s">
        <v>95</v>
      </c>
      <c r="BF70" s="47" t="s">
        <v>95</v>
      </c>
      <c r="BG70" s="47" t="s">
        <v>95</v>
      </c>
      <c r="BH70" s="47" t="s">
        <v>95</v>
      </c>
      <c r="BI70" s="46" t="s">
        <v>95</v>
      </c>
      <c r="BJ70" s="46" t="s">
        <v>95</v>
      </c>
      <c r="BK70" s="46" t="s">
        <v>95</v>
      </c>
      <c r="BL70" s="46" t="s">
        <v>95</v>
      </c>
      <c r="BM70" s="46" t="s">
        <v>95</v>
      </c>
      <c r="BN70" s="46" t="s">
        <v>95</v>
      </c>
      <c r="BO70" s="46" t="s">
        <v>95</v>
      </c>
      <c r="BP70" s="46" t="s">
        <v>95</v>
      </c>
      <c r="BQ70" s="46" t="s">
        <v>95</v>
      </c>
      <c r="BR70" s="46" t="s">
        <v>95</v>
      </c>
      <c r="BS70" s="46" t="s">
        <v>95</v>
      </c>
      <c r="BT70" s="46" t="s">
        <v>95</v>
      </c>
      <c r="BU70" s="46" t="s">
        <v>95</v>
      </c>
      <c r="BV70" s="46" t="s">
        <v>95</v>
      </c>
      <c r="BW70" s="46" t="s">
        <v>95</v>
      </c>
      <c r="BX70" s="46" t="s">
        <v>95</v>
      </c>
      <c r="BY70" s="46" t="s">
        <v>95</v>
      </c>
      <c r="BZ70" s="46" t="s">
        <v>95</v>
      </c>
      <c r="CA70" s="46" t="s">
        <v>95</v>
      </c>
      <c r="CB70" s="46" t="s">
        <v>95</v>
      </c>
      <c r="CC70" s="46" t="s">
        <v>95</v>
      </c>
      <c r="CD70" s="46" t="s">
        <v>95</v>
      </c>
      <c r="CE70" s="32"/>
      <c r="CF70" s="32"/>
      <c r="CG70" s="32"/>
      <c r="CH70" s="46" t="s">
        <v>95</v>
      </c>
      <c r="CI70" s="46" t="s">
        <v>95</v>
      </c>
      <c r="CJ70" s="46" t="s">
        <v>95</v>
      </c>
      <c r="CK70" s="46" t="s">
        <v>95</v>
      </c>
      <c r="CL70" s="46" t="s">
        <v>95</v>
      </c>
      <c r="CM70" s="46" t="s">
        <v>95</v>
      </c>
      <c r="CN70" s="46" t="s">
        <v>95</v>
      </c>
      <c r="CO70" s="46" t="s">
        <v>95</v>
      </c>
      <c r="CP70" s="20" t="s">
        <v>95</v>
      </c>
      <c r="CQ70" s="20" t="s">
        <v>95</v>
      </c>
      <c r="CR70" s="20" t="s">
        <v>95</v>
      </c>
      <c r="CS70" s="46" t="s">
        <v>95</v>
      </c>
      <c r="CT70" s="46" t="s">
        <v>95</v>
      </c>
      <c r="CU70" s="46" t="s">
        <v>95</v>
      </c>
      <c r="CV70" s="46" t="s">
        <v>95</v>
      </c>
      <c r="CW70" s="47" t="s">
        <v>95</v>
      </c>
      <c r="CX70" s="46" t="s">
        <v>95</v>
      </c>
      <c r="CY70" s="46" t="s">
        <v>95</v>
      </c>
      <c r="CZ70" s="46" t="s">
        <v>95</v>
      </c>
      <c r="DA70" s="46" t="s">
        <v>95</v>
      </c>
      <c r="DB70" s="46" t="s">
        <v>95</v>
      </c>
      <c r="DC70" s="46" t="s">
        <v>95</v>
      </c>
      <c r="DD70" s="46" t="s">
        <v>95</v>
      </c>
      <c r="DE70" s="46" t="s">
        <v>95</v>
      </c>
      <c r="DF70" s="46" t="s">
        <v>95</v>
      </c>
      <c r="DG70" s="146" t="s">
        <v>95</v>
      </c>
      <c r="DH70" s="46" t="s">
        <v>95</v>
      </c>
      <c r="DI70" s="46" t="s">
        <v>95</v>
      </c>
      <c r="DJ70" s="46" t="s">
        <v>95</v>
      </c>
      <c r="DK70" s="46" t="s">
        <v>651</v>
      </c>
      <c r="DL70" s="46" t="s">
        <v>95</v>
      </c>
      <c r="DM70" s="46" t="s">
        <v>95</v>
      </c>
      <c r="DN70" s="46" t="s">
        <v>95</v>
      </c>
      <c r="DO70" s="46" t="s">
        <v>95</v>
      </c>
      <c r="DP70" s="46" t="s">
        <v>95</v>
      </c>
      <c r="DQ70" s="47" t="s">
        <v>3</v>
      </c>
      <c r="DR70" s="46" t="s">
        <v>3</v>
      </c>
      <c r="DS70" s="47" t="s">
        <v>95</v>
      </c>
      <c r="DT70" s="47" t="s">
        <v>95</v>
      </c>
      <c r="DU70" s="47" t="s">
        <v>95</v>
      </c>
      <c r="DV70" s="46" t="s">
        <v>95</v>
      </c>
      <c r="DW70" s="46" t="s">
        <v>95</v>
      </c>
      <c r="DX70" s="46" t="s">
        <v>95</v>
      </c>
      <c r="DY70" s="46" t="s">
        <v>95</v>
      </c>
      <c r="DZ70" s="44"/>
    </row>
    <row r="71" spans="1:130" s="18" customFormat="1" ht="12" customHeight="1" x14ac:dyDescent="0.15">
      <c r="A71" s="76" t="s">
        <v>402</v>
      </c>
      <c r="B71" s="69"/>
      <c r="C71" s="69" t="s">
        <v>2792</v>
      </c>
      <c r="D71" s="69" t="s">
        <v>2792</v>
      </c>
      <c r="E71" s="69" t="s">
        <v>1602</v>
      </c>
      <c r="F71" s="69"/>
      <c r="G71" s="69" t="s">
        <v>1602</v>
      </c>
      <c r="H71" s="69" t="s">
        <v>1473</v>
      </c>
      <c r="I71" s="69" t="s">
        <v>1473</v>
      </c>
      <c r="J71" s="69" t="s">
        <v>1473</v>
      </c>
      <c r="K71" s="69" t="s">
        <v>1473</v>
      </c>
      <c r="L71" s="69" t="s">
        <v>1473</v>
      </c>
      <c r="M71" s="69" t="s">
        <v>1473</v>
      </c>
      <c r="N71" s="69" t="s">
        <v>1358</v>
      </c>
      <c r="O71" s="69"/>
      <c r="P71" s="69"/>
      <c r="Q71" s="69"/>
      <c r="R71" s="69" t="s">
        <v>3244</v>
      </c>
      <c r="S71" s="128"/>
      <c r="T71" s="128"/>
      <c r="U71" s="69" t="s">
        <v>1729</v>
      </c>
      <c r="V71" s="69"/>
      <c r="W71" s="106" t="s">
        <v>1331</v>
      </c>
      <c r="X71" s="69" t="s">
        <v>1331</v>
      </c>
      <c r="Y71" s="69" t="s">
        <v>2312</v>
      </c>
      <c r="Z71" s="69" t="s">
        <v>2630</v>
      </c>
      <c r="AA71" s="69" t="s">
        <v>2181</v>
      </c>
      <c r="AB71" s="69" t="s">
        <v>709</v>
      </c>
      <c r="AC71" s="69" t="s">
        <v>709</v>
      </c>
      <c r="AD71" s="69" t="s">
        <v>709</v>
      </c>
      <c r="AE71" s="69" t="s">
        <v>709</v>
      </c>
      <c r="AF71" s="69" t="s">
        <v>709</v>
      </c>
      <c r="AG71" s="69" t="s">
        <v>709</v>
      </c>
      <c r="AH71" s="69" t="s">
        <v>2854</v>
      </c>
      <c r="AI71" s="69" t="s">
        <v>2854</v>
      </c>
      <c r="AJ71" s="69" t="s">
        <v>2854</v>
      </c>
      <c r="AK71" s="69" t="s">
        <v>3088</v>
      </c>
      <c r="AL71" s="69" t="s">
        <v>3088</v>
      </c>
      <c r="AM71" s="69" t="s">
        <v>3088</v>
      </c>
      <c r="AN71" s="69" t="s">
        <v>486</v>
      </c>
      <c r="AO71" s="131"/>
      <c r="AP71" s="69" t="s">
        <v>486</v>
      </c>
      <c r="AQ71" s="69" t="s">
        <v>3409</v>
      </c>
      <c r="AR71" s="69"/>
      <c r="AS71" s="69"/>
      <c r="AT71" s="69"/>
      <c r="AU71" s="69"/>
      <c r="AV71" s="69" t="s">
        <v>557</v>
      </c>
      <c r="AW71" s="69" t="s">
        <v>557</v>
      </c>
      <c r="AX71" s="69" t="s">
        <v>557</v>
      </c>
      <c r="AY71" s="69" t="s">
        <v>557</v>
      </c>
      <c r="AZ71" s="69" t="s">
        <v>2266</v>
      </c>
      <c r="BA71" s="69" t="s">
        <v>2266</v>
      </c>
      <c r="BB71" s="69" t="s">
        <v>2266</v>
      </c>
      <c r="BC71" s="69" t="s">
        <v>2266</v>
      </c>
      <c r="BD71" s="69" t="s">
        <v>2266</v>
      </c>
      <c r="BE71" s="69" t="s">
        <v>2266</v>
      </c>
      <c r="BF71" s="69" t="s">
        <v>1148</v>
      </c>
      <c r="BG71" s="69" t="s">
        <v>1148</v>
      </c>
      <c r="BH71" s="69"/>
      <c r="BI71" s="69"/>
      <c r="BJ71" s="69" t="s">
        <v>1331</v>
      </c>
      <c r="BK71" s="69" t="s">
        <v>2466</v>
      </c>
      <c r="BL71" s="69" t="s">
        <v>2366</v>
      </c>
      <c r="BM71" s="69"/>
      <c r="BN71" s="69"/>
      <c r="BO71" s="69"/>
      <c r="BP71" s="69" t="s">
        <v>627</v>
      </c>
      <c r="BQ71" s="69" t="s">
        <v>627</v>
      </c>
      <c r="BR71" s="69"/>
      <c r="BS71" s="69"/>
      <c r="BT71" s="69"/>
      <c r="BU71" s="69"/>
      <c r="BV71" s="69"/>
      <c r="BW71" s="69" t="s">
        <v>1148</v>
      </c>
      <c r="BX71" s="69" t="s">
        <v>1148</v>
      </c>
      <c r="BY71" s="69"/>
      <c r="BZ71" s="69" t="s">
        <v>1657</v>
      </c>
      <c r="CA71" s="69" t="s">
        <v>2707</v>
      </c>
      <c r="CB71" s="69" t="s">
        <v>1657</v>
      </c>
      <c r="CC71" s="69"/>
      <c r="CD71" s="69"/>
      <c r="CE71" s="56"/>
      <c r="CF71" s="56"/>
      <c r="CG71" s="56"/>
      <c r="CH71" s="69" t="s">
        <v>1729</v>
      </c>
      <c r="CI71" s="69" t="s">
        <v>3555</v>
      </c>
      <c r="CJ71" s="69" t="s">
        <v>3611</v>
      </c>
      <c r="CK71" s="69" t="s">
        <v>3611</v>
      </c>
      <c r="CL71" s="69" t="s">
        <v>1729</v>
      </c>
      <c r="CM71" s="69" t="s">
        <v>772</v>
      </c>
      <c r="CN71" s="69" t="s">
        <v>772</v>
      </c>
      <c r="CO71" s="69" t="s">
        <v>956</v>
      </c>
      <c r="CP71" s="69" t="s">
        <v>3230</v>
      </c>
      <c r="CQ71" s="69" t="s">
        <v>3230</v>
      </c>
      <c r="CR71" s="69" t="s">
        <v>3230</v>
      </c>
      <c r="CS71" s="69" t="s">
        <v>2502</v>
      </c>
      <c r="CT71" s="69" t="s">
        <v>860</v>
      </c>
      <c r="CU71" s="69" t="s">
        <v>860</v>
      </c>
      <c r="CV71" s="69"/>
      <c r="CW71" s="69"/>
      <c r="CX71" s="69" t="s">
        <v>1263</v>
      </c>
      <c r="CY71" s="69"/>
      <c r="CZ71" s="69"/>
      <c r="DA71" s="69" t="s">
        <v>2147</v>
      </c>
      <c r="DB71" s="69" t="s">
        <v>930</v>
      </c>
      <c r="DC71" s="69" t="s">
        <v>929</v>
      </c>
      <c r="DD71" s="69" t="s">
        <v>929</v>
      </c>
      <c r="DE71" s="69"/>
      <c r="DF71" s="69"/>
      <c r="DG71" s="152" t="s">
        <v>3366</v>
      </c>
      <c r="DH71" s="69"/>
      <c r="DI71" s="69" t="s">
        <v>1015</v>
      </c>
      <c r="DJ71" s="69" t="s">
        <v>1015</v>
      </c>
      <c r="DK71" s="69" t="s">
        <v>1981</v>
      </c>
      <c r="DL71" s="69" t="s">
        <v>3473</v>
      </c>
      <c r="DM71" s="69"/>
      <c r="DN71" s="69"/>
      <c r="DO71" s="69"/>
      <c r="DP71" s="69"/>
      <c r="DQ71" s="69" t="s">
        <v>3</v>
      </c>
      <c r="DR71" s="69" t="s">
        <v>1392</v>
      </c>
      <c r="DS71" s="69" t="s">
        <v>1331</v>
      </c>
      <c r="DT71" s="69" t="s">
        <v>1205</v>
      </c>
      <c r="DU71" s="69" t="s">
        <v>1205</v>
      </c>
      <c r="DV71" s="69" t="s">
        <v>1571</v>
      </c>
      <c r="DW71" s="69" t="s">
        <v>424</v>
      </c>
      <c r="DX71" s="69" t="s">
        <v>424</v>
      </c>
      <c r="DY71" s="69" t="s">
        <v>1514</v>
      </c>
      <c r="DZ71" s="69"/>
    </row>
    <row r="72" spans="1:130" s="18" customFormat="1" ht="22.5" customHeight="1" x14ac:dyDescent="0.15">
      <c r="A72" s="25" t="s">
        <v>26</v>
      </c>
      <c r="B72" s="46" t="s">
        <v>95</v>
      </c>
      <c r="C72" s="46" t="s">
        <v>95</v>
      </c>
      <c r="D72" s="46" t="s">
        <v>95</v>
      </c>
      <c r="E72" s="46" t="s">
        <v>95</v>
      </c>
      <c r="F72" s="46" t="s">
        <v>0</v>
      </c>
      <c r="G72" s="46" t="s">
        <v>0</v>
      </c>
      <c r="H72" s="46" t="s">
        <v>3</v>
      </c>
      <c r="I72" s="46" t="s">
        <v>95</v>
      </c>
      <c r="J72" s="46" t="s">
        <v>3</v>
      </c>
      <c r="K72" s="46" t="s">
        <v>95</v>
      </c>
      <c r="L72" s="46" t="s">
        <v>3</v>
      </c>
      <c r="M72" s="46" t="s">
        <v>95</v>
      </c>
      <c r="N72" s="46" t="s">
        <v>3</v>
      </c>
      <c r="O72" s="57" t="s">
        <v>3</v>
      </c>
      <c r="P72" s="46" t="s">
        <v>95</v>
      </c>
      <c r="Q72" s="46" t="s">
        <v>95</v>
      </c>
      <c r="R72" s="46" t="s">
        <v>3239</v>
      </c>
      <c r="S72" s="117" t="s">
        <v>95</v>
      </c>
      <c r="T72" s="117" t="s">
        <v>95</v>
      </c>
      <c r="U72" s="46" t="s">
        <v>95</v>
      </c>
      <c r="V72" s="46" t="s">
        <v>3</v>
      </c>
      <c r="W72" s="101" t="s">
        <v>95</v>
      </c>
      <c r="X72" s="46" t="s">
        <v>95</v>
      </c>
      <c r="Y72" s="46" t="s">
        <v>3</v>
      </c>
      <c r="Z72" s="46" t="s">
        <v>3</v>
      </c>
      <c r="AA72" s="46" t="s">
        <v>3</v>
      </c>
      <c r="AB72" s="57" t="s">
        <v>3</v>
      </c>
      <c r="AC72" s="57" t="s">
        <v>3</v>
      </c>
      <c r="AD72" s="57" t="s">
        <v>3</v>
      </c>
      <c r="AE72" s="46" t="s">
        <v>3</v>
      </c>
      <c r="AF72" s="46" t="s">
        <v>3</v>
      </c>
      <c r="AG72" s="46" t="s">
        <v>2404</v>
      </c>
      <c r="AH72" s="46" t="s">
        <v>2855</v>
      </c>
      <c r="AI72" s="46" t="s">
        <v>3</v>
      </c>
      <c r="AJ72" s="46" t="s">
        <v>3</v>
      </c>
      <c r="AK72" s="46" t="s">
        <v>95</v>
      </c>
      <c r="AL72" s="46" t="s">
        <v>95</v>
      </c>
      <c r="AM72" s="46" t="s">
        <v>3</v>
      </c>
      <c r="AN72" s="20" t="s">
        <v>95</v>
      </c>
      <c r="AO72" s="130" t="s">
        <v>95</v>
      </c>
      <c r="AP72" s="20" t="s">
        <v>95</v>
      </c>
      <c r="AQ72" s="44" t="s">
        <v>3</v>
      </c>
      <c r="AR72" s="44" t="s">
        <v>3</v>
      </c>
      <c r="AS72" s="44" t="s">
        <v>3</v>
      </c>
      <c r="AT72" s="44" t="s">
        <v>3</v>
      </c>
      <c r="AU72" s="42" t="s">
        <v>95</v>
      </c>
      <c r="AV72" s="20" t="s">
        <v>3</v>
      </c>
      <c r="AW72" s="44" t="s">
        <v>95</v>
      </c>
      <c r="AX72" s="20" t="s">
        <v>3</v>
      </c>
      <c r="AY72" s="44" t="s">
        <v>95</v>
      </c>
      <c r="AZ72" s="46" t="s">
        <v>3</v>
      </c>
      <c r="BA72" s="44" t="s">
        <v>2209</v>
      </c>
      <c r="BB72" s="44" t="s">
        <v>2209</v>
      </c>
      <c r="BC72" s="46" t="s">
        <v>3</v>
      </c>
      <c r="BD72" s="44" t="s">
        <v>2209</v>
      </c>
      <c r="BE72" s="44" t="s">
        <v>2209</v>
      </c>
      <c r="BF72" s="47" t="s">
        <v>3</v>
      </c>
      <c r="BG72" s="47" t="s">
        <v>95</v>
      </c>
      <c r="BH72" s="47" t="s">
        <v>95</v>
      </c>
      <c r="BI72" s="50" t="s">
        <v>95</v>
      </c>
      <c r="BJ72" s="50" t="s">
        <v>95</v>
      </c>
      <c r="BK72" s="50" t="s">
        <v>95</v>
      </c>
      <c r="BL72" s="50" t="s">
        <v>95</v>
      </c>
      <c r="BM72" s="46" t="s">
        <v>95</v>
      </c>
      <c r="BN72" s="46" t="s">
        <v>95</v>
      </c>
      <c r="BO72" s="57" t="s">
        <v>3</v>
      </c>
      <c r="BP72" s="46" t="s">
        <v>95</v>
      </c>
      <c r="BQ72" s="46" t="s">
        <v>3</v>
      </c>
      <c r="BR72" s="46" t="s">
        <v>95</v>
      </c>
      <c r="BS72" s="46" t="s">
        <v>95</v>
      </c>
      <c r="BT72" s="46" t="s">
        <v>95</v>
      </c>
      <c r="BU72" s="46" t="s">
        <v>3</v>
      </c>
      <c r="BV72" s="46" t="s">
        <v>3</v>
      </c>
      <c r="BW72" s="47" t="s">
        <v>2029</v>
      </c>
      <c r="BX72" s="47" t="s">
        <v>2029</v>
      </c>
      <c r="BY72" s="46" t="s">
        <v>95</v>
      </c>
      <c r="BZ72" s="46" t="s">
        <v>95</v>
      </c>
      <c r="CA72" s="46" t="s">
        <v>95</v>
      </c>
      <c r="CB72" s="46" t="s">
        <v>95</v>
      </c>
      <c r="CC72" s="46" t="s">
        <v>14</v>
      </c>
      <c r="CD72" s="46" t="s">
        <v>95</v>
      </c>
      <c r="CE72" s="46" t="s">
        <v>95</v>
      </c>
      <c r="CF72" s="46" t="s">
        <v>95</v>
      </c>
      <c r="CG72" s="46" t="s">
        <v>95</v>
      </c>
      <c r="CH72" s="46" t="s">
        <v>95</v>
      </c>
      <c r="CI72" s="46" t="s">
        <v>3</v>
      </c>
      <c r="CJ72" s="46" t="s">
        <v>95</v>
      </c>
      <c r="CK72" s="46" t="s">
        <v>95</v>
      </c>
      <c r="CL72" s="46" t="s">
        <v>95</v>
      </c>
      <c r="CM72" s="50" t="s">
        <v>3</v>
      </c>
      <c r="CN72" s="50" t="s">
        <v>3442</v>
      </c>
      <c r="CO72" s="46" t="s">
        <v>95</v>
      </c>
      <c r="CP72" s="47" t="s">
        <v>3</v>
      </c>
      <c r="CQ72" s="44" t="s">
        <v>95</v>
      </c>
      <c r="CR72" s="44" t="s">
        <v>95</v>
      </c>
      <c r="CS72" s="46" t="s">
        <v>95</v>
      </c>
      <c r="CT72" s="46" t="s">
        <v>3</v>
      </c>
      <c r="CU72" s="46" t="s">
        <v>95</v>
      </c>
      <c r="CV72" s="46" t="s">
        <v>3</v>
      </c>
      <c r="CW72" s="47" t="s">
        <v>95</v>
      </c>
      <c r="CX72" s="46" t="s">
        <v>95</v>
      </c>
      <c r="CY72" s="46" t="s">
        <v>3</v>
      </c>
      <c r="CZ72" s="46" t="s">
        <v>3</v>
      </c>
      <c r="DA72" s="46" t="s">
        <v>95</v>
      </c>
      <c r="DB72" s="46" t="s">
        <v>3</v>
      </c>
      <c r="DC72" s="46" t="s">
        <v>95</v>
      </c>
      <c r="DD72" s="46" t="s">
        <v>95</v>
      </c>
      <c r="DE72" s="46" t="s">
        <v>95</v>
      </c>
      <c r="DF72" s="46" t="s">
        <v>95</v>
      </c>
      <c r="DG72" s="146" t="s">
        <v>3</v>
      </c>
      <c r="DH72" s="46" t="s">
        <v>3</v>
      </c>
      <c r="DI72" s="46" t="s">
        <v>95</v>
      </c>
      <c r="DJ72" s="46" t="s">
        <v>95</v>
      </c>
      <c r="DK72" s="46" t="s">
        <v>95</v>
      </c>
      <c r="DL72" s="46" t="s">
        <v>95</v>
      </c>
      <c r="DM72" s="46" t="s">
        <v>95</v>
      </c>
      <c r="DN72" s="57" t="s">
        <v>3</v>
      </c>
      <c r="DO72" s="57" t="s">
        <v>3</v>
      </c>
      <c r="DP72" s="46" t="s">
        <v>95</v>
      </c>
      <c r="DQ72" s="47" t="s">
        <v>3</v>
      </c>
      <c r="DR72" s="46" t="s">
        <v>3</v>
      </c>
      <c r="DS72" s="47" t="s">
        <v>3</v>
      </c>
      <c r="DT72" s="47" t="s">
        <v>3</v>
      </c>
      <c r="DU72" s="47" t="s">
        <v>95</v>
      </c>
      <c r="DV72" s="46" t="s">
        <v>95</v>
      </c>
      <c r="DW72" s="50" t="s">
        <v>95</v>
      </c>
      <c r="DX72" s="50" t="s">
        <v>95</v>
      </c>
      <c r="DY72" s="50" t="s">
        <v>3</v>
      </c>
      <c r="DZ72" s="44"/>
    </row>
    <row r="73" spans="1:130" s="18" customFormat="1" ht="12" customHeight="1" x14ac:dyDescent="0.15">
      <c r="A73" s="76" t="s">
        <v>402</v>
      </c>
      <c r="B73" s="69"/>
      <c r="C73" s="69" t="s">
        <v>2792</v>
      </c>
      <c r="D73" s="69" t="s">
        <v>2792</v>
      </c>
      <c r="E73" s="69" t="s">
        <v>3286</v>
      </c>
      <c r="F73" s="69"/>
      <c r="G73" s="69" t="s">
        <v>1587</v>
      </c>
      <c r="H73" s="69" t="s">
        <v>3</v>
      </c>
      <c r="I73" s="69" t="s">
        <v>1427</v>
      </c>
      <c r="J73" s="69" t="s">
        <v>3</v>
      </c>
      <c r="K73" s="69" t="s">
        <v>1427</v>
      </c>
      <c r="L73" s="69" t="s">
        <v>3</v>
      </c>
      <c r="M73" s="69" t="s">
        <v>1427</v>
      </c>
      <c r="N73" s="69" t="s">
        <v>3</v>
      </c>
      <c r="O73" s="69"/>
      <c r="P73" s="69"/>
      <c r="Q73" s="69"/>
      <c r="R73" s="69" t="s">
        <v>3239</v>
      </c>
      <c r="S73" s="128"/>
      <c r="T73" s="128"/>
      <c r="U73" s="69" t="s">
        <v>2544</v>
      </c>
      <c r="V73" s="69"/>
      <c r="W73" s="106" t="s">
        <v>1291</v>
      </c>
      <c r="X73" s="69" t="s">
        <v>1291</v>
      </c>
      <c r="Y73" s="69" t="s">
        <v>3</v>
      </c>
      <c r="Z73" s="69" t="s">
        <v>3</v>
      </c>
      <c r="AA73" s="69" t="s">
        <v>3</v>
      </c>
      <c r="AB73" s="69" t="s">
        <v>3</v>
      </c>
      <c r="AC73" s="69" t="s">
        <v>3</v>
      </c>
      <c r="AD73" s="69" t="s">
        <v>3</v>
      </c>
      <c r="AE73" s="69" t="s">
        <v>3</v>
      </c>
      <c r="AF73" s="69" t="s">
        <v>3</v>
      </c>
      <c r="AG73" s="69" t="s">
        <v>2403</v>
      </c>
      <c r="AH73" s="69" t="s">
        <v>2856</v>
      </c>
      <c r="AI73" s="69" t="s">
        <v>3</v>
      </c>
      <c r="AJ73" s="69" t="s">
        <v>3</v>
      </c>
      <c r="AK73" s="69" t="s">
        <v>2996</v>
      </c>
      <c r="AL73" s="69" t="s">
        <v>3005</v>
      </c>
      <c r="AM73" s="69" t="s">
        <v>3</v>
      </c>
      <c r="AN73" s="69" t="s">
        <v>487</v>
      </c>
      <c r="AO73" s="131"/>
      <c r="AP73" s="69" t="s">
        <v>487</v>
      </c>
      <c r="AQ73" s="69" t="s">
        <v>3</v>
      </c>
      <c r="AR73" s="69"/>
      <c r="AS73" s="69"/>
      <c r="AT73" s="69"/>
      <c r="AU73" s="69"/>
      <c r="AV73" s="69" t="s">
        <v>3</v>
      </c>
      <c r="AW73" s="69" t="s">
        <v>535</v>
      </c>
      <c r="AX73" s="69" t="s">
        <v>3</v>
      </c>
      <c r="AY73" s="69" t="s">
        <v>2594</v>
      </c>
      <c r="AZ73" s="69" t="s">
        <v>3</v>
      </c>
      <c r="BA73" s="69" t="s">
        <v>2240</v>
      </c>
      <c r="BB73" s="69" t="s">
        <v>2240</v>
      </c>
      <c r="BC73" s="69" t="s">
        <v>3</v>
      </c>
      <c r="BD73" s="69" t="s">
        <v>2240</v>
      </c>
      <c r="BE73" s="69" t="s">
        <v>2240</v>
      </c>
      <c r="BF73" s="69" t="s">
        <v>3</v>
      </c>
      <c r="BG73" s="69" t="s">
        <v>1110</v>
      </c>
      <c r="BH73" s="69"/>
      <c r="BI73" s="69"/>
      <c r="BJ73" s="69" t="s">
        <v>1887</v>
      </c>
      <c r="BK73" s="69" t="s">
        <v>2430</v>
      </c>
      <c r="BL73" s="69" t="s">
        <v>2337</v>
      </c>
      <c r="BM73" s="69"/>
      <c r="BN73" s="69"/>
      <c r="BO73" s="69"/>
      <c r="BP73" s="69" t="s">
        <v>586</v>
      </c>
      <c r="BQ73" s="69" t="s">
        <v>3</v>
      </c>
      <c r="BR73" s="69"/>
      <c r="BS73" s="69"/>
      <c r="BT73" s="69"/>
      <c r="BU73" s="69"/>
      <c r="BV73" s="69"/>
      <c r="BW73" s="69" t="s">
        <v>2066</v>
      </c>
      <c r="BX73" s="69" t="s">
        <v>2028</v>
      </c>
      <c r="BY73" s="69"/>
      <c r="BZ73" s="69" t="s">
        <v>1674</v>
      </c>
      <c r="CA73" s="69" t="s">
        <v>2708</v>
      </c>
      <c r="CB73" s="69" t="s">
        <v>1674</v>
      </c>
      <c r="CC73" s="69"/>
      <c r="CD73" s="69"/>
      <c r="CE73" s="69" t="s">
        <v>1729</v>
      </c>
      <c r="CF73" s="69" t="s">
        <v>1729</v>
      </c>
      <c r="CG73" s="69" t="s">
        <v>1729</v>
      </c>
      <c r="CH73" s="69" t="s">
        <v>1730</v>
      </c>
      <c r="CI73" s="69" t="s">
        <v>3</v>
      </c>
      <c r="CJ73" s="69" t="s">
        <v>3587</v>
      </c>
      <c r="CK73" s="69" t="s">
        <v>3610</v>
      </c>
      <c r="CL73" s="69" t="s">
        <v>1730</v>
      </c>
      <c r="CM73" s="69"/>
      <c r="CN73" s="69" t="s">
        <v>3441</v>
      </c>
      <c r="CO73" s="69" t="s">
        <v>958</v>
      </c>
      <c r="CP73" s="69" t="s">
        <v>3</v>
      </c>
      <c r="CQ73" s="69" t="s">
        <v>3163</v>
      </c>
      <c r="CR73" s="69" t="s">
        <v>3163</v>
      </c>
      <c r="CS73" s="69" t="s">
        <v>2502</v>
      </c>
      <c r="CT73" s="69" t="s">
        <v>3</v>
      </c>
      <c r="CU73" s="69" t="s">
        <v>836</v>
      </c>
      <c r="CV73" s="69"/>
      <c r="CW73" s="69"/>
      <c r="CX73" s="69" t="s">
        <v>1237</v>
      </c>
      <c r="CY73" s="69"/>
      <c r="CZ73" s="69"/>
      <c r="DA73" s="69" t="s">
        <v>2148</v>
      </c>
      <c r="DB73" s="69" t="s">
        <v>3</v>
      </c>
      <c r="DC73" s="69" t="s">
        <v>891</v>
      </c>
      <c r="DD73" s="69" t="s">
        <v>891</v>
      </c>
      <c r="DE73" s="69"/>
      <c r="DF73" s="69"/>
      <c r="DG73" s="152" t="s">
        <v>3</v>
      </c>
      <c r="DH73" s="69"/>
      <c r="DI73" s="69" t="s">
        <v>1016</v>
      </c>
      <c r="DJ73" s="69" t="s">
        <v>1016</v>
      </c>
      <c r="DK73" s="69" t="s">
        <v>1982</v>
      </c>
      <c r="DL73" s="69" t="s">
        <v>3474</v>
      </c>
      <c r="DM73" s="69"/>
      <c r="DN73" s="69"/>
      <c r="DO73" s="69"/>
      <c r="DP73" s="69"/>
      <c r="DQ73" s="69" t="s">
        <v>3</v>
      </c>
      <c r="DR73" s="69" t="s">
        <v>1392</v>
      </c>
      <c r="DS73" s="69" t="s">
        <v>3</v>
      </c>
      <c r="DT73" s="69" t="s">
        <v>3</v>
      </c>
      <c r="DU73" s="69" t="s">
        <v>1191</v>
      </c>
      <c r="DV73" s="69" t="s">
        <v>1562</v>
      </c>
      <c r="DW73" s="69" t="s">
        <v>411</v>
      </c>
      <c r="DX73" s="69" t="s">
        <v>441</v>
      </c>
      <c r="DY73" s="69" t="s">
        <v>3</v>
      </c>
      <c r="DZ73" s="69"/>
    </row>
    <row r="74" spans="1:130" s="18" customFormat="1" ht="22.5" customHeight="1" x14ac:dyDescent="0.15">
      <c r="A74" s="25" t="s">
        <v>76</v>
      </c>
      <c r="B74" s="46" t="s">
        <v>3</v>
      </c>
      <c r="C74" s="46" t="s">
        <v>95</v>
      </c>
      <c r="D74" s="46" t="s">
        <v>95</v>
      </c>
      <c r="E74" s="47" t="s">
        <v>3272</v>
      </c>
      <c r="F74" s="46" t="s">
        <v>95</v>
      </c>
      <c r="G74" s="46" t="s">
        <v>95</v>
      </c>
      <c r="H74" s="46" t="s">
        <v>95</v>
      </c>
      <c r="I74" s="46" t="s">
        <v>95</v>
      </c>
      <c r="J74" s="46" t="s">
        <v>95</v>
      </c>
      <c r="K74" s="46" t="s">
        <v>95</v>
      </c>
      <c r="L74" s="46" t="s">
        <v>95</v>
      </c>
      <c r="M74" s="46" t="s">
        <v>95</v>
      </c>
      <c r="N74" s="46" t="s">
        <v>3</v>
      </c>
      <c r="O74" s="46" t="s">
        <v>95</v>
      </c>
      <c r="P74" s="46" t="s">
        <v>95</v>
      </c>
      <c r="Q74" s="46" t="s">
        <v>95</v>
      </c>
      <c r="R74" s="46" t="s">
        <v>3245</v>
      </c>
      <c r="S74" s="117" t="s">
        <v>3239</v>
      </c>
      <c r="T74" s="117" t="s">
        <v>95</v>
      </c>
      <c r="U74" s="46" t="s">
        <v>95</v>
      </c>
      <c r="V74" s="46" t="s">
        <v>95</v>
      </c>
      <c r="W74" s="62" t="s">
        <v>1281</v>
      </c>
      <c r="X74" s="47" t="s">
        <v>1281</v>
      </c>
      <c r="Y74" s="47" t="s">
        <v>2319</v>
      </c>
      <c r="Z74" s="47" t="s">
        <v>2618</v>
      </c>
      <c r="AA74" s="46" t="s">
        <v>3</v>
      </c>
      <c r="AB74" s="47" t="s">
        <v>3</v>
      </c>
      <c r="AC74" s="47" t="s">
        <v>3</v>
      </c>
      <c r="AD74" s="47" t="s">
        <v>95</v>
      </c>
      <c r="AE74" s="47" t="s">
        <v>3</v>
      </c>
      <c r="AF74" s="47" t="s">
        <v>3</v>
      </c>
      <c r="AG74" s="47" t="s">
        <v>95</v>
      </c>
      <c r="AH74" s="46" t="s">
        <v>3</v>
      </c>
      <c r="AI74" s="46" t="s">
        <v>3</v>
      </c>
      <c r="AJ74" s="46" t="s">
        <v>3</v>
      </c>
      <c r="AK74" s="47" t="s">
        <v>3025</v>
      </c>
      <c r="AL74" s="47" t="s">
        <v>3025</v>
      </c>
      <c r="AM74" s="46" t="s">
        <v>3</v>
      </c>
      <c r="AN74" s="20" t="s">
        <v>3</v>
      </c>
      <c r="AO74" s="130" t="s">
        <v>95</v>
      </c>
      <c r="AP74" s="44" t="s">
        <v>95</v>
      </c>
      <c r="AQ74" s="44" t="s">
        <v>95</v>
      </c>
      <c r="AR74" s="44" t="s">
        <v>95</v>
      </c>
      <c r="AS74" s="44" t="s">
        <v>95</v>
      </c>
      <c r="AT74" s="44" t="s">
        <v>95</v>
      </c>
      <c r="AU74" s="42" t="s">
        <v>95</v>
      </c>
      <c r="AV74" s="20" t="s">
        <v>3</v>
      </c>
      <c r="AW74" s="44" t="s">
        <v>95</v>
      </c>
      <c r="AX74" s="20" t="s">
        <v>3</v>
      </c>
      <c r="AY74" s="44" t="s">
        <v>95</v>
      </c>
      <c r="AZ74" s="46" t="s">
        <v>3</v>
      </c>
      <c r="BA74" s="44" t="s">
        <v>2209</v>
      </c>
      <c r="BB74" s="44" t="s">
        <v>2209</v>
      </c>
      <c r="BC74" s="46" t="s">
        <v>3</v>
      </c>
      <c r="BD74" s="44" t="s">
        <v>2209</v>
      </c>
      <c r="BE74" s="44" t="s">
        <v>2209</v>
      </c>
      <c r="BF74" s="47" t="s">
        <v>3</v>
      </c>
      <c r="BG74" s="47" t="s">
        <v>95</v>
      </c>
      <c r="BH74" s="47" t="s">
        <v>95</v>
      </c>
      <c r="BI74" s="50" t="s">
        <v>387</v>
      </c>
      <c r="BJ74" s="50" t="s">
        <v>387</v>
      </c>
      <c r="BK74" s="50" t="s">
        <v>387</v>
      </c>
      <c r="BL74" s="50" t="s">
        <v>95</v>
      </c>
      <c r="BM74" s="46" t="s">
        <v>95</v>
      </c>
      <c r="BN74" s="46" t="s">
        <v>95</v>
      </c>
      <c r="BO74" s="46" t="s">
        <v>3</v>
      </c>
      <c r="BP74" s="46" t="s">
        <v>95</v>
      </c>
      <c r="BQ74" s="46" t="s">
        <v>3</v>
      </c>
      <c r="BR74" s="46" t="s">
        <v>95</v>
      </c>
      <c r="BS74" s="46" t="s">
        <v>95</v>
      </c>
      <c r="BT74" s="46" t="s">
        <v>95</v>
      </c>
      <c r="BU74" s="46" t="s">
        <v>3</v>
      </c>
      <c r="BV74" s="46" t="s">
        <v>3</v>
      </c>
      <c r="BW74" s="46" t="s">
        <v>2024</v>
      </c>
      <c r="BX74" s="46" t="s">
        <v>2024</v>
      </c>
      <c r="BY74" s="46" t="s">
        <v>95</v>
      </c>
      <c r="BZ74" s="46" t="s">
        <v>95</v>
      </c>
      <c r="CA74" s="46" t="s">
        <v>95</v>
      </c>
      <c r="CB74" s="46" t="s">
        <v>95</v>
      </c>
      <c r="CC74" s="46" t="s">
        <v>95</v>
      </c>
      <c r="CD74" s="46" t="s">
        <v>95</v>
      </c>
      <c r="CE74" s="46" t="s">
        <v>95</v>
      </c>
      <c r="CF74" s="46" t="s">
        <v>95</v>
      </c>
      <c r="CG74" s="46" t="s">
        <v>95</v>
      </c>
      <c r="CH74" s="46" t="s">
        <v>95</v>
      </c>
      <c r="CI74" s="46" t="s">
        <v>95</v>
      </c>
      <c r="CJ74" s="46" t="s">
        <v>95</v>
      </c>
      <c r="CK74" s="46" t="s">
        <v>95</v>
      </c>
      <c r="CL74" s="46" t="s">
        <v>95</v>
      </c>
      <c r="CM74" s="50" t="s">
        <v>3</v>
      </c>
      <c r="CN74" s="50" t="s">
        <v>95</v>
      </c>
      <c r="CO74" s="46" t="s">
        <v>95</v>
      </c>
      <c r="CP74" s="47" t="s">
        <v>3</v>
      </c>
      <c r="CQ74" s="46" t="s">
        <v>95</v>
      </c>
      <c r="CR74" s="46" t="s">
        <v>95</v>
      </c>
      <c r="CS74" s="46" t="s">
        <v>95</v>
      </c>
      <c r="CT74" s="46" t="s">
        <v>95</v>
      </c>
      <c r="CU74" s="46" t="s">
        <v>95</v>
      </c>
      <c r="CV74" s="46" t="s">
        <v>95</v>
      </c>
      <c r="CW74" s="47" t="s">
        <v>141</v>
      </c>
      <c r="CX74" s="46" t="s">
        <v>95</v>
      </c>
      <c r="CY74" s="46" t="s">
        <v>3</v>
      </c>
      <c r="CZ74" s="46" t="s">
        <v>3</v>
      </c>
      <c r="DA74" s="46" t="s">
        <v>0</v>
      </c>
      <c r="DB74" s="46" t="s">
        <v>3</v>
      </c>
      <c r="DC74" s="46" t="s">
        <v>95</v>
      </c>
      <c r="DD74" s="46" t="s">
        <v>95</v>
      </c>
      <c r="DE74" s="46" t="s">
        <v>3</v>
      </c>
      <c r="DF74" s="46" t="s">
        <v>3</v>
      </c>
      <c r="DG74" s="146" t="s">
        <v>3362</v>
      </c>
      <c r="DH74" s="46" t="s">
        <v>3</v>
      </c>
      <c r="DI74" s="46" t="s">
        <v>95</v>
      </c>
      <c r="DJ74" s="46" t="s">
        <v>95</v>
      </c>
      <c r="DK74" s="46" t="s">
        <v>95</v>
      </c>
      <c r="DL74" s="46" t="s">
        <v>95</v>
      </c>
      <c r="DM74" s="46" t="s">
        <v>95</v>
      </c>
      <c r="DN74" s="47" t="s">
        <v>12</v>
      </c>
      <c r="DO74" s="47" t="s">
        <v>12</v>
      </c>
      <c r="DP74" s="46" t="s">
        <v>95</v>
      </c>
      <c r="DQ74" s="47" t="s">
        <v>3</v>
      </c>
      <c r="DR74" s="46" t="s">
        <v>3</v>
      </c>
      <c r="DS74" s="47" t="s">
        <v>3</v>
      </c>
      <c r="DT74" s="47" t="s">
        <v>3</v>
      </c>
      <c r="DU74" s="47" t="s">
        <v>0</v>
      </c>
      <c r="DV74" s="47" t="s">
        <v>1538</v>
      </c>
      <c r="DW74" s="46" t="s">
        <v>95</v>
      </c>
      <c r="DX74" s="46" t="s">
        <v>95</v>
      </c>
      <c r="DY74" s="46" t="s">
        <v>95</v>
      </c>
      <c r="DZ74" s="44"/>
    </row>
    <row r="75" spans="1:130" s="18" customFormat="1" ht="12" customHeight="1" x14ac:dyDescent="0.15">
      <c r="A75" s="76" t="s">
        <v>402</v>
      </c>
      <c r="B75" s="69"/>
      <c r="C75" s="69" t="s">
        <v>2792</v>
      </c>
      <c r="D75" s="69" t="s">
        <v>2792</v>
      </c>
      <c r="E75" s="69" t="s">
        <v>1591</v>
      </c>
      <c r="F75" s="69"/>
      <c r="G75" s="69" t="s">
        <v>1587</v>
      </c>
      <c r="H75" s="69" t="s">
        <v>1455</v>
      </c>
      <c r="I75" s="69" t="s">
        <v>1429</v>
      </c>
      <c r="J75" s="69" t="s">
        <v>1455</v>
      </c>
      <c r="K75" s="69" t="s">
        <v>1429</v>
      </c>
      <c r="L75" s="69" t="s">
        <v>1455</v>
      </c>
      <c r="M75" s="69" t="s">
        <v>1429</v>
      </c>
      <c r="N75" s="69" t="s">
        <v>3</v>
      </c>
      <c r="O75" s="69"/>
      <c r="P75" s="69"/>
      <c r="Q75" s="69"/>
      <c r="R75" s="69" t="s">
        <v>3239</v>
      </c>
      <c r="S75" s="128"/>
      <c r="T75" s="128"/>
      <c r="U75" s="69" t="s">
        <v>2544</v>
      </c>
      <c r="V75" s="69"/>
      <c r="W75" s="106" t="s">
        <v>1297</v>
      </c>
      <c r="X75" s="69" t="s">
        <v>1297</v>
      </c>
      <c r="Y75" s="69" t="s">
        <v>2327</v>
      </c>
      <c r="Z75" s="69" t="s">
        <v>2621</v>
      </c>
      <c r="AA75" s="69" t="s">
        <v>3</v>
      </c>
      <c r="AB75" s="69" t="s">
        <v>690</v>
      </c>
      <c r="AC75" s="69" t="s">
        <v>690</v>
      </c>
      <c r="AD75" s="69" t="s">
        <v>691</v>
      </c>
      <c r="AE75" s="69" t="s">
        <v>690</v>
      </c>
      <c r="AF75" s="69" t="s">
        <v>690</v>
      </c>
      <c r="AG75" s="69" t="s">
        <v>691</v>
      </c>
      <c r="AH75" s="69" t="s">
        <v>3</v>
      </c>
      <c r="AI75" s="69" t="s">
        <v>3</v>
      </c>
      <c r="AJ75" s="69" t="s">
        <v>3</v>
      </c>
      <c r="AK75" s="69" t="s">
        <v>3023</v>
      </c>
      <c r="AL75" s="69" t="s">
        <v>3024</v>
      </c>
      <c r="AM75" s="69" t="s">
        <v>3</v>
      </c>
      <c r="AN75" s="69" t="s">
        <v>3</v>
      </c>
      <c r="AO75" s="131"/>
      <c r="AP75" s="69" t="s">
        <v>456</v>
      </c>
      <c r="AQ75" s="69" t="s">
        <v>3409</v>
      </c>
      <c r="AR75" s="69"/>
      <c r="AS75" s="69"/>
      <c r="AT75" s="69"/>
      <c r="AU75" s="69"/>
      <c r="AV75" s="69" t="s">
        <v>3</v>
      </c>
      <c r="AW75" s="69" t="s">
        <v>526</v>
      </c>
      <c r="AX75" s="69" t="s">
        <v>3</v>
      </c>
      <c r="AY75" s="69" t="s">
        <v>2578</v>
      </c>
      <c r="AZ75" s="69" t="s">
        <v>3</v>
      </c>
      <c r="BA75" s="69" t="s">
        <v>2239</v>
      </c>
      <c r="BB75" s="69" t="s">
        <v>2239</v>
      </c>
      <c r="BC75" s="69" t="s">
        <v>3</v>
      </c>
      <c r="BD75" s="69" t="s">
        <v>2239</v>
      </c>
      <c r="BE75" s="69" t="s">
        <v>2239</v>
      </c>
      <c r="BF75" s="69" t="s">
        <v>3</v>
      </c>
      <c r="BG75" s="69" t="s">
        <v>1108</v>
      </c>
      <c r="BH75" s="69"/>
      <c r="BI75" s="69"/>
      <c r="BJ75" s="69" t="s">
        <v>1868</v>
      </c>
      <c r="BK75" s="69" t="s">
        <v>2432</v>
      </c>
      <c r="BL75" s="69" t="s">
        <v>1497</v>
      </c>
      <c r="BM75" s="69"/>
      <c r="BN75" s="69"/>
      <c r="BO75" s="69"/>
      <c r="BP75" s="69" t="s">
        <v>597</v>
      </c>
      <c r="BQ75" s="69" t="s">
        <v>3</v>
      </c>
      <c r="BR75" s="69"/>
      <c r="BS75" s="69"/>
      <c r="BT75" s="69"/>
      <c r="BU75" s="69"/>
      <c r="BV75" s="69"/>
      <c r="BW75" s="69" t="s">
        <v>2062</v>
      </c>
      <c r="BX75" s="69" t="s">
        <v>2023</v>
      </c>
      <c r="BY75" s="69"/>
      <c r="BZ75" s="69" t="s">
        <v>1674</v>
      </c>
      <c r="CA75" s="69" t="s">
        <v>2708</v>
      </c>
      <c r="CB75" s="69" t="s">
        <v>1674</v>
      </c>
      <c r="CC75" s="69"/>
      <c r="CD75" s="69"/>
      <c r="CE75" s="69" t="s">
        <v>1730</v>
      </c>
      <c r="CF75" s="69" t="s">
        <v>1786</v>
      </c>
      <c r="CG75" s="69" t="s">
        <v>1786</v>
      </c>
      <c r="CH75" s="69" t="s">
        <v>1731</v>
      </c>
      <c r="CI75" s="69" t="s">
        <v>3555</v>
      </c>
      <c r="CJ75" s="69" t="s">
        <v>3587</v>
      </c>
      <c r="CK75" s="69" t="s">
        <v>3609</v>
      </c>
      <c r="CL75" s="69" t="s">
        <v>3564</v>
      </c>
      <c r="CM75" s="69" t="s">
        <v>3</v>
      </c>
      <c r="CN75" s="69" t="s">
        <v>3443</v>
      </c>
      <c r="CO75" s="69" t="s">
        <v>957</v>
      </c>
      <c r="CP75" s="69" t="s">
        <v>3</v>
      </c>
      <c r="CQ75" s="69" t="s">
        <v>3176</v>
      </c>
      <c r="CR75" s="69" t="s">
        <v>3176</v>
      </c>
      <c r="CS75" s="69" t="s">
        <v>2502</v>
      </c>
      <c r="CT75" s="69" t="s">
        <v>845</v>
      </c>
      <c r="CU75" s="69" t="s">
        <v>836</v>
      </c>
      <c r="CV75" s="69"/>
      <c r="CW75" s="69"/>
      <c r="CX75" s="69" t="s">
        <v>1235</v>
      </c>
      <c r="CY75" s="69"/>
      <c r="CZ75" s="69"/>
      <c r="DA75" s="69" t="s">
        <v>2149</v>
      </c>
      <c r="DB75" s="69" t="s">
        <v>3</v>
      </c>
      <c r="DC75" s="69" t="s">
        <v>892</v>
      </c>
      <c r="DD75" s="69" t="s">
        <v>892</v>
      </c>
      <c r="DE75" s="69"/>
      <c r="DF75" s="69"/>
      <c r="DG75" s="152" t="s">
        <v>3348</v>
      </c>
      <c r="DH75" s="69"/>
      <c r="DI75" s="69" t="s">
        <v>1017</v>
      </c>
      <c r="DJ75" s="69" t="s">
        <v>1017</v>
      </c>
      <c r="DK75" s="69" t="s">
        <v>1983</v>
      </c>
      <c r="DL75" s="69" t="s">
        <v>3475</v>
      </c>
      <c r="DM75" s="69"/>
      <c r="DN75" s="69"/>
      <c r="DO75" s="69"/>
      <c r="DP75" s="69"/>
      <c r="DQ75" s="69" t="s">
        <v>3</v>
      </c>
      <c r="DR75" s="69" t="s">
        <v>1392</v>
      </c>
      <c r="DS75" s="69" t="s">
        <v>3</v>
      </c>
      <c r="DT75" s="69" t="s">
        <v>3</v>
      </c>
      <c r="DU75" s="69" t="s">
        <v>1193</v>
      </c>
      <c r="DV75" s="69" t="s">
        <v>1542</v>
      </c>
      <c r="DW75" s="69" t="s">
        <v>425</v>
      </c>
      <c r="DX75" s="69" t="s">
        <v>425</v>
      </c>
      <c r="DY75" s="69" t="s">
        <v>1497</v>
      </c>
      <c r="DZ75" s="69"/>
    </row>
    <row r="76" spans="1:130" s="18" customFormat="1" ht="22.5" customHeight="1" x14ac:dyDescent="0.15">
      <c r="A76" s="25" t="s">
        <v>77</v>
      </c>
      <c r="B76" s="46" t="s">
        <v>95</v>
      </c>
      <c r="C76" s="47" t="s">
        <v>2791</v>
      </c>
      <c r="D76" s="47" t="s">
        <v>2791</v>
      </c>
      <c r="E76" s="46" t="s">
        <v>14</v>
      </c>
      <c r="F76" s="46" t="s">
        <v>48</v>
      </c>
      <c r="G76" s="46" t="s">
        <v>48</v>
      </c>
      <c r="H76" s="46" t="s">
        <v>3</v>
      </c>
      <c r="I76" s="46" t="s">
        <v>1409</v>
      </c>
      <c r="J76" s="46" t="s">
        <v>3</v>
      </c>
      <c r="K76" s="46" t="s">
        <v>1409</v>
      </c>
      <c r="L76" s="47" t="s">
        <v>238</v>
      </c>
      <c r="M76" s="46" t="s">
        <v>1409</v>
      </c>
      <c r="N76" s="46" t="s">
        <v>3</v>
      </c>
      <c r="O76" s="46" t="s">
        <v>95</v>
      </c>
      <c r="P76" s="46" t="s">
        <v>95</v>
      </c>
      <c r="Q76" s="46" t="s">
        <v>16</v>
      </c>
      <c r="R76" s="46" t="s">
        <v>95</v>
      </c>
      <c r="S76" s="117" t="s">
        <v>95</v>
      </c>
      <c r="T76" s="117" t="s">
        <v>95</v>
      </c>
      <c r="U76" s="46" t="s">
        <v>48</v>
      </c>
      <c r="V76" s="46" t="s">
        <v>796</v>
      </c>
      <c r="W76" s="101" t="s">
        <v>796</v>
      </c>
      <c r="X76" s="46" t="s">
        <v>796</v>
      </c>
      <c r="Y76" s="47" t="s">
        <v>2328</v>
      </c>
      <c r="Z76" s="47" t="s">
        <v>16</v>
      </c>
      <c r="AA76" s="46" t="s">
        <v>3</v>
      </c>
      <c r="AB76" s="46" t="s">
        <v>3</v>
      </c>
      <c r="AC76" s="46" t="s">
        <v>95</v>
      </c>
      <c r="AD76" s="46" t="s">
        <v>95</v>
      </c>
      <c r="AE76" s="46" t="s">
        <v>3</v>
      </c>
      <c r="AF76" s="47" t="s">
        <v>2411</v>
      </c>
      <c r="AG76" s="47" t="s">
        <v>2411</v>
      </c>
      <c r="AH76" s="47" t="s">
        <v>14</v>
      </c>
      <c r="AI76" s="47" t="s">
        <v>208</v>
      </c>
      <c r="AJ76" s="47" t="s">
        <v>208</v>
      </c>
      <c r="AK76" s="47" t="s">
        <v>48</v>
      </c>
      <c r="AL76" s="47" t="s">
        <v>14</v>
      </c>
      <c r="AM76" s="47" t="s">
        <v>208</v>
      </c>
      <c r="AN76" s="20" t="s">
        <v>3</v>
      </c>
      <c r="AO76" s="130" t="s">
        <v>95</v>
      </c>
      <c r="AP76" s="43" t="s">
        <v>471</v>
      </c>
      <c r="AQ76" s="46" t="s">
        <v>238</v>
      </c>
      <c r="AR76" s="20" t="s">
        <v>3502</v>
      </c>
      <c r="AS76" s="20" t="s">
        <v>3502</v>
      </c>
      <c r="AT76" s="20" t="s">
        <v>3502</v>
      </c>
      <c r="AU76" s="42" t="s">
        <v>95</v>
      </c>
      <c r="AV76" s="20" t="s">
        <v>3</v>
      </c>
      <c r="AW76" s="44" t="s">
        <v>95</v>
      </c>
      <c r="AX76" s="20" t="s">
        <v>3</v>
      </c>
      <c r="AY76" s="44" t="s">
        <v>95</v>
      </c>
      <c r="AZ76" s="46" t="s">
        <v>238</v>
      </c>
      <c r="BA76" s="44" t="s">
        <v>0</v>
      </c>
      <c r="BB76" s="44" t="s">
        <v>0</v>
      </c>
      <c r="BC76" s="46" t="s">
        <v>238</v>
      </c>
      <c r="BD76" s="44" t="s">
        <v>0</v>
      </c>
      <c r="BE76" s="44" t="s">
        <v>0</v>
      </c>
      <c r="BF76" s="47" t="s">
        <v>3</v>
      </c>
      <c r="BG76" s="47" t="s">
        <v>257</v>
      </c>
      <c r="BH76" s="47" t="s">
        <v>257</v>
      </c>
      <c r="BI76" s="51" t="s">
        <v>388</v>
      </c>
      <c r="BJ76" s="51" t="s">
        <v>388</v>
      </c>
      <c r="BK76" s="51" t="s">
        <v>388</v>
      </c>
      <c r="BL76" s="51" t="s">
        <v>95</v>
      </c>
      <c r="BM76" s="46" t="s">
        <v>16</v>
      </c>
      <c r="BN76" s="46" t="s">
        <v>16</v>
      </c>
      <c r="BO76" s="46" t="s">
        <v>3</v>
      </c>
      <c r="BP76" s="46" t="s">
        <v>16</v>
      </c>
      <c r="BQ76" s="46" t="s">
        <v>3</v>
      </c>
      <c r="BR76" s="46" t="s">
        <v>95</v>
      </c>
      <c r="BS76" s="46" t="s">
        <v>131</v>
      </c>
      <c r="BT76" s="46" t="s">
        <v>131</v>
      </c>
      <c r="BU76" s="46" t="s">
        <v>131</v>
      </c>
      <c r="BV76" s="46" t="s">
        <v>131</v>
      </c>
      <c r="BW76" s="47" t="s">
        <v>131</v>
      </c>
      <c r="BX76" s="47" t="s">
        <v>16</v>
      </c>
      <c r="BY76" s="46" t="s">
        <v>95</v>
      </c>
      <c r="BZ76" s="46" t="s">
        <v>95</v>
      </c>
      <c r="CA76" s="46" t="s">
        <v>48</v>
      </c>
      <c r="CB76" s="46" t="s">
        <v>95</v>
      </c>
      <c r="CC76" s="47" t="s">
        <v>3</v>
      </c>
      <c r="CD76" s="47" t="s">
        <v>16</v>
      </c>
      <c r="CE76" s="46" t="s">
        <v>95</v>
      </c>
      <c r="CF76" s="46" t="s">
        <v>95</v>
      </c>
      <c r="CG76" s="46" t="s">
        <v>95</v>
      </c>
      <c r="CH76" s="47" t="s">
        <v>16</v>
      </c>
      <c r="CI76" s="46" t="s">
        <v>95</v>
      </c>
      <c r="CJ76" s="46" t="s">
        <v>95</v>
      </c>
      <c r="CK76" s="46" t="s">
        <v>95</v>
      </c>
      <c r="CL76" s="47" t="s">
        <v>14</v>
      </c>
      <c r="CM76" s="50" t="s">
        <v>3</v>
      </c>
      <c r="CN76" s="50" t="s">
        <v>131</v>
      </c>
      <c r="CO76" s="47" t="s">
        <v>846</v>
      </c>
      <c r="CP76" s="47" t="s">
        <v>3</v>
      </c>
      <c r="CQ76" s="44" t="s">
        <v>14</v>
      </c>
      <c r="CR76" s="44" t="s">
        <v>131</v>
      </c>
      <c r="CS76" s="46" t="s">
        <v>95</v>
      </c>
      <c r="CT76" s="47" t="s">
        <v>846</v>
      </c>
      <c r="CU76" s="47" t="s">
        <v>839</v>
      </c>
      <c r="CV76" s="47" t="s">
        <v>241</v>
      </c>
      <c r="CW76" s="47" t="s">
        <v>232</v>
      </c>
      <c r="CX76" s="46" t="s">
        <v>0</v>
      </c>
      <c r="CY76" s="46" t="s">
        <v>3</v>
      </c>
      <c r="CZ76" s="46" t="s">
        <v>3</v>
      </c>
      <c r="DA76" s="46" t="s">
        <v>16</v>
      </c>
      <c r="DB76" s="46" t="s">
        <v>3</v>
      </c>
      <c r="DC76" s="46" t="s">
        <v>131</v>
      </c>
      <c r="DD76" s="46" t="s">
        <v>3</v>
      </c>
      <c r="DE76" s="46" t="s">
        <v>48</v>
      </c>
      <c r="DF76" s="46" t="s">
        <v>3</v>
      </c>
      <c r="DG76" s="147" t="s">
        <v>208</v>
      </c>
      <c r="DH76" s="46" t="s">
        <v>351</v>
      </c>
      <c r="DI76" s="46" t="s">
        <v>351</v>
      </c>
      <c r="DJ76" s="46" t="s">
        <v>351</v>
      </c>
      <c r="DK76" s="46" t="s">
        <v>16</v>
      </c>
      <c r="DL76" s="46" t="s">
        <v>3476</v>
      </c>
      <c r="DM76" s="47" t="s">
        <v>48</v>
      </c>
      <c r="DN76" s="57" t="s">
        <v>3</v>
      </c>
      <c r="DO76" s="57" t="s">
        <v>3</v>
      </c>
      <c r="DP76" s="47" t="s">
        <v>14</v>
      </c>
      <c r="DQ76" s="47" t="s">
        <v>2917</v>
      </c>
      <c r="DR76" s="47" t="s">
        <v>3</v>
      </c>
      <c r="DS76" s="47" t="s">
        <v>2675</v>
      </c>
      <c r="DT76" s="47" t="s">
        <v>3</v>
      </c>
      <c r="DU76" s="47" t="s">
        <v>264</v>
      </c>
      <c r="DV76" s="47" t="s">
        <v>1538</v>
      </c>
      <c r="DW76" s="51" t="s">
        <v>442</v>
      </c>
      <c r="DX76" s="51" t="s">
        <v>95</v>
      </c>
      <c r="DY76" s="50" t="s">
        <v>3</v>
      </c>
      <c r="DZ76" s="20"/>
    </row>
    <row r="77" spans="1:130" s="18" customFormat="1" ht="12" customHeight="1" x14ac:dyDescent="0.15">
      <c r="A77" s="76" t="s">
        <v>402</v>
      </c>
      <c r="B77" s="69"/>
      <c r="C77" s="69" t="s">
        <v>2769</v>
      </c>
      <c r="D77" s="69" t="s">
        <v>2769</v>
      </c>
      <c r="E77" s="69" t="s">
        <v>3276</v>
      </c>
      <c r="F77" s="69"/>
      <c r="G77" s="69" t="s">
        <v>1588</v>
      </c>
      <c r="H77" s="69" t="s">
        <v>3</v>
      </c>
      <c r="I77" s="69" t="s">
        <v>1616</v>
      </c>
      <c r="J77" s="69" t="s">
        <v>3</v>
      </c>
      <c r="K77" s="69" t="s">
        <v>1428</v>
      </c>
      <c r="L77" s="69" t="s">
        <v>1474</v>
      </c>
      <c r="M77" s="69" t="s">
        <v>1616</v>
      </c>
      <c r="N77" s="69" t="s">
        <v>3</v>
      </c>
      <c r="O77" s="69"/>
      <c r="P77" s="69"/>
      <c r="Q77" s="69"/>
      <c r="R77" s="69" t="s">
        <v>1332</v>
      </c>
      <c r="S77" s="128"/>
      <c r="T77" s="128"/>
      <c r="U77" s="69" t="s">
        <v>2544</v>
      </c>
      <c r="V77" s="69"/>
      <c r="W77" s="106" t="s">
        <v>1308</v>
      </c>
      <c r="X77" s="69" t="s">
        <v>1308</v>
      </c>
      <c r="Y77" s="69" t="s">
        <v>2326</v>
      </c>
      <c r="Z77" s="69" t="s">
        <v>2622</v>
      </c>
      <c r="AA77" s="69" t="s">
        <v>3</v>
      </c>
      <c r="AB77" s="69" t="s">
        <v>693</v>
      </c>
      <c r="AC77" s="69" t="s">
        <v>693</v>
      </c>
      <c r="AD77" s="69" t="s">
        <v>693</v>
      </c>
      <c r="AE77" s="69" t="s">
        <v>693</v>
      </c>
      <c r="AF77" s="69" t="s">
        <v>693</v>
      </c>
      <c r="AG77" s="69" t="s">
        <v>693</v>
      </c>
      <c r="AH77" s="69" t="s">
        <v>2858</v>
      </c>
      <c r="AI77" s="69" t="s">
        <v>2857</v>
      </c>
      <c r="AJ77" s="69" t="s">
        <v>2857</v>
      </c>
      <c r="AK77" s="69" t="s">
        <v>2983</v>
      </c>
      <c r="AL77" s="69" t="s">
        <v>2988</v>
      </c>
      <c r="AM77" s="69" t="s">
        <v>3089</v>
      </c>
      <c r="AN77" s="69" t="s">
        <v>488</v>
      </c>
      <c r="AO77" s="131"/>
      <c r="AP77" s="69" t="s">
        <v>472</v>
      </c>
      <c r="AQ77" s="69" t="s">
        <v>3409</v>
      </c>
      <c r="AR77" s="69"/>
      <c r="AS77" s="69"/>
      <c r="AT77" s="69"/>
      <c r="AU77" s="69"/>
      <c r="AV77" s="69" t="s">
        <v>3</v>
      </c>
      <c r="AW77" s="69" t="s">
        <v>538</v>
      </c>
      <c r="AX77" s="69" t="s">
        <v>3</v>
      </c>
      <c r="AY77" s="69" t="s">
        <v>538</v>
      </c>
      <c r="AZ77" s="69" t="s">
        <v>2267</v>
      </c>
      <c r="BA77" s="69" t="s">
        <v>2238</v>
      </c>
      <c r="BB77" s="69" t="s">
        <v>2238</v>
      </c>
      <c r="BC77" s="69" t="s">
        <v>2268</v>
      </c>
      <c r="BD77" s="69" t="s">
        <v>2238</v>
      </c>
      <c r="BE77" s="69" t="s">
        <v>2238</v>
      </c>
      <c r="BF77" s="69" t="s">
        <v>1149</v>
      </c>
      <c r="BG77" s="69" t="s">
        <v>1106</v>
      </c>
      <c r="BH77" s="69"/>
      <c r="BI77" s="69"/>
      <c r="BJ77" s="69" t="s">
        <v>1888</v>
      </c>
      <c r="BK77" s="69" t="s">
        <v>2436</v>
      </c>
      <c r="BL77" s="69" t="s">
        <v>2342</v>
      </c>
      <c r="BM77" s="69"/>
      <c r="BN77" s="69"/>
      <c r="BO77" s="69"/>
      <c r="BP77" s="69" t="s">
        <v>600</v>
      </c>
      <c r="BQ77" s="69" t="s">
        <v>3</v>
      </c>
      <c r="BR77" s="69"/>
      <c r="BS77" s="69"/>
      <c r="BT77" s="69"/>
      <c r="BU77" s="69"/>
      <c r="BV77" s="69"/>
      <c r="BW77" s="69" t="s">
        <v>2068</v>
      </c>
      <c r="BX77" s="69" t="s">
        <v>2032</v>
      </c>
      <c r="BY77" s="69"/>
      <c r="BZ77" s="69" t="s">
        <v>1658</v>
      </c>
      <c r="CA77" s="69" t="s">
        <v>2709</v>
      </c>
      <c r="CB77" s="69" t="s">
        <v>1658</v>
      </c>
      <c r="CC77" s="69"/>
      <c r="CD77" s="69"/>
      <c r="CE77" s="69" t="s">
        <v>1731</v>
      </c>
      <c r="CF77" s="69" t="s">
        <v>1786</v>
      </c>
      <c r="CG77" s="69" t="s">
        <v>1786</v>
      </c>
      <c r="CH77" s="69" t="s">
        <v>1732</v>
      </c>
      <c r="CI77" s="69" t="s">
        <v>3555</v>
      </c>
      <c r="CJ77" s="69" t="s">
        <v>3588</v>
      </c>
      <c r="CK77" s="69" t="s">
        <v>3609</v>
      </c>
      <c r="CL77" s="69" t="s">
        <v>3555</v>
      </c>
      <c r="CM77" s="69" t="s">
        <v>3</v>
      </c>
      <c r="CN77" s="69" t="s">
        <v>748</v>
      </c>
      <c r="CO77" s="69" t="s">
        <v>961</v>
      </c>
      <c r="CP77" s="69" t="s">
        <v>3</v>
      </c>
      <c r="CQ77" s="69" t="s">
        <v>3182</v>
      </c>
      <c r="CR77" s="69" t="s">
        <v>3182</v>
      </c>
      <c r="CS77" s="69" t="s">
        <v>2502</v>
      </c>
      <c r="CT77" s="69" t="s">
        <v>845</v>
      </c>
      <c r="CU77" s="69" t="s">
        <v>836</v>
      </c>
      <c r="CV77" s="69"/>
      <c r="CW77" s="69"/>
      <c r="CX77" s="69" t="s">
        <v>1225</v>
      </c>
      <c r="CY77" s="69"/>
      <c r="CZ77" s="69"/>
      <c r="DA77" s="69" t="s">
        <v>2150</v>
      </c>
      <c r="DB77" s="69" t="s">
        <v>3</v>
      </c>
      <c r="DC77" s="69" t="s">
        <v>905</v>
      </c>
      <c r="DD77" s="69" t="s">
        <v>3</v>
      </c>
      <c r="DE77" s="69"/>
      <c r="DF77" s="69"/>
      <c r="DG77" s="152" t="s">
        <v>3367</v>
      </c>
      <c r="DH77" s="69"/>
      <c r="DI77" s="96" t="s">
        <v>1027</v>
      </c>
      <c r="DJ77" s="96" t="s">
        <v>1027</v>
      </c>
      <c r="DK77" s="69" t="s">
        <v>1953</v>
      </c>
      <c r="DL77" s="69" t="s">
        <v>3477</v>
      </c>
      <c r="DM77" s="69"/>
      <c r="DN77" s="69"/>
      <c r="DO77" s="69"/>
      <c r="DP77" s="69"/>
      <c r="DQ77" s="69" t="s">
        <v>2951</v>
      </c>
      <c r="DR77" s="69" t="s">
        <v>1392</v>
      </c>
      <c r="DS77" s="69" t="s">
        <v>2671</v>
      </c>
      <c r="DT77" s="69" t="s">
        <v>3</v>
      </c>
      <c r="DU77" s="69" t="s">
        <v>1170</v>
      </c>
      <c r="DV77" s="69" t="s">
        <v>1537</v>
      </c>
      <c r="DW77" s="69" t="s">
        <v>411</v>
      </c>
      <c r="DX77" s="69" t="s">
        <v>441</v>
      </c>
      <c r="DY77" s="69" t="s">
        <v>1515</v>
      </c>
      <c r="DZ77" s="69"/>
    </row>
    <row r="78" spans="1:130" s="18" customFormat="1" ht="22.5" customHeight="1" x14ac:dyDescent="0.15">
      <c r="A78" s="25" t="s">
        <v>39</v>
      </c>
      <c r="B78" s="46" t="s">
        <v>95</v>
      </c>
      <c r="C78" s="47" t="s">
        <v>208</v>
      </c>
      <c r="D78" s="47" t="s">
        <v>208</v>
      </c>
      <c r="E78" s="47" t="s">
        <v>208</v>
      </c>
      <c r="F78" s="47" t="s">
        <v>208</v>
      </c>
      <c r="G78" s="47" t="s">
        <v>208</v>
      </c>
      <c r="H78" s="47" t="s">
        <v>238</v>
      </c>
      <c r="I78" s="47" t="s">
        <v>238</v>
      </c>
      <c r="J78" s="47" t="s">
        <v>238</v>
      </c>
      <c r="K78" s="47" t="s">
        <v>238</v>
      </c>
      <c r="L78" s="47" t="s">
        <v>238</v>
      </c>
      <c r="M78" s="47" t="s">
        <v>238</v>
      </c>
      <c r="N78" s="46" t="s">
        <v>95</v>
      </c>
      <c r="O78" s="57" t="s">
        <v>3</v>
      </c>
      <c r="P78" s="46" t="s">
        <v>95</v>
      </c>
      <c r="Q78" s="46" t="s">
        <v>95</v>
      </c>
      <c r="R78" s="46" t="s">
        <v>95</v>
      </c>
      <c r="S78" s="117" t="s">
        <v>95</v>
      </c>
      <c r="T78" s="117" t="s">
        <v>95</v>
      </c>
      <c r="U78" s="47" t="s">
        <v>208</v>
      </c>
      <c r="V78" s="46" t="s">
        <v>3</v>
      </c>
      <c r="W78" s="62" t="s">
        <v>208</v>
      </c>
      <c r="X78" s="47" t="s">
        <v>208</v>
      </c>
      <c r="Y78" s="46" t="s">
        <v>238</v>
      </c>
      <c r="Z78" s="47" t="s">
        <v>238</v>
      </c>
      <c r="AA78" s="46" t="s">
        <v>95</v>
      </c>
      <c r="AB78" s="47" t="s">
        <v>238</v>
      </c>
      <c r="AC78" s="47" t="s">
        <v>238</v>
      </c>
      <c r="AD78" s="47" t="s">
        <v>238</v>
      </c>
      <c r="AE78" s="47" t="s">
        <v>208</v>
      </c>
      <c r="AF78" s="47" t="s">
        <v>208</v>
      </c>
      <c r="AG78" s="47" t="s">
        <v>208</v>
      </c>
      <c r="AH78" s="47" t="s">
        <v>208</v>
      </c>
      <c r="AI78" s="47" t="s">
        <v>208</v>
      </c>
      <c r="AJ78" s="47" t="s">
        <v>208</v>
      </c>
      <c r="AK78" s="47" t="s">
        <v>208</v>
      </c>
      <c r="AL78" s="47" t="s">
        <v>208</v>
      </c>
      <c r="AM78" s="47" t="s">
        <v>208</v>
      </c>
      <c r="AN78" s="20" t="s">
        <v>95</v>
      </c>
      <c r="AO78" s="130" t="s">
        <v>95</v>
      </c>
      <c r="AP78" s="20" t="s">
        <v>95</v>
      </c>
      <c r="AQ78" s="46" t="s">
        <v>238</v>
      </c>
      <c r="AR78" s="20" t="s">
        <v>95</v>
      </c>
      <c r="AS78" s="20" t="s">
        <v>95</v>
      </c>
      <c r="AT78" s="20" t="s">
        <v>95</v>
      </c>
      <c r="AU78" s="20" t="s">
        <v>3</v>
      </c>
      <c r="AV78" s="47" t="s">
        <v>238</v>
      </c>
      <c r="AW78" s="47" t="s">
        <v>238</v>
      </c>
      <c r="AX78" s="47" t="s">
        <v>238</v>
      </c>
      <c r="AY78" s="47" t="s">
        <v>238</v>
      </c>
      <c r="AZ78" s="46" t="s">
        <v>238</v>
      </c>
      <c r="BA78" s="46" t="s">
        <v>238</v>
      </c>
      <c r="BB78" s="46" t="s">
        <v>238</v>
      </c>
      <c r="BC78" s="20" t="s">
        <v>3</v>
      </c>
      <c r="BD78" s="20" t="s">
        <v>3</v>
      </c>
      <c r="BE78" s="20" t="s">
        <v>3</v>
      </c>
      <c r="BF78" s="47" t="s">
        <v>95</v>
      </c>
      <c r="BG78" s="47" t="s">
        <v>95</v>
      </c>
      <c r="BH78" s="47" t="s">
        <v>95</v>
      </c>
      <c r="BI78" s="50" t="s">
        <v>95</v>
      </c>
      <c r="BJ78" s="47" t="s">
        <v>238</v>
      </c>
      <c r="BK78" s="47" t="s">
        <v>238</v>
      </c>
      <c r="BL78" s="47" t="s">
        <v>2368</v>
      </c>
      <c r="BM78" s="57" t="s">
        <v>3</v>
      </c>
      <c r="BN78" s="46" t="s">
        <v>3</v>
      </c>
      <c r="BO78" s="57" t="s">
        <v>3</v>
      </c>
      <c r="BP78" s="47" t="s">
        <v>208</v>
      </c>
      <c r="BQ78" s="47" t="s">
        <v>208</v>
      </c>
      <c r="BR78" s="47" t="s">
        <v>95</v>
      </c>
      <c r="BS78" s="47" t="s">
        <v>238</v>
      </c>
      <c r="BT78" s="47" t="s">
        <v>238</v>
      </c>
      <c r="BU78" s="47" t="s">
        <v>227</v>
      </c>
      <c r="BV78" s="47" t="s">
        <v>227</v>
      </c>
      <c r="BW78" s="47" t="s">
        <v>208</v>
      </c>
      <c r="BX78" s="47" t="s">
        <v>208</v>
      </c>
      <c r="BY78" s="47" t="s">
        <v>208</v>
      </c>
      <c r="BZ78" s="47" t="s">
        <v>208</v>
      </c>
      <c r="CA78" s="47" t="s">
        <v>208</v>
      </c>
      <c r="CB78" s="47" t="s">
        <v>208</v>
      </c>
      <c r="CC78" s="47" t="s">
        <v>3</v>
      </c>
      <c r="CD78" s="47" t="s">
        <v>16</v>
      </c>
      <c r="CE78" s="47" t="s">
        <v>16</v>
      </c>
      <c r="CF78" s="46" t="s">
        <v>95</v>
      </c>
      <c r="CG78" s="46" t="s">
        <v>95</v>
      </c>
      <c r="CH78" s="47" t="s">
        <v>16</v>
      </c>
      <c r="CI78" s="47" t="s">
        <v>208</v>
      </c>
      <c r="CJ78" s="47" t="s">
        <v>95</v>
      </c>
      <c r="CK78" s="47" t="s">
        <v>208</v>
      </c>
      <c r="CL78" s="47" t="s">
        <v>14</v>
      </c>
      <c r="CM78" s="50" t="s">
        <v>95</v>
      </c>
      <c r="CN78" s="50" t="s">
        <v>95</v>
      </c>
      <c r="CO78" s="46" t="s">
        <v>238</v>
      </c>
      <c r="CP78" s="47" t="s">
        <v>208</v>
      </c>
      <c r="CQ78" s="47" t="s">
        <v>208</v>
      </c>
      <c r="CR78" s="47" t="s">
        <v>208</v>
      </c>
      <c r="CS78" s="46" t="s">
        <v>95</v>
      </c>
      <c r="CT78" s="47" t="s">
        <v>208</v>
      </c>
      <c r="CU78" s="47" t="s">
        <v>208</v>
      </c>
      <c r="CV78" s="46" t="s">
        <v>95</v>
      </c>
      <c r="CW78" s="47" t="s">
        <v>95</v>
      </c>
      <c r="CX78" s="46" t="s">
        <v>238</v>
      </c>
      <c r="CY78" s="46" t="s">
        <v>3</v>
      </c>
      <c r="CZ78" s="46" t="s">
        <v>3</v>
      </c>
      <c r="DA78" s="47" t="s">
        <v>238</v>
      </c>
      <c r="DB78" s="47" t="s">
        <v>238</v>
      </c>
      <c r="DC78" s="47" t="s">
        <v>238</v>
      </c>
      <c r="DD78" s="47" t="s">
        <v>238</v>
      </c>
      <c r="DE78" s="46" t="s">
        <v>95</v>
      </c>
      <c r="DF78" s="46" t="s">
        <v>95</v>
      </c>
      <c r="DG78" s="147" t="s">
        <v>208</v>
      </c>
      <c r="DH78" s="46" t="s">
        <v>95</v>
      </c>
      <c r="DI78" s="47" t="s">
        <v>238</v>
      </c>
      <c r="DJ78" s="47" t="s">
        <v>238</v>
      </c>
      <c r="DK78" s="47" t="s">
        <v>208</v>
      </c>
      <c r="DL78" s="47" t="s">
        <v>208</v>
      </c>
      <c r="DM78" s="57" t="s">
        <v>3</v>
      </c>
      <c r="DN78" s="57" t="s">
        <v>3</v>
      </c>
      <c r="DO78" s="46" t="s">
        <v>95</v>
      </c>
      <c r="DP78" s="46" t="s">
        <v>95</v>
      </c>
      <c r="DQ78" s="47" t="s">
        <v>2917</v>
      </c>
      <c r="DR78" s="46" t="s">
        <v>3</v>
      </c>
      <c r="DS78" s="47" t="s">
        <v>238</v>
      </c>
      <c r="DT78" s="47" t="s">
        <v>95</v>
      </c>
      <c r="DU78" s="47" t="s">
        <v>95</v>
      </c>
      <c r="DV78" s="46" t="s">
        <v>95</v>
      </c>
      <c r="DW78" s="50" t="s">
        <v>95</v>
      </c>
      <c r="DX78" s="50" t="s">
        <v>95</v>
      </c>
      <c r="DY78" s="46" t="s">
        <v>95</v>
      </c>
      <c r="DZ78" s="20"/>
    </row>
    <row r="79" spans="1:130" s="18" customFormat="1" ht="12" customHeight="1" x14ac:dyDescent="0.15">
      <c r="A79" s="76" t="s">
        <v>402</v>
      </c>
      <c r="B79" s="69"/>
      <c r="C79" s="69" t="s">
        <v>2793</v>
      </c>
      <c r="D79" s="69" t="s">
        <v>2793</v>
      </c>
      <c r="E79" s="69" t="s">
        <v>1603</v>
      </c>
      <c r="F79" s="69"/>
      <c r="G79" s="69" t="s">
        <v>1603</v>
      </c>
      <c r="H79" s="69" t="s">
        <v>1474</v>
      </c>
      <c r="I79" s="69" t="s">
        <v>1474</v>
      </c>
      <c r="J79" s="69" t="s">
        <v>1474</v>
      </c>
      <c r="K79" s="69" t="s">
        <v>1474</v>
      </c>
      <c r="L79" s="69" t="s">
        <v>1474</v>
      </c>
      <c r="M79" s="69" t="s">
        <v>1474</v>
      </c>
      <c r="N79" s="69" t="s">
        <v>1359</v>
      </c>
      <c r="O79" s="69"/>
      <c r="P79" s="69"/>
      <c r="Q79" s="69"/>
      <c r="R79" s="69" t="s">
        <v>1332</v>
      </c>
      <c r="S79" s="128"/>
      <c r="T79" s="128"/>
      <c r="U79" s="69" t="s">
        <v>2546</v>
      </c>
      <c r="V79" s="69"/>
      <c r="W79" s="106" t="s">
        <v>1332</v>
      </c>
      <c r="X79" s="69" t="s">
        <v>1332</v>
      </c>
      <c r="Y79" s="69" t="s">
        <v>2313</v>
      </c>
      <c r="Z79" s="69" t="s">
        <v>2633</v>
      </c>
      <c r="AA79" s="69" t="s">
        <v>2193</v>
      </c>
      <c r="AB79" s="69" t="s">
        <v>710</v>
      </c>
      <c r="AC79" s="69" t="s">
        <v>710</v>
      </c>
      <c r="AD79" s="69" t="s">
        <v>710</v>
      </c>
      <c r="AE79" s="69" t="s">
        <v>710</v>
      </c>
      <c r="AF79" s="69" t="s">
        <v>710</v>
      </c>
      <c r="AG79" s="69" t="s">
        <v>710</v>
      </c>
      <c r="AH79" s="69" t="s">
        <v>2857</v>
      </c>
      <c r="AI79" s="69" t="s">
        <v>2857</v>
      </c>
      <c r="AJ79" s="69" t="s">
        <v>2857</v>
      </c>
      <c r="AK79" s="69" t="s">
        <v>3089</v>
      </c>
      <c r="AL79" s="69" t="s">
        <v>3089</v>
      </c>
      <c r="AM79" s="69" t="s">
        <v>3089</v>
      </c>
      <c r="AN79" s="69" t="s">
        <v>488</v>
      </c>
      <c r="AO79" s="131"/>
      <c r="AP79" s="69" t="s">
        <v>488</v>
      </c>
      <c r="AQ79" s="69" t="s">
        <v>3409</v>
      </c>
      <c r="AR79" s="69"/>
      <c r="AS79" s="69"/>
      <c r="AT79" s="69"/>
      <c r="AU79" s="69"/>
      <c r="AV79" s="69" t="s">
        <v>558</v>
      </c>
      <c r="AW79" s="69" t="s">
        <v>558</v>
      </c>
      <c r="AX79" s="69" t="s">
        <v>558</v>
      </c>
      <c r="AY79" s="69" t="s">
        <v>558</v>
      </c>
      <c r="AZ79" s="69" t="s">
        <v>2267</v>
      </c>
      <c r="BA79" s="69" t="s">
        <v>2267</v>
      </c>
      <c r="BB79" s="69" t="s">
        <v>2267</v>
      </c>
      <c r="BC79" s="69" t="s">
        <v>2267</v>
      </c>
      <c r="BD79" s="69" t="s">
        <v>2267</v>
      </c>
      <c r="BE79" s="69" t="s">
        <v>2267</v>
      </c>
      <c r="BF79" s="69" t="s">
        <v>1149</v>
      </c>
      <c r="BG79" s="69" t="s">
        <v>1149</v>
      </c>
      <c r="BH79" s="69"/>
      <c r="BI79" s="69"/>
      <c r="BJ79" s="69" t="s">
        <v>1332</v>
      </c>
      <c r="BK79" s="69" t="s">
        <v>2467</v>
      </c>
      <c r="BL79" s="69" t="s">
        <v>2367</v>
      </c>
      <c r="BM79" s="69"/>
      <c r="BN79" s="69"/>
      <c r="BO79" s="69"/>
      <c r="BP79" s="69" t="s">
        <v>628</v>
      </c>
      <c r="BQ79" s="69" t="s">
        <v>628</v>
      </c>
      <c r="BR79" s="69"/>
      <c r="BS79" s="69"/>
      <c r="BT79" s="69"/>
      <c r="BU79" s="69"/>
      <c r="BV79" s="69"/>
      <c r="BW79" s="69" t="s">
        <v>1149</v>
      </c>
      <c r="BX79" s="69" t="s">
        <v>1149</v>
      </c>
      <c r="BY79" s="69"/>
      <c r="BZ79" s="69" t="s">
        <v>1677</v>
      </c>
      <c r="CA79" s="69" t="s">
        <v>2710</v>
      </c>
      <c r="CB79" s="69" t="s">
        <v>1677</v>
      </c>
      <c r="CC79" s="69"/>
      <c r="CD79" s="69"/>
      <c r="CE79" s="69" t="s">
        <v>1732</v>
      </c>
      <c r="CF79" s="69" t="s">
        <v>1730</v>
      </c>
      <c r="CG79" s="69" t="s">
        <v>1730</v>
      </c>
      <c r="CH79" s="69" t="s">
        <v>1732</v>
      </c>
      <c r="CI79" s="69" t="s">
        <v>3555</v>
      </c>
      <c r="CJ79" s="69" t="s">
        <v>3588</v>
      </c>
      <c r="CK79" s="69" t="s">
        <v>3609</v>
      </c>
      <c r="CL79" s="69" t="s">
        <v>3555</v>
      </c>
      <c r="CM79" s="69" t="s">
        <v>773</v>
      </c>
      <c r="CN79" s="69" t="s">
        <v>773</v>
      </c>
      <c r="CO79" s="69" t="s">
        <v>960</v>
      </c>
      <c r="CP79" s="69" t="s">
        <v>3231</v>
      </c>
      <c r="CQ79" s="69" t="s">
        <v>3231</v>
      </c>
      <c r="CR79" s="69" t="s">
        <v>3231</v>
      </c>
      <c r="CS79" s="69" t="s">
        <v>2502</v>
      </c>
      <c r="CT79" s="69" t="s">
        <v>863</v>
      </c>
      <c r="CU79" s="69" t="s">
        <v>863</v>
      </c>
      <c r="CV79" s="69"/>
      <c r="CW79" s="69"/>
      <c r="CX79" s="69" t="s">
        <v>1264</v>
      </c>
      <c r="CY79" s="69"/>
      <c r="CZ79" s="69"/>
      <c r="DA79" s="69" t="s">
        <v>2154</v>
      </c>
      <c r="DB79" s="69" t="s">
        <v>931</v>
      </c>
      <c r="DC79" s="69" t="s">
        <v>931</v>
      </c>
      <c r="DD79" s="69" t="s">
        <v>931</v>
      </c>
      <c r="DE79" s="69"/>
      <c r="DF79" s="69"/>
      <c r="DG79" s="152" t="s">
        <v>3367</v>
      </c>
      <c r="DH79" s="69"/>
      <c r="DI79" s="69" t="s">
        <v>1019</v>
      </c>
      <c r="DJ79" s="69" t="s">
        <v>1019</v>
      </c>
      <c r="DK79" s="69" t="s">
        <v>1984</v>
      </c>
      <c r="DL79" s="69" t="s">
        <v>3478</v>
      </c>
      <c r="DM79" s="69"/>
      <c r="DN79" s="69"/>
      <c r="DO79" s="69"/>
      <c r="DP79" s="69"/>
      <c r="DQ79" s="69" t="s">
        <v>2923</v>
      </c>
      <c r="DR79" s="69" t="s">
        <v>1392</v>
      </c>
      <c r="DS79" s="69" t="s">
        <v>1332</v>
      </c>
      <c r="DT79" s="69" t="s">
        <v>1205</v>
      </c>
      <c r="DU79" s="69" t="s">
        <v>1205</v>
      </c>
      <c r="DV79" s="69" t="s">
        <v>559</v>
      </c>
      <c r="DW79" s="69" t="s">
        <v>429</v>
      </c>
      <c r="DX79" s="69" t="s">
        <v>429</v>
      </c>
      <c r="DY79" s="69" t="s">
        <v>1515</v>
      </c>
      <c r="DZ79" s="69"/>
    </row>
    <row r="80" spans="1:130" s="18" customFormat="1" ht="22.5" customHeight="1" x14ac:dyDescent="0.15">
      <c r="A80" s="25" t="s">
        <v>40</v>
      </c>
      <c r="B80" s="46" t="s">
        <v>3</v>
      </c>
      <c r="C80" s="46" t="s">
        <v>3</v>
      </c>
      <c r="D80" s="46" t="s">
        <v>3</v>
      </c>
      <c r="E80" s="47" t="s">
        <v>3273</v>
      </c>
      <c r="F80" s="47" t="s">
        <v>374</v>
      </c>
      <c r="G80" s="47" t="s">
        <v>374</v>
      </c>
      <c r="H80" s="47" t="s">
        <v>374</v>
      </c>
      <c r="I80" s="47" t="s">
        <v>374</v>
      </c>
      <c r="J80" s="47" t="s">
        <v>374</v>
      </c>
      <c r="K80" s="47" t="s">
        <v>374</v>
      </c>
      <c r="L80" s="47" t="s">
        <v>374</v>
      </c>
      <c r="M80" s="47" t="s">
        <v>374</v>
      </c>
      <c r="N80" s="47" t="s">
        <v>3</v>
      </c>
      <c r="O80" s="57" t="s">
        <v>3</v>
      </c>
      <c r="P80" s="57" t="s">
        <v>3</v>
      </c>
      <c r="Q80" s="57" t="s">
        <v>3</v>
      </c>
      <c r="R80" s="47" t="s">
        <v>3239</v>
      </c>
      <c r="S80" s="117" t="s">
        <v>3239</v>
      </c>
      <c r="T80" s="117" t="s">
        <v>3306</v>
      </c>
      <c r="U80" s="47" t="s">
        <v>374</v>
      </c>
      <c r="V80" s="46" t="s">
        <v>95</v>
      </c>
      <c r="W80" s="101" t="s">
        <v>95</v>
      </c>
      <c r="X80" s="46" t="s">
        <v>95</v>
      </c>
      <c r="Y80" s="46" t="s">
        <v>3</v>
      </c>
      <c r="Z80" s="47" t="s">
        <v>374</v>
      </c>
      <c r="AA80" s="46" t="s">
        <v>3</v>
      </c>
      <c r="AB80" s="47" t="s">
        <v>374</v>
      </c>
      <c r="AC80" s="47" t="s">
        <v>374</v>
      </c>
      <c r="AD80" s="47" t="s">
        <v>374</v>
      </c>
      <c r="AE80" s="47" t="s">
        <v>374</v>
      </c>
      <c r="AF80" s="47" t="s">
        <v>374</v>
      </c>
      <c r="AG80" s="47" t="s">
        <v>374</v>
      </c>
      <c r="AH80" s="46" t="s">
        <v>2859</v>
      </c>
      <c r="AI80" s="47" t="s">
        <v>374</v>
      </c>
      <c r="AJ80" s="47" t="s">
        <v>374</v>
      </c>
      <c r="AK80" s="46" t="s">
        <v>2859</v>
      </c>
      <c r="AL80" s="46" t="s">
        <v>2859</v>
      </c>
      <c r="AM80" s="47" t="s">
        <v>374</v>
      </c>
      <c r="AN80" s="20" t="s">
        <v>491</v>
      </c>
      <c r="AO80" s="130" t="s">
        <v>95</v>
      </c>
      <c r="AP80" s="20" t="s">
        <v>491</v>
      </c>
      <c r="AQ80" s="20" t="s">
        <v>95</v>
      </c>
      <c r="AR80" s="20" t="s">
        <v>3502</v>
      </c>
      <c r="AS80" s="20" t="s">
        <v>3502</v>
      </c>
      <c r="AT80" s="20" t="s">
        <v>3502</v>
      </c>
      <c r="AU80" s="42" t="s">
        <v>95</v>
      </c>
      <c r="AV80" s="20" t="s">
        <v>95</v>
      </c>
      <c r="AW80" s="20" t="s">
        <v>95</v>
      </c>
      <c r="AX80" s="47" t="s">
        <v>2350</v>
      </c>
      <c r="AY80" s="47" t="s">
        <v>2350</v>
      </c>
      <c r="AZ80" s="47" t="s">
        <v>374</v>
      </c>
      <c r="BA80" s="47" t="s">
        <v>374</v>
      </c>
      <c r="BB80" s="47" t="s">
        <v>374</v>
      </c>
      <c r="BC80" s="47" t="s">
        <v>374</v>
      </c>
      <c r="BD80" s="47" t="s">
        <v>374</v>
      </c>
      <c r="BE80" s="47" t="s">
        <v>374</v>
      </c>
      <c r="BF80" s="47" t="s">
        <v>3</v>
      </c>
      <c r="BG80" s="47" t="s">
        <v>95</v>
      </c>
      <c r="BH80" s="47" t="s">
        <v>95</v>
      </c>
      <c r="BI80" s="50" t="s">
        <v>95</v>
      </c>
      <c r="BJ80" s="47" t="s">
        <v>1904</v>
      </c>
      <c r="BK80" s="47" t="s">
        <v>2470</v>
      </c>
      <c r="BL80" s="47" t="s">
        <v>2350</v>
      </c>
      <c r="BM80" s="46" t="s">
        <v>95</v>
      </c>
      <c r="BN80" s="46" t="s">
        <v>95</v>
      </c>
      <c r="BO80" s="57" t="s">
        <v>3</v>
      </c>
      <c r="BP80" s="46" t="s">
        <v>95</v>
      </c>
      <c r="BQ80" s="46" t="s">
        <v>3</v>
      </c>
      <c r="BR80" s="46" t="s">
        <v>95</v>
      </c>
      <c r="BS80" s="47" t="s">
        <v>374</v>
      </c>
      <c r="BT80" s="47" t="s">
        <v>374</v>
      </c>
      <c r="BU80" s="46" t="s">
        <v>3</v>
      </c>
      <c r="BV80" s="46" t="s">
        <v>3</v>
      </c>
      <c r="BW80" s="47" t="s">
        <v>374</v>
      </c>
      <c r="BX80" s="47" t="s">
        <v>374</v>
      </c>
      <c r="BY80" s="47" t="s">
        <v>374</v>
      </c>
      <c r="BZ80" s="47" t="s">
        <v>374</v>
      </c>
      <c r="CA80" s="47" t="s">
        <v>374</v>
      </c>
      <c r="CB80" s="47" t="s">
        <v>374</v>
      </c>
      <c r="CC80" s="47" t="s">
        <v>3</v>
      </c>
      <c r="CD80" s="47" t="s">
        <v>16</v>
      </c>
      <c r="CE80" s="47" t="s">
        <v>16</v>
      </c>
      <c r="CF80" s="47" t="s">
        <v>208</v>
      </c>
      <c r="CG80" s="47" t="s">
        <v>208</v>
      </c>
      <c r="CH80" s="47" t="s">
        <v>16</v>
      </c>
      <c r="CI80" s="47" t="s">
        <v>374</v>
      </c>
      <c r="CJ80" s="47" t="s">
        <v>374</v>
      </c>
      <c r="CK80" s="47" t="s">
        <v>374</v>
      </c>
      <c r="CL80" s="47" t="s">
        <v>3567</v>
      </c>
      <c r="CM80" s="47" t="s">
        <v>374</v>
      </c>
      <c r="CN80" s="47" t="s">
        <v>374</v>
      </c>
      <c r="CO80" s="47" t="s">
        <v>374</v>
      </c>
      <c r="CP80" s="47" t="s">
        <v>374</v>
      </c>
      <c r="CQ80" s="47" t="s">
        <v>2350</v>
      </c>
      <c r="CR80" s="47" t="s">
        <v>2350</v>
      </c>
      <c r="CS80" s="46" t="s">
        <v>95</v>
      </c>
      <c r="CT80" s="47" t="s">
        <v>374</v>
      </c>
      <c r="CU80" s="47" t="s">
        <v>374</v>
      </c>
      <c r="CV80" s="47" t="s">
        <v>3</v>
      </c>
      <c r="CW80" s="47" t="s">
        <v>238</v>
      </c>
      <c r="CX80" s="46" t="s">
        <v>95</v>
      </c>
      <c r="CY80" s="46" t="s">
        <v>3</v>
      </c>
      <c r="CZ80" s="46" t="s">
        <v>3</v>
      </c>
      <c r="DA80" s="47" t="s">
        <v>2124</v>
      </c>
      <c r="DB80" s="46" t="s">
        <v>3</v>
      </c>
      <c r="DC80" s="46" t="s">
        <v>3</v>
      </c>
      <c r="DD80" s="46" t="s">
        <v>3</v>
      </c>
      <c r="DE80" s="46" t="s">
        <v>95</v>
      </c>
      <c r="DF80" s="46" t="s">
        <v>95</v>
      </c>
      <c r="DG80" s="147" t="s">
        <v>3368</v>
      </c>
      <c r="DH80" s="47" t="s">
        <v>356</v>
      </c>
      <c r="DI80" s="47" t="s">
        <v>374</v>
      </c>
      <c r="DJ80" s="47" t="s">
        <v>374</v>
      </c>
      <c r="DK80" s="47" t="s">
        <v>374</v>
      </c>
      <c r="DL80" s="47" t="s">
        <v>374</v>
      </c>
      <c r="DM80" s="46" t="s">
        <v>95</v>
      </c>
      <c r="DN80" s="46" t="s">
        <v>95</v>
      </c>
      <c r="DO80" s="46" t="s">
        <v>95</v>
      </c>
      <c r="DP80" s="46" t="s">
        <v>95</v>
      </c>
      <c r="DQ80" s="47" t="s">
        <v>3</v>
      </c>
      <c r="DR80" s="47" t="s">
        <v>3</v>
      </c>
      <c r="DS80" s="47" t="s">
        <v>2675</v>
      </c>
      <c r="DT80" s="47" t="s">
        <v>374</v>
      </c>
      <c r="DU80" s="47" t="s">
        <v>374</v>
      </c>
      <c r="DV80" s="46" t="s">
        <v>95</v>
      </c>
      <c r="DW80" s="47" t="s">
        <v>374</v>
      </c>
      <c r="DX80" s="47" t="s">
        <v>374</v>
      </c>
      <c r="DY80" s="46" t="s">
        <v>95</v>
      </c>
      <c r="DZ80" s="20"/>
    </row>
    <row r="81" spans="1:130" s="18" customFormat="1" ht="12" customHeight="1" x14ac:dyDescent="0.15">
      <c r="A81" s="76" t="s">
        <v>402</v>
      </c>
      <c r="B81" s="69"/>
      <c r="C81" s="69" t="s">
        <v>3</v>
      </c>
      <c r="D81" s="69" t="s">
        <v>3</v>
      </c>
      <c r="E81" s="69" t="s">
        <v>3274</v>
      </c>
      <c r="F81" s="69"/>
      <c r="G81" s="69" t="s">
        <v>1617</v>
      </c>
      <c r="H81" s="69" t="s">
        <v>1473</v>
      </c>
      <c r="I81" s="69" t="s">
        <v>1473</v>
      </c>
      <c r="J81" s="69" t="s">
        <v>1473</v>
      </c>
      <c r="K81" s="69" t="s">
        <v>1473</v>
      </c>
      <c r="L81" s="69" t="s">
        <v>1473</v>
      </c>
      <c r="M81" s="69" t="s">
        <v>1473</v>
      </c>
      <c r="N81" s="69" t="s">
        <v>3</v>
      </c>
      <c r="O81" s="69"/>
      <c r="P81" s="69"/>
      <c r="Q81" s="69"/>
      <c r="R81" s="69" t="s">
        <v>3239</v>
      </c>
      <c r="S81" s="128"/>
      <c r="T81" s="128"/>
      <c r="U81" s="69" t="s">
        <v>1788</v>
      </c>
      <c r="V81" s="69"/>
      <c r="W81" s="106" t="s">
        <v>1309</v>
      </c>
      <c r="X81" s="69" t="s">
        <v>1309</v>
      </c>
      <c r="Y81" s="69" t="s">
        <v>3</v>
      </c>
      <c r="Z81" s="69" t="s">
        <v>2631</v>
      </c>
      <c r="AA81" s="69" t="s">
        <v>3</v>
      </c>
      <c r="AB81" s="69" t="s">
        <v>711</v>
      </c>
      <c r="AC81" s="69" t="s">
        <v>711</v>
      </c>
      <c r="AD81" s="69" t="s">
        <v>711</v>
      </c>
      <c r="AE81" s="69" t="s">
        <v>711</v>
      </c>
      <c r="AF81" s="69" t="s">
        <v>711</v>
      </c>
      <c r="AG81" s="69" t="s">
        <v>711</v>
      </c>
      <c r="AH81" s="69" t="s">
        <v>2861</v>
      </c>
      <c r="AI81" s="69" t="s">
        <v>2860</v>
      </c>
      <c r="AJ81" s="69" t="s">
        <v>2860</v>
      </c>
      <c r="AK81" s="69" t="s">
        <v>3031</v>
      </c>
      <c r="AL81" s="69" t="s">
        <v>2992</v>
      </c>
      <c r="AM81" s="69" t="s">
        <v>3091</v>
      </c>
      <c r="AN81" s="69" t="s">
        <v>490</v>
      </c>
      <c r="AO81" s="131"/>
      <c r="AP81" s="69" t="s">
        <v>490</v>
      </c>
      <c r="AQ81" s="69" t="s">
        <v>3409</v>
      </c>
      <c r="AR81" s="69"/>
      <c r="AS81" s="69"/>
      <c r="AT81" s="69"/>
      <c r="AU81" s="69"/>
      <c r="AV81" s="69" t="s">
        <v>559</v>
      </c>
      <c r="AW81" s="69" t="s">
        <v>559</v>
      </c>
      <c r="AX81" s="69" t="s">
        <v>559</v>
      </c>
      <c r="AY81" s="69" t="s">
        <v>559</v>
      </c>
      <c r="AZ81" s="69" t="s">
        <v>2268</v>
      </c>
      <c r="BA81" s="69" t="s">
        <v>2268</v>
      </c>
      <c r="BB81" s="69" t="s">
        <v>2268</v>
      </c>
      <c r="BC81" s="69" t="s">
        <v>2268</v>
      </c>
      <c r="BD81" s="69" t="s">
        <v>2268</v>
      </c>
      <c r="BE81" s="69" t="s">
        <v>2268</v>
      </c>
      <c r="BF81" s="69" t="s">
        <v>3</v>
      </c>
      <c r="BG81" s="69" t="s">
        <v>1154</v>
      </c>
      <c r="BH81" s="69"/>
      <c r="BI81" s="69"/>
      <c r="BJ81" s="69" t="s">
        <v>1905</v>
      </c>
      <c r="BK81" s="69" t="s">
        <v>2469</v>
      </c>
      <c r="BL81" s="69" t="s">
        <v>2337</v>
      </c>
      <c r="BM81" s="69"/>
      <c r="BN81" s="69"/>
      <c r="BO81" s="69"/>
      <c r="BP81" s="69" t="s">
        <v>603</v>
      </c>
      <c r="BQ81" s="69" t="s">
        <v>3</v>
      </c>
      <c r="BR81" s="69"/>
      <c r="BS81" s="69"/>
      <c r="BT81" s="69"/>
      <c r="BU81" s="69"/>
      <c r="BV81" s="69"/>
      <c r="BW81" s="69" t="s">
        <v>2105</v>
      </c>
      <c r="BX81" s="69" t="s">
        <v>2105</v>
      </c>
      <c r="BY81" s="69"/>
      <c r="BZ81" s="69" t="s">
        <v>1675</v>
      </c>
      <c r="CA81" s="69" t="s">
        <v>2711</v>
      </c>
      <c r="CB81" s="69" t="s">
        <v>1675</v>
      </c>
      <c r="CC81" s="69"/>
      <c r="CD81" s="69"/>
      <c r="CE81" s="69" t="s">
        <v>1732</v>
      </c>
      <c r="CF81" s="69" t="s">
        <v>1787</v>
      </c>
      <c r="CG81" s="69" t="s">
        <v>1787</v>
      </c>
      <c r="CH81" s="69" t="s">
        <v>1732</v>
      </c>
      <c r="CI81" s="69" t="s">
        <v>3555</v>
      </c>
      <c r="CJ81" s="69" t="s">
        <v>3589</v>
      </c>
      <c r="CK81" s="69" t="s">
        <v>3612</v>
      </c>
      <c r="CL81" s="69" t="s">
        <v>3568</v>
      </c>
      <c r="CM81" s="69" t="s">
        <v>773</v>
      </c>
      <c r="CN81" s="69" t="s">
        <v>773</v>
      </c>
      <c r="CO81" s="69" t="s">
        <v>965</v>
      </c>
      <c r="CP81" s="69" t="s">
        <v>3227</v>
      </c>
      <c r="CQ81" s="69" t="s">
        <v>3177</v>
      </c>
      <c r="CR81" s="69" t="s">
        <v>3177</v>
      </c>
      <c r="CS81" s="69" t="s">
        <v>2502</v>
      </c>
      <c r="CT81" s="69" t="s">
        <v>859</v>
      </c>
      <c r="CU81" s="69" t="s">
        <v>859</v>
      </c>
      <c r="CV81" s="69"/>
      <c r="CW81" s="69"/>
      <c r="CX81" s="69" t="s">
        <v>1236</v>
      </c>
      <c r="CY81" s="69"/>
      <c r="CZ81" s="69"/>
      <c r="DA81" s="69" t="s">
        <v>2151</v>
      </c>
      <c r="DB81" s="69" t="s">
        <v>3</v>
      </c>
      <c r="DC81" s="69" t="s">
        <v>3</v>
      </c>
      <c r="DD81" s="69" t="s">
        <v>3</v>
      </c>
      <c r="DE81" s="69"/>
      <c r="DF81" s="69"/>
      <c r="DG81" s="152" t="s">
        <v>3369</v>
      </c>
      <c r="DH81" s="69"/>
      <c r="DI81" s="69" t="s">
        <v>1028</v>
      </c>
      <c r="DJ81" s="69" t="s">
        <v>1028</v>
      </c>
      <c r="DK81" s="69" t="s">
        <v>1985</v>
      </c>
      <c r="DL81" s="69" t="s">
        <v>3479</v>
      </c>
      <c r="DM81" s="69"/>
      <c r="DN81" s="69"/>
      <c r="DO81" s="69"/>
      <c r="DP81" s="69"/>
      <c r="DQ81" s="69" t="s">
        <v>3</v>
      </c>
      <c r="DR81" s="69" t="s">
        <v>1392</v>
      </c>
      <c r="DS81" s="69" t="s">
        <v>2671</v>
      </c>
      <c r="DT81" s="69" t="s">
        <v>426</v>
      </c>
      <c r="DU81" s="69" t="s">
        <v>426</v>
      </c>
      <c r="DV81" s="69" t="s">
        <v>1572</v>
      </c>
      <c r="DW81" s="69" t="s">
        <v>426</v>
      </c>
      <c r="DX81" s="69" t="s">
        <v>426</v>
      </c>
      <c r="DY81" s="69" t="s">
        <v>1496</v>
      </c>
      <c r="DZ81" s="69"/>
    </row>
    <row r="82" spans="1:130" s="18" customFormat="1" ht="22.5" customHeight="1" x14ac:dyDescent="0.15">
      <c r="A82" s="25" t="s">
        <v>41</v>
      </c>
      <c r="B82" s="47" t="s">
        <v>208</v>
      </c>
      <c r="C82" s="47" t="s">
        <v>208</v>
      </c>
      <c r="D82" s="47" t="s">
        <v>208</v>
      </c>
      <c r="E82" s="20" t="s">
        <v>182</v>
      </c>
      <c r="F82" s="20" t="s">
        <v>182</v>
      </c>
      <c r="G82" s="20" t="s">
        <v>182</v>
      </c>
      <c r="H82" s="47" t="s">
        <v>238</v>
      </c>
      <c r="I82" s="47" t="s">
        <v>238</v>
      </c>
      <c r="J82" s="47" t="s">
        <v>238</v>
      </c>
      <c r="K82" s="47" t="s">
        <v>238</v>
      </c>
      <c r="L82" s="47" t="s">
        <v>238</v>
      </c>
      <c r="M82" s="47" t="s">
        <v>238</v>
      </c>
      <c r="N82" s="46" t="s">
        <v>238</v>
      </c>
      <c r="O82" s="57" t="s">
        <v>3</v>
      </c>
      <c r="P82" s="46" t="s">
        <v>95</v>
      </c>
      <c r="Q82" s="46" t="s">
        <v>95</v>
      </c>
      <c r="R82" s="46" t="s">
        <v>238</v>
      </c>
      <c r="S82" s="117" t="s">
        <v>95</v>
      </c>
      <c r="T82" s="117" t="s">
        <v>95</v>
      </c>
      <c r="U82" s="47" t="s">
        <v>208</v>
      </c>
      <c r="V82" s="46" t="s">
        <v>3</v>
      </c>
      <c r="W82" s="62" t="s">
        <v>208</v>
      </c>
      <c r="X82" s="47" t="s">
        <v>208</v>
      </c>
      <c r="Y82" s="46" t="s">
        <v>238</v>
      </c>
      <c r="Z82" s="47" t="s">
        <v>238</v>
      </c>
      <c r="AA82" s="46" t="s">
        <v>238</v>
      </c>
      <c r="AB82" s="47" t="s">
        <v>208</v>
      </c>
      <c r="AC82" s="47" t="s">
        <v>208</v>
      </c>
      <c r="AD82" s="47" t="s">
        <v>208</v>
      </c>
      <c r="AE82" s="47" t="s">
        <v>208</v>
      </c>
      <c r="AF82" s="47" t="s">
        <v>208</v>
      </c>
      <c r="AG82" s="47" t="s">
        <v>208</v>
      </c>
      <c r="AH82" s="47" t="s">
        <v>208</v>
      </c>
      <c r="AI82" s="47" t="s">
        <v>208</v>
      </c>
      <c r="AJ82" s="47" t="s">
        <v>208</v>
      </c>
      <c r="AK82" s="47" t="s">
        <v>208</v>
      </c>
      <c r="AL82" s="47" t="s">
        <v>208</v>
      </c>
      <c r="AM82" s="47" t="s">
        <v>208</v>
      </c>
      <c r="AN82" s="20" t="s">
        <v>3</v>
      </c>
      <c r="AO82" s="130" t="s">
        <v>95</v>
      </c>
      <c r="AP82" s="20" t="s">
        <v>12</v>
      </c>
      <c r="AQ82" s="47" t="s">
        <v>95</v>
      </c>
      <c r="AR82" s="47" t="s">
        <v>208</v>
      </c>
      <c r="AS82" s="47" t="s">
        <v>208</v>
      </c>
      <c r="AT82" s="47" t="s">
        <v>208</v>
      </c>
      <c r="AU82" s="20" t="s">
        <v>3</v>
      </c>
      <c r="AV82" s="20" t="s">
        <v>238</v>
      </c>
      <c r="AW82" s="20" t="s">
        <v>238</v>
      </c>
      <c r="AX82" s="20" t="s">
        <v>238</v>
      </c>
      <c r="AY82" s="20" t="s">
        <v>238</v>
      </c>
      <c r="AZ82" s="20" t="s">
        <v>238</v>
      </c>
      <c r="BA82" s="20" t="s">
        <v>238</v>
      </c>
      <c r="BB82" s="20" t="s">
        <v>238</v>
      </c>
      <c r="BC82" s="20" t="s">
        <v>238</v>
      </c>
      <c r="BD82" s="20" t="s">
        <v>238</v>
      </c>
      <c r="BE82" s="20" t="s">
        <v>238</v>
      </c>
      <c r="BF82" s="47" t="s">
        <v>238</v>
      </c>
      <c r="BG82" s="47" t="s">
        <v>238</v>
      </c>
      <c r="BH82" s="47" t="s">
        <v>238</v>
      </c>
      <c r="BI82" s="47" t="s">
        <v>3</v>
      </c>
      <c r="BJ82" s="47" t="s">
        <v>238</v>
      </c>
      <c r="BK82" s="47" t="s">
        <v>238</v>
      </c>
      <c r="BL82" s="47" t="s">
        <v>95</v>
      </c>
      <c r="BM82" s="46" t="s">
        <v>95</v>
      </c>
      <c r="BN82" s="46" t="s">
        <v>95</v>
      </c>
      <c r="BO82" s="57" t="s">
        <v>3</v>
      </c>
      <c r="BP82" s="46" t="s">
        <v>95</v>
      </c>
      <c r="BQ82" s="47" t="s">
        <v>208</v>
      </c>
      <c r="BR82" s="46" t="s">
        <v>95</v>
      </c>
      <c r="BS82" s="46" t="s">
        <v>3</v>
      </c>
      <c r="BT82" s="46" t="s">
        <v>3</v>
      </c>
      <c r="BU82" s="46" t="s">
        <v>3</v>
      </c>
      <c r="BV82" s="46" t="s">
        <v>3</v>
      </c>
      <c r="BW82" s="47" t="s">
        <v>208</v>
      </c>
      <c r="BX82" s="47" t="s">
        <v>208</v>
      </c>
      <c r="BY82" s="46" t="s">
        <v>95</v>
      </c>
      <c r="BZ82" s="47" t="s">
        <v>95</v>
      </c>
      <c r="CA82" s="47" t="s">
        <v>208</v>
      </c>
      <c r="CB82" s="47" t="s">
        <v>95</v>
      </c>
      <c r="CC82" s="47" t="s">
        <v>3</v>
      </c>
      <c r="CD82" s="47" t="s">
        <v>0</v>
      </c>
      <c r="CE82" s="47" t="s">
        <v>16</v>
      </c>
      <c r="CF82" s="47" t="s">
        <v>374</v>
      </c>
      <c r="CG82" s="47" t="s">
        <v>374</v>
      </c>
      <c r="CH82" s="47" t="s">
        <v>0</v>
      </c>
      <c r="CI82" s="46" t="s">
        <v>95</v>
      </c>
      <c r="CJ82" s="46" t="s">
        <v>95</v>
      </c>
      <c r="CK82" s="46" t="s">
        <v>95</v>
      </c>
      <c r="CL82" s="47" t="s">
        <v>0</v>
      </c>
      <c r="CM82" s="47" t="s">
        <v>208</v>
      </c>
      <c r="CN82" s="47" t="s">
        <v>208</v>
      </c>
      <c r="CO82" s="46" t="s">
        <v>238</v>
      </c>
      <c r="CP82" s="47" t="s">
        <v>208</v>
      </c>
      <c r="CQ82" s="47" t="s">
        <v>208</v>
      </c>
      <c r="CR82" s="47" t="s">
        <v>208</v>
      </c>
      <c r="CS82" s="46" t="s">
        <v>95</v>
      </c>
      <c r="CT82" s="46" t="s">
        <v>238</v>
      </c>
      <c r="CU82" s="46" t="s">
        <v>238</v>
      </c>
      <c r="CV82" s="47" t="s">
        <v>208</v>
      </c>
      <c r="CW82" s="47" t="s">
        <v>3</v>
      </c>
      <c r="CX82" s="46" t="s">
        <v>238</v>
      </c>
      <c r="CY82" s="46" t="s">
        <v>3</v>
      </c>
      <c r="CZ82" s="46" t="s">
        <v>3</v>
      </c>
      <c r="DA82" s="47" t="s">
        <v>2153</v>
      </c>
      <c r="DB82" s="47" t="s">
        <v>238</v>
      </c>
      <c r="DC82" s="47" t="s">
        <v>238</v>
      </c>
      <c r="DD82" s="47" t="s">
        <v>238</v>
      </c>
      <c r="DE82" s="46" t="s">
        <v>238</v>
      </c>
      <c r="DF82" s="46" t="s">
        <v>238</v>
      </c>
      <c r="DG82" s="147" t="s">
        <v>208</v>
      </c>
      <c r="DH82" s="46" t="s">
        <v>3</v>
      </c>
      <c r="DI82" s="47" t="s">
        <v>238</v>
      </c>
      <c r="DJ82" s="47" t="s">
        <v>238</v>
      </c>
      <c r="DK82" s="47" t="s">
        <v>208</v>
      </c>
      <c r="DL82" s="46" t="s">
        <v>95</v>
      </c>
      <c r="DM82" s="57" t="s">
        <v>3</v>
      </c>
      <c r="DN82" s="57" t="s">
        <v>3</v>
      </c>
      <c r="DO82" s="57" t="s">
        <v>3</v>
      </c>
      <c r="DP82" s="57" t="s">
        <v>3</v>
      </c>
      <c r="DQ82" s="47" t="s">
        <v>238</v>
      </c>
      <c r="DR82" s="46" t="s">
        <v>3</v>
      </c>
      <c r="DS82" s="47" t="s">
        <v>238</v>
      </c>
      <c r="DT82" s="47" t="s">
        <v>238</v>
      </c>
      <c r="DU82" s="47" t="s">
        <v>238</v>
      </c>
      <c r="DV82" s="46" t="s">
        <v>238</v>
      </c>
      <c r="DW82" s="46" t="s">
        <v>427</v>
      </c>
      <c r="DX82" s="47" t="s">
        <v>238</v>
      </c>
      <c r="DY82" s="46" t="s">
        <v>95</v>
      </c>
      <c r="DZ82" s="47"/>
    </row>
    <row r="83" spans="1:130" s="18" customFormat="1" ht="12" customHeight="1" x14ac:dyDescent="0.15">
      <c r="A83" s="76" t="s">
        <v>402</v>
      </c>
      <c r="B83" s="69"/>
      <c r="C83" s="69" t="s">
        <v>2793</v>
      </c>
      <c r="D83" s="69" t="s">
        <v>2793</v>
      </c>
      <c r="E83" s="69" t="s">
        <v>1604</v>
      </c>
      <c r="F83" s="69"/>
      <c r="G83" s="69" t="s">
        <v>1604</v>
      </c>
      <c r="H83" s="69" t="s">
        <v>1474</v>
      </c>
      <c r="I83" s="69" t="s">
        <v>1474</v>
      </c>
      <c r="J83" s="69" t="s">
        <v>1474</v>
      </c>
      <c r="K83" s="69" t="s">
        <v>1474</v>
      </c>
      <c r="L83" s="69" t="s">
        <v>1474</v>
      </c>
      <c r="M83" s="69" t="s">
        <v>1474</v>
      </c>
      <c r="N83" s="69" t="s">
        <v>1359</v>
      </c>
      <c r="O83" s="69"/>
      <c r="P83" s="69"/>
      <c r="Q83" s="69"/>
      <c r="R83" s="69" t="s">
        <v>3246</v>
      </c>
      <c r="S83" s="128"/>
      <c r="T83" s="128"/>
      <c r="U83" s="69" t="s">
        <v>2545</v>
      </c>
      <c r="V83" s="69"/>
      <c r="W83" s="106" t="s">
        <v>1333</v>
      </c>
      <c r="X83" s="69" t="s">
        <v>1333</v>
      </c>
      <c r="Y83" s="69" t="s">
        <v>2314</v>
      </c>
      <c r="Z83" s="69" t="s">
        <v>2632</v>
      </c>
      <c r="AA83" s="69" t="s">
        <v>2193</v>
      </c>
      <c r="AB83" s="69" t="s">
        <v>712</v>
      </c>
      <c r="AC83" s="69" t="s">
        <v>712</v>
      </c>
      <c r="AD83" s="69" t="s">
        <v>712</v>
      </c>
      <c r="AE83" s="69" t="s">
        <v>712</v>
      </c>
      <c r="AF83" s="69" t="s">
        <v>712</v>
      </c>
      <c r="AG83" s="69" t="s">
        <v>712</v>
      </c>
      <c r="AH83" s="69" t="s">
        <v>2862</v>
      </c>
      <c r="AI83" s="69" t="s">
        <v>2862</v>
      </c>
      <c r="AJ83" s="69" t="s">
        <v>2862</v>
      </c>
      <c r="AK83" s="69" t="s">
        <v>3090</v>
      </c>
      <c r="AL83" s="69" t="s">
        <v>3090</v>
      </c>
      <c r="AM83" s="69" t="s">
        <v>3090</v>
      </c>
      <c r="AN83" s="69" t="s">
        <v>489</v>
      </c>
      <c r="AO83" s="131"/>
      <c r="AP83" s="69" t="s">
        <v>456</v>
      </c>
      <c r="AQ83" s="69" t="s">
        <v>3409</v>
      </c>
      <c r="AR83" s="69"/>
      <c r="AS83" s="69"/>
      <c r="AT83" s="69"/>
      <c r="AU83" s="69"/>
      <c r="AV83" s="69" t="s">
        <v>560</v>
      </c>
      <c r="AW83" s="69" t="s">
        <v>560</v>
      </c>
      <c r="AX83" s="69" t="s">
        <v>560</v>
      </c>
      <c r="AY83" s="69" t="s">
        <v>560</v>
      </c>
      <c r="AZ83" s="69" t="s">
        <v>2269</v>
      </c>
      <c r="BA83" s="69" t="s">
        <v>2269</v>
      </c>
      <c r="BB83" s="69" t="s">
        <v>2269</v>
      </c>
      <c r="BC83" s="69" t="s">
        <v>2269</v>
      </c>
      <c r="BD83" s="69" t="s">
        <v>2269</v>
      </c>
      <c r="BE83" s="69" t="s">
        <v>2269</v>
      </c>
      <c r="BF83" s="69" t="s">
        <v>1155</v>
      </c>
      <c r="BG83" s="69" t="s">
        <v>1155</v>
      </c>
      <c r="BH83" s="69"/>
      <c r="BI83" s="69"/>
      <c r="BJ83" s="69" t="s">
        <v>1333</v>
      </c>
      <c r="BK83" s="69" t="s">
        <v>2468</v>
      </c>
      <c r="BL83" s="69" t="s">
        <v>2337</v>
      </c>
      <c r="BM83" s="69"/>
      <c r="BN83" s="69"/>
      <c r="BO83" s="69"/>
      <c r="BP83" s="69" t="s">
        <v>599</v>
      </c>
      <c r="BQ83" s="69" t="s">
        <v>3322</v>
      </c>
      <c r="BR83" s="69"/>
      <c r="BS83" s="69"/>
      <c r="BT83" s="69"/>
      <c r="BU83" s="69"/>
      <c r="BV83" s="69"/>
      <c r="BW83" s="69" t="s">
        <v>1155</v>
      </c>
      <c r="BX83" s="69" t="s">
        <v>1155</v>
      </c>
      <c r="BY83" s="69"/>
      <c r="BZ83" s="69" t="s">
        <v>1676</v>
      </c>
      <c r="CA83" s="69" t="s">
        <v>2712</v>
      </c>
      <c r="CB83" s="69" t="s">
        <v>1676</v>
      </c>
      <c r="CC83" s="69"/>
      <c r="CD83" s="69"/>
      <c r="CE83" s="69" t="s">
        <v>1732</v>
      </c>
      <c r="CF83" s="69" t="s">
        <v>1788</v>
      </c>
      <c r="CG83" s="69" t="s">
        <v>1788</v>
      </c>
      <c r="CH83" s="69" t="s">
        <v>1733</v>
      </c>
      <c r="CI83" s="69" t="s">
        <v>3555</v>
      </c>
      <c r="CJ83" s="69" t="s">
        <v>3590</v>
      </c>
      <c r="CK83" s="69" t="s">
        <v>3555</v>
      </c>
      <c r="CL83" s="69" t="s">
        <v>3569</v>
      </c>
      <c r="CM83" s="69" t="s">
        <v>774</v>
      </c>
      <c r="CN83" s="69" t="s">
        <v>774</v>
      </c>
      <c r="CO83" s="69" t="s">
        <v>959</v>
      </c>
      <c r="CP83" s="69" t="s">
        <v>3232</v>
      </c>
      <c r="CQ83" s="69" t="s">
        <v>3232</v>
      </c>
      <c r="CR83" s="69" t="s">
        <v>3232</v>
      </c>
      <c r="CS83" s="69" t="s">
        <v>2502</v>
      </c>
      <c r="CT83" s="69" t="s">
        <v>864</v>
      </c>
      <c r="CU83" s="69" t="s">
        <v>864</v>
      </c>
      <c r="CV83" s="69"/>
      <c r="CW83" s="69"/>
      <c r="CX83" s="69" t="s">
        <v>1265</v>
      </c>
      <c r="CY83" s="69"/>
      <c r="CZ83" s="69"/>
      <c r="DA83" s="69" t="s">
        <v>2152</v>
      </c>
      <c r="DB83" s="69" t="s">
        <v>931</v>
      </c>
      <c r="DC83" s="69" t="s">
        <v>931</v>
      </c>
      <c r="DD83" s="69" t="s">
        <v>931</v>
      </c>
      <c r="DE83" s="69"/>
      <c r="DF83" s="69"/>
      <c r="DG83" s="152" t="s">
        <v>3370</v>
      </c>
      <c r="DH83" s="69"/>
      <c r="DI83" s="69" t="s">
        <v>1018</v>
      </c>
      <c r="DJ83" s="69" t="s">
        <v>1018</v>
      </c>
      <c r="DK83" s="69" t="s">
        <v>1986</v>
      </c>
      <c r="DL83" s="69" t="s">
        <v>3480</v>
      </c>
      <c r="DM83" s="69"/>
      <c r="DN83" s="69"/>
      <c r="DO83" s="69"/>
      <c r="DP83" s="69"/>
      <c r="DQ83" s="69" t="s">
        <v>2923</v>
      </c>
      <c r="DR83" s="69" t="s">
        <v>1392</v>
      </c>
      <c r="DS83" s="69" t="s">
        <v>1333</v>
      </c>
      <c r="DT83" s="69" t="s">
        <v>428</v>
      </c>
      <c r="DU83" s="69" t="s">
        <v>428</v>
      </c>
      <c r="DV83" s="69" t="s">
        <v>559</v>
      </c>
      <c r="DW83" s="69" t="s">
        <v>428</v>
      </c>
      <c r="DX83" s="69" t="s">
        <v>428</v>
      </c>
      <c r="DY83" s="69" t="s">
        <v>1516</v>
      </c>
      <c r="DZ83" s="69"/>
    </row>
    <row r="84" spans="1:130" s="18" customFormat="1" ht="12" customHeight="1" x14ac:dyDescent="0.15">
      <c r="A84" s="28"/>
      <c r="B84" s="58"/>
      <c r="C84" s="58"/>
      <c r="D84" s="58"/>
      <c r="E84" s="27"/>
      <c r="F84" s="27"/>
      <c r="G84" s="27"/>
      <c r="H84" s="27"/>
      <c r="I84" s="27"/>
      <c r="J84" s="27"/>
      <c r="K84" s="27"/>
      <c r="L84" s="27"/>
      <c r="M84" s="27"/>
      <c r="N84" s="59"/>
      <c r="O84" s="59"/>
      <c r="P84" s="48"/>
      <c r="Q84" s="48"/>
      <c r="R84" s="59"/>
      <c r="S84" s="33"/>
      <c r="T84" s="33"/>
      <c r="U84" s="48"/>
      <c r="V84" s="48"/>
      <c r="W84" s="48"/>
      <c r="X84" s="48"/>
      <c r="Y84" s="59"/>
      <c r="Z84" s="58"/>
      <c r="AA84" s="59"/>
      <c r="AB84" s="59"/>
      <c r="AC84" s="59"/>
      <c r="AD84" s="59"/>
      <c r="AE84" s="59"/>
      <c r="AF84" s="59"/>
      <c r="AG84" s="59"/>
      <c r="AH84" s="58"/>
      <c r="AI84" s="59"/>
      <c r="AJ84" s="48"/>
      <c r="AK84" s="59"/>
      <c r="AL84" s="58"/>
      <c r="AM84" s="48"/>
      <c r="AN84" s="27"/>
      <c r="AO84" s="132"/>
      <c r="AP84" s="27"/>
      <c r="AQ84" s="27"/>
      <c r="AR84" s="27"/>
      <c r="AS84" s="27"/>
      <c r="AT84" s="27"/>
      <c r="AU84" s="27"/>
      <c r="AV84" s="27"/>
      <c r="AW84" s="27"/>
      <c r="AX84" s="27"/>
      <c r="AY84" s="27"/>
      <c r="AZ84" s="48"/>
      <c r="BA84" s="27"/>
      <c r="BB84" s="27"/>
      <c r="BC84" s="48"/>
      <c r="BD84" s="27"/>
      <c r="BE84" s="27"/>
      <c r="BF84" s="58"/>
      <c r="BG84" s="58"/>
      <c r="BH84" s="58"/>
      <c r="BI84" s="58"/>
      <c r="BJ84" s="58"/>
      <c r="BK84" s="58"/>
      <c r="BL84" s="58"/>
      <c r="BM84" s="48"/>
      <c r="BN84" s="48"/>
      <c r="BO84" s="59"/>
      <c r="BP84" s="48"/>
      <c r="BQ84" s="59"/>
      <c r="BR84" s="59"/>
      <c r="BS84" s="48"/>
      <c r="BT84" s="48"/>
      <c r="BU84" s="48"/>
      <c r="BV84" s="48"/>
      <c r="BW84" s="59"/>
      <c r="BX84" s="59"/>
      <c r="BY84" s="48"/>
      <c r="BZ84" s="48"/>
      <c r="CA84" s="48"/>
      <c r="CB84" s="48"/>
      <c r="CC84" s="58"/>
      <c r="CD84" s="58"/>
      <c r="CE84" s="47" t="s">
        <v>0</v>
      </c>
      <c r="CF84" s="46" t="s">
        <v>95</v>
      </c>
      <c r="CG84" s="46" t="s">
        <v>95</v>
      </c>
      <c r="CH84" s="58"/>
      <c r="CI84" s="48"/>
      <c r="CJ84" s="48"/>
      <c r="CK84" s="48"/>
      <c r="CL84" s="58"/>
      <c r="CM84" s="48"/>
      <c r="CN84" s="48"/>
      <c r="CO84" s="59"/>
      <c r="CP84" s="48"/>
      <c r="CQ84" s="27"/>
      <c r="CR84" s="27"/>
      <c r="CS84" s="48"/>
      <c r="CT84" s="48"/>
      <c r="CU84" s="48"/>
      <c r="CV84" s="48"/>
      <c r="CW84" s="58"/>
      <c r="CX84" s="48"/>
      <c r="CY84" s="48"/>
      <c r="CZ84" s="48"/>
      <c r="DA84" s="48"/>
      <c r="DB84" s="48"/>
      <c r="DC84" s="48"/>
      <c r="DD84" s="48"/>
      <c r="DE84" s="48"/>
      <c r="DF84" s="48"/>
      <c r="DG84" s="148"/>
      <c r="DH84" s="48"/>
      <c r="DI84" s="48"/>
      <c r="DJ84" s="48"/>
      <c r="DK84" s="48"/>
      <c r="DL84" s="48"/>
      <c r="DM84" s="64"/>
      <c r="DN84" s="65"/>
      <c r="DO84" s="59"/>
      <c r="DP84" s="59"/>
      <c r="DQ84" s="59"/>
      <c r="DR84" s="59"/>
      <c r="DS84" s="59"/>
      <c r="DT84" s="59"/>
      <c r="DU84" s="58"/>
      <c r="DV84" s="59"/>
      <c r="DW84" s="48"/>
      <c r="DX84" s="48"/>
      <c r="DY84" s="59"/>
      <c r="DZ84" s="27"/>
    </row>
    <row r="85" spans="1:130" ht="22.5" customHeight="1" x14ac:dyDescent="0.15">
      <c r="A85" s="90" t="s">
        <v>25</v>
      </c>
      <c r="B85" s="21"/>
      <c r="C85" s="21"/>
      <c r="D85" s="21"/>
      <c r="E85" s="21"/>
      <c r="F85" s="21"/>
      <c r="G85" s="21"/>
      <c r="H85" s="21"/>
      <c r="I85" s="21"/>
      <c r="J85" s="21"/>
      <c r="K85" s="21"/>
      <c r="L85" s="21"/>
      <c r="M85" s="21"/>
      <c r="N85" s="21"/>
      <c r="O85" s="21"/>
      <c r="P85" s="21"/>
      <c r="Q85" s="21"/>
      <c r="R85" s="21"/>
      <c r="S85" s="113"/>
      <c r="T85" s="116"/>
      <c r="U85" s="21"/>
      <c r="V85" s="21"/>
      <c r="W85" s="21"/>
      <c r="X85" s="21"/>
      <c r="Y85" s="21"/>
      <c r="Z85" s="21"/>
      <c r="AA85" s="21"/>
      <c r="AB85" s="21"/>
      <c r="AC85" s="21"/>
      <c r="AD85" s="21"/>
      <c r="AE85" s="21"/>
      <c r="AF85" s="21"/>
      <c r="AG85" s="21"/>
      <c r="AH85" s="21"/>
      <c r="AI85" s="21"/>
      <c r="AJ85" s="21"/>
      <c r="AK85" s="21"/>
      <c r="AL85" s="21"/>
      <c r="AM85" s="21"/>
      <c r="AN85" s="21"/>
      <c r="AO85" s="132"/>
      <c r="AP85" s="21"/>
      <c r="AQ85" s="21"/>
      <c r="AR85" s="21"/>
      <c r="AS85" s="21"/>
      <c r="AT85" s="21"/>
      <c r="AU85" s="21"/>
      <c r="AV85" s="21"/>
      <c r="AW85" s="21"/>
      <c r="AX85" s="21"/>
      <c r="AY85" s="21"/>
      <c r="AZ85" s="21"/>
      <c r="BA85" s="21"/>
      <c r="BB85" s="21"/>
      <c r="BC85" s="21"/>
      <c r="BD85" s="21"/>
      <c r="BE85" s="21"/>
      <c r="BF85" s="28"/>
      <c r="BG85" s="28"/>
      <c r="BH85" s="28"/>
      <c r="BI85" s="47" t="s">
        <v>394</v>
      </c>
      <c r="BJ85" s="58"/>
      <c r="BK85" s="58"/>
      <c r="BL85" s="58"/>
      <c r="BM85" s="21"/>
      <c r="BN85" s="21"/>
      <c r="BO85" s="21"/>
      <c r="BP85" s="21"/>
      <c r="BQ85" s="21"/>
      <c r="BR85" s="21"/>
      <c r="BS85" s="21"/>
      <c r="BT85" s="21"/>
      <c r="BU85" s="21"/>
      <c r="BV85" s="21"/>
      <c r="BW85" s="21"/>
      <c r="BX85" s="21"/>
      <c r="BY85" s="21"/>
      <c r="BZ85" s="21"/>
      <c r="CA85" s="21"/>
      <c r="CB85" s="21"/>
      <c r="CC85" s="21"/>
      <c r="CD85" s="21"/>
      <c r="CE85" s="69" t="s">
        <v>1733</v>
      </c>
      <c r="CF85" s="69" t="s">
        <v>1729</v>
      </c>
      <c r="CG85" s="69" t="s">
        <v>1729</v>
      </c>
      <c r="CH85" s="21"/>
      <c r="CI85" s="21"/>
      <c r="CJ85" s="21"/>
      <c r="CK85" s="21"/>
      <c r="CL85" s="21"/>
      <c r="CM85" s="21"/>
      <c r="CN85" s="21"/>
      <c r="CO85" s="21"/>
      <c r="CP85" s="21"/>
      <c r="CQ85" s="21"/>
      <c r="CR85" s="21"/>
      <c r="CS85" s="21"/>
      <c r="CT85" s="21"/>
      <c r="CU85" s="21"/>
      <c r="CV85" s="21"/>
      <c r="CW85" s="28"/>
      <c r="CX85" s="21"/>
      <c r="CY85" s="21"/>
      <c r="CZ85" s="21"/>
      <c r="DA85" s="21"/>
      <c r="DB85" s="21"/>
      <c r="DC85" s="21"/>
      <c r="DD85" s="21"/>
      <c r="DE85" s="48"/>
      <c r="DF85" s="48"/>
      <c r="DG85" s="137"/>
      <c r="DH85" s="21"/>
      <c r="DI85" s="21"/>
      <c r="DJ85" s="21"/>
      <c r="DK85" s="21"/>
      <c r="DL85" s="21"/>
      <c r="DM85" s="21"/>
      <c r="DN85" s="21"/>
      <c r="DO85" s="21"/>
      <c r="DP85" s="21"/>
      <c r="DQ85" s="21"/>
      <c r="DR85" s="21"/>
      <c r="DS85" s="21"/>
      <c r="DT85" s="21"/>
      <c r="DU85" s="28"/>
      <c r="DV85" s="21"/>
      <c r="DW85" s="21"/>
      <c r="DX85" s="21"/>
      <c r="DY85" s="21"/>
      <c r="DZ85" s="21"/>
    </row>
    <row r="86" spans="1:130" s="18" customFormat="1" ht="22.5" customHeight="1" x14ac:dyDescent="0.15">
      <c r="A86" s="25" t="s">
        <v>688</v>
      </c>
      <c r="B86" s="46" t="s">
        <v>95</v>
      </c>
      <c r="C86" s="46" t="s">
        <v>95</v>
      </c>
      <c r="D86" s="46" t="s">
        <v>95</v>
      </c>
      <c r="E86" s="46" t="s">
        <v>95</v>
      </c>
      <c r="F86" s="46" t="s">
        <v>95</v>
      </c>
      <c r="G86" s="46" t="s">
        <v>95</v>
      </c>
      <c r="H86" s="46" t="s">
        <v>95</v>
      </c>
      <c r="I86" s="46" t="s">
        <v>95</v>
      </c>
      <c r="J86" s="46" t="s">
        <v>95</v>
      </c>
      <c r="K86" s="46" t="s">
        <v>95</v>
      </c>
      <c r="L86" s="46" t="s">
        <v>95</v>
      </c>
      <c r="M86" s="46" t="s">
        <v>95</v>
      </c>
      <c r="N86" s="47" t="s">
        <v>1360</v>
      </c>
      <c r="O86" s="46" t="s">
        <v>95</v>
      </c>
      <c r="P86" s="46" t="s">
        <v>95</v>
      </c>
      <c r="Q86" s="46" t="s">
        <v>95</v>
      </c>
      <c r="R86" s="47" t="s">
        <v>3247</v>
      </c>
      <c r="S86" s="117" t="s">
        <v>95</v>
      </c>
      <c r="T86" s="117" t="s">
        <v>95</v>
      </c>
      <c r="U86" s="47" t="s">
        <v>2523</v>
      </c>
      <c r="V86" s="46" t="s">
        <v>174</v>
      </c>
      <c r="W86" s="62" t="s">
        <v>1301</v>
      </c>
      <c r="X86" s="47" t="s">
        <v>1301</v>
      </c>
      <c r="Y86" s="47" t="s">
        <v>2320</v>
      </c>
      <c r="Z86" s="47" t="s">
        <v>2634</v>
      </c>
      <c r="AA86" s="47" t="s">
        <v>2195</v>
      </c>
      <c r="AB86" s="47" t="s">
        <v>2195</v>
      </c>
      <c r="AC86" s="47" t="s">
        <v>2195</v>
      </c>
      <c r="AD86" s="47" t="s">
        <v>679</v>
      </c>
      <c r="AE86" s="47" t="s">
        <v>375</v>
      </c>
      <c r="AF86" s="47" t="s">
        <v>375</v>
      </c>
      <c r="AG86" s="47" t="s">
        <v>2405</v>
      </c>
      <c r="AH86" s="47" t="s">
        <v>2863</v>
      </c>
      <c r="AI86" s="47" t="s">
        <v>2863</v>
      </c>
      <c r="AJ86" s="47" t="s">
        <v>1275</v>
      </c>
      <c r="AK86" s="47" t="s">
        <v>95</v>
      </c>
      <c r="AL86" s="47" t="s">
        <v>95</v>
      </c>
      <c r="AM86" s="47" t="s">
        <v>95</v>
      </c>
      <c r="AN86" s="20" t="s">
        <v>95</v>
      </c>
      <c r="AO86" s="130" t="s">
        <v>95</v>
      </c>
      <c r="AP86" s="20" t="s">
        <v>95</v>
      </c>
      <c r="AQ86" s="44" t="s">
        <v>95</v>
      </c>
      <c r="AR86" s="44" t="s">
        <v>95</v>
      </c>
      <c r="AS86" s="44" t="s">
        <v>95</v>
      </c>
      <c r="AT86" s="44" t="s">
        <v>95</v>
      </c>
      <c r="AU86" s="42" t="s">
        <v>95</v>
      </c>
      <c r="AV86" s="20" t="s">
        <v>3</v>
      </c>
      <c r="AW86" s="44" t="s">
        <v>95</v>
      </c>
      <c r="AX86" s="20" t="s">
        <v>2576</v>
      </c>
      <c r="AY86" s="44" t="s">
        <v>95</v>
      </c>
      <c r="AZ86" s="47" t="s">
        <v>95</v>
      </c>
      <c r="BA86" s="47" t="s">
        <v>95</v>
      </c>
      <c r="BB86" s="47" t="s">
        <v>95</v>
      </c>
      <c r="BC86" s="47" t="s">
        <v>1269</v>
      </c>
      <c r="BD86" s="47" t="s">
        <v>1269</v>
      </c>
      <c r="BE86" s="47" t="s">
        <v>1269</v>
      </c>
      <c r="BF86" s="47" t="s">
        <v>1125</v>
      </c>
      <c r="BG86" s="47" t="s">
        <v>1100</v>
      </c>
      <c r="BH86" s="47" t="s">
        <v>270</v>
      </c>
      <c r="BI86" s="47" t="s">
        <v>397</v>
      </c>
      <c r="BJ86" s="47" t="s">
        <v>1907</v>
      </c>
      <c r="BK86" s="47" t="s">
        <v>2425</v>
      </c>
      <c r="BL86" s="47" t="s">
        <v>2344</v>
      </c>
      <c r="BM86" s="46" t="s">
        <v>95</v>
      </c>
      <c r="BN86" s="46" t="s">
        <v>95</v>
      </c>
      <c r="BO86" s="46" t="s">
        <v>95</v>
      </c>
      <c r="BP86" s="47" t="s">
        <v>595</v>
      </c>
      <c r="BQ86" s="46" t="s">
        <v>95</v>
      </c>
      <c r="BR86" s="46" t="s">
        <v>95</v>
      </c>
      <c r="BS86" s="47" t="s">
        <v>375</v>
      </c>
      <c r="BT86" s="47" t="s">
        <v>375</v>
      </c>
      <c r="BU86" s="47" t="s">
        <v>218</v>
      </c>
      <c r="BV86" s="47" t="s">
        <v>218</v>
      </c>
      <c r="BW86" s="47" t="s">
        <v>2108</v>
      </c>
      <c r="BX86" s="47" t="s">
        <v>2108</v>
      </c>
      <c r="BY86" s="47" t="s">
        <v>95</v>
      </c>
      <c r="BZ86" s="47" t="s">
        <v>95</v>
      </c>
      <c r="CA86" s="47" t="s">
        <v>2698</v>
      </c>
      <c r="CB86" s="47" t="s">
        <v>95</v>
      </c>
      <c r="CC86" s="47" t="s">
        <v>1529</v>
      </c>
      <c r="CD86" s="47" t="s">
        <v>1275</v>
      </c>
      <c r="CE86" s="58"/>
      <c r="CF86" s="48"/>
      <c r="CG86" s="48"/>
      <c r="CH86" s="47" t="s">
        <v>1275</v>
      </c>
      <c r="CI86" s="47" t="s">
        <v>95</v>
      </c>
      <c r="CJ86" s="47" t="s">
        <v>95</v>
      </c>
      <c r="CK86" s="47" t="s">
        <v>95</v>
      </c>
      <c r="CL86" s="47" t="s">
        <v>3457</v>
      </c>
      <c r="CM86" s="46" t="s">
        <v>95</v>
      </c>
      <c r="CN86" s="47" t="s">
        <v>679</v>
      </c>
      <c r="CO86" s="46" t="s">
        <v>95</v>
      </c>
      <c r="CP86" s="47" t="s">
        <v>3166</v>
      </c>
      <c r="CQ86" s="47" t="s">
        <v>3167</v>
      </c>
      <c r="CR86" s="47" t="s">
        <v>3199</v>
      </c>
      <c r="CS86" s="46" t="s">
        <v>95</v>
      </c>
      <c r="CT86" s="46" t="s">
        <v>12</v>
      </c>
      <c r="CU86" s="47" t="s">
        <v>837</v>
      </c>
      <c r="CV86" s="46" t="s">
        <v>95</v>
      </c>
      <c r="CW86" s="47" t="s">
        <v>129</v>
      </c>
      <c r="CX86" s="47" t="s">
        <v>1269</v>
      </c>
      <c r="CY86" s="47" t="s">
        <v>95</v>
      </c>
      <c r="CZ86" s="47" t="s">
        <v>134</v>
      </c>
      <c r="DA86" s="47" t="s">
        <v>1269</v>
      </c>
      <c r="DB86" s="47" t="s">
        <v>95</v>
      </c>
      <c r="DC86" s="47" t="s">
        <v>935</v>
      </c>
      <c r="DD86" s="47" t="s">
        <v>935</v>
      </c>
      <c r="DE86" s="47" t="s">
        <v>300</v>
      </c>
      <c r="DF86" s="62" t="s">
        <v>301</v>
      </c>
      <c r="DG86" s="146" t="s">
        <v>3371</v>
      </c>
      <c r="DH86" s="47" t="s">
        <v>95</v>
      </c>
      <c r="DI86" s="47" t="s">
        <v>1004</v>
      </c>
      <c r="DJ86" s="47" t="s">
        <v>1004</v>
      </c>
      <c r="DK86" s="47" t="s">
        <v>1954</v>
      </c>
      <c r="DL86" s="46" t="s">
        <v>3452</v>
      </c>
      <c r="DM86" s="46" t="s">
        <v>95</v>
      </c>
      <c r="DN86" s="47" t="s">
        <v>12</v>
      </c>
      <c r="DO86" s="47" t="s">
        <v>12</v>
      </c>
      <c r="DP86" s="46" t="s">
        <v>95</v>
      </c>
      <c r="DQ86" s="47" t="s">
        <v>375</v>
      </c>
      <c r="DR86" s="46" t="s">
        <v>3</v>
      </c>
      <c r="DS86" s="47" t="s">
        <v>2673</v>
      </c>
      <c r="DT86" s="47" t="s">
        <v>3</v>
      </c>
      <c r="DU86" s="47" t="s">
        <v>271</v>
      </c>
      <c r="DV86" s="47" t="s">
        <v>1536</v>
      </c>
      <c r="DW86" s="46" t="s">
        <v>129</v>
      </c>
      <c r="DX86" s="46" t="s">
        <v>127</v>
      </c>
      <c r="DY86" s="47" t="s">
        <v>1500</v>
      </c>
      <c r="DZ86" s="44"/>
    </row>
    <row r="87" spans="1:130" s="18" customFormat="1" ht="12" customHeight="1" x14ac:dyDescent="0.15">
      <c r="A87" s="76" t="s">
        <v>402</v>
      </c>
      <c r="B87" s="69"/>
      <c r="C87" s="69" t="s">
        <v>2794</v>
      </c>
      <c r="D87" s="69" t="s">
        <v>2794</v>
      </c>
      <c r="E87" s="69" t="s">
        <v>1596</v>
      </c>
      <c r="F87" s="69"/>
      <c r="G87" s="69" t="s">
        <v>1596</v>
      </c>
      <c r="H87" s="69" t="s">
        <v>1475</v>
      </c>
      <c r="I87" s="69" t="s">
        <v>1476</v>
      </c>
      <c r="J87" s="69" t="s">
        <v>1475</v>
      </c>
      <c r="K87" s="69" t="s">
        <v>1476</v>
      </c>
      <c r="L87" s="69" t="s">
        <v>1475</v>
      </c>
      <c r="M87" s="69" t="s">
        <v>1476</v>
      </c>
      <c r="N87" s="69" t="s">
        <v>1361</v>
      </c>
      <c r="O87" s="69"/>
      <c r="P87" s="69"/>
      <c r="Q87" s="69"/>
      <c r="R87" s="69" t="s">
        <v>3248</v>
      </c>
      <c r="S87" s="128"/>
      <c r="T87" s="128"/>
      <c r="U87" s="69" t="s">
        <v>2547</v>
      </c>
      <c r="V87" s="69"/>
      <c r="W87" s="106" t="s">
        <v>1302</v>
      </c>
      <c r="X87" s="69" t="s">
        <v>1302</v>
      </c>
      <c r="Y87" s="69" t="s">
        <v>2318</v>
      </c>
      <c r="Z87" s="69" t="s">
        <v>2635</v>
      </c>
      <c r="AA87" s="69" t="s">
        <v>2194</v>
      </c>
      <c r="AB87" s="69" t="s">
        <v>680</v>
      </c>
      <c r="AC87" s="69" t="s">
        <v>680</v>
      </c>
      <c r="AD87" s="69" t="s">
        <v>681</v>
      </c>
      <c r="AE87" s="69" t="s">
        <v>680</v>
      </c>
      <c r="AF87" s="69" t="s">
        <v>680</v>
      </c>
      <c r="AG87" s="69" t="s">
        <v>2406</v>
      </c>
      <c r="AH87" s="69" t="s">
        <v>2866</v>
      </c>
      <c r="AI87" s="69" t="s">
        <v>2865</v>
      </c>
      <c r="AJ87" s="69" t="s">
        <v>2864</v>
      </c>
      <c r="AK87" s="69" t="s">
        <v>3068</v>
      </c>
      <c r="AL87" s="69" t="s">
        <v>3068</v>
      </c>
      <c r="AM87" s="69" t="s">
        <v>3068</v>
      </c>
      <c r="AN87" s="69" t="s">
        <v>513</v>
      </c>
      <c r="AO87" s="131"/>
      <c r="AP87" s="69" t="s">
        <v>513</v>
      </c>
      <c r="AQ87" s="69" t="s">
        <v>3410</v>
      </c>
      <c r="AR87" s="69"/>
      <c r="AS87" s="69"/>
      <c r="AT87" s="69"/>
      <c r="AU87" s="69"/>
      <c r="AV87" s="69" t="s">
        <v>3</v>
      </c>
      <c r="AW87" s="69" t="s">
        <v>518</v>
      </c>
      <c r="AX87" s="69" t="s">
        <v>2577</v>
      </c>
      <c r="AY87" s="69" t="s">
        <v>2577</v>
      </c>
      <c r="AZ87" s="69" t="s">
        <v>2270</v>
      </c>
      <c r="BA87" s="69" t="s">
        <v>2270</v>
      </c>
      <c r="BB87" s="69" t="s">
        <v>2270</v>
      </c>
      <c r="BC87" s="69" t="s">
        <v>2270</v>
      </c>
      <c r="BD87" s="69" t="s">
        <v>2270</v>
      </c>
      <c r="BE87" s="69" t="s">
        <v>2270</v>
      </c>
      <c r="BF87" s="69" t="s">
        <v>1099</v>
      </c>
      <c r="BG87" s="69" t="s">
        <v>1099</v>
      </c>
      <c r="BH87" s="69"/>
      <c r="BI87" s="69"/>
      <c r="BJ87" s="69" t="s">
        <v>1906</v>
      </c>
      <c r="BK87" s="69" t="s">
        <v>2471</v>
      </c>
      <c r="BL87" s="69" t="s">
        <v>2343</v>
      </c>
      <c r="BM87" s="69"/>
      <c r="BN87" s="69"/>
      <c r="BO87" s="69"/>
      <c r="BP87" s="69" t="s">
        <v>629</v>
      </c>
      <c r="BQ87" s="69" t="s">
        <v>630</v>
      </c>
      <c r="BR87" s="69"/>
      <c r="BS87" s="69"/>
      <c r="BT87" s="69"/>
      <c r="BU87" s="69"/>
      <c r="BV87" s="69"/>
      <c r="BW87" s="69" t="s">
        <v>2106</v>
      </c>
      <c r="BX87" s="69" t="s">
        <v>2107</v>
      </c>
      <c r="BY87" s="69"/>
      <c r="BZ87" s="69" t="s">
        <v>1678</v>
      </c>
      <c r="CA87" s="69" t="s">
        <v>2739</v>
      </c>
      <c r="CB87" s="69" t="s">
        <v>1678</v>
      </c>
      <c r="CC87" s="69"/>
      <c r="CD87" s="69"/>
      <c r="CE87" s="21"/>
      <c r="CF87" s="21"/>
      <c r="CG87" s="21"/>
      <c r="CH87" s="69" t="s">
        <v>1734</v>
      </c>
      <c r="CI87" s="69" t="s">
        <v>3555</v>
      </c>
      <c r="CJ87" s="69" t="s">
        <v>1789</v>
      </c>
      <c r="CK87" s="69" t="s">
        <v>1789</v>
      </c>
      <c r="CL87" s="69" t="s">
        <v>3570</v>
      </c>
      <c r="CM87" s="69" t="s">
        <v>775</v>
      </c>
      <c r="CN87" s="69" t="s">
        <v>776</v>
      </c>
      <c r="CO87" s="69" t="s">
        <v>962</v>
      </c>
      <c r="CP87" s="69" t="s">
        <v>2332</v>
      </c>
      <c r="CQ87" s="69" t="s">
        <v>3165</v>
      </c>
      <c r="CR87" s="69" t="s">
        <v>3165</v>
      </c>
      <c r="CS87" s="69" t="s">
        <v>2502</v>
      </c>
      <c r="CT87" s="69" t="s">
        <v>845</v>
      </c>
      <c r="CU87" s="69" t="s">
        <v>836</v>
      </c>
      <c r="CV87" s="69"/>
      <c r="CW87" s="69"/>
      <c r="CX87" s="69" t="s">
        <v>1267</v>
      </c>
      <c r="CY87" s="69"/>
      <c r="CZ87" s="69"/>
      <c r="DA87" s="69" t="s">
        <v>2155</v>
      </c>
      <c r="DB87" s="69" t="s">
        <v>933</v>
      </c>
      <c r="DC87" s="69" t="s">
        <v>934</v>
      </c>
      <c r="DD87" s="69" t="s">
        <v>934</v>
      </c>
      <c r="DE87" s="69"/>
      <c r="DF87" s="69"/>
      <c r="DG87" s="152" t="s">
        <v>3348</v>
      </c>
      <c r="DH87" s="69"/>
      <c r="DI87" s="69" t="s">
        <v>1026</v>
      </c>
      <c r="DJ87" s="69" t="s">
        <v>1026</v>
      </c>
      <c r="DK87" s="69" t="s">
        <v>1956</v>
      </c>
      <c r="DL87" s="69" t="s">
        <v>3481</v>
      </c>
      <c r="DM87" s="69"/>
      <c r="DN87" s="69"/>
      <c r="DO87" s="69"/>
      <c r="DP87" s="69"/>
      <c r="DQ87" s="69" t="s">
        <v>2924</v>
      </c>
      <c r="DR87" s="69" t="s">
        <v>1392</v>
      </c>
      <c r="DS87" s="69" t="s">
        <v>2695</v>
      </c>
      <c r="DT87" s="69" t="s">
        <v>3</v>
      </c>
      <c r="DU87" s="69" t="s">
        <v>1179</v>
      </c>
      <c r="DV87" s="69" t="s">
        <v>1573</v>
      </c>
      <c r="DW87" s="69" t="s">
        <v>411</v>
      </c>
      <c r="DX87" s="69" t="s">
        <v>441</v>
      </c>
      <c r="DY87" s="69" t="s">
        <v>1517</v>
      </c>
      <c r="DZ87" s="69"/>
    </row>
    <row r="88" spans="1:130" s="18" customFormat="1" ht="75" customHeight="1" x14ac:dyDescent="0.15">
      <c r="A88" s="25" t="s">
        <v>689</v>
      </c>
      <c r="B88" s="47" t="s">
        <v>209</v>
      </c>
      <c r="C88" s="47" t="s">
        <v>2808</v>
      </c>
      <c r="D88" s="47" t="s">
        <v>2808</v>
      </c>
      <c r="E88" s="47" t="s">
        <v>3261</v>
      </c>
      <c r="F88" s="46" t="s">
        <v>94</v>
      </c>
      <c r="G88" s="47" t="s">
        <v>1620</v>
      </c>
      <c r="H88" s="47" t="s">
        <v>1618</v>
      </c>
      <c r="I88" s="47" t="s">
        <v>1619</v>
      </c>
      <c r="J88" s="47" t="s">
        <v>1618</v>
      </c>
      <c r="K88" s="47" t="s">
        <v>1619</v>
      </c>
      <c r="L88" s="47" t="s">
        <v>1618</v>
      </c>
      <c r="M88" s="47" t="s">
        <v>1619</v>
      </c>
      <c r="N88" s="46" t="s">
        <v>3</v>
      </c>
      <c r="O88" s="46" t="s">
        <v>94</v>
      </c>
      <c r="P88" s="46" t="s">
        <v>174</v>
      </c>
      <c r="Q88" s="46" t="s">
        <v>12</v>
      </c>
      <c r="R88" s="46" t="s">
        <v>3239</v>
      </c>
      <c r="S88" s="117" t="s">
        <v>3294</v>
      </c>
      <c r="T88" s="117" t="s">
        <v>3294</v>
      </c>
      <c r="U88" s="47" t="s">
        <v>2524</v>
      </c>
      <c r="V88" s="47" t="s">
        <v>797</v>
      </c>
      <c r="W88" s="62" t="s">
        <v>1307</v>
      </c>
      <c r="X88" s="47" t="s">
        <v>1307</v>
      </c>
      <c r="Y88" s="46" t="s">
        <v>3</v>
      </c>
      <c r="Z88" s="47" t="s">
        <v>2655</v>
      </c>
      <c r="AA88" s="46" t="s">
        <v>3</v>
      </c>
      <c r="AB88" s="57" t="s">
        <v>3</v>
      </c>
      <c r="AC88" s="57" t="s">
        <v>3</v>
      </c>
      <c r="AD88" s="47" t="s">
        <v>129</v>
      </c>
      <c r="AE88" s="57" t="s">
        <v>3</v>
      </c>
      <c r="AF88" s="57" t="s">
        <v>3</v>
      </c>
      <c r="AG88" s="47" t="s">
        <v>2396</v>
      </c>
      <c r="AH88" s="47" t="s">
        <v>2867</v>
      </c>
      <c r="AI88" s="47" t="s">
        <v>2867</v>
      </c>
      <c r="AJ88" s="47" t="s">
        <v>3</v>
      </c>
      <c r="AK88" s="20" t="s">
        <v>3064</v>
      </c>
      <c r="AL88" s="20" t="s">
        <v>3065</v>
      </c>
      <c r="AM88" s="20" t="s">
        <v>3063</v>
      </c>
      <c r="AN88" s="20" t="s">
        <v>3</v>
      </c>
      <c r="AO88" s="130" t="s">
        <v>186</v>
      </c>
      <c r="AP88" s="20" t="s">
        <v>95</v>
      </c>
      <c r="AQ88" s="20" t="s">
        <v>3</v>
      </c>
      <c r="AR88" s="20" t="s">
        <v>95</v>
      </c>
      <c r="AS88" s="20" t="s">
        <v>95</v>
      </c>
      <c r="AT88" s="20" t="s">
        <v>95</v>
      </c>
      <c r="AU88" s="20" t="s">
        <v>94</v>
      </c>
      <c r="AV88" s="20" t="s">
        <v>3</v>
      </c>
      <c r="AW88" s="20" t="s">
        <v>94</v>
      </c>
      <c r="AX88" s="20" t="s">
        <v>3</v>
      </c>
      <c r="AY88" s="20" t="s">
        <v>2584</v>
      </c>
      <c r="AZ88" s="47" t="s">
        <v>3</v>
      </c>
      <c r="BA88" s="20" t="s">
        <v>3124</v>
      </c>
      <c r="BB88" s="20" t="s">
        <v>3124</v>
      </c>
      <c r="BC88" s="47" t="s">
        <v>3</v>
      </c>
      <c r="BD88" s="20" t="s">
        <v>94</v>
      </c>
      <c r="BE88" s="20" t="s">
        <v>94</v>
      </c>
      <c r="BF88" s="47" t="s">
        <v>1127</v>
      </c>
      <c r="BG88" s="47" t="s">
        <v>1104</v>
      </c>
      <c r="BH88" s="47" t="s">
        <v>255</v>
      </c>
      <c r="BI88" s="47" t="s">
        <v>377</v>
      </c>
      <c r="BJ88" s="47" t="s">
        <v>1873</v>
      </c>
      <c r="BK88" s="47" t="s">
        <v>2439</v>
      </c>
      <c r="BL88" s="47" t="s">
        <v>2347</v>
      </c>
      <c r="BM88" s="47" t="s">
        <v>158</v>
      </c>
      <c r="BN88" s="46" t="s">
        <v>3</v>
      </c>
      <c r="BO88" s="46" t="s">
        <v>3</v>
      </c>
      <c r="BP88" s="47" t="s">
        <v>2004</v>
      </c>
      <c r="BQ88" s="47" t="s">
        <v>808</v>
      </c>
      <c r="BR88" s="47" t="s">
        <v>95</v>
      </c>
      <c r="BS88" s="47" t="s">
        <v>376</v>
      </c>
      <c r="BT88" s="47" t="s">
        <v>376</v>
      </c>
      <c r="BU88" s="46" t="s">
        <v>3</v>
      </c>
      <c r="BV88" s="46" t="s">
        <v>3</v>
      </c>
      <c r="BW88" s="47" t="s">
        <v>2065</v>
      </c>
      <c r="BX88" s="47" t="s">
        <v>2027</v>
      </c>
      <c r="BY88" s="47" t="s">
        <v>1680</v>
      </c>
      <c r="BZ88" s="47" t="s">
        <v>1680</v>
      </c>
      <c r="CA88" s="47" t="s">
        <v>3</v>
      </c>
      <c r="CB88" s="47" t="s">
        <v>1680</v>
      </c>
      <c r="CC88" s="47" t="s">
        <v>1</v>
      </c>
      <c r="CD88" s="47" t="s">
        <v>336</v>
      </c>
      <c r="CE88" s="47" t="s">
        <v>1275</v>
      </c>
      <c r="CF88" s="47" t="s">
        <v>95</v>
      </c>
      <c r="CG88" s="46" t="s">
        <v>95</v>
      </c>
      <c r="CH88" s="47" t="s">
        <v>1736</v>
      </c>
      <c r="CI88" s="47" t="s">
        <v>3</v>
      </c>
      <c r="CJ88" s="47" t="s">
        <v>3591</v>
      </c>
      <c r="CK88" s="47" t="s">
        <v>3591</v>
      </c>
      <c r="CL88" s="47" t="s">
        <v>3571</v>
      </c>
      <c r="CM88" s="47" t="s">
        <v>3</v>
      </c>
      <c r="CN88" s="47" t="s">
        <v>3442</v>
      </c>
      <c r="CO88" s="46" t="s">
        <v>12</v>
      </c>
      <c r="CP88" s="47" t="s">
        <v>3</v>
      </c>
      <c r="CQ88" s="47" t="s">
        <v>3170</v>
      </c>
      <c r="CR88" s="47" t="s">
        <v>3201</v>
      </c>
      <c r="CS88" s="46" t="s">
        <v>95</v>
      </c>
      <c r="CT88" s="47" t="s">
        <v>844</v>
      </c>
      <c r="CU88" s="47" t="s">
        <v>844</v>
      </c>
      <c r="CV88" s="46" t="s">
        <v>3</v>
      </c>
      <c r="CW88" s="47" t="s">
        <v>239</v>
      </c>
      <c r="CX88" s="47" t="s">
        <v>1270</v>
      </c>
      <c r="CY88" s="46" t="s">
        <v>3</v>
      </c>
      <c r="CZ88" s="46" t="s">
        <v>3</v>
      </c>
      <c r="DA88" s="46" t="s">
        <v>94</v>
      </c>
      <c r="DB88" s="46" t="s">
        <v>3</v>
      </c>
      <c r="DC88" s="46" t="s">
        <v>3</v>
      </c>
      <c r="DD88" s="46" t="s">
        <v>3</v>
      </c>
      <c r="DE88" s="47" t="s">
        <v>288</v>
      </c>
      <c r="DF88" s="46" t="s">
        <v>3</v>
      </c>
      <c r="DG88" s="146" t="s">
        <v>3371</v>
      </c>
      <c r="DH88" s="47" t="s">
        <v>355</v>
      </c>
      <c r="DI88" s="47" t="s">
        <v>1065</v>
      </c>
      <c r="DJ88" s="47" t="s">
        <v>1065</v>
      </c>
      <c r="DK88" s="47" t="s">
        <v>2000</v>
      </c>
      <c r="DL88" s="46" t="s">
        <v>3452</v>
      </c>
      <c r="DM88" s="47" t="s">
        <v>12</v>
      </c>
      <c r="DN88" s="57" t="s">
        <v>3</v>
      </c>
      <c r="DO88" s="57" t="s">
        <v>3</v>
      </c>
      <c r="DP88" s="155" t="s">
        <v>12</v>
      </c>
      <c r="DQ88" s="47" t="s">
        <v>3</v>
      </c>
      <c r="DR88" s="46" t="s">
        <v>3</v>
      </c>
      <c r="DS88" s="47" t="s">
        <v>2681</v>
      </c>
      <c r="DT88" s="47" t="s">
        <v>261</v>
      </c>
      <c r="DU88" s="47" t="s">
        <v>261</v>
      </c>
      <c r="DV88" s="46" t="s">
        <v>3</v>
      </c>
      <c r="DW88" s="47" t="s">
        <v>3</v>
      </c>
      <c r="DX88" s="47" t="s">
        <v>450</v>
      </c>
      <c r="DY88" s="46" t="s">
        <v>3</v>
      </c>
      <c r="DZ88" s="20"/>
    </row>
    <row r="89" spans="1:130" s="18" customFormat="1" ht="12" customHeight="1" x14ac:dyDescent="0.15">
      <c r="A89" s="76" t="s">
        <v>402</v>
      </c>
      <c r="B89" s="69"/>
      <c r="C89" s="69" t="s">
        <v>2810</v>
      </c>
      <c r="D89" s="69" t="s">
        <v>2810</v>
      </c>
      <c r="E89" s="69" t="s">
        <v>3258</v>
      </c>
      <c r="F89" s="69"/>
      <c r="G89" s="69" t="s">
        <v>1590</v>
      </c>
      <c r="H89" s="69" t="s">
        <v>1435</v>
      </c>
      <c r="I89" s="69" t="s">
        <v>1449</v>
      </c>
      <c r="J89" s="69" t="s">
        <v>1434</v>
      </c>
      <c r="K89" s="69" t="s">
        <v>1449</v>
      </c>
      <c r="L89" s="69" t="s">
        <v>1435</v>
      </c>
      <c r="M89" s="69" t="s">
        <v>1449</v>
      </c>
      <c r="N89" s="69" t="s">
        <v>3</v>
      </c>
      <c r="O89" s="69"/>
      <c r="P89" s="69"/>
      <c r="Q89" s="69"/>
      <c r="R89" s="69" t="s">
        <v>3239</v>
      </c>
      <c r="S89" s="128"/>
      <c r="T89" s="128"/>
      <c r="U89" s="69" t="s">
        <v>2547</v>
      </c>
      <c r="V89" s="69"/>
      <c r="W89" s="106" t="s">
        <v>1305</v>
      </c>
      <c r="X89" s="69" t="s">
        <v>1305</v>
      </c>
      <c r="Y89" s="69" t="s">
        <v>3</v>
      </c>
      <c r="Z89" s="69" t="s">
        <v>2656</v>
      </c>
      <c r="AA89" s="69" t="s">
        <v>3</v>
      </c>
      <c r="AB89" s="69" t="s">
        <v>685</v>
      </c>
      <c r="AC89" s="69" t="s">
        <v>685</v>
      </c>
      <c r="AD89" s="69" t="s">
        <v>685</v>
      </c>
      <c r="AE89" s="69" t="s">
        <v>685</v>
      </c>
      <c r="AF89" s="69" t="s">
        <v>685</v>
      </c>
      <c r="AG89" s="69" t="s">
        <v>2409</v>
      </c>
      <c r="AH89" s="69" t="s">
        <v>2868</v>
      </c>
      <c r="AI89" s="69" t="s">
        <v>2346</v>
      </c>
      <c r="AJ89" s="69" t="s">
        <v>3</v>
      </c>
      <c r="AK89" s="69" t="s">
        <v>3066</v>
      </c>
      <c r="AL89" s="69" t="s">
        <v>3066</v>
      </c>
      <c r="AM89" s="69" t="s">
        <v>3066</v>
      </c>
      <c r="AN89" s="69" t="s">
        <v>3</v>
      </c>
      <c r="AO89" s="131"/>
      <c r="AP89" s="69" t="s">
        <v>456</v>
      </c>
      <c r="AQ89" s="69" t="s">
        <v>3</v>
      </c>
      <c r="AR89" s="69"/>
      <c r="AS89" s="69"/>
      <c r="AT89" s="69"/>
      <c r="AU89" s="69"/>
      <c r="AV89" s="69" t="s">
        <v>552</v>
      </c>
      <c r="AW89" s="69" t="s">
        <v>520</v>
      </c>
      <c r="AX89" s="69" t="s">
        <v>552</v>
      </c>
      <c r="AY89" s="69" t="s">
        <v>2583</v>
      </c>
      <c r="AZ89" s="69" t="s">
        <v>3</v>
      </c>
      <c r="BA89" s="69" t="s">
        <v>3123</v>
      </c>
      <c r="BB89" s="69" t="s">
        <v>3123</v>
      </c>
      <c r="BC89" s="69" t="s">
        <v>3</v>
      </c>
      <c r="BD89" s="69" t="s">
        <v>2272</v>
      </c>
      <c r="BE89" s="69" t="s">
        <v>2272</v>
      </c>
      <c r="BF89" s="69" t="s">
        <v>1103</v>
      </c>
      <c r="BG89" s="69" t="s">
        <v>1103</v>
      </c>
      <c r="BH89" s="69"/>
      <c r="BI89" s="69"/>
      <c r="BJ89" s="69" t="s">
        <v>1872</v>
      </c>
      <c r="BK89" s="69" t="s">
        <v>2438</v>
      </c>
      <c r="BL89" s="69" t="s">
        <v>2346</v>
      </c>
      <c r="BM89" s="69"/>
      <c r="BN89" s="69"/>
      <c r="BO89" s="69"/>
      <c r="BP89" s="69" t="s">
        <v>2002</v>
      </c>
      <c r="BQ89" s="69" t="s">
        <v>809</v>
      </c>
      <c r="BR89" s="69"/>
      <c r="BS89" s="69"/>
      <c r="BT89" s="69"/>
      <c r="BU89" s="69"/>
      <c r="BV89" s="69"/>
      <c r="BW89" s="69" t="s">
        <v>2064</v>
      </c>
      <c r="BX89" s="69" t="s">
        <v>2026</v>
      </c>
      <c r="BY89" s="69"/>
      <c r="BZ89" s="69" t="s">
        <v>1679</v>
      </c>
      <c r="CA89" s="69" t="s">
        <v>3</v>
      </c>
      <c r="CB89" s="69" t="s">
        <v>1679</v>
      </c>
      <c r="CC89" s="69"/>
      <c r="CD89" s="69"/>
      <c r="CE89" s="69" t="s">
        <v>1734</v>
      </c>
      <c r="CF89" s="69" t="s">
        <v>1789</v>
      </c>
      <c r="CG89" s="69" t="s">
        <v>1789</v>
      </c>
      <c r="CH89" s="69" t="s">
        <v>1819</v>
      </c>
      <c r="CI89" s="69" t="s">
        <v>3</v>
      </c>
      <c r="CJ89" s="69" t="s">
        <v>3592</v>
      </c>
      <c r="CK89" s="69" t="s">
        <v>3592</v>
      </c>
      <c r="CL89" s="69" t="s">
        <v>3572</v>
      </c>
      <c r="CM89" s="69" t="s">
        <v>3</v>
      </c>
      <c r="CN89" s="69" t="s">
        <v>3444</v>
      </c>
      <c r="CO89" s="69" t="s">
        <v>962</v>
      </c>
      <c r="CP89" s="69" t="s">
        <v>2332</v>
      </c>
      <c r="CQ89" s="69" t="s">
        <v>3169</v>
      </c>
      <c r="CR89" s="69" t="s">
        <v>3169</v>
      </c>
      <c r="CS89" s="69" t="s">
        <v>2502</v>
      </c>
      <c r="CT89" s="69" t="s">
        <v>845</v>
      </c>
      <c r="CU89" s="69" t="s">
        <v>836</v>
      </c>
      <c r="CV89" s="69"/>
      <c r="CW89" s="69"/>
      <c r="CX89" s="69" t="s">
        <v>1271</v>
      </c>
      <c r="CY89" s="69"/>
      <c r="CZ89" s="69"/>
      <c r="DA89" s="69" t="s">
        <v>403</v>
      </c>
      <c r="DB89" s="69" t="s">
        <v>3</v>
      </c>
      <c r="DC89" s="69" t="s">
        <v>3</v>
      </c>
      <c r="DD89" s="69" t="s">
        <v>3</v>
      </c>
      <c r="DE89" s="69"/>
      <c r="DF89" s="69"/>
      <c r="DG89" s="152" t="s">
        <v>3348</v>
      </c>
      <c r="DH89" s="69"/>
      <c r="DI89" s="69" t="s">
        <v>1030</v>
      </c>
      <c r="DJ89" s="69" t="s">
        <v>1030</v>
      </c>
      <c r="DK89" s="69" t="s">
        <v>1956</v>
      </c>
      <c r="DL89" s="69" t="s">
        <v>3499</v>
      </c>
      <c r="DM89" s="69"/>
      <c r="DN89" s="69"/>
      <c r="DO89" s="69"/>
      <c r="DP89" s="69"/>
      <c r="DQ89" s="69" t="s">
        <v>3</v>
      </c>
      <c r="DR89" s="69" t="s">
        <v>1392</v>
      </c>
      <c r="DS89" s="69" t="s">
        <v>2671</v>
      </c>
      <c r="DT89" s="69" t="s">
        <v>1185</v>
      </c>
      <c r="DU89" s="69" t="s">
        <v>1185</v>
      </c>
      <c r="DV89" s="69" t="s">
        <v>3</v>
      </c>
      <c r="DW89" s="69" t="s">
        <v>3</v>
      </c>
      <c r="DX89" s="69" t="s">
        <v>417</v>
      </c>
      <c r="DY89" s="69" t="s">
        <v>3</v>
      </c>
      <c r="DZ89" s="69"/>
    </row>
    <row r="90" spans="1:130" s="18" customFormat="1" ht="12" customHeight="1" x14ac:dyDescent="0.15">
      <c r="A90" s="28"/>
      <c r="B90" s="58"/>
      <c r="C90" s="58"/>
      <c r="D90" s="58"/>
      <c r="E90" s="48"/>
      <c r="F90" s="48"/>
      <c r="G90" s="48"/>
      <c r="H90" s="48"/>
      <c r="I90" s="48"/>
      <c r="J90" s="48"/>
      <c r="K90" s="48"/>
      <c r="L90" s="48"/>
      <c r="M90" s="48"/>
      <c r="N90" s="59"/>
      <c r="O90" s="48"/>
      <c r="P90" s="48"/>
      <c r="Q90" s="48"/>
      <c r="R90" s="59"/>
      <c r="S90" s="33"/>
      <c r="T90" s="33"/>
      <c r="U90" s="48"/>
      <c r="V90" s="48"/>
      <c r="W90" s="48"/>
      <c r="X90" s="48"/>
      <c r="Y90" s="48"/>
      <c r="Z90" s="58"/>
      <c r="AA90" s="48"/>
      <c r="AB90" s="59"/>
      <c r="AC90" s="59"/>
      <c r="AD90" s="59"/>
      <c r="AE90" s="59"/>
      <c r="AF90" s="59"/>
      <c r="AG90" s="59"/>
      <c r="AH90" s="58"/>
      <c r="AI90" s="48"/>
      <c r="AJ90" s="48"/>
      <c r="AK90" s="48"/>
      <c r="AL90" s="58"/>
      <c r="AM90" s="48"/>
      <c r="AN90" s="27"/>
      <c r="AO90" s="132"/>
      <c r="AP90" s="27"/>
      <c r="AQ90" s="27"/>
      <c r="AR90" s="27"/>
      <c r="AS90" s="27"/>
      <c r="AT90" s="27"/>
      <c r="AU90" s="27"/>
      <c r="AV90" s="27"/>
      <c r="AW90" s="27"/>
      <c r="AX90" s="27"/>
      <c r="AY90" s="27"/>
      <c r="AZ90" s="58"/>
      <c r="BA90" s="27"/>
      <c r="BB90" s="27"/>
      <c r="BC90" s="58"/>
      <c r="BD90" s="27"/>
      <c r="BE90" s="27"/>
      <c r="BF90" s="58"/>
      <c r="BG90" s="58"/>
      <c r="BH90" s="58"/>
      <c r="BI90" s="58"/>
      <c r="BJ90" s="58"/>
      <c r="BK90" s="58"/>
      <c r="BL90" s="58"/>
      <c r="BM90" s="58"/>
      <c r="BN90" s="48"/>
      <c r="BO90" s="48"/>
      <c r="BP90" s="48"/>
      <c r="BQ90" s="48"/>
      <c r="BR90" s="48"/>
      <c r="BS90" s="48"/>
      <c r="BT90" s="48"/>
      <c r="BU90" s="48"/>
      <c r="BV90" s="48"/>
      <c r="BW90" s="58"/>
      <c r="BX90" s="58"/>
      <c r="BY90" s="48"/>
      <c r="BZ90" s="48"/>
      <c r="CA90" s="48"/>
      <c r="CB90" s="48"/>
      <c r="CC90" s="58"/>
      <c r="CD90" s="58"/>
      <c r="CE90" s="47" t="s">
        <v>1736</v>
      </c>
      <c r="CF90" s="47" t="s">
        <v>1792</v>
      </c>
      <c r="CG90" s="47" t="s">
        <v>1792</v>
      </c>
      <c r="CH90" s="58"/>
      <c r="CI90" s="58"/>
      <c r="CJ90" s="58"/>
      <c r="CK90" s="58"/>
      <c r="CL90" s="58"/>
      <c r="CM90" s="58"/>
      <c r="CN90" s="58"/>
      <c r="CO90" s="59"/>
      <c r="CP90" s="58"/>
      <c r="CQ90" s="27"/>
      <c r="CR90" s="27"/>
      <c r="CS90" s="48"/>
      <c r="CT90" s="48"/>
      <c r="CU90" s="48"/>
      <c r="CV90" s="48"/>
      <c r="CW90" s="58"/>
      <c r="CX90" s="48"/>
      <c r="CY90" s="48"/>
      <c r="CZ90" s="48"/>
      <c r="DA90" s="48"/>
      <c r="DB90" s="48"/>
      <c r="DC90" s="48"/>
      <c r="DD90" s="48"/>
      <c r="DE90" s="58"/>
      <c r="DF90" s="48"/>
      <c r="DG90" s="151"/>
      <c r="DH90" s="48"/>
      <c r="DI90" s="48"/>
      <c r="DJ90" s="48"/>
      <c r="DK90" s="48"/>
      <c r="DL90" s="48"/>
      <c r="DM90" s="58"/>
      <c r="DN90" s="59"/>
      <c r="DO90" s="59"/>
      <c r="DP90" s="58"/>
      <c r="DQ90" s="59"/>
      <c r="DR90" s="59"/>
      <c r="DS90" s="59"/>
      <c r="DT90" s="59"/>
      <c r="DU90" s="58"/>
      <c r="DV90" s="59"/>
      <c r="DW90" s="58"/>
      <c r="DX90" s="58"/>
      <c r="DY90" s="59"/>
      <c r="DZ90" s="27"/>
    </row>
    <row r="91" spans="1:130" ht="22.5" customHeight="1" x14ac:dyDescent="0.15">
      <c r="A91" s="80" t="s">
        <v>24</v>
      </c>
      <c r="B91" s="21"/>
      <c r="C91" s="21"/>
      <c r="D91" s="21"/>
      <c r="E91" s="21"/>
      <c r="F91" s="21"/>
      <c r="G91" s="21"/>
      <c r="H91" s="21"/>
      <c r="I91" s="21"/>
      <c r="J91" s="21"/>
      <c r="K91" s="21"/>
      <c r="L91" s="21"/>
      <c r="M91" s="21"/>
      <c r="N91" s="21"/>
      <c r="O91" s="21"/>
      <c r="P91" s="21"/>
      <c r="Q91" s="21"/>
      <c r="R91" s="21"/>
      <c r="S91" s="113"/>
      <c r="T91" s="116"/>
      <c r="U91" s="21"/>
      <c r="V91" s="21"/>
      <c r="W91" s="21"/>
      <c r="X91" s="21"/>
      <c r="Y91" s="21"/>
      <c r="Z91" s="21"/>
      <c r="AA91" s="21"/>
      <c r="AB91" s="21"/>
      <c r="AC91" s="21"/>
      <c r="AD91" s="21"/>
      <c r="AE91" s="21"/>
      <c r="AF91" s="21"/>
      <c r="AG91" s="21"/>
      <c r="AH91" s="21"/>
      <c r="AI91" s="21"/>
      <c r="AJ91" s="21"/>
      <c r="AK91" s="21"/>
      <c r="AL91" s="21"/>
      <c r="AM91" s="21"/>
      <c r="AN91" s="21"/>
      <c r="AO91" s="132"/>
      <c r="AP91" s="21"/>
      <c r="AQ91" s="21"/>
      <c r="AR91" s="21"/>
      <c r="AS91" s="21"/>
      <c r="AT91" s="21"/>
      <c r="AU91" s="21"/>
      <c r="AV91" s="21"/>
      <c r="AW91" s="21"/>
      <c r="AX91" s="21"/>
      <c r="AY91" s="21"/>
      <c r="AZ91" s="21"/>
      <c r="BA91" s="21"/>
      <c r="BB91" s="21"/>
      <c r="BC91" s="21"/>
      <c r="BD91" s="21"/>
      <c r="BE91" s="21"/>
      <c r="BF91" s="28"/>
      <c r="BG91" s="28"/>
      <c r="BH91" s="28"/>
      <c r="BI91" s="21"/>
      <c r="BJ91" s="21"/>
      <c r="BK91" s="21"/>
      <c r="BL91" s="21"/>
      <c r="BM91" s="21"/>
      <c r="BN91" s="21"/>
      <c r="BO91" s="21"/>
      <c r="BP91" s="21"/>
      <c r="BQ91" s="21"/>
      <c r="BR91" s="21"/>
      <c r="BS91" s="21"/>
      <c r="BT91" s="21"/>
      <c r="BU91" s="21"/>
      <c r="BV91" s="21"/>
      <c r="BW91" s="21"/>
      <c r="BX91" s="21"/>
      <c r="BY91" s="21"/>
      <c r="BZ91" s="21"/>
      <c r="CA91" s="21"/>
      <c r="CB91" s="21"/>
      <c r="CC91" s="21"/>
      <c r="CD91" s="21"/>
      <c r="CE91" s="69" t="s">
        <v>1735</v>
      </c>
      <c r="CF91" s="69" t="s">
        <v>1791</v>
      </c>
      <c r="CG91" s="69" t="s">
        <v>1791</v>
      </c>
      <c r="CH91" s="21"/>
      <c r="CI91" s="21"/>
      <c r="CJ91" s="21"/>
      <c r="CK91" s="21"/>
      <c r="CL91" s="21"/>
      <c r="CM91" s="21"/>
      <c r="CN91" s="21"/>
      <c r="CO91" s="21"/>
      <c r="CP91" s="21"/>
      <c r="CQ91" s="21"/>
      <c r="CR91" s="21"/>
      <c r="CS91" s="21"/>
      <c r="CT91" s="21"/>
      <c r="CU91" s="21"/>
      <c r="CV91" s="21"/>
      <c r="CW91" s="28"/>
      <c r="CX91" s="21"/>
      <c r="CY91" s="21"/>
      <c r="CZ91" s="21"/>
      <c r="DA91" s="21"/>
      <c r="DB91" s="21"/>
      <c r="DC91" s="21"/>
      <c r="DD91" s="21"/>
      <c r="DF91" s="18"/>
      <c r="DG91" s="137"/>
      <c r="DH91" s="21"/>
      <c r="DI91" s="21"/>
      <c r="DJ91" s="21"/>
      <c r="DK91" s="21"/>
      <c r="DL91" s="21"/>
      <c r="DM91" s="21"/>
      <c r="DN91" s="21"/>
      <c r="DO91" s="21"/>
      <c r="DP91" s="21"/>
      <c r="DQ91" s="21"/>
      <c r="DR91" s="21"/>
      <c r="DS91" s="21"/>
      <c r="DT91" s="21"/>
      <c r="DU91" s="28"/>
      <c r="DV91" s="21"/>
      <c r="DW91" s="21"/>
      <c r="DX91" s="21"/>
      <c r="DY91" s="21"/>
      <c r="DZ91" s="21"/>
    </row>
    <row r="92" spans="1:130" s="18" customFormat="1" ht="22.5" customHeight="1" x14ac:dyDescent="0.15">
      <c r="A92" s="25" t="s">
        <v>688</v>
      </c>
      <c r="B92" s="46" t="s">
        <v>3</v>
      </c>
      <c r="C92" s="47" t="s">
        <v>1275</v>
      </c>
      <c r="D92" s="47" t="s">
        <v>1275</v>
      </c>
      <c r="E92" s="47" t="s">
        <v>3287</v>
      </c>
      <c r="F92" s="46" t="s">
        <v>105</v>
      </c>
      <c r="G92" s="46" t="s">
        <v>105</v>
      </c>
      <c r="H92" s="46" t="s">
        <v>3</v>
      </c>
      <c r="I92" s="47" t="s">
        <v>1275</v>
      </c>
      <c r="J92" s="46" t="s">
        <v>3</v>
      </c>
      <c r="K92" s="47" t="s">
        <v>1275</v>
      </c>
      <c r="L92" s="46" t="s">
        <v>3</v>
      </c>
      <c r="M92" s="47" t="s">
        <v>1275</v>
      </c>
      <c r="N92" s="46" t="s">
        <v>3</v>
      </c>
      <c r="O92" s="46" t="s">
        <v>95</v>
      </c>
      <c r="P92" s="46" t="s">
        <v>95</v>
      </c>
      <c r="Q92" s="46" t="s">
        <v>95</v>
      </c>
      <c r="R92" s="46" t="s">
        <v>3239</v>
      </c>
      <c r="S92" s="117" t="s">
        <v>95</v>
      </c>
      <c r="T92" s="117" t="s">
        <v>95</v>
      </c>
      <c r="U92" s="47" t="s">
        <v>2525</v>
      </c>
      <c r="V92" s="46" t="s">
        <v>174</v>
      </c>
      <c r="W92" s="62" t="s">
        <v>1304</v>
      </c>
      <c r="X92" s="47" t="s">
        <v>1304</v>
      </c>
      <c r="Y92" s="47" t="s">
        <v>2321</v>
      </c>
      <c r="Z92" s="47" t="s">
        <v>2620</v>
      </c>
      <c r="AA92" s="46" t="s">
        <v>3</v>
      </c>
      <c r="AB92" s="47" t="s">
        <v>3</v>
      </c>
      <c r="AC92" s="47" t="s">
        <v>3</v>
      </c>
      <c r="AD92" s="47" t="s">
        <v>684</v>
      </c>
      <c r="AE92" s="47" t="s">
        <v>3</v>
      </c>
      <c r="AF92" s="47" t="s">
        <v>3</v>
      </c>
      <c r="AG92" s="47" t="s">
        <v>2408</v>
      </c>
      <c r="AH92" s="47" t="s">
        <v>2870</v>
      </c>
      <c r="AI92" s="47" t="s">
        <v>2870</v>
      </c>
      <c r="AJ92" s="47" t="s">
        <v>2869</v>
      </c>
      <c r="AK92" s="47" t="s">
        <v>95</v>
      </c>
      <c r="AL92" s="47" t="s">
        <v>95</v>
      </c>
      <c r="AM92" s="47" t="s">
        <v>95</v>
      </c>
      <c r="AN92" s="20" t="s">
        <v>95</v>
      </c>
      <c r="AO92" s="130" t="s">
        <v>3239</v>
      </c>
      <c r="AP92" s="20" t="s">
        <v>95</v>
      </c>
      <c r="AQ92" s="44" t="s">
        <v>95</v>
      </c>
      <c r="AR92" s="44" t="s">
        <v>95</v>
      </c>
      <c r="AS92" s="44" t="s">
        <v>95</v>
      </c>
      <c r="AT92" s="44" t="s">
        <v>95</v>
      </c>
      <c r="AU92" s="42" t="s">
        <v>95</v>
      </c>
      <c r="AV92" s="20" t="s">
        <v>3</v>
      </c>
      <c r="AW92" s="44" t="s">
        <v>95</v>
      </c>
      <c r="AX92" s="20" t="s">
        <v>2157</v>
      </c>
      <c r="AY92" s="47" t="s">
        <v>1275</v>
      </c>
      <c r="AZ92" s="47" t="s">
        <v>1275</v>
      </c>
      <c r="BA92" s="47" t="s">
        <v>1275</v>
      </c>
      <c r="BB92" s="47" t="s">
        <v>1275</v>
      </c>
      <c r="BC92" s="47" t="s">
        <v>1275</v>
      </c>
      <c r="BD92" s="47" t="s">
        <v>1275</v>
      </c>
      <c r="BE92" s="47" t="s">
        <v>1275</v>
      </c>
      <c r="BF92" s="47" t="s">
        <v>1126</v>
      </c>
      <c r="BG92" s="47" t="s">
        <v>1102</v>
      </c>
      <c r="BH92" s="47" t="s">
        <v>254</v>
      </c>
      <c r="BI92" s="46" t="s">
        <v>3</v>
      </c>
      <c r="BJ92" s="47" t="s">
        <v>1908</v>
      </c>
      <c r="BK92" s="47" t="s">
        <v>2473</v>
      </c>
      <c r="BL92" s="47" t="s">
        <v>2345</v>
      </c>
      <c r="BM92" s="46" t="s">
        <v>95</v>
      </c>
      <c r="BN92" s="46" t="s">
        <v>95</v>
      </c>
      <c r="BO92" s="46" t="s">
        <v>3</v>
      </c>
      <c r="BP92" s="46" t="s">
        <v>95</v>
      </c>
      <c r="BQ92" s="46" t="s">
        <v>3</v>
      </c>
      <c r="BR92" s="46" t="s">
        <v>95</v>
      </c>
      <c r="BS92" s="47" t="s">
        <v>376</v>
      </c>
      <c r="BT92" s="47" t="s">
        <v>376</v>
      </c>
      <c r="BU92" s="47" t="s">
        <v>219</v>
      </c>
      <c r="BV92" s="47" t="s">
        <v>219</v>
      </c>
      <c r="BW92" s="46" t="s">
        <v>2024</v>
      </c>
      <c r="BX92" s="46" t="s">
        <v>2024</v>
      </c>
      <c r="BY92" s="47" t="s">
        <v>1275</v>
      </c>
      <c r="BZ92" s="47" t="s">
        <v>1275</v>
      </c>
      <c r="CA92" s="47" t="s">
        <v>2699</v>
      </c>
      <c r="CB92" s="47" t="s">
        <v>1275</v>
      </c>
      <c r="CC92" s="47" t="s">
        <v>1530</v>
      </c>
      <c r="CD92" s="47" t="s">
        <v>1275</v>
      </c>
      <c r="CE92" s="58"/>
      <c r="CF92" s="58"/>
      <c r="CG92" s="58"/>
      <c r="CH92" s="47" t="s">
        <v>1275</v>
      </c>
      <c r="CI92" s="47" t="s">
        <v>1275</v>
      </c>
      <c r="CJ92" s="47" t="s">
        <v>1275</v>
      </c>
      <c r="CK92" s="47" t="s">
        <v>1275</v>
      </c>
      <c r="CL92" s="47" t="s">
        <v>1275</v>
      </c>
      <c r="CM92" s="46" t="s">
        <v>3</v>
      </c>
      <c r="CN92" s="47" t="s">
        <v>3445</v>
      </c>
      <c r="CO92" s="46" t="s">
        <v>95</v>
      </c>
      <c r="CP92" s="47" t="s">
        <v>3</v>
      </c>
      <c r="CQ92" s="47" t="s">
        <v>3172</v>
      </c>
      <c r="CR92" s="47" t="s">
        <v>3200</v>
      </c>
      <c r="CS92" s="46" t="s">
        <v>95</v>
      </c>
      <c r="CT92" s="46" t="s">
        <v>0</v>
      </c>
      <c r="CU92" s="47" t="s">
        <v>838</v>
      </c>
      <c r="CV92" s="46" t="s">
        <v>95</v>
      </c>
      <c r="CW92" s="47" t="s">
        <v>3</v>
      </c>
      <c r="CX92" s="47" t="s">
        <v>1268</v>
      </c>
      <c r="CY92" s="47" t="s">
        <v>3</v>
      </c>
      <c r="CZ92" s="47" t="s">
        <v>134</v>
      </c>
      <c r="DA92" s="47" t="s">
        <v>2157</v>
      </c>
      <c r="DB92" s="47" t="s">
        <v>3</v>
      </c>
      <c r="DC92" s="47" t="s">
        <v>186</v>
      </c>
      <c r="DD92" s="47" t="s">
        <v>186</v>
      </c>
      <c r="DE92" s="47" t="s">
        <v>287</v>
      </c>
      <c r="DF92" s="47" t="s">
        <v>3</v>
      </c>
      <c r="DG92" s="146" t="s">
        <v>3371</v>
      </c>
      <c r="DH92" s="47" t="s">
        <v>355</v>
      </c>
      <c r="DI92" s="47" t="s">
        <v>1065</v>
      </c>
      <c r="DJ92" s="47" t="s">
        <v>1065</v>
      </c>
      <c r="DK92" s="47" t="s">
        <v>1955</v>
      </c>
      <c r="DL92" s="46" t="s">
        <v>3452</v>
      </c>
      <c r="DM92" s="46" t="s">
        <v>95</v>
      </c>
      <c r="DN92" s="47" t="s">
        <v>12</v>
      </c>
      <c r="DO92" s="47" t="s">
        <v>12</v>
      </c>
      <c r="DP92" s="46" t="s">
        <v>95</v>
      </c>
      <c r="DQ92" s="47" t="s">
        <v>3</v>
      </c>
      <c r="DR92" s="46" t="s">
        <v>3</v>
      </c>
      <c r="DS92" s="47" t="s">
        <v>2675</v>
      </c>
      <c r="DT92" s="47" t="s">
        <v>3</v>
      </c>
      <c r="DU92" s="47" t="s">
        <v>267</v>
      </c>
      <c r="DV92" s="47" t="s">
        <v>1575</v>
      </c>
      <c r="DW92" s="46" t="s">
        <v>129</v>
      </c>
      <c r="DX92" s="46" t="s">
        <v>127</v>
      </c>
      <c r="DY92" s="47" t="s">
        <v>1488</v>
      </c>
      <c r="DZ92" s="44"/>
    </row>
    <row r="93" spans="1:130" s="18" customFormat="1" ht="12" customHeight="1" x14ac:dyDescent="0.15">
      <c r="A93" s="76" t="s">
        <v>402</v>
      </c>
      <c r="B93" s="69"/>
      <c r="C93" s="69" t="s">
        <v>2794</v>
      </c>
      <c r="D93" s="69" t="s">
        <v>2794</v>
      </c>
      <c r="E93" s="69" t="s">
        <v>1592</v>
      </c>
      <c r="F93" s="69"/>
      <c r="G93" s="69" t="s">
        <v>1592</v>
      </c>
      <c r="H93" s="69" t="s">
        <v>3</v>
      </c>
      <c r="I93" s="69" t="s">
        <v>1426</v>
      </c>
      <c r="J93" s="69" t="s">
        <v>3</v>
      </c>
      <c r="K93" s="69" t="s">
        <v>1426</v>
      </c>
      <c r="L93" s="69" t="s">
        <v>3</v>
      </c>
      <c r="M93" s="69" t="s">
        <v>1426</v>
      </c>
      <c r="N93" s="69" t="s">
        <v>3</v>
      </c>
      <c r="O93" s="69"/>
      <c r="P93" s="69"/>
      <c r="Q93" s="69"/>
      <c r="R93" s="69" t="s">
        <v>3239</v>
      </c>
      <c r="S93" s="128"/>
      <c r="T93" s="128"/>
      <c r="U93" s="69" t="s">
        <v>2547</v>
      </c>
      <c r="V93" s="69"/>
      <c r="W93" s="106" t="s">
        <v>1303</v>
      </c>
      <c r="X93" s="69" t="s">
        <v>1303</v>
      </c>
      <c r="Y93" s="69" t="s">
        <v>2317</v>
      </c>
      <c r="Z93" s="69" t="s">
        <v>2619</v>
      </c>
      <c r="AA93" s="69" t="s">
        <v>3</v>
      </c>
      <c r="AB93" s="69" t="s">
        <v>682</v>
      </c>
      <c r="AC93" s="69" t="s">
        <v>682</v>
      </c>
      <c r="AD93" s="69" t="s">
        <v>683</v>
      </c>
      <c r="AE93" s="69" t="s">
        <v>682</v>
      </c>
      <c r="AF93" s="69" t="s">
        <v>682</v>
      </c>
      <c r="AG93" s="69" t="s">
        <v>2407</v>
      </c>
      <c r="AH93" s="69" t="s">
        <v>2871</v>
      </c>
      <c r="AI93" s="69" t="s">
        <v>1489</v>
      </c>
      <c r="AJ93" s="69" t="s">
        <v>403</v>
      </c>
      <c r="AK93" s="69" t="s">
        <v>3069</v>
      </c>
      <c r="AL93" s="69" t="s">
        <v>3069</v>
      </c>
      <c r="AM93" s="69" t="s">
        <v>3069</v>
      </c>
      <c r="AN93" s="69" t="s">
        <v>513</v>
      </c>
      <c r="AO93" s="131"/>
      <c r="AP93" s="69" t="s">
        <v>513</v>
      </c>
      <c r="AQ93" s="69" t="s">
        <v>3410</v>
      </c>
      <c r="AR93" s="69"/>
      <c r="AS93" s="69"/>
      <c r="AT93" s="69"/>
      <c r="AU93" s="69"/>
      <c r="AV93" s="69" t="s">
        <v>3</v>
      </c>
      <c r="AW93" s="69" t="s">
        <v>519</v>
      </c>
      <c r="AX93" s="69" t="s">
        <v>519</v>
      </c>
      <c r="AY93" s="69" t="s">
        <v>519</v>
      </c>
      <c r="AZ93" s="69" t="s">
        <v>2271</v>
      </c>
      <c r="BA93" s="69" t="s">
        <v>2271</v>
      </c>
      <c r="BB93" s="69" t="s">
        <v>2271</v>
      </c>
      <c r="BC93" s="69" t="s">
        <v>2271</v>
      </c>
      <c r="BD93" s="69" t="s">
        <v>2271</v>
      </c>
      <c r="BE93" s="69" t="s">
        <v>2271</v>
      </c>
      <c r="BF93" s="69" t="s">
        <v>1101</v>
      </c>
      <c r="BG93" s="69" t="s">
        <v>1101</v>
      </c>
      <c r="BH93" s="69"/>
      <c r="BI93" s="69"/>
      <c r="BJ93" s="69" t="s">
        <v>1909</v>
      </c>
      <c r="BK93" s="69" t="s">
        <v>2472</v>
      </c>
      <c r="BL93" s="69" t="s">
        <v>1489</v>
      </c>
      <c r="BM93" s="69"/>
      <c r="BN93" s="69"/>
      <c r="BO93" s="69"/>
      <c r="BP93" s="69" t="s">
        <v>596</v>
      </c>
      <c r="BQ93" s="69" t="s">
        <v>3</v>
      </c>
      <c r="BR93" s="69"/>
      <c r="BS93" s="69"/>
      <c r="BT93" s="69"/>
      <c r="BU93" s="69"/>
      <c r="BV93" s="69"/>
      <c r="BW93" s="69" t="s">
        <v>2063</v>
      </c>
      <c r="BX93" s="69" t="s">
        <v>2025</v>
      </c>
      <c r="BY93" s="69"/>
      <c r="BZ93" s="69" t="s">
        <v>1681</v>
      </c>
      <c r="CA93" s="69" t="s">
        <v>2740</v>
      </c>
      <c r="CB93" s="69" t="s">
        <v>1681</v>
      </c>
      <c r="CC93" s="69"/>
      <c r="CD93" s="69"/>
      <c r="CE93" s="21"/>
      <c r="CF93" s="21"/>
      <c r="CG93" s="21"/>
      <c r="CH93" s="69" t="s">
        <v>1734</v>
      </c>
      <c r="CI93" s="69" t="s">
        <v>3555</v>
      </c>
      <c r="CJ93" s="69" t="s">
        <v>1790</v>
      </c>
      <c r="CK93" s="69" t="s">
        <v>1790</v>
      </c>
      <c r="CL93" s="69" t="s">
        <v>1734</v>
      </c>
      <c r="CM93" s="69" t="s">
        <v>3</v>
      </c>
      <c r="CN93" s="69" t="s">
        <v>747</v>
      </c>
      <c r="CO93" s="69" t="s">
        <v>962</v>
      </c>
      <c r="CP93" s="69" t="s">
        <v>2332</v>
      </c>
      <c r="CQ93" s="69" t="s">
        <v>3168</v>
      </c>
      <c r="CR93" s="69" t="s">
        <v>3168</v>
      </c>
      <c r="CS93" s="69" t="s">
        <v>2502</v>
      </c>
      <c r="CT93" s="69" t="s">
        <v>845</v>
      </c>
      <c r="CU93" s="69" t="s">
        <v>836</v>
      </c>
      <c r="CV93" s="69"/>
      <c r="CW93" s="69"/>
      <c r="CX93" s="69" t="s">
        <v>1224</v>
      </c>
      <c r="CY93" s="69"/>
      <c r="CZ93" s="69"/>
      <c r="DA93" s="69" t="s">
        <v>2156</v>
      </c>
      <c r="DB93" s="69" t="s">
        <v>933</v>
      </c>
      <c r="DC93" s="69" t="s">
        <v>893</v>
      </c>
      <c r="DD93" s="69" t="s">
        <v>893</v>
      </c>
      <c r="DE93" s="69"/>
      <c r="DF93" s="69"/>
      <c r="DG93" s="152" t="s">
        <v>3348</v>
      </c>
      <c r="DH93" s="69"/>
      <c r="DI93" s="69" t="s">
        <v>1029</v>
      </c>
      <c r="DJ93" s="69" t="s">
        <v>1029</v>
      </c>
      <c r="DK93" s="69" t="s">
        <v>1956</v>
      </c>
      <c r="DL93" s="69" t="s">
        <v>3481</v>
      </c>
      <c r="DM93" s="69"/>
      <c r="DN93" s="69"/>
      <c r="DO93" s="69"/>
      <c r="DP93" s="69"/>
      <c r="DQ93" s="69" t="s">
        <v>3</v>
      </c>
      <c r="DR93" s="69" t="s">
        <v>1392</v>
      </c>
      <c r="DS93" s="69" t="s">
        <v>2671</v>
      </c>
      <c r="DT93" s="69" t="s">
        <v>3</v>
      </c>
      <c r="DU93" s="69" t="s">
        <v>1180</v>
      </c>
      <c r="DV93" s="69" t="s">
        <v>1574</v>
      </c>
      <c r="DW93" s="69" t="s">
        <v>403</v>
      </c>
      <c r="DX93" s="69" t="s">
        <v>418</v>
      </c>
      <c r="DY93" s="69" t="s">
        <v>1489</v>
      </c>
      <c r="DZ93" s="69"/>
    </row>
    <row r="94" spans="1:130" s="18" customFormat="1" ht="75" customHeight="1" x14ac:dyDescent="0.15">
      <c r="A94" s="25" t="s">
        <v>689</v>
      </c>
      <c r="B94" s="46" t="s">
        <v>3</v>
      </c>
      <c r="C94" s="47" t="s">
        <v>2809</v>
      </c>
      <c r="D94" s="47" t="s">
        <v>2809</v>
      </c>
      <c r="E94" s="47" t="s">
        <v>3261</v>
      </c>
      <c r="F94" s="46" t="s">
        <v>94</v>
      </c>
      <c r="G94" s="47" t="s">
        <v>1621</v>
      </c>
      <c r="H94" s="47" t="s">
        <v>1618</v>
      </c>
      <c r="I94" s="47" t="s">
        <v>1619</v>
      </c>
      <c r="J94" s="47" t="s">
        <v>1618</v>
      </c>
      <c r="K94" s="47" t="s">
        <v>1619</v>
      </c>
      <c r="L94" s="47" t="s">
        <v>1618</v>
      </c>
      <c r="M94" s="47" t="s">
        <v>1619</v>
      </c>
      <c r="N94" s="46" t="s">
        <v>3</v>
      </c>
      <c r="O94" s="46" t="s">
        <v>94</v>
      </c>
      <c r="P94" s="46" t="s">
        <v>174</v>
      </c>
      <c r="Q94" s="46" t="s">
        <v>12</v>
      </c>
      <c r="R94" s="46" t="s">
        <v>3239</v>
      </c>
      <c r="S94" s="117" t="s">
        <v>95</v>
      </c>
      <c r="T94" s="117" t="s">
        <v>3294</v>
      </c>
      <c r="U94" s="20" t="s">
        <v>94</v>
      </c>
      <c r="V94" s="47" t="s">
        <v>797</v>
      </c>
      <c r="W94" s="62" t="s">
        <v>1307</v>
      </c>
      <c r="X94" s="47" t="s">
        <v>1307</v>
      </c>
      <c r="Y94" s="46" t="s">
        <v>3</v>
      </c>
      <c r="Z94" s="47" t="s">
        <v>3</v>
      </c>
      <c r="AA94" s="46" t="s">
        <v>3</v>
      </c>
      <c r="AB94" s="57" t="s">
        <v>3</v>
      </c>
      <c r="AC94" s="57" t="s">
        <v>3</v>
      </c>
      <c r="AD94" s="47" t="s">
        <v>684</v>
      </c>
      <c r="AE94" s="57" t="s">
        <v>3</v>
      </c>
      <c r="AF94" s="57" t="s">
        <v>3</v>
      </c>
      <c r="AG94" s="47" t="s">
        <v>2408</v>
      </c>
      <c r="AH94" s="47" t="s">
        <v>2872</v>
      </c>
      <c r="AI94" s="47" t="s">
        <v>3</v>
      </c>
      <c r="AJ94" s="47" t="s">
        <v>3</v>
      </c>
      <c r="AK94" s="20" t="s">
        <v>3064</v>
      </c>
      <c r="AL94" s="20" t="s">
        <v>3065</v>
      </c>
      <c r="AM94" s="20" t="s">
        <v>3063</v>
      </c>
      <c r="AN94" s="20" t="s">
        <v>3</v>
      </c>
      <c r="AO94" s="130" t="s">
        <v>3239</v>
      </c>
      <c r="AP94" s="20" t="s">
        <v>95</v>
      </c>
      <c r="AQ94" s="20" t="s">
        <v>3</v>
      </c>
      <c r="AR94" s="20" t="s">
        <v>95</v>
      </c>
      <c r="AS94" s="20" t="s">
        <v>95</v>
      </c>
      <c r="AT94" s="20" t="s">
        <v>95</v>
      </c>
      <c r="AU94" s="20" t="s">
        <v>94</v>
      </c>
      <c r="AV94" s="20" t="s">
        <v>3</v>
      </c>
      <c r="AW94" s="20" t="s">
        <v>94</v>
      </c>
      <c r="AX94" s="20" t="s">
        <v>3</v>
      </c>
      <c r="AY94" s="20" t="s">
        <v>2584</v>
      </c>
      <c r="AZ94" s="47" t="s">
        <v>3</v>
      </c>
      <c r="BA94" s="20" t="s">
        <v>3124</v>
      </c>
      <c r="BB94" s="20" t="s">
        <v>3124</v>
      </c>
      <c r="BC94" s="47" t="s">
        <v>3</v>
      </c>
      <c r="BD94" s="20" t="s">
        <v>94</v>
      </c>
      <c r="BE94" s="20" t="s">
        <v>94</v>
      </c>
      <c r="BF94" s="47" t="s">
        <v>3</v>
      </c>
      <c r="BG94" s="47" t="s">
        <v>3</v>
      </c>
      <c r="BH94" s="47" t="s">
        <v>3</v>
      </c>
      <c r="BI94" s="47" t="s">
        <v>377</v>
      </c>
      <c r="BJ94" s="47" t="s">
        <v>1873</v>
      </c>
      <c r="BK94" s="47" t="s">
        <v>2439</v>
      </c>
      <c r="BL94" s="47" t="s">
        <v>2349</v>
      </c>
      <c r="BM94" s="47" t="s">
        <v>158</v>
      </c>
      <c r="BN94" s="46" t="s">
        <v>3</v>
      </c>
      <c r="BO94" s="46" t="s">
        <v>3</v>
      </c>
      <c r="BP94" s="47" t="s">
        <v>2004</v>
      </c>
      <c r="BQ94" s="46" t="s">
        <v>3</v>
      </c>
      <c r="BR94" s="46" t="s">
        <v>95</v>
      </c>
      <c r="BS94" s="46" t="s">
        <v>0</v>
      </c>
      <c r="BT94" s="46" t="s">
        <v>0</v>
      </c>
      <c r="BU94" s="46" t="s">
        <v>3</v>
      </c>
      <c r="BV94" s="46" t="s">
        <v>3</v>
      </c>
      <c r="BW94" s="47" t="s">
        <v>3</v>
      </c>
      <c r="BX94" s="47" t="s">
        <v>3</v>
      </c>
      <c r="BY94" s="47" t="s">
        <v>1680</v>
      </c>
      <c r="BZ94" s="47" t="s">
        <v>1680</v>
      </c>
      <c r="CA94" s="47" t="s">
        <v>3</v>
      </c>
      <c r="CB94" s="47" t="s">
        <v>1680</v>
      </c>
      <c r="CC94" s="47" t="s">
        <v>1682</v>
      </c>
      <c r="CD94" s="47" t="s">
        <v>336</v>
      </c>
      <c r="CE94" s="47" t="s">
        <v>1275</v>
      </c>
      <c r="CF94" s="47" t="s">
        <v>1275</v>
      </c>
      <c r="CG94" s="47" t="s">
        <v>1275</v>
      </c>
      <c r="CH94" s="47" t="s">
        <v>1736</v>
      </c>
      <c r="CI94" s="47" t="s">
        <v>3</v>
      </c>
      <c r="CJ94" s="47" t="s">
        <v>1792</v>
      </c>
      <c r="CK94" s="47" t="s">
        <v>1792</v>
      </c>
      <c r="CL94" s="47" t="s">
        <v>3571</v>
      </c>
      <c r="CM94" s="47" t="s">
        <v>3</v>
      </c>
      <c r="CN94" s="47" t="s">
        <v>3447</v>
      </c>
      <c r="CO94" s="46" t="s">
        <v>12</v>
      </c>
      <c r="CP94" s="47" t="s">
        <v>3</v>
      </c>
      <c r="CQ94" s="47" t="s">
        <v>3173</v>
      </c>
      <c r="CR94" s="47" t="s">
        <v>3202</v>
      </c>
      <c r="CS94" s="46" t="s">
        <v>95</v>
      </c>
      <c r="CT94" s="47" t="s">
        <v>844</v>
      </c>
      <c r="CU94" s="47" t="s">
        <v>844</v>
      </c>
      <c r="CV94" s="46" t="s">
        <v>3</v>
      </c>
      <c r="CW94" s="47" t="s">
        <v>3</v>
      </c>
      <c r="CX94" s="47" t="s">
        <v>1270</v>
      </c>
      <c r="CY94" s="46" t="s">
        <v>3</v>
      </c>
      <c r="CZ94" s="46" t="s">
        <v>3</v>
      </c>
      <c r="DA94" s="46" t="s">
        <v>94</v>
      </c>
      <c r="DB94" s="46" t="s">
        <v>3</v>
      </c>
      <c r="DC94" s="46" t="s">
        <v>3</v>
      </c>
      <c r="DD94" s="46" t="s">
        <v>3</v>
      </c>
      <c r="DE94" s="47" t="s">
        <v>288</v>
      </c>
      <c r="DF94" s="46" t="s">
        <v>3</v>
      </c>
      <c r="DG94" s="146" t="s">
        <v>3371</v>
      </c>
      <c r="DH94" s="46" t="s">
        <v>3</v>
      </c>
      <c r="DI94" s="46" t="s">
        <v>3</v>
      </c>
      <c r="DJ94" s="46" t="s">
        <v>3</v>
      </c>
      <c r="DK94" s="47" t="s">
        <v>2000</v>
      </c>
      <c r="DL94" s="47" t="s">
        <v>3498</v>
      </c>
      <c r="DM94" s="51" t="s">
        <v>12</v>
      </c>
      <c r="DN94" s="66" t="s">
        <v>3</v>
      </c>
      <c r="DO94" s="57" t="s">
        <v>3</v>
      </c>
      <c r="DP94" s="47" t="s">
        <v>12</v>
      </c>
      <c r="DQ94" s="47" t="s">
        <v>3</v>
      </c>
      <c r="DR94" s="46" t="s">
        <v>3</v>
      </c>
      <c r="DS94" s="47" t="s">
        <v>2681</v>
      </c>
      <c r="DT94" s="47" t="s">
        <v>261</v>
      </c>
      <c r="DU94" s="47" t="s">
        <v>261</v>
      </c>
      <c r="DV94" s="46" t="s">
        <v>3</v>
      </c>
      <c r="DW94" s="47" t="s">
        <v>3</v>
      </c>
      <c r="DX94" s="47" t="s">
        <v>450</v>
      </c>
      <c r="DY94" s="46" t="s">
        <v>3</v>
      </c>
      <c r="DZ94" s="20"/>
    </row>
    <row r="95" spans="1:130" s="18" customFormat="1" ht="12" customHeight="1" x14ac:dyDescent="0.15">
      <c r="A95" s="76" t="s">
        <v>402</v>
      </c>
      <c r="B95" s="69"/>
      <c r="C95" s="69" t="s">
        <v>2811</v>
      </c>
      <c r="D95" s="69" t="s">
        <v>2811</v>
      </c>
      <c r="E95" s="69" t="s">
        <v>3258</v>
      </c>
      <c r="F95" s="69"/>
      <c r="G95" s="69" t="s">
        <v>1590</v>
      </c>
      <c r="H95" s="69" t="s">
        <v>1436</v>
      </c>
      <c r="I95" s="69" t="s">
        <v>1450</v>
      </c>
      <c r="J95" s="69" t="s">
        <v>1435</v>
      </c>
      <c r="K95" s="69" t="s">
        <v>1450</v>
      </c>
      <c r="L95" s="69" t="s">
        <v>1436</v>
      </c>
      <c r="M95" s="69" t="s">
        <v>1450</v>
      </c>
      <c r="N95" s="69" t="s">
        <v>3</v>
      </c>
      <c r="O95" s="69"/>
      <c r="P95" s="69"/>
      <c r="Q95" s="69"/>
      <c r="R95" s="69" t="s">
        <v>3239</v>
      </c>
      <c r="S95" s="128"/>
      <c r="T95" s="128"/>
      <c r="U95" s="69" t="s">
        <v>2532</v>
      </c>
      <c r="V95" s="69"/>
      <c r="W95" s="106" t="s">
        <v>1306</v>
      </c>
      <c r="X95" s="69" t="s">
        <v>1306</v>
      </c>
      <c r="Y95" s="69" t="s">
        <v>3</v>
      </c>
      <c r="Z95" s="69" t="s">
        <v>3</v>
      </c>
      <c r="AA95" s="69" t="s">
        <v>3</v>
      </c>
      <c r="AB95" s="69" t="s">
        <v>687</v>
      </c>
      <c r="AC95" s="69" t="s">
        <v>687</v>
      </c>
      <c r="AD95" s="69" t="s">
        <v>686</v>
      </c>
      <c r="AE95" s="69" t="s">
        <v>687</v>
      </c>
      <c r="AF95" s="69" t="s">
        <v>687</v>
      </c>
      <c r="AG95" s="69" t="s">
        <v>2410</v>
      </c>
      <c r="AH95" s="69" t="s">
        <v>2873</v>
      </c>
      <c r="AI95" s="69" t="s">
        <v>3</v>
      </c>
      <c r="AJ95" s="69" t="s">
        <v>3</v>
      </c>
      <c r="AK95" s="69" t="s">
        <v>3066</v>
      </c>
      <c r="AL95" s="69" t="s">
        <v>3066</v>
      </c>
      <c r="AM95" s="69" t="s">
        <v>3066</v>
      </c>
      <c r="AN95" s="69" t="s">
        <v>3</v>
      </c>
      <c r="AO95" s="131"/>
      <c r="AP95" s="69" t="s">
        <v>456</v>
      </c>
      <c r="AQ95" s="69" t="s">
        <v>3</v>
      </c>
      <c r="AR95" s="69"/>
      <c r="AS95" s="69"/>
      <c r="AT95" s="69"/>
      <c r="AU95" s="69"/>
      <c r="AV95" s="69" t="s">
        <v>552</v>
      </c>
      <c r="AW95" s="69" t="s">
        <v>521</v>
      </c>
      <c r="AX95" s="69" t="s">
        <v>552</v>
      </c>
      <c r="AY95" s="69" t="s">
        <v>2583</v>
      </c>
      <c r="AZ95" s="69" t="s">
        <v>3</v>
      </c>
      <c r="BA95" s="69" t="s">
        <v>3123</v>
      </c>
      <c r="BB95" s="69" t="s">
        <v>3123</v>
      </c>
      <c r="BC95" s="69" t="s">
        <v>3</v>
      </c>
      <c r="BD95" s="69" t="s">
        <v>2272</v>
      </c>
      <c r="BE95" s="69" t="s">
        <v>2272</v>
      </c>
      <c r="BF95" s="69" t="s">
        <v>3</v>
      </c>
      <c r="BG95" s="69" t="s">
        <v>3</v>
      </c>
      <c r="BH95" s="69"/>
      <c r="BI95" s="69"/>
      <c r="BJ95" s="69" t="s">
        <v>1872</v>
      </c>
      <c r="BK95" s="69" t="s">
        <v>2438</v>
      </c>
      <c r="BL95" s="69" t="s">
        <v>2348</v>
      </c>
      <c r="BM95" s="69"/>
      <c r="BN95" s="69"/>
      <c r="BO95" s="69"/>
      <c r="BP95" s="69" t="s">
        <v>2003</v>
      </c>
      <c r="BQ95" s="69" t="s">
        <v>2003</v>
      </c>
      <c r="BR95" s="69"/>
      <c r="BS95" s="69"/>
      <c r="BT95" s="69"/>
      <c r="BU95" s="69"/>
      <c r="BV95" s="69"/>
      <c r="BW95" s="69" t="s">
        <v>3</v>
      </c>
      <c r="BX95" s="69" t="s">
        <v>3</v>
      </c>
      <c r="BY95" s="69"/>
      <c r="BZ95" s="69" t="s">
        <v>1681</v>
      </c>
      <c r="CA95" s="69" t="s">
        <v>3</v>
      </c>
      <c r="CB95" s="69" t="s">
        <v>1681</v>
      </c>
      <c r="CC95" s="69"/>
      <c r="CD95" s="69"/>
      <c r="CE95" s="69" t="s">
        <v>1734</v>
      </c>
      <c r="CF95" s="69" t="s">
        <v>1790</v>
      </c>
      <c r="CG95" s="69" t="s">
        <v>1790</v>
      </c>
      <c r="CH95" s="69" t="s">
        <v>1819</v>
      </c>
      <c r="CI95" s="69" t="s">
        <v>3</v>
      </c>
      <c r="CJ95" s="69" t="s">
        <v>1790</v>
      </c>
      <c r="CK95" s="69" t="s">
        <v>3555</v>
      </c>
      <c r="CL95" s="69" t="s">
        <v>3555</v>
      </c>
      <c r="CM95" s="69" t="s">
        <v>3</v>
      </c>
      <c r="CN95" s="69" t="s">
        <v>3446</v>
      </c>
      <c r="CO95" s="69" t="s">
        <v>962</v>
      </c>
      <c r="CP95" s="69" t="s">
        <v>2332</v>
      </c>
      <c r="CQ95" s="69" t="s">
        <v>3171</v>
      </c>
      <c r="CR95" s="69" t="s">
        <v>3171</v>
      </c>
      <c r="CS95" s="69" t="s">
        <v>2502</v>
      </c>
      <c r="CT95" s="69" t="s">
        <v>845</v>
      </c>
      <c r="CU95" s="69" t="s">
        <v>836</v>
      </c>
      <c r="CV95" s="69"/>
      <c r="CW95" s="69"/>
      <c r="CX95" s="69" t="s">
        <v>1271</v>
      </c>
      <c r="CY95" s="69"/>
      <c r="CZ95" s="69"/>
      <c r="DA95" s="69" t="s">
        <v>403</v>
      </c>
      <c r="DB95" s="69" t="s">
        <v>3</v>
      </c>
      <c r="DC95" s="69" t="s">
        <v>3</v>
      </c>
      <c r="DD95" s="69" t="s">
        <v>3</v>
      </c>
      <c r="DE95" s="69"/>
      <c r="DF95" s="69"/>
      <c r="DG95" s="152" t="s">
        <v>3348</v>
      </c>
      <c r="DH95" s="69"/>
      <c r="DI95" s="69" t="s">
        <v>3</v>
      </c>
      <c r="DJ95" s="69" t="s">
        <v>3</v>
      </c>
      <c r="DK95" s="69" t="s">
        <v>1956</v>
      </c>
      <c r="DL95" s="69" t="s">
        <v>3481</v>
      </c>
      <c r="DM95" s="69"/>
      <c r="DN95" s="69"/>
      <c r="DO95" s="69"/>
      <c r="DP95" s="69"/>
      <c r="DQ95" s="69" t="s">
        <v>3</v>
      </c>
      <c r="DR95" s="69" t="s">
        <v>1392</v>
      </c>
      <c r="DS95" s="69" t="s">
        <v>2671</v>
      </c>
      <c r="DT95" s="69" t="s">
        <v>1185</v>
      </c>
      <c r="DU95" s="69" t="s">
        <v>1185</v>
      </c>
      <c r="DV95" s="69" t="s">
        <v>3</v>
      </c>
      <c r="DW95" s="69" t="s">
        <v>3</v>
      </c>
      <c r="DX95" s="69" t="s">
        <v>417</v>
      </c>
      <c r="DY95" s="69" t="s">
        <v>3</v>
      </c>
      <c r="DZ95" s="69"/>
    </row>
    <row r="96" spans="1:130" ht="22.5" customHeight="1" x14ac:dyDescent="0.15">
      <c r="A96" s="28"/>
      <c r="B96" s="48"/>
      <c r="C96" s="48"/>
      <c r="D96" s="48"/>
      <c r="E96" s="48"/>
      <c r="F96" s="48"/>
      <c r="G96" s="48"/>
      <c r="H96" s="48"/>
      <c r="I96" s="48"/>
      <c r="J96" s="48"/>
      <c r="K96" s="48"/>
      <c r="L96" s="48"/>
      <c r="M96" s="48"/>
      <c r="N96" s="9"/>
      <c r="O96" s="48"/>
      <c r="P96" s="48"/>
      <c r="Q96" s="48"/>
      <c r="R96" s="9"/>
      <c r="S96" s="113"/>
      <c r="T96" s="116"/>
      <c r="U96" s="48"/>
      <c r="V96" s="48"/>
      <c r="W96" s="48"/>
      <c r="X96" s="48"/>
      <c r="Y96" s="48"/>
      <c r="Z96" s="58"/>
      <c r="AA96" s="48"/>
      <c r="AB96" s="82"/>
      <c r="AC96" s="82"/>
      <c r="AD96" s="82"/>
      <c r="AE96" s="82"/>
      <c r="AF96" s="82"/>
      <c r="AG96" s="82"/>
      <c r="AH96" s="48"/>
      <c r="AI96" s="48"/>
      <c r="AJ96" s="48"/>
      <c r="AK96" s="48"/>
      <c r="AL96" s="48"/>
      <c r="AM96" s="48"/>
      <c r="AN96" s="48"/>
      <c r="AO96" s="132"/>
      <c r="AP96" s="48"/>
      <c r="AQ96" s="48"/>
      <c r="AR96" s="48"/>
      <c r="AS96" s="48"/>
      <c r="AT96" s="48"/>
      <c r="AU96" s="48"/>
      <c r="AV96" s="48"/>
      <c r="AW96" s="48"/>
      <c r="AX96" s="48"/>
      <c r="AY96" s="48"/>
      <c r="AZ96" s="58"/>
      <c r="BA96" s="48"/>
      <c r="BB96" s="48"/>
      <c r="BC96" s="58"/>
      <c r="BD96" s="48"/>
      <c r="BE96" s="48"/>
      <c r="BI96" s="58"/>
      <c r="BJ96" s="58"/>
      <c r="BK96" s="58"/>
      <c r="BL96" s="58"/>
      <c r="BM96" s="48"/>
      <c r="BN96" s="48"/>
      <c r="BO96" s="48"/>
      <c r="BP96" s="48"/>
      <c r="BQ96" s="48"/>
      <c r="BR96" s="48"/>
      <c r="BS96" s="48"/>
      <c r="BT96" s="48"/>
      <c r="BU96" s="48"/>
      <c r="BV96" s="48"/>
      <c r="BW96" s="58"/>
      <c r="BX96" s="58"/>
      <c r="BY96" s="48"/>
      <c r="BZ96" s="48"/>
      <c r="CA96" s="48"/>
      <c r="CB96" s="48"/>
      <c r="CC96" s="58"/>
      <c r="CD96" s="58"/>
      <c r="CE96" s="47" t="s">
        <v>1736</v>
      </c>
      <c r="CF96" s="47" t="s">
        <v>1792</v>
      </c>
      <c r="CG96" s="47" t="s">
        <v>1792</v>
      </c>
      <c r="CH96" s="58"/>
      <c r="CI96" s="58"/>
      <c r="CJ96" s="58"/>
      <c r="CK96" s="58"/>
      <c r="CL96" s="58"/>
      <c r="CM96" s="58"/>
      <c r="CN96" s="58"/>
      <c r="CO96" s="9"/>
      <c r="CP96" s="58"/>
      <c r="CQ96" s="48"/>
      <c r="CR96" s="48"/>
      <c r="CS96" s="48"/>
      <c r="CT96" s="48"/>
      <c r="CU96" s="48"/>
      <c r="CV96" s="48"/>
      <c r="CX96" s="48"/>
      <c r="CY96" s="48"/>
      <c r="CZ96" s="48"/>
      <c r="DA96" s="48"/>
      <c r="DB96" s="48"/>
      <c r="DC96" s="48"/>
      <c r="DD96" s="48"/>
      <c r="DG96" s="151"/>
      <c r="DH96" s="48"/>
      <c r="DI96" s="48"/>
      <c r="DJ96" s="48"/>
      <c r="DK96" s="48"/>
      <c r="DL96" s="48"/>
      <c r="DM96" s="58"/>
      <c r="DN96" s="82"/>
      <c r="DO96" s="82"/>
      <c r="DP96" s="58"/>
      <c r="DQ96" s="82"/>
      <c r="DR96" s="9"/>
      <c r="DS96" s="82"/>
      <c r="DT96" s="82"/>
      <c r="DV96" s="9"/>
      <c r="DW96" s="58"/>
      <c r="DX96" s="58"/>
      <c r="DY96" s="82"/>
      <c r="DZ96" s="48"/>
    </row>
    <row r="97" spans="1:130" ht="22.5" customHeight="1" x14ac:dyDescent="0.15">
      <c r="A97" s="91" t="s">
        <v>27</v>
      </c>
      <c r="B97" s="52" t="str">
        <f t="shared" ref="B97:Q97" si="15">B1</f>
        <v>Allianz Optimal
(Stand 03-2010)</v>
      </c>
      <c r="C97" s="52" t="str">
        <f t="shared" si="15"/>
        <v>Allianz inkl. SicherheitPlus
(Stand 2012-10)</v>
      </c>
      <c r="D97" s="52" t="str">
        <f>D1</f>
        <v>Allianz inkl. SicherheitPlus
(Stand 2014-05)</v>
      </c>
      <c r="E97" s="52" t="str">
        <f>E1</f>
        <v>Alte Leipziger comfort
(Stand 2015-07)</v>
      </c>
      <c r="F97" s="52" t="str">
        <f t="shared" si="15"/>
        <v>Alte Leipziger XXL
(Stand 07-2011)</v>
      </c>
      <c r="G97" s="52" t="str">
        <f t="shared" si="15"/>
        <v>Alte Leipziger XXL
(Stand 01-2013)</v>
      </c>
      <c r="H97" s="52" t="str">
        <f t="shared" si="15"/>
        <v>ARAG Basis (Wohnfläche)
(03-2013)</v>
      </c>
      <c r="I97" s="124" t="str">
        <f t="shared" si="15"/>
        <v>ARAG Comfort (Wohnfläche)
(03-2013)</v>
      </c>
      <c r="J97" s="52" t="str">
        <f t="shared" si="15"/>
        <v>ARAG Basis (Wohnfläche)
(Stand 07-2010)</v>
      </c>
      <c r="K97" s="52" t="str">
        <f t="shared" si="15"/>
        <v xml:space="preserve">ARAG Comfort (Wohnfl.) (Stand 07-2010) </v>
      </c>
      <c r="L97" s="52" t="str">
        <f>L1</f>
        <v>ARAG Basis (Wohnfläche)</v>
      </c>
      <c r="M97" s="124" t="str">
        <f>M1</f>
        <v>ARAG Comfort (Wohnfläche)</v>
      </c>
      <c r="N97" s="52" t="str">
        <f t="shared" si="15"/>
        <v>AXA
(ohne Feuerdeckung)</v>
      </c>
      <c r="O97" s="52" t="str">
        <f t="shared" si="15"/>
        <v>AXA</v>
      </c>
      <c r="P97" s="52" t="str">
        <f t="shared" si="15"/>
        <v>AXA BOXplus Extra</v>
      </c>
      <c r="Q97" s="52" t="str">
        <f t="shared" si="15"/>
        <v>AXA BOXplus Standard</v>
      </c>
      <c r="R97" s="45" t="s">
        <v>3234</v>
      </c>
      <c r="S97" s="53" t="s">
        <v>3310</v>
      </c>
      <c r="T97" s="53" t="s">
        <v>3311</v>
      </c>
      <c r="U97" s="125" t="str">
        <f>U1</f>
        <v>Baden Badener TOP (WF)</v>
      </c>
      <c r="V97" s="52" t="str">
        <f>V1</f>
        <v>Basler Top
(Stand 01-2012)</v>
      </c>
      <c r="W97" s="52" t="str">
        <f t="shared" ref="W97:AD97" si="16">W1</f>
        <v>Basler Ambiente Top
(Stand 07-2012)</v>
      </c>
      <c r="X97" s="52" t="str">
        <f>X1</f>
        <v>Basler Ambiente Top</v>
      </c>
      <c r="Y97" s="52" t="str">
        <f t="shared" si="16"/>
        <v>Concordia Basis
(Stand 09-2006)</v>
      </c>
      <c r="Z97" s="52" t="str">
        <f>Z1</f>
        <v>Concordia Basis-Plus
(Stand 10-2008)</v>
      </c>
      <c r="AA97" s="52" t="str">
        <f t="shared" si="16"/>
        <v>DBV+Partner
(Stand 02-1977)</v>
      </c>
      <c r="AB97" s="52" t="str">
        <f t="shared" si="16"/>
        <v>Debeka Basis
(Stand 04-2012)</v>
      </c>
      <c r="AC97" s="52" t="str">
        <f t="shared" si="16"/>
        <v>Debeka Standard
(Stand 04-2012)</v>
      </c>
      <c r="AD97" s="52" t="str">
        <f t="shared" si="16"/>
        <v>Debeka Top
(Stand 04-2012)</v>
      </c>
      <c r="AE97" s="52" t="str">
        <f>AE1</f>
        <v>Debeka Basis</v>
      </c>
      <c r="AF97" s="52" t="str">
        <f>AF1</f>
        <v>Debeka Standard</v>
      </c>
      <c r="AG97" s="52" t="str">
        <f>AG1</f>
        <v>Debeka Top</v>
      </c>
      <c r="AH97" s="52" t="str">
        <f t="shared" ref="AH97:BE97" si="17">AH1</f>
        <v>die Bayerische
Komfort-Schutz
(Stand 06-2011)</v>
      </c>
      <c r="AI97" s="52" t="str">
        <f t="shared" si="17"/>
        <v>die Bayerische
Standard-Plus
(Stand 06-2011)</v>
      </c>
      <c r="AJ97" s="52" t="str">
        <f t="shared" si="17"/>
        <v>die Bayerische
Standard-Schutz
(Stand 01-2008)</v>
      </c>
      <c r="AK97" s="52" t="str">
        <f>AK1</f>
        <v>die Bayerische Komfort</v>
      </c>
      <c r="AL97" s="52" t="str">
        <f>AL1</f>
        <v>die Bayerische Prestige</v>
      </c>
      <c r="AM97" s="52" t="str">
        <f>AM1</f>
        <v>die Bayerische Smart</v>
      </c>
      <c r="AN97" s="52" t="str">
        <f>AN1</f>
        <v>Domcura Komfort</v>
      </c>
      <c r="AO97" s="133" t="s">
        <v>3316</v>
      </c>
      <c r="AP97" s="52" t="str">
        <f>AP1</f>
        <v>Domcura Top</v>
      </c>
      <c r="AQ97" s="52" t="str">
        <f t="shared" si="17"/>
        <v>ERGO</v>
      </c>
      <c r="AR97" s="52" t="str">
        <f t="shared" ref="AR97" si="18">AR1</f>
        <v>ERGO spezial</v>
      </c>
      <c r="AS97" s="52" t="str">
        <f>AS1</f>
        <v>ERGO</v>
      </c>
      <c r="AT97" s="52" t="str">
        <f>AT1</f>
        <v>ERGO spezial</v>
      </c>
      <c r="AU97" s="52" t="str">
        <f t="shared" si="17"/>
        <v>Generali KomfortPlus (qm)
(Stand 01-2010)</v>
      </c>
      <c r="AV97" s="52" t="str">
        <f t="shared" si="17"/>
        <v>Generali Basis (qm)
(Stand 10-2012)</v>
      </c>
      <c r="AW97" s="52" t="str">
        <f t="shared" si="17"/>
        <v>Generali KomfortPlus (qm)
(Stand 10-2012)</v>
      </c>
      <c r="AX97" s="52" t="str">
        <f>AX1</f>
        <v>Generali Basis (qm)</v>
      </c>
      <c r="AY97" s="52" t="str">
        <f>AY1</f>
        <v>Generali KomfortPlus (qm)</v>
      </c>
      <c r="AZ97" s="52" t="str">
        <f>AZ1</f>
        <v>Gothaer (qm)</v>
      </c>
      <c r="BA97" s="52" t="str">
        <f>BA1</f>
        <v>Gothaer Top (qm)</v>
      </c>
      <c r="BB97" s="52" t="str">
        <f>BB1</f>
        <v>Gothaer Top Plus (qm)</v>
      </c>
      <c r="BC97" s="52" t="str">
        <f t="shared" si="17"/>
        <v>Gothaer (qm)
(Stand 01-2009)</v>
      </c>
      <c r="BD97" s="52" t="str">
        <f t="shared" si="17"/>
        <v>Gothaer Top (qm)
(Stand 01-2009)</v>
      </c>
      <c r="BE97" s="52" t="str">
        <f t="shared" si="17"/>
        <v>Gothaer Top Plus (qm)
(Stand 01-2009)</v>
      </c>
      <c r="BF97" s="61" t="str">
        <f t="shared" ref="BF97:DN97" si="19">BF1</f>
        <v>Grundeigentümer Schutz 60
(Stand 04-2011)</v>
      </c>
      <c r="BG97" s="61" t="str">
        <f t="shared" si="19"/>
        <v>Grundeigentümer Schutz 60 Plus (Stand 04-2011)</v>
      </c>
      <c r="BH97" s="61" t="str">
        <f t="shared" si="19"/>
        <v>Grundeigentümer Schutz 60 Plus (Stand 10-2010)</v>
      </c>
      <c r="BI97" s="52" t="str">
        <f t="shared" si="19"/>
        <v>HDI Privatschutz
(Stand 01-2011)</v>
      </c>
      <c r="BJ97" s="52" t="str">
        <f t="shared" ref="BJ97:BT97" si="20">BJ1</f>
        <v>HDI Privatschutz (Wert 1914)
(Stand 07-2011)</v>
      </c>
      <c r="BK97" s="52" t="str">
        <f t="shared" si="20"/>
        <v>HDI Privatschutz (Wohnfläche)</v>
      </c>
      <c r="BL97" s="52" t="str">
        <f t="shared" si="20"/>
        <v>Helvetia Komfort</v>
      </c>
      <c r="BM97" s="52" t="str">
        <f t="shared" si="20"/>
        <v>HFK Hausverwalter
(Stand 01-2009)</v>
      </c>
      <c r="BN97" s="52" t="str">
        <f t="shared" si="20"/>
        <v>HFK mit Zusatzdeckung
(Stand 01-2009)</v>
      </c>
      <c r="BO97" s="52" t="str">
        <f t="shared" si="20"/>
        <v>HFK ohne Zusatzdeckung
(Stand 01-2009)</v>
      </c>
      <c r="BP97" s="52" t="str">
        <f t="shared" si="20"/>
        <v>HFK afm mit Zusatzdeckung</v>
      </c>
      <c r="BQ97" s="52" t="str">
        <f t="shared" si="20"/>
        <v>HFK afm ohne Zusatzdeckung</v>
      </c>
      <c r="BR97" s="52" t="str">
        <f t="shared" si="20"/>
        <v>Hiscox Haus &amp; Kunst</v>
      </c>
      <c r="BS97" s="52" t="str">
        <f t="shared" si="20"/>
        <v>HUK Classic</v>
      </c>
      <c r="BT97" s="52" t="str">
        <f t="shared" si="20"/>
        <v>HUK Plus</v>
      </c>
      <c r="BU97" s="52" t="str">
        <f t="shared" si="19"/>
        <v>HUK Classic
(Stand 03-2010)</v>
      </c>
      <c r="BV97" s="52" t="str">
        <f t="shared" si="19"/>
        <v>HUK Plus
(Stand 03-2010)</v>
      </c>
      <c r="BW97" s="52" t="str">
        <f t="shared" si="19"/>
        <v>Inter Exklusiv
(Stand 10-2010)</v>
      </c>
      <c r="BX97" s="52" t="str">
        <f t="shared" si="19"/>
        <v>Inter Premium
(Stand 10-2010)</v>
      </c>
      <c r="BY97" s="52" t="str">
        <f t="shared" si="19"/>
        <v>Interrisk XXL
(Stand 03-2011)</v>
      </c>
      <c r="BZ97" s="52" t="str">
        <f t="shared" si="19"/>
        <v>Interrisk XXL
(Stand 10-2012)</v>
      </c>
      <c r="CA97" s="52" t="str">
        <f>CA1</f>
        <v>InterRisk XL</v>
      </c>
      <c r="CB97" s="52" t="str">
        <f>CB1</f>
        <v>InterRisk XXL</v>
      </c>
      <c r="CC97" s="52" t="str">
        <f>CC1</f>
        <v>ITL afm Protect 2000</v>
      </c>
      <c r="CD97" s="52" t="str">
        <f t="shared" si="19"/>
        <v>ITL afm Protect 2009
(Stand 01-2008)</v>
      </c>
      <c r="CE97" s="69" t="s">
        <v>1735</v>
      </c>
      <c r="CF97" s="69" t="s">
        <v>1791</v>
      </c>
      <c r="CG97" s="69" t="s">
        <v>1791</v>
      </c>
      <c r="CH97" s="52" t="str">
        <f>CH1</f>
        <v>ITL afm Eurosecure 2009</v>
      </c>
      <c r="CI97" s="45" t="s">
        <v>3552</v>
      </c>
      <c r="CJ97" s="45" t="s">
        <v>3550</v>
      </c>
      <c r="CK97" s="45" t="s">
        <v>3549</v>
      </c>
      <c r="CL97" s="45" t="s">
        <v>3551</v>
      </c>
      <c r="CM97" s="52" t="str">
        <f>CM1</f>
        <v>Itzehoer Basis</v>
      </c>
      <c r="CN97" s="52" t="str">
        <f>CN1</f>
        <v>Itzehoer Plus</v>
      </c>
      <c r="CO97" s="12" t="str">
        <f t="shared" si="19"/>
        <v>Marsh Wohngebäude 2011
(Stand 01-2011)</v>
      </c>
      <c r="CP97" s="52"/>
      <c r="CQ97" s="52"/>
      <c r="CR97" s="52"/>
      <c r="CS97" s="52" t="str">
        <f>CS1</f>
        <v>nat. suisse AllRisk</v>
      </c>
      <c r="CT97" s="52" t="str">
        <f>CT1</f>
        <v>nat. suisse Komfort</v>
      </c>
      <c r="CU97" s="52" t="str">
        <f>CU1</f>
        <v>nat. suisse Premium</v>
      </c>
      <c r="CV97" s="52" t="str">
        <f t="shared" si="19"/>
        <v>nat. suisse Ideal-Schutz
(Stand 01-2008)</v>
      </c>
      <c r="CW97" s="61" t="str">
        <f t="shared" si="19"/>
        <v>Neuendorfer
(Stand 01-2008)</v>
      </c>
      <c r="CX97" s="52" t="str">
        <f>CX1</f>
        <v>Nürnberger KomplettSchutz (Wert 1914)</v>
      </c>
      <c r="CY97" s="52" t="str">
        <f t="shared" si="19"/>
        <v>Provinzial Basis
(Stand 01-2009)</v>
      </c>
      <c r="CZ97" s="52" t="str">
        <f t="shared" si="19"/>
        <v>Provinzial Top
(Stand 01-2009)</v>
      </c>
      <c r="DA97" s="52" t="str">
        <f t="shared" si="19"/>
        <v>Provinzial Rheinland
V.I.P.-Intelligent</v>
      </c>
      <c r="DB97" s="52" t="str">
        <f>DB1</f>
        <v>Provinzial Kompaktschutz</v>
      </c>
      <c r="DC97" s="52" t="str">
        <f>DC1</f>
        <v>Provinzial Rundum inkl. Plus</v>
      </c>
      <c r="DD97" s="52" t="str">
        <f>DD1</f>
        <v>Provinzial Rundumschutz</v>
      </c>
      <c r="DE97" s="52" t="str">
        <f t="shared" si="19"/>
        <v>Rhion Plus
(Stand 04-2011)</v>
      </c>
      <c r="DF97" s="52" t="str">
        <f t="shared" si="19"/>
        <v>Rhion Standard
(Stand 04-2011)</v>
      </c>
      <c r="DG97" s="145" t="s">
        <v>3341</v>
      </c>
      <c r="DH97" s="52" t="str">
        <f t="shared" si="19"/>
        <v>R+V PrivatPolice (Fläche)
(Stand 01-2011)</v>
      </c>
      <c r="DI97" s="52" t="str">
        <f t="shared" si="19"/>
        <v>R+V PrivatPolice (Fläche)
(Stand 07-2012)</v>
      </c>
      <c r="DJ97" s="52" t="str">
        <f>DJ1</f>
        <v>R+V PrivatPolice (Fläche)</v>
      </c>
      <c r="DK97" s="52" t="str">
        <f>DK1</f>
        <v>VdVA</v>
      </c>
      <c r="DL97" s="53" t="s">
        <v>3496</v>
      </c>
      <c r="DM97" s="52" t="str">
        <f t="shared" si="19"/>
        <v>VHV Exklusiv
(Stand 09-2008)</v>
      </c>
      <c r="DN97" s="52" t="str">
        <f t="shared" si="19"/>
        <v>VHV Klassik
(Stand 09-2008)</v>
      </c>
      <c r="DO97" s="52" t="str">
        <f>DO1</f>
        <v>VHV Klassik Garant</v>
      </c>
      <c r="DP97" s="52" t="str">
        <f>DP1</f>
        <v>VHV Klassik Garant Exklusiv</v>
      </c>
      <c r="DQ97" s="61" t="str">
        <f t="shared" ref="DQ97:DX97" si="21">DQ1</f>
        <v>VKB Standard (Für Fr. La Tona) (VGB 88)</v>
      </c>
      <c r="DR97" s="52" t="str">
        <f t="shared" si="21"/>
        <v>VKB (Für Fr. La Tona) (Feuerdeckung inkl. Plus-Paket)</v>
      </c>
      <c r="DS97" s="61" t="str">
        <f t="shared" si="21"/>
        <v>VKB VGB 2000 Plus 2
(Stand 01-2008)</v>
      </c>
      <c r="DT97" s="61" t="str">
        <f>DT1</f>
        <v>VKB Kompakt</v>
      </c>
      <c r="DU97" s="61" t="str">
        <f>DU1</f>
        <v>VKB Optimal</v>
      </c>
      <c r="DV97" s="52" t="str">
        <f t="shared" si="21"/>
        <v>Volksfürsorge Komfort (qm)
Stand (01-2007)</v>
      </c>
      <c r="DW97" s="52" t="str">
        <f t="shared" si="21"/>
        <v>Württembergische KompaktSchutz (11-2010)</v>
      </c>
      <c r="DX97" s="52" t="str">
        <f t="shared" si="21"/>
        <v>Württembergische PremiumSchutz (11-2010)</v>
      </c>
      <c r="DY97" s="52" t="str">
        <f>DY1</f>
        <v>WÜBA Plus</v>
      </c>
      <c r="DZ97" s="52"/>
    </row>
    <row r="98" spans="1:130" s="18" customFormat="1" ht="22.5" customHeight="1" x14ac:dyDescent="0.15">
      <c r="A98" s="25" t="s">
        <v>75</v>
      </c>
      <c r="B98" s="46" t="s">
        <v>95</v>
      </c>
      <c r="C98" s="46" t="s">
        <v>95</v>
      </c>
      <c r="D98" s="46" t="s">
        <v>95</v>
      </c>
      <c r="E98" s="46" t="s">
        <v>95</v>
      </c>
      <c r="F98" s="46" t="s">
        <v>95</v>
      </c>
      <c r="G98" s="46" t="s">
        <v>95</v>
      </c>
      <c r="H98" s="47" t="s">
        <v>1410</v>
      </c>
      <c r="I98" s="62" t="s">
        <v>1410</v>
      </c>
      <c r="J98" s="47" t="s">
        <v>1410</v>
      </c>
      <c r="K98" s="47" t="s">
        <v>1410</v>
      </c>
      <c r="L98" s="47" t="s">
        <v>1410</v>
      </c>
      <c r="M98" s="62" t="s">
        <v>1410</v>
      </c>
      <c r="N98" s="47" t="s">
        <v>1362</v>
      </c>
      <c r="O98" s="46" t="s">
        <v>95</v>
      </c>
      <c r="P98" s="46" t="s">
        <v>95</v>
      </c>
      <c r="Q98" s="46" t="s">
        <v>95</v>
      </c>
      <c r="R98" s="47" t="s">
        <v>3249</v>
      </c>
      <c r="S98" s="117" t="s">
        <v>95</v>
      </c>
      <c r="T98" s="117" t="s">
        <v>95</v>
      </c>
      <c r="U98" s="121" t="s">
        <v>2528</v>
      </c>
      <c r="V98" s="46" t="s">
        <v>95</v>
      </c>
      <c r="W98" s="101" t="s">
        <v>95</v>
      </c>
      <c r="X98" s="46" t="s">
        <v>95</v>
      </c>
      <c r="Y98" s="47" t="s">
        <v>2322</v>
      </c>
      <c r="Z98" s="46" t="s">
        <v>95</v>
      </c>
      <c r="AA98" s="47" t="s">
        <v>1488</v>
      </c>
      <c r="AB98" s="47" t="s">
        <v>125</v>
      </c>
      <c r="AC98" s="47" t="s">
        <v>105</v>
      </c>
      <c r="AD98" s="47" t="s">
        <v>714</v>
      </c>
      <c r="AE98" s="47" t="s">
        <v>2394</v>
      </c>
      <c r="AF98" s="47" t="s">
        <v>2419</v>
      </c>
      <c r="AG98" s="47" t="s">
        <v>2420</v>
      </c>
      <c r="AH98" s="46" t="s">
        <v>95</v>
      </c>
      <c r="AI98" s="47" t="s">
        <v>2874</v>
      </c>
      <c r="AJ98" s="47" t="s">
        <v>2874</v>
      </c>
      <c r="AK98" s="47" t="s">
        <v>95</v>
      </c>
      <c r="AL98" s="47" t="s">
        <v>95</v>
      </c>
      <c r="AM98" s="47" t="s">
        <v>95</v>
      </c>
      <c r="AN98" s="20" t="s">
        <v>183</v>
      </c>
      <c r="AO98" s="130" t="s">
        <v>95</v>
      </c>
      <c r="AP98" s="20" t="s">
        <v>183</v>
      </c>
      <c r="AQ98" s="20" t="s">
        <v>3411</v>
      </c>
      <c r="AR98" s="20" t="s">
        <v>105</v>
      </c>
      <c r="AS98" s="20" t="s">
        <v>105</v>
      </c>
      <c r="AT98" s="20" t="s">
        <v>105</v>
      </c>
      <c r="AU98" s="42" t="s">
        <v>95</v>
      </c>
      <c r="AV98" s="20" t="s">
        <v>545</v>
      </c>
      <c r="AW98" s="44" t="s">
        <v>95</v>
      </c>
      <c r="AX98" s="20" t="s">
        <v>15</v>
      </c>
      <c r="AY98" s="44" t="s">
        <v>95</v>
      </c>
      <c r="AZ98" s="46" t="s">
        <v>15</v>
      </c>
      <c r="BA98" s="44" t="s">
        <v>2211</v>
      </c>
      <c r="BB98" s="44" t="s">
        <v>2209</v>
      </c>
      <c r="BC98" s="46" t="s">
        <v>15</v>
      </c>
      <c r="BD98" s="44" t="s">
        <v>2211</v>
      </c>
      <c r="BE98" s="44" t="s">
        <v>2209</v>
      </c>
      <c r="BF98" s="46" t="s">
        <v>105</v>
      </c>
      <c r="BG98" s="47" t="s">
        <v>95</v>
      </c>
      <c r="BH98" s="47" t="s">
        <v>95</v>
      </c>
      <c r="BI98" s="47" t="s">
        <v>395</v>
      </c>
      <c r="BJ98" s="47" t="s">
        <v>1897</v>
      </c>
      <c r="BK98" s="47" t="s">
        <v>2429</v>
      </c>
      <c r="BL98" s="47" t="s">
        <v>95</v>
      </c>
      <c r="BM98" s="46" t="s">
        <v>105</v>
      </c>
      <c r="BN98" s="46" t="s">
        <v>95</v>
      </c>
      <c r="BO98" s="46" t="s">
        <v>105</v>
      </c>
      <c r="BP98" s="46" t="s">
        <v>95</v>
      </c>
      <c r="BQ98" s="46" t="s">
        <v>105</v>
      </c>
      <c r="BR98" s="46" t="s">
        <v>95</v>
      </c>
      <c r="BS98" s="46" t="s">
        <v>95</v>
      </c>
      <c r="BT98" s="46" t="s">
        <v>95</v>
      </c>
      <c r="BU98" s="46" t="s">
        <v>95</v>
      </c>
      <c r="BV98" s="46" t="s">
        <v>95</v>
      </c>
      <c r="BW98" s="47" t="s">
        <v>2010</v>
      </c>
      <c r="BX98" s="46" t="s">
        <v>95</v>
      </c>
      <c r="BY98" s="46" t="s">
        <v>95</v>
      </c>
      <c r="BZ98" s="46" t="s">
        <v>95</v>
      </c>
      <c r="CA98" s="46" t="s">
        <v>2209</v>
      </c>
      <c r="CB98" s="46" t="s">
        <v>95</v>
      </c>
      <c r="CC98" s="47" t="s">
        <v>15</v>
      </c>
      <c r="CD98" s="46" t="s">
        <v>95</v>
      </c>
      <c r="CE98" s="58"/>
      <c r="CF98" s="58"/>
      <c r="CG98" s="58"/>
      <c r="CH98" s="46" t="s">
        <v>95</v>
      </c>
      <c r="CI98" s="46" t="s">
        <v>95</v>
      </c>
      <c r="CJ98" s="46" t="s">
        <v>95</v>
      </c>
      <c r="CK98" s="46" t="s">
        <v>95</v>
      </c>
      <c r="CL98" s="46" t="s">
        <v>95</v>
      </c>
      <c r="CM98" s="47" t="s">
        <v>105</v>
      </c>
      <c r="CN98" s="156" t="s">
        <v>95</v>
      </c>
      <c r="CO98" s="46" t="s">
        <v>95</v>
      </c>
      <c r="CP98" s="46" t="s">
        <v>23</v>
      </c>
      <c r="CQ98" s="44" t="s">
        <v>95</v>
      </c>
      <c r="CR98" s="44" t="s">
        <v>15</v>
      </c>
      <c r="CS98" s="47" t="s">
        <v>821</v>
      </c>
      <c r="CT98" s="46" t="s">
        <v>244</v>
      </c>
      <c r="CU98" s="46" t="s">
        <v>95</v>
      </c>
      <c r="CV98" s="46" t="s">
        <v>244</v>
      </c>
      <c r="CW98" s="47" t="s">
        <v>95</v>
      </c>
      <c r="CX98" s="46" t="s">
        <v>95</v>
      </c>
      <c r="CY98" s="46" t="s">
        <v>105</v>
      </c>
      <c r="CZ98" s="46" t="s">
        <v>95</v>
      </c>
      <c r="DA98" s="47" t="s">
        <v>2164</v>
      </c>
      <c r="DB98" s="46" t="s">
        <v>345</v>
      </c>
      <c r="DC98" s="46" t="s">
        <v>95</v>
      </c>
      <c r="DD98" s="46" t="s">
        <v>95</v>
      </c>
      <c r="DE98" s="46" t="s">
        <v>95</v>
      </c>
      <c r="DF98" s="46" t="s">
        <v>125</v>
      </c>
      <c r="DG98" s="146" t="s">
        <v>95</v>
      </c>
      <c r="DH98" s="46" t="s">
        <v>95</v>
      </c>
      <c r="DI98" s="46" t="s">
        <v>95</v>
      </c>
      <c r="DJ98" s="46" t="s">
        <v>95</v>
      </c>
      <c r="DK98" s="46" t="s">
        <v>95</v>
      </c>
      <c r="DL98" s="46" t="s">
        <v>3482</v>
      </c>
      <c r="DM98" s="46" t="s">
        <v>95</v>
      </c>
      <c r="DN98" s="47" t="s">
        <v>15</v>
      </c>
      <c r="DO98" s="47" t="s">
        <v>169</v>
      </c>
      <c r="DP98" s="46" t="s">
        <v>3545</v>
      </c>
      <c r="DQ98" s="47" t="s">
        <v>2944</v>
      </c>
      <c r="DR98" s="47" t="s">
        <v>1393</v>
      </c>
      <c r="DS98" s="47" t="s">
        <v>95</v>
      </c>
      <c r="DT98" s="47" t="s">
        <v>1216</v>
      </c>
      <c r="DU98" s="47" t="s">
        <v>95</v>
      </c>
      <c r="DV98" s="20" t="s">
        <v>546</v>
      </c>
      <c r="DW98" s="46" t="s">
        <v>105</v>
      </c>
      <c r="DX98" s="46" t="s">
        <v>95</v>
      </c>
      <c r="DY98" s="47" t="s">
        <v>95</v>
      </c>
      <c r="DZ98" s="20"/>
    </row>
    <row r="99" spans="1:130" s="18" customFormat="1" ht="12" customHeight="1" x14ac:dyDescent="0.15">
      <c r="A99" s="76" t="s">
        <v>402</v>
      </c>
      <c r="B99" s="69"/>
      <c r="C99" s="69" t="s">
        <v>2768</v>
      </c>
      <c r="D99" s="69" t="s">
        <v>2768</v>
      </c>
      <c r="E99" s="69" t="s">
        <v>3264</v>
      </c>
      <c r="F99" s="69"/>
      <c r="G99" s="69" t="s">
        <v>1599</v>
      </c>
      <c r="H99" s="69" t="s">
        <v>1481</v>
      </c>
      <c r="I99" s="106" t="s">
        <v>1481</v>
      </c>
      <c r="J99" s="69" t="s">
        <v>1481</v>
      </c>
      <c r="K99" s="69" t="s">
        <v>1481</v>
      </c>
      <c r="L99" s="69" t="s">
        <v>1481</v>
      </c>
      <c r="M99" s="106" t="s">
        <v>1481</v>
      </c>
      <c r="N99" s="69" t="s">
        <v>1363</v>
      </c>
      <c r="O99" s="69"/>
      <c r="P99" s="69"/>
      <c r="Q99" s="69"/>
      <c r="R99" s="69" t="s">
        <v>1419</v>
      </c>
      <c r="S99" s="128"/>
      <c r="T99" s="128"/>
      <c r="U99" s="107" t="s">
        <v>1745</v>
      </c>
      <c r="V99" s="69"/>
      <c r="W99" s="106" t="s">
        <v>1322</v>
      </c>
      <c r="X99" s="69" t="s">
        <v>1322</v>
      </c>
      <c r="Y99" s="69" t="s">
        <v>2333</v>
      </c>
      <c r="Z99" s="69" t="s">
        <v>2608</v>
      </c>
      <c r="AA99" s="69" t="s">
        <v>2187</v>
      </c>
      <c r="AB99" s="69" t="s">
        <v>713</v>
      </c>
      <c r="AC99" s="69" t="s">
        <v>713</v>
      </c>
      <c r="AD99" s="69" t="s">
        <v>713</v>
      </c>
      <c r="AE99" s="69" t="s">
        <v>2418</v>
      </c>
      <c r="AF99" s="69" t="s">
        <v>2418</v>
      </c>
      <c r="AG99" s="69" t="s">
        <v>2418</v>
      </c>
      <c r="AH99" s="69" t="s">
        <v>2876</v>
      </c>
      <c r="AI99" s="69" t="s">
        <v>2875</v>
      </c>
      <c r="AJ99" s="69" t="s">
        <v>2875</v>
      </c>
      <c r="AK99" s="69" t="s">
        <v>3070</v>
      </c>
      <c r="AL99" s="69" t="s">
        <v>3070</v>
      </c>
      <c r="AM99" s="69" t="s">
        <v>3070</v>
      </c>
      <c r="AN99" s="69" t="s">
        <v>500</v>
      </c>
      <c r="AO99" s="131"/>
      <c r="AP99" s="69" t="s">
        <v>500</v>
      </c>
      <c r="AQ99" s="69" t="s">
        <v>3412</v>
      </c>
      <c r="AR99" s="69"/>
      <c r="AS99" s="69"/>
      <c r="AT99" s="69"/>
      <c r="AU99" s="69"/>
      <c r="AV99" s="69" t="s">
        <v>547</v>
      </c>
      <c r="AW99" s="69" t="s">
        <v>547</v>
      </c>
      <c r="AX99" s="69" t="s">
        <v>547</v>
      </c>
      <c r="AY99" s="69" t="s">
        <v>547</v>
      </c>
      <c r="AZ99" s="69" t="s">
        <v>2275</v>
      </c>
      <c r="BA99" s="69" t="s">
        <v>2237</v>
      </c>
      <c r="BB99" s="69" t="s">
        <v>2217</v>
      </c>
      <c r="BC99" s="69" t="s">
        <v>2275</v>
      </c>
      <c r="BD99" s="69" t="s">
        <v>2237</v>
      </c>
      <c r="BE99" s="69" t="s">
        <v>2217</v>
      </c>
      <c r="BF99" s="69" t="s">
        <v>1082</v>
      </c>
      <c r="BG99" s="69" t="s">
        <v>1082</v>
      </c>
      <c r="BH99" s="69"/>
      <c r="BI99" s="69"/>
      <c r="BJ99" s="69" t="s">
        <v>1896</v>
      </c>
      <c r="BK99" s="69" t="s">
        <v>2474</v>
      </c>
      <c r="BL99" s="69" t="s">
        <v>2337</v>
      </c>
      <c r="BM99" s="69"/>
      <c r="BN99" s="69"/>
      <c r="BO99" s="69"/>
      <c r="BP99" s="69" t="s">
        <v>610</v>
      </c>
      <c r="BQ99" s="69" t="s">
        <v>591</v>
      </c>
      <c r="BR99" s="69"/>
      <c r="BS99" s="69"/>
      <c r="BT99" s="69"/>
      <c r="BU99" s="69"/>
      <c r="BV99" s="69"/>
      <c r="BW99" s="69" t="s">
        <v>2079</v>
      </c>
      <c r="BX99" s="69" t="s">
        <v>2044</v>
      </c>
      <c r="BY99" s="69"/>
      <c r="BZ99" s="69" t="s">
        <v>1665</v>
      </c>
      <c r="CA99" s="69" t="s">
        <v>2717</v>
      </c>
      <c r="CB99" s="69" t="s">
        <v>1665</v>
      </c>
      <c r="CC99" s="69"/>
      <c r="CD99" s="69"/>
      <c r="CE99" s="52" t="str">
        <f>CE1</f>
        <v>ITL afm Protect 2010</v>
      </c>
      <c r="CF99" s="52" t="str">
        <f>CF1</f>
        <v>ITL Eurosecure 2010</v>
      </c>
      <c r="CG99" s="52" t="str">
        <f>CG1</f>
        <v>ITL Existenz 2010</v>
      </c>
      <c r="CH99" s="69" t="s">
        <v>1820</v>
      </c>
      <c r="CI99" s="69" t="s">
        <v>3555</v>
      </c>
      <c r="CJ99" s="69" t="s">
        <v>3555</v>
      </c>
      <c r="CK99" s="69" t="s">
        <v>3555</v>
      </c>
      <c r="CL99" s="69" t="s">
        <v>3555</v>
      </c>
      <c r="CM99" s="69" t="s">
        <v>777</v>
      </c>
      <c r="CN99" s="69" t="s">
        <v>777</v>
      </c>
      <c r="CO99" s="69" t="s">
        <v>975</v>
      </c>
      <c r="CP99" s="69" t="s">
        <v>2993</v>
      </c>
      <c r="CQ99" s="69" t="s">
        <v>3001</v>
      </c>
      <c r="CR99" s="69" t="s">
        <v>3001</v>
      </c>
      <c r="CS99" s="69" t="s">
        <v>2517</v>
      </c>
      <c r="CT99" s="69" t="s">
        <v>845</v>
      </c>
      <c r="CU99" s="69" t="s">
        <v>836</v>
      </c>
      <c r="CV99" s="69"/>
      <c r="CW99" s="69"/>
      <c r="CX99" s="69" t="s">
        <v>1223</v>
      </c>
      <c r="CY99" s="69"/>
      <c r="CZ99" s="69"/>
      <c r="DA99" s="69" t="s">
        <v>2163</v>
      </c>
      <c r="DB99" s="69" t="s">
        <v>918</v>
      </c>
      <c r="DC99" s="69" t="s">
        <v>878</v>
      </c>
      <c r="DD99" s="69" t="s">
        <v>878</v>
      </c>
      <c r="DE99" s="69"/>
      <c r="DF99" s="69"/>
      <c r="DG99" s="152" t="s">
        <v>3372</v>
      </c>
      <c r="DH99" s="69"/>
      <c r="DI99" s="96" t="s">
        <v>1039</v>
      </c>
      <c r="DJ99" s="96" t="s">
        <v>1039</v>
      </c>
      <c r="DK99" s="69" t="s">
        <v>1948</v>
      </c>
      <c r="DL99" s="69" t="s">
        <v>3483</v>
      </c>
      <c r="DM99" s="69"/>
      <c r="DN99" s="69"/>
      <c r="DO99" s="69"/>
      <c r="DP99" s="69"/>
      <c r="DQ99" s="69" t="s">
        <v>2943</v>
      </c>
      <c r="DR99" s="69" t="s">
        <v>1383</v>
      </c>
      <c r="DS99" s="69" t="s">
        <v>2687</v>
      </c>
      <c r="DT99" s="69" t="s">
        <v>1217</v>
      </c>
      <c r="DU99" s="69" t="s">
        <v>1189</v>
      </c>
      <c r="DV99" s="69" t="s">
        <v>1567</v>
      </c>
      <c r="DW99" s="69" t="s">
        <v>411</v>
      </c>
      <c r="DX99" s="69" t="s">
        <v>441</v>
      </c>
      <c r="DY99" s="69" t="s">
        <v>1502</v>
      </c>
      <c r="DZ99" s="69"/>
    </row>
    <row r="100" spans="1:130" s="18" customFormat="1" ht="22.5" customHeight="1" x14ac:dyDescent="0.15">
      <c r="A100" s="25" t="s">
        <v>74</v>
      </c>
      <c r="B100" s="47" t="s">
        <v>95</v>
      </c>
      <c r="C100" s="47" t="s">
        <v>95</v>
      </c>
      <c r="D100" s="47" t="s">
        <v>95</v>
      </c>
      <c r="E100" s="47" t="s">
        <v>95</v>
      </c>
      <c r="F100" s="47" t="s">
        <v>173</v>
      </c>
      <c r="G100" s="47" t="s">
        <v>173</v>
      </c>
      <c r="H100" s="47" t="s">
        <v>12</v>
      </c>
      <c r="I100" s="62" t="s">
        <v>1410</v>
      </c>
      <c r="J100" s="47" t="s">
        <v>12</v>
      </c>
      <c r="K100" s="47" t="s">
        <v>1410</v>
      </c>
      <c r="L100" s="47" t="s">
        <v>12</v>
      </c>
      <c r="M100" s="62" t="s">
        <v>1410</v>
      </c>
      <c r="N100" s="46" t="s">
        <v>3</v>
      </c>
      <c r="O100" s="47" t="s">
        <v>23</v>
      </c>
      <c r="P100" s="47" t="s">
        <v>173</v>
      </c>
      <c r="Q100" s="47" t="s">
        <v>15</v>
      </c>
      <c r="R100" s="46" t="s">
        <v>3239</v>
      </c>
      <c r="S100" s="117" t="s">
        <v>173</v>
      </c>
      <c r="T100" s="117" t="s">
        <v>3307</v>
      </c>
      <c r="U100" s="121" t="s">
        <v>2530</v>
      </c>
      <c r="V100" s="47" t="s">
        <v>95</v>
      </c>
      <c r="W100" s="62" t="s">
        <v>95</v>
      </c>
      <c r="X100" s="47" t="s">
        <v>95</v>
      </c>
      <c r="Y100" s="47" t="s">
        <v>2293</v>
      </c>
      <c r="Z100" s="47" t="s">
        <v>2611</v>
      </c>
      <c r="AA100" s="46" t="s">
        <v>3</v>
      </c>
      <c r="AB100" s="46" t="s">
        <v>3</v>
      </c>
      <c r="AC100" s="46" t="s">
        <v>3</v>
      </c>
      <c r="AD100" s="46" t="s">
        <v>129</v>
      </c>
      <c r="AE100" s="46" t="s">
        <v>3</v>
      </c>
      <c r="AF100" s="46" t="s">
        <v>3</v>
      </c>
      <c r="AG100" s="46" t="s">
        <v>2396</v>
      </c>
      <c r="AH100" s="47" t="s">
        <v>2877</v>
      </c>
      <c r="AI100" s="47" t="s">
        <v>3</v>
      </c>
      <c r="AJ100" s="47" t="s">
        <v>3</v>
      </c>
      <c r="AK100" s="47" t="s">
        <v>2209</v>
      </c>
      <c r="AL100" s="47" t="s">
        <v>183</v>
      </c>
      <c r="AM100" s="47" t="s">
        <v>2998</v>
      </c>
      <c r="AN100" s="20" t="s">
        <v>183</v>
      </c>
      <c r="AO100" s="130" t="s">
        <v>95</v>
      </c>
      <c r="AP100" s="20" t="s">
        <v>183</v>
      </c>
      <c r="AQ100" s="20" t="s">
        <v>3414</v>
      </c>
      <c r="AR100" s="46" t="s">
        <v>105</v>
      </c>
      <c r="AS100" s="46" t="s">
        <v>105</v>
      </c>
      <c r="AT100" s="46" t="s">
        <v>105</v>
      </c>
      <c r="AU100" s="42" t="s">
        <v>95</v>
      </c>
      <c r="AV100" s="20" t="s">
        <v>3</v>
      </c>
      <c r="AW100" s="44" t="s">
        <v>95</v>
      </c>
      <c r="AX100" s="20" t="s">
        <v>3</v>
      </c>
      <c r="AY100" s="44" t="s">
        <v>95</v>
      </c>
      <c r="AZ100" s="46" t="s">
        <v>15</v>
      </c>
      <c r="BA100" s="44" t="s">
        <v>2211</v>
      </c>
      <c r="BB100" s="44" t="s">
        <v>2209</v>
      </c>
      <c r="BC100" s="46" t="s">
        <v>15</v>
      </c>
      <c r="BD100" s="44" t="s">
        <v>2211</v>
      </c>
      <c r="BE100" s="44" t="s">
        <v>2209</v>
      </c>
      <c r="BF100" s="47" t="s">
        <v>129</v>
      </c>
      <c r="BG100" s="47" t="s">
        <v>105</v>
      </c>
      <c r="BH100" s="47" t="s">
        <v>105</v>
      </c>
      <c r="BI100" s="47" t="s">
        <v>382</v>
      </c>
      <c r="BJ100" s="47" t="s">
        <v>1863</v>
      </c>
      <c r="BK100" s="47" t="s">
        <v>2435</v>
      </c>
      <c r="BL100" s="47" t="s">
        <v>95</v>
      </c>
      <c r="BM100" s="47" t="s">
        <v>154</v>
      </c>
      <c r="BN100" s="47" t="s">
        <v>95</v>
      </c>
      <c r="BO100" s="47" t="s">
        <v>3</v>
      </c>
      <c r="BP100" s="47" t="s">
        <v>95</v>
      </c>
      <c r="BQ100" s="47" t="s">
        <v>3</v>
      </c>
      <c r="BR100" s="47" t="s">
        <v>95</v>
      </c>
      <c r="BS100" s="46" t="s">
        <v>95</v>
      </c>
      <c r="BT100" s="46" t="s">
        <v>95</v>
      </c>
      <c r="BU100" s="46" t="s">
        <v>23</v>
      </c>
      <c r="BV100" s="46" t="s">
        <v>23</v>
      </c>
      <c r="BW100" s="47" t="s">
        <v>2058</v>
      </c>
      <c r="BX100" s="47" t="s">
        <v>2019</v>
      </c>
      <c r="BY100" s="46" t="s">
        <v>95</v>
      </c>
      <c r="BZ100" s="46" t="s">
        <v>95</v>
      </c>
      <c r="CA100" s="46" t="s">
        <v>173</v>
      </c>
      <c r="CB100" s="46" t="s">
        <v>95</v>
      </c>
      <c r="CC100" s="47" t="s">
        <v>12</v>
      </c>
      <c r="CD100" s="46" t="s">
        <v>95</v>
      </c>
      <c r="CE100" s="46" t="s">
        <v>95</v>
      </c>
      <c r="CF100" s="46" t="s">
        <v>95</v>
      </c>
      <c r="CG100" s="46" t="s">
        <v>95</v>
      </c>
      <c r="CH100" s="46" t="s">
        <v>95</v>
      </c>
      <c r="CI100" s="46" t="s">
        <v>3</v>
      </c>
      <c r="CJ100" s="46" t="s">
        <v>95</v>
      </c>
      <c r="CK100" s="46" t="s">
        <v>95</v>
      </c>
      <c r="CL100" s="46" t="s">
        <v>95</v>
      </c>
      <c r="CM100" s="47" t="s">
        <v>3</v>
      </c>
      <c r="CN100" s="47" t="s">
        <v>752</v>
      </c>
      <c r="CO100" s="46" t="s">
        <v>105</v>
      </c>
      <c r="CP100" s="43" t="s">
        <v>3206</v>
      </c>
      <c r="CQ100" s="44" t="s">
        <v>15</v>
      </c>
      <c r="CR100" s="43" t="s">
        <v>3206</v>
      </c>
      <c r="CS100" s="46" t="s">
        <v>819</v>
      </c>
      <c r="CT100" s="46" t="s">
        <v>244</v>
      </c>
      <c r="CU100" s="46" t="s">
        <v>95</v>
      </c>
      <c r="CV100" s="47" t="s">
        <v>243</v>
      </c>
      <c r="CW100" s="47" t="s">
        <v>105</v>
      </c>
      <c r="CX100" s="47" t="s">
        <v>1228</v>
      </c>
      <c r="CY100" s="46" t="s">
        <v>3</v>
      </c>
      <c r="CZ100" s="46" t="s">
        <v>105</v>
      </c>
      <c r="DA100" s="47" t="s">
        <v>2164</v>
      </c>
      <c r="DB100" s="46" t="s">
        <v>3</v>
      </c>
      <c r="DC100" s="46" t="s">
        <v>95</v>
      </c>
      <c r="DD100" s="46" t="s">
        <v>95</v>
      </c>
      <c r="DE100" s="46" t="s">
        <v>95</v>
      </c>
      <c r="DF100" s="46" t="s">
        <v>3</v>
      </c>
      <c r="DG100" s="146" t="s">
        <v>3373</v>
      </c>
      <c r="DH100" s="46" t="s">
        <v>186</v>
      </c>
      <c r="DI100" s="46" t="s">
        <v>345</v>
      </c>
      <c r="DJ100" s="46" t="s">
        <v>345</v>
      </c>
      <c r="DK100" s="46" t="s">
        <v>95</v>
      </c>
      <c r="DL100" s="46" t="s">
        <v>3</v>
      </c>
      <c r="DM100" s="47" t="s">
        <v>12</v>
      </c>
      <c r="DN100" s="57" t="s">
        <v>3</v>
      </c>
      <c r="DO100" s="57" t="s">
        <v>3</v>
      </c>
      <c r="DP100" s="47" t="s">
        <v>12</v>
      </c>
      <c r="DQ100" s="46" t="s">
        <v>3</v>
      </c>
      <c r="DR100" s="46" t="s">
        <v>3</v>
      </c>
      <c r="DS100" s="46" t="s">
        <v>0</v>
      </c>
      <c r="DT100" s="46" t="s">
        <v>3</v>
      </c>
      <c r="DU100" s="47" t="s">
        <v>0</v>
      </c>
      <c r="DV100" s="47" t="s">
        <v>1541</v>
      </c>
      <c r="DW100" s="46" t="s">
        <v>0</v>
      </c>
      <c r="DX100" s="46" t="s">
        <v>174</v>
      </c>
      <c r="DY100" s="47" t="s">
        <v>1504</v>
      </c>
      <c r="DZ100" s="46"/>
    </row>
    <row r="101" spans="1:130" s="18" customFormat="1" ht="12" customHeight="1" x14ac:dyDescent="0.15">
      <c r="A101" s="76" t="s">
        <v>402</v>
      </c>
      <c r="B101" s="69"/>
      <c r="C101" s="69" t="s">
        <v>2773</v>
      </c>
      <c r="D101" s="69" t="s">
        <v>2773</v>
      </c>
      <c r="E101" s="69" t="s">
        <v>3258</v>
      </c>
      <c r="F101" s="69"/>
      <c r="G101" s="69" t="s">
        <v>1592</v>
      </c>
      <c r="H101" s="69" t="s">
        <v>1622</v>
      </c>
      <c r="I101" s="106" t="s">
        <v>1435</v>
      </c>
      <c r="J101" s="69" t="s">
        <v>1456</v>
      </c>
      <c r="K101" s="69" t="s">
        <v>1435</v>
      </c>
      <c r="L101" s="69" t="s">
        <v>1622</v>
      </c>
      <c r="M101" s="106" t="s">
        <v>1435</v>
      </c>
      <c r="N101" s="69" t="s">
        <v>3</v>
      </c>
      <c r="O101" s="69"/>
      <c r="P101" s="69"/>
      <c r="Q101" s="69"/>
      <c r="R101" s="69" t="s">
        <v>3239</v>
      </c>
      <c r="S101" s="128"/>
      <c r="T101" s="128"/>
      <c r="U101" s="107" t="s">
        <v>2557</v>
      </c>
      <c r="V101" s="69"/>
      <c r="W101" s="106" t="s">
        <v>1323</v>
      </c>
      <c r="X101" s="69" t="s">
        <v>1323</v>
      </c>
      <c r="Y101" s="69" t="s">
        <v>2294</v>
      </c>
      <c r="Z101" s="69" t="s">
        <v>2612</v>
      </c>
      <c r="AA101" s="69" t="s">
        <v>3</v>
      </c>
      <c r="AB101" s="69" t="s">
        <v>671</v>
      </c>
      <c r="AC101" s="69" t="s">
        <v>671</v>
      </c>
      <c r="AD101" s="69" t="s">
        <v>672</v>
      </c>
      <c r="AE101" s="69" t="s">
        <v>671</v>
      </c>
      <c r="AF101" s="69" t="s">
        <v>671</v>
      </c>
      <c r="AG101" s="69" t="s">
        <v>2399</v>
      </c>
      <c r="AH101" s="69" t="s">
        <v>2878</v>
      </c>
      <c r="AI101" s="69"/>
      <c r="AJ101" s="69"/>
      <c r="AK101" s="69" t="s">
        <v>3033</v>
      </c>
      <c r="AL101" s="69" t="s">
        <v>2997</v>
      </c>
      <c r="AM101" s="69" t="s">
        <v>3071</v>
      </c>
      <c r="AN101" s="69" t="s">
        <v>501</v>
      </c>
      <c r="AO101" s="131"/>
      <c r="AP101" s="69" t="s">
        <v>501</v>
      </c>
      <c r="AQ101" s="69" t="s">
        <v>3415</v>
      </c>
      <c r="AR101" s="69"/>
      <c r="AS101" s="69"/>
      <c r="AT101" s="69"/>
      <c r="AU101" s="69"/>
      <c r="AV101" s="69" t="s">
        <v>3</v>
      </c>
      <c r="AW101" s="69" t="s">
        <v>529</v>
      </c>
      <c r="AX101" s="69" t="s">
        <v>3</v>
      </c>
      <c r="AY101" s="69" t="s">
        <v>529</v>
      </c>
      <c r="AZ101" s="69" t="s">
        <v>2276</v>
      </c>
      <c r="BA101" s="69" t="s">
        <v>2237</v>
      </c>
      <c r="BB101" s="69" t="s">
        <v>2217</v>
      </c>
      <c r="BC101" s="69" t="s">
        <v>2276</v>
      </c>
      <c r="BD101" s="69" t="s">
        <v>2237</v>
      </c>
      <c r="BE101" s="69" t="s">
        <v>2217</v>
      </c>
      <c r="BF101" s="69" t="s">
        <v>1129</v>
      </c>
      <c r="BG101" s="69" t="s">
        <v>1115</v>
      </c>
      <c r="BH101" s="69"/>
      <c r="BI101" s="69"/>
      <c r="BJ101" s="69" t="s">
        <v>1862</v>
      </c>
      <c r="BK101" s="69" t="s">
        <v>2432</v>
      </c>
      <c r="BL101" s="69" t="s">
        <v>1491</v>
      </c>
      <c r="BM101" s="69"/>
      <c r="BN101" s="69"/>
      <c r="BO101" s="69"/>
      <c r="BP101" s="69" t="s">
        <v>612</v>
      </c>
      <c r="BQ101" s="69" t="s">
        <v>3</v>
      </c>
      <c r="BR101" s="69"/>
      <c r="BS101" s="69"/>
      <c r="BT101" s="69"/>
      <c r="BU101" s="69"/>
      <c r="BV101" s="69"/>
      <c r="BW101" s="69" t="s">
        <v>2057</v>
      </c>
      <c r="BX101" s="69" t="s">
        <v>2018</v>
      </c>
      <c r="BY101" s="69"/>
      <c r="BZ101" s="69" t="s">
        <v>1691</v>
      </c>
      <c r="CA101" s="69" t="s">
        <v>2738</v>
      </c>
      <c r="CB101" s="69" t="s">
        <v>1691</v>
      </c>
      <c r="CC101" s="69"/>
      <c r="CD101" s="69"/>
      <c r="CE101" s="69" t="s">
        <v>1745</v>
      </c>
      <c r="CF101" s="69" t="s">
        <v>1793</v>
      </c>
      <c r="CG101" s="69" t="s">
        <v>1841</v>
      </c>
      <c r="CH101" s="69" t="s">
        <v>1821</v>
      </c>
      <c r="CI101" s="69" t="s">
        <v>3</v>
      </c>
      <c r="CJ101" s="69" t="s">
        <v>3593</v>
      </c>
      <c r="CK101" s="69" t="s">
        <v>3613</v>
      </c>
      <c r="CL101" s="69" t="s">
        <v>3573</v>
      </c>
      <c r="CM101" s="69" t="s">
        <v>778</v>
      </c>
      <c r="CN101" s="69" t="s">
        <v>753</v>
      </c>
      <c r="CO101" s="69" t="s">
        <v>976</v>
      </c>
      <c r="CP101" s="69" t="s">
        <v>2993</v>
      </c>
      <c r="CQ101" s="69" t="s">
        <v>3191</v>
      </c>
      <c r="CR101" s="69" t="s">
        <v>3001</v>
      </c>
      <c r="CS101" s="69" t="s">
        <v>2507</v>
      </c>
      <c r="CT101" s="69" t="s">
        <v>845</v>
      </c>
      <c r="CU101" s="69" t="s">
        <v>836</v>
      </c>
      <c r="CV101" s="69"/>
      <c r="CW101" s="69"/>
      <c r="CX101" s="69" t="s">
        <v>1227</v>
      </c>
      <c r="CY101" s="69"/>
      <c r="CZ101" s="69"/>
      <c r="DA101" s="69" t="s">
        <v>2165</v>
      </c>
      <c r="DB101" s="69" t="s">
        <v>3</v>
      </c>
      <c r="DC101" s="69" t="s">
        <v>879</v>
      </c>
      <c r="DD101" s="69" t="s">
        <v>879</v>
      </c>
      <c r="DE101" s="69"/>
      <c r="DF101" s="69"/>
      <c r="DG101" s="152" t="s">
        <v>3348</v>
      </c>
      <c r="DH101" s="69"/>
      <c r="DI101" s="96" t="s">
        <v>1042</v>
      </c>
      <c r="DJ101" s="96" t="s">
        <v>1042</v>
      </c>
      <c r="DK101" s="69" t="s">
        <v>1990</v>
      </c>
      <c r="DL101" s="69"/>
      <c r="DM101" s="69"/>
      <c r="DN101" s="69"/>
      <c r="DO101" s="69"/>
      <c r="DP101" s="69"/>
      <c r="DQ101" s="69" t="s">
        <v>3</v>
      </c>
      <c r="DR101" s="69" t="s">
        <v>1394</v>
      </c>
      <c r="DS101" s="69" t="s">
        <v>2671</v>
      </c>
      <c r="DT101" s="69" t="s">
        <v>3</v>
      </c>
      <c r="DU101" s="69" t="s">
        <v>1181</v>
      </c>
      <c r="DV101" s="69" t="s">
        <v>1554</v>
      </c>
      <c r="DW101" s="69" t="s">
        <v>411</v>
      </c>
      <c r="DX101" s="69" t="s">
        <v>441</v>
      </c>
      <c r="DY101" s="69" t="s">
        <v>1491</v>
      </c>
      <c r="DZ101" s="69"/>
    </row>
    <row r="102" spans="1:130" s="18" customFormat="1" ht="22.5" customHeight="1" x14ac:dyDescent="0.15">
      <c r="A102" s="25" t="s">
        <v>73</v>
      </c>
      <c r="B102" s="47" t="s">
        <v>3</v>
      </c>
      <c r="C102" s="47" t="s">
        <v>3</v>
      </c>
      <c r="D102" s="47" t="s">
        <v>95</v>
      </c>
      <c r="E102" s="47" t="s">
        <v>3</v>
      </c>
      <c r="F102" s="47" t="s">
        <v>3</v>
      </c>
      <c r="G102" s="47" t="s">
        <v>3</v>
      </c>
      <c r="H102" s="47" t="s">
        <v>3</v>
      </c>
      <c r="I102" s="62" t="s">
        <v>3</v>
      </c>
      <c r="J102" s="47" t="s">
        <v>3</v>
      </c>
      <c r="K102" s="47" t="s">
        <v>3</v>
      </c>
      <c r="L102" s="47" t="s">
        <v>3331</v>
      </c>
      <c r="M102" s="47" t="s">
        <v>3331</v>
      </c>
      <c r="N102" s="46" t="s">
        <v>3</v>
      </c>
      <c r="O102" s="47" t="s">
        <v>3</v>
      </c>
      <c r="P102" s="47" t="s">
        <v>3</v>
      </c>
      <c r="Q102" s="47" t="s">
        <v>3</v>
      </c>
      <c r="R102" s="46" t="s">
        <v>3239</v>
      </c>
      <c r="S102" s="117" t="s">
        <v>3239</v>
      </c>
      <c r="T102" s="117" t="s">
        <v>3239</v>
      </c>
      <c r="U102" s="121" t="s">
        <v>3</v>
      </c>
      <c r="V102" s="47" t="s">
        <v>3</v>
      </c>
      <c r="W102" s="62" t="s">
        <v>3</v>
      </c>
      <c r="X102" s="47" t="s">
        <v>3</v>
      </c>
      <c r="Y102" s="47" t="s">
        <v>3</v>
      </c>
      <c r="Z102" s="47" t="s">
        <v>3</v>
      </c>
      <c r="AA102" s="46" t="s">
        <v>3</v>
      </c>
      <c r="AB102" s="47" t="s">
        <v>3</v>
      </c>
      <c r="AC102" s="47" t="s">
        <v>3</v>
      </c>
      <c r="AD102" s="47" t="s">
        <v>3</v>
      </c>
      <c r="AE102" s="47" t="s">
        <v>3</v>
      </c>
      <c r="AF102" s="47" t="s">
        <v>3</v>
      </c>
      <c r="AG102" s="47" t="s">
        <v>3</v>
      </c>
      <c r="AH102" s="47" t="s">
        <v>3</v>
      </c>
      <c r="AI102" s="47" t="s">
        <v>3</v>
      </c>
      <c r="AJ102" s="47" t="s">
        <v>3</v>
      </c>
      <c r="AK102" s="47" t="s">
        <v>3</v>
      </c>
      <c r="AL102" s="47" t="s">
        <v>3</v>
      </c>
      <c r="AM102" s="47" t="s">
        <v>3</v>
      </c>
      <c r="AN102" s="47" t="s">
        <v>3</v>
      </c>
      <c r="AO102" s="130" t="s">
        <v>3239</v>
      </c>
      <c r="AP102" s="47" t="s">
        <v>3</v>
      </c>
      <c r="AQ102" s="43" t="s">
        <v>3431</v>
      </c>
      <c r="AR102" s="43" t="s">
        <v>59</v>
      </c>
      <c r="AS102" s="43" t="s">
        <v>59</v>
      </c>
      <c r="AT102" s="43" t="s">
        <v>59</v>
      </c>
      <c r="AU102" s="44" t="s">
        <v>3</v>
      </c>
      <c r="AV102" s="20" t="s">
        <v>3</v>
      </c>
      <c r="AW102" s="20" t="s">
        <v>3</v>
      </c>
      <c r="AX102" s="20" t="s">
        <v>3</v>
      </c>
      <c r="AY102" s="20" t="s">
        <v>3</v>
      </c>
      <c r="AZ102" s="20" t="s">
        <v>3</v>
      </c>
      <c r="BA102" s="20" t="s">
        <v>3</v>
      </c>
      <c r="BB102" s="20" t="s">
        <v>3</v>
      </c>
      <c r="BC102" s="20" t="s">
        <v>3</v>
      </c>
      <c r="BD102" s="20" t="s">
        <v>3</v>
      </c>
      <c r="BE102" s="20" t="s">
        <v>3</v>
      </c>
      <c r="BF102" s="47" t="s">
        <v>3</v>
      </c>
      <c r="BG102" s="47" t="s">
        <v>3</v>
      </c>
      <c r="BH102" s="47" t="s">
        <v>3</v>
      </c>
      <c r="BI102" s="47" t="s">
        <v>3</v>
      </c>
      <c r="BJ102" s="47" t="s">
        <v>3</v>
      </c>
      <c r="BK102" s="47" t="s">
        <v>3</v>
      </c>
      <c r="BL102" s="47" t="s">
        <v>3</v>
      </c>
      <c r="BM102" s="47" t="s">
        <v>3</v>
      </c>
      <c r="BN102" s="47" t="s">
        <v>3</v>
      </c>
      <c r="BO102" s="47" t="s">
        <v>3</v>
      </c>
      <c r="BP102" s="47" t="s">
        <v>3</v>
      </c>
      <c r="BQ102" s="47" t="s">
        <v>3</v>
      </c>
      <c r="BR102" s="47" t="s">
        <v>810</v>
      </c>
      <c r="BS102" s="47" t="s">
        <v>3</v>
      </c>
      <c r="BT102" s="47" t="s">
        <v>3</v>
      </c>
      <c r="BU102" s="47" t="s">
        <v>3</v>
      </c>
      <c r="BV102" s="47" t="s">
        <v>3</v>
      </c>
      <c r="BW102" s="47" t="s">
        <v>3</v>
      </c>
      <c r="BX102" s="47" t="s">
        <v>3</v>
      </c>
      <c r="BY102" s="47" t="s">
        <v>3</v>
      </c>
      <c r="BZ102" s="47" t="s">
        <v>3</v>
      </c>
      <c r="CA102" s="47" t="s">
        <v>3</v>
      </c>
      <c r="CB102" s="47" t="s">
        <v>3</v>
      </c>
      <c r="CC102" s="47" t="s">
        <v>3</v>
      </c>
      <c r="CD102" s="47" t="s">
        <v>59</v>
      </c>
      <c r="CE102" s="46" t="s">
        <v>95</v>
      </c>
      <c r="CF102" s="46" t="s">
        <v>95</v>
      </c>
      <c r="CG102" s="46" t="s">
        <v>95</v>
      </c>
      <c r="CH102" s="47" t="s">
        <v>59</v>
      </c>
      <c r="CI102" s="47" t="s">
        <v>3</v>
      </c>
      <c r="CJ102" s="47"/>
      <c r="CK102" s="47" t="s">
        <v>3</v>
      </c>
      <c r="CL102" s="47" t="s">
        <v>59</v>
      </c>
      <c r="CM102" s="47" t="s">
        <v>3</v>
      </c>
      <c r="CN102" s="47" t="s">
        <v>3</v>
      </c>
      <c r="CO102" s="46" t="s">
        <v>3</v>
      </c>
      <c r="CP102" s="47" t="s">
        <v>3</v>
      </c>
      <c r="CQ102" s="47" t="s">
        <v>3</v>
      </c>
      <c r="CR102" s="47" t="s">
        <v>3</v>
      </c>
      <c r="CS102" s="46" t="s">
        <v>3</v>
      </c>
      <c r="CT102" s="46" t="s">
        <v>3</v>
      </c>
      <c r="CU102" s="46" t="s">
        <v>3</v>
      </c>
      <c r="CV102" s="46" t="s">
        <v>3</v>
      </c>
      <c r="CW102" s="47" t="s">
        <v>3</v>
      </c>
      <c r="CX102" s="47" t="s">
        <v>3</v>
      </c>
      <c r="CY102" s="46" t="s">
        <v>3</v>
      </c>
      <c r="CZ102" s="46" t="s">
        <v>3</v>
      </c>
      <c r="DA102" s="46" t="s">
        <v>3</v>
      </c>
      <c r="DB102" s="46" t="s">
        <v>3</v>
      </c>
      <c r="DC102" s="46" t="s">
        <v>3</v>
      </c>
      <c r="DD102" s="46" t="s">
        <v>3</v>
      </c>
      <c r="DE102" s="46" t="s">
        <v>3</v>
      </c>
      <c r="DF102" s="46" t="s">
        <v>3</v>
      </c>
      <c r="DG102" s="147" t="s">
        <v>95</v>
      </c>
      <c r="DH102" s="46" t="s">
        <v>3</v>
      </c>
      <c r="DI102" s="46" t="s">
        <v>3</v>
      </c>
      <c r="DJ102" s="46" t="s">
        <v>3</v>
      </c>
      <c r="DK102" s="47" t="s">
        <v>3</v>
      </c>
      <c r="DL102" s="47" t="s">
        <v>3</v>
      </c>
      <c r="DM102" s="60" t="s">
        <v>3</v>
      </c>
      <c r="DN102" s="60" t="s">
        <v>3</v>
      </c>
      <c r="DO102" s="60" t="s">
        <v>3</v>
      </c>
      <c r="DP102" s="60" t="s">
        <v>3</v>
      </c>
      <c r="DQ102" s="46" t="s">
        <v>3</v>
      </c>
      <c r="DR102" s="46" t="s">
        <v>3</v>
      </c>
      <c r="DS102" s="46" t="s">
        <v>3</v>
      </c>
      <c r="DT102" s="46" t="s">
        <v>3</v>
      </c>
      <c r="DU102" s="47" t="s">
        <v>3</v>
      </c>
      <c r="DV102" s="46" t="s">
        <v>3</v>
      </c>
      <c r="DW102" s="47" t="s">
        <v>3</v>
      </c>
      <c r="DX102" s="47" t="s">
        <v>3</v>
      </c>
      <c r="DY102" s="47" t="s">
        <v>3</v>
      </c>
      <c r="DZ102" s="43"/>
    </row>
    <row r="103" spans="1:130" s="18" customFormat="1" ht="12" customHeight="1" x14ac:dyDescent="0.15">
      <c r="A103" s="76" t="s">
        <v>402</v>
      </c>
      <c r="B103" s="69"/>
      <c r="C103" s="69" t="s">
        <v>3</v>
      </c>
      <c r="D103" s="69" t="s">
        <v>3393</v>
      </c>
      <c r="E103" s="69" t="s">
        <v>3</v>
      </c>
      <c r="F103" s="69"/>
      <c r="G103" s="69" t="s">
        <v>3</v>
      </c>
      <c r="H103" s="69" t="s">
        <v>3</v>
      </c>
      <c r="I103" s="106" t="s">
        <v>3</v>
      </c>
      <c r="J103" s="69" t="s">
        <v>3</v>
      </c>
      <c r="K103" s="69" t="s">
        <v>3</v>
      </c>
      <c r="L103" s="69" t="s">
        <v>3332</v>
      </c>
      <c r="M103" s="69" t="s">
        <v>3332</v>
      </c>
      <c r="N103" s="69" t="s">
        <v>3</v>
      </c>
      <c r="O103" s="69"/>
      <c r="P103" s="69"/>
      <c r="Q103" s="69"/>
      <c r="R103" s="69" t="s">
        <v>3239</v>
      </c>
      <c r="S103" s="128"/>
      <c r="T103" s="128"/>
      <c r="U103" s="107" t="s">
        <v>3</v>
      </c>
      <c r="V103" s="69"/>
      <c r="W103" s="106" t="s">
        <v>3</v>
      </c>
      <c r="X103" s="69" t="s">
        <v>3</v>
      </c>
      <c r="Y103" s="69" t="s">
        <v>3</v>
      </c>
      <c r="Z103" s="69" t="s">
        <v>3</v>
      </c>
      <c r="AA103" s="69" t="s">
        <v>3</v>
      </c>
      <c r="AB103" s="69" t="s">
        <v>3</v>
      </c>
      <c r="AC103" s="69" t="s">
        <v>3</v>
      </c>
      <c r="AD103" s="69" t="s">
        <v>3</v>
      </c>
      <c r="AE103" s="69" t="s">
        <v>3</v>
      </c>
      <c r="AF103" s="69" t="s">
        <v>3</v>
      </c>
      <c r="AG103" s="69" t="s">
        <v>3</v>
      </c>
      <c r="AH103" s="69" t="s">
        <v>3</v>
      </c>
      <c r="AI103" s="69" t="s">
        <v>3</v>
      </c>
      <c r="AJ103" s="69" t="s">
        <v>3</v>
      </c>
      <c r="AK103" s="69" t="s">
        <v>3</v>
      </c>
      <c r="AL103" s="69" t="s">
        <v>3</v>
      </c>
      <c r="AM103" s="69" t="s">
        <v>3</v>
      </c>
      <c r="AN103" s="69" t="s">
        <v>3</v>
      </c>
      <c r="AO103" s="131"/>
      <c r="AP103" s="69" t="s">
        <v>3</v>
      </c>
      <c r="AQ103" s="69" t="s">
        <v>3432</v>
      </c>
      <c r="AR103" s="69"/>
      <c r="AS103" s="69"/>
      <c r="AT103" s="69"/>
      <c r="AU103" s="69"/>
      <c r="AV103" s="69" t="s">
        <v>3</v>
      </c>
      <c r="AW103" s="69" t="s">
        <v>3</v>
      </c>
      <c r="AX103" s="69" t="s">
        <v>3</v>
      </c>
      <c r="AY103" s="69" t="s">
        <v>3</v>
      </c>
      <c r="AZ103" s="69" t="s">
        <v>3</v>
      </c>
      <c r="BA103" s="69" t="s">
        <v>3</v>
      </c>
      <c r="BB103" s="69" t="s">
        <v>3</v>
      </c>
      <c r="BC103" s="69" t="s">
        <v>3</v>
      </c>
      <c r="BD103" s="69" t="s">
        <v>3</v>
      </c>
      <c r="BE103" s="69" t="s">
        <v>3</v>
      </c>
      <c r="BF103" s="69" t="s">
        <v>3</v>
      </c>
      <c r="BG103" s="69" t="s">
        <v>3</v>
      </c>
      <c r="BH103" s="69"/>
      <c r="BI103" s="69"/>
      <c r="BJ103" s="69" t="s">
        <v>3</v>
      </c>
      <c r="BK103" s="69" t="s">
        <v>3</v>
      </c>
      <c r="BL103" s="69" t="s">
        <v>3</v>
      </c>
      <c r="BM103" s="69"/>
      <c r="BN103" s="69"/>
      <c r="BO103" s="69"/>
      <c r="BP103" s="69" t="s">
        <v>3</v>
      </c>
      <c r="BQ103" s="69" t="s">
        <v>3</v>
      </c>
      <c r="BR103" s="69"/>
      <c r="BS103" s="69"/>
      <c r="BT103" s="69"/>
      <c r="BU103" s="69"/>
      <c r="BV103" s="69"/>
      <c r="BW103" s="69" t="s">
        <v>3</v>
      </c>
      <c r="BX103" s="69" t="s">
        <v>3</v>
      </c>
      <c r="BY103" s="69"/>
      <c r="BZ103" s="69" t="s">
        <v>3</v>
      </c>
      <c r="CA103" s="69" t="s">
        <v>3</v>
      </c>
      <c r="CB103" s="69" t="s">
        <v>3</v>
      </c>
      <c r="CC103" s="69"/>
      <c r="CD103" s="69"/>
      <c r="CE103" s="69" t="s">
        <v>1746</v>
      </c>
      <c r="CF103" s="69" t="s">
        <v>1794</v>
      </c>
      <c r="CG103" s="69" t="s">
        <v>1842</v>
      </c>
      <c r="CH103" s="69" t="s">
        <v>1794</v>
      </c>
      <c r="CI103" s="69" t="s">
        <v>3</v>
      </c>
      <c r="CJ103" s="69" t="s">
        <v>3</v>
      </c>
      <c r="CK103" s="69" t="s">
        <v>3</v>
      </c>
      <c r="CL103" s="69" t="s">
        <v>3574</v>
      </c>
      <c r="CM103" s="69" t="s">
        <v>3</v>
      </c>
      <c r="CN103" s="69" t="s">
        <v>3</v>
      </c>
      <c r="CO103" s="69" t="s">
        <v>3</v>
      </c>
      <c r="CP103" s="69" t="s">
        <v>3</v>
      </c>
      <c r="CQ103" s="69" t="s">
        <v>3</v>
      </c>
      <c r="CR103" s="69" t="s">
        <v>3</v>
      </c>
      <c r="CS103" s="69" t="s">
        <v>3</v>
      </c>
      <c r="CT103" s="69" t="s">
        <v>3</v>
      </c>
      <c r="CU103" s="69" t="s">
        <v>3</v>
      </c>
      <c r="CV103" s="69"/>
      <c r="CW103" s="69"/>
      <c r="CX103" s="69" t="s">
        <v>3</v>
      </c>
      <c r="CY103" s="69"/>
      <c r="CZ103" s="69"/>
      <c r="DA103" s="69" t="s">
        <v>3</v>
      </c>
      <c r="DB103" s="69" t="s">
        <v>3</v>
      </c>
      <c r="DC103" s="69" t="s">
        <v>3</v>
      </c>
      <c r="DD103" s="69" t="s">
        <v>3</v>
      </c>
      <c r="DE103" s="69"/>
      <c r="DF103" s="69"/>
      <c r="DG103" s="152" t="s">
        <v>3374</v>
      </c>
      <c r="DH103" s="69"/>
      <c r="DI103" s="69" t="s">
        <v>3</v>
      </c>
      <c r="DJ103" s="69" t="s">
        <v>3</v>
      </c>
      <c r="DK103" s="69" t="s">
        <v>3</v>
      </c>
      <c r="DL103" s="69"/>
      <c r="DM103" s="69"/>
      <c r="DN103" s="69"/>
      <c r="DO103" s="69"/>
      <c r="DP103" s="69"/>
      <c r="DQ103" s="69" t="s">
        <v>3</v>
      </c>
      <c r="DR103" s="69" t="s">
        <v>3</v>
      </c>
      <c r="DS103" s="69" t="s">
        <v>3</v>
      </c>
      <c r="DT103" s="69" t="s">
        <v>3</v>
      </c>
      <c r="DU103" s="69"/>
      <c r="DV103" s="69" t="s">
        <v>3</v>
      </c>
      <c r="DW103" s="69" t="s">
        <v>3</v>
      </c>
      <c r="DX103" s="69" t="s">
        <v>3</v>
      </c>
      <c r="DY103" s="69" t="s">
        <v>3</v>
      </c>
      <c r="DZ103" s="69"/>
    </row>
    <row r="104" spans="1:130" s="18" customFormat="1" ht="22.5" customHeight="1" x14ac:dyDescent="0.15">
      <c r="A104" s="25" t="s">
        <v>58</v>
      </c>
      <c r="B104" s="46" t="s">
        <v>3</v>
      </c>
      <c r="C104" s="47" t="s">
        <v>2756</v>
      </c>
      <c r="D104" s="47" t="s">
        <v>2756</v>
      </c>
      <c r="E104" s="47" t="s">
        <v>3266</v>
      </c>
      <c r="F104" s="47" t="s">
        <v>322</v>
      </c>
      <c r="G104" s="47" t="s">
        <v>322</v>
      </c>
      <c r="H104" s="47" t="s">
        <v>1413</v>
      </c>
      <c r="I104" s="62" t="s">
        <v>1414</v>
      </c>
      <c r="J104" s="47" t="s">
        <v>1413</v>
      </c>
      <c r="K104" s="47" t="s">
        <v>1414</v>
      </c>
      <c r="L104" s="47" t="s">
        <v>1413</v>
      </c>
      <c r="M104" s="62" t="s">
        <v>1414</v>
      </c>
      <c r="N104" s="47" t="s">
        <v>3</v>
      </c>
      <c r="O104" s="46" t="s">
        <v>94</v>
      </c>
      <c r="P104" s="47" t="s">
        <v>3</v>
      </c>
      <c r="Q104" s="47" t="s">
        <v>3</v>
      </c>
      <c r="R104" s="47" t="s">
        <v>95</v>
      </c>
      <c r="S104" s="117" t="s">
        <v>3295</v>
      </c>
      <c r="T104" s="117" t="s">
        <v>3295</v>
      </c>
      <c r="U104" s="121" t="s">
        <v>2529</v>
      </c>
      <c r="V104" s="47" t="s">
        <v>59</v>
      </c>
      <c r="W104" s="62" t="s">
        <v>59</v>
      </c>
      <c r="X104" s="47" t="s">
        <v>1644</v>
      </c>
      <c r="Y104" s="47" t="s">
        <v>2323</v>
      </c>
      <c r="Z104" s="47" t="s">
        <v>2610</v>
      </c>
      <c r="AA104" s="46" t="s">
        <v>3</v>
      </c>
      <c r="AB104" s="46" t="s">
        <v>3</v>
      </c>
      <c r="AC104" s="46" t="s">
        <v>3</v>
      </c>
      <c r="AD104" s="46" t="s">
        <v>3</v>
      </c>
      <c r="AE104" s="46" t="s">
        <v>3</v>
      </c>
      <c r="AF104" s="46" t="s">
        <v>3</v>
      </c>
      <c r="AG104" s="20" t="s">
        <v>1414</v>
      </c>
      <c r="AH104" s="47" t="s">
        <v>2879</v>
      </c>
      <c r="AI104" s="47" t="s">
        <v>3</v>
      </c>
      <c r="AJ104" s="47" t="s">
        <v>3</v>
      </c>
      <c r="AK104" s="47" t="s">
        <v>3040</v>
      </c>
      <c r="AL104" s="47" t="s">
        <v>3004</v>
      </c>
      <c r="AM104" s="47" t="s">
        <v>3</v>
      </c>
      <c r="AN104" s="20" t="s">
        <v>327</v>
      </c>
      <c r="AO104" s="130" t="s">
        <v>95</v>
      </c>
      <c r="AP104" s="20" t="s">
        <v>327</v>
      </c>
      <c r="AQ104" s="20" t="s">
        <v>3418</v>
      </c>
      <c r="AR104" s="20" t="s">
        <v>3503</v>
      </c>
      <c r="AS104" s="20" t="s">
        <v>3503</v>
      </c>
      <c r="AT104" s="20" t="s">
        <v>3503</v>
      </c>
      <c r="AU104" s="20" t="s">
        <v>195</v>
      </c>
      <c r="AV104" s="20" t="s">
        <v>3</v>
      </c>
      <c r="AW104" s="20" t="s">
        <v>195</v>
      </c>
      <c r="AX104" s="20" t="s">
        <v>3</v>
      </c>
      <c r="AY104" s="20" t="s">
        <v>195</v>
      </c>
      <c r="AZ104" s="47" t="s">
        <v>3</v>
      </c>
      <c r="BA104" s="20" t="s">
        <v>2212</v>
      </c>
      <c r="BB104" s="20" t="s">
        <v>2212</v>
      </c>
      <c r="BC104" s="47" t="s">
        <v>3</v>
      </c>
      <c r="BD104" s="20" t="s">
        <v>2212</v>
      </c>
      <c r="BE104" s="20" t="s">
        <v>2212</v>
      </c>
      <c r="BF104" s="47" t="s">
        <v>3</v>
      </c>
      <c r="BG104" s="47" t="s">
        <v>594</v>
      </c>
      <c r="BH104" s="47" t="s">
        <v>59</v>
      </c>
      <c r="BI104" s="47" t="s">
        <v>3</v>
      </c>
      <c r="BJ104" s="47" t="s">
        <v>1920</v>
      </c>
      <c r="BK104" s="47" t="s">
        <v>3</v>
      </c>
      <c r="BL104" s="47" t="s">
        <v>2352</v>
      </c>
      <c r="BM104" s="47" t="s">
        <v>145</v>
      </c>
      <c r="BN104" s="47" t="s">
        <v>59</v>
      </c>
      <c r="BO104" s="46" t="s">
        <v>3</v>
      </c>
      <c r="BP104" s="47" t="s">
        <v>594</v>
      </c>
      <c r="BQ104" s="47" t="s">
        <v>618</v>
      </c>
      <c r="BR104" s="47" t="s">
        <v>810</v>
      </c>
      <c r="BS104" s="46" t="s">
        <v>3</v>
      </c>
      <c r="BT104" s="46" t="s">
        <v>3</v>
      </c>
      <c r="BU104" s="46" t="s">
        <v>3</v>
      </c>
      <c r="BV104" s="46" t="s">
        <v>3</v>
      </c>
      <c r="BW104" s="47" t="s">
        <v>2084</v>
      </c>
      <c r="BX104" s="47" t="s">
        <v>1414</v>
      </c>
      <c r="BY104" s="46" t="s">
        <v>204</v>
      </c>
      <c r="BZ104" s="46" t="s">
        <v>204</v>
      </c>
      <c r="CA104" s="47" t="s">
        <v>2737</v>
      </c>
      <c r="CB104" s="47" t="s">
        <v>146</v>
      </c>
      <c r="CC104" s="47" t="s">
        <v>3</v>
      </c>
      <c r="CD104" s="47" t="s">
        <v>59</v>
      </c>
      <c r="CE104" s="47" t="s">
        <v>59</v>
      </c>
      <c r="CF104" s="47" t="s">
        <v>3</v>
      </c>
      <c r="CG104" s="47" t="s">
        <v>3</v>
      </c>
      <c r="CH104" s="47" t="s">
        <v>59</v>
      </c>
      <c r="CI104" s="47" t="s">
        <v>59</v>
      </c>
      <c r="CJ104" s="47" t="s">
        <v>145</v>
      </c>
      <c r="CK104" s="47" t="s">
        <v>145</v>
      </c>
      <c r="CL104" s="47" t="s">
        <v>59</v>
      </c>
      <c r="CM104" s="47" t="s">
        <v>3</v>
      </c>
      <c r="CN104" s="47" t="s">
        <v>758</v>
      </c>
      <c r="CO104" s="47" t="s">
        <v>146</v>
      </c>
      <c r="CP104" s="47" t="s">
        <v>3</v>
      </c>
      <c r="CQ104" s="47" t="s">
        <v>3193</v>
      </c>
      <c r="CR104" s="47" t="s">
        <v>3193</v>
      </c>
      <c r="CS104" s="46" t="s">
        <v>3</v>
      </c>
      <c r="CT104" s="47" t="s">
        <v>847</v>
      </c>
      <c r="CU104" s="47" t="s">
        <v>841</v>
      </c>
      <c r="CV104" s="46" t="s">
        <v>3</v>
      </c>
      <c r="CW104" s="47" t="s">
        <v>240</v>
      </c>
      <c r="CX104" s="47" t="s">
        <v>594</v>
      </c>
      <c r="CY104" s="46" t="s">
        <v>3</v>
      </c>
      <c r="CZ104" s="46" t="s">
        <v>128</v>
      </c>
      <c r="DA104" s="47" t="s">
        <v>2121</v>
      </c>
      <c r="DB104" s="46" t="s">
        <v>3</v>
      </c>
      <c r="DC104" s="47" t="s">
        <v>333</v>
      </c>
      <c r="DD104" s="47" t="s">
        <v>333</v>
      </c>
      <c r="DE104" s="47" t="s">
        <v>289</v>
      </c>
      <c r="DF104" s="46" t="s">
        <v>3</v>
      </c>
      <c r="DG104" s="147" t="s">
        <v>95</v>
      </c>
      <c r="DH104" s="47" t="s">
        <v>350</v>
      </c>
      <c r="DI104" s="47" t="s">
        <v>1008</v>
      </c>
      <c r="DJ104" s="47" t="s">
        <v>1008</v>
      </c>
      <c r="DK104" s="47" t="s">
        <v>1936</v>
      </c>
      <c r="DL104" s="47" t="s">
        <v>1414</v>
      </c>
      <c r="DM104" s="47" t="s">
        <v>60</v>
      </c>
      <c r="DN104" s="46" t="s">
        <v>94</v>
      </c>
      <c r="DO104" s="46" t="s">
        <v>3</v>
      </c>
      <c r="DP104" s="47" t="s">
        <v>333</v>
      </c>
      <c r="DQ104" s="46" t="s">
        <v>3</v>
      </c>
      <c r="DR104" s="47" t="s">
        <v>3</v>
      </c>
      <c r="DS104" s="46" t="s">
        <v>3</v>
      </c>
      <c r="DT104" s="46" t="s">
        <v>3</v>
      </c>
      <c r="DU104" s="47" t="s">
        <v>3</v>
      </c>
      <c r="DV104" s="47" t="s">
        <v>1541</v>
      </c>
      <c r="DW104" s="47" t="s">
        <v>3</v>
      </c>
      <c r="DX104" s="47" t="s">
        <v>447</v>
      </c>
      <c r="DY104" s="47" t="s">
        <v>1503</v>
      </c>
      <c r="DZ104" s="20"/>
    </row>
    <row r="105" spans="1:130" s="18" customFormat="1" ht="12" customHeight="1" x14ac:dyDescent="0.15">
      <c r="A105" s="76" t="s">
        <v>402</v>
      </c>
      <c r="B105" s="69"/>
      <c r="C105" s="69" t="s">
        <v>2814</v>
      </c>
      <c r="D105" s="69" t="s">
        <v>2814</v>
      </c>
      <c r="E105" s="69" t="s">
        <v>3258</v>
      </c>
      <c r="F105" s="69"/>
      <c r="G105" s="69" t="s">
        <v>1592</v>
      </c>
      <c r="H105" s="69" t="s">
        <v>1626</v>
      </c>
      <c r="I105" s="106" t="s">
        <v>1627</v>
      </c>
      <c r="J105" s="69" t="s">
        <v>1459</v>
      </c>
      <c r="K105" s="69" t="s">
        <v>1443</v>
      </c>
      <c r="L105" s="69" t="s">
        <v>3333</v>
      </c>
      <c r="M105" s="106" t="s">
        <v>1443</v>
      </c>
      <c r="N105" s="69" t="s">
        <v>1364</v>
      </c>
      <c r="O105" s="69"/>
      <c r="P105" s="69"/>
      <c r="Q105" s="69"/>
      <c r="R105" s="69" t="s">
        <v>3250</v>
      </c>
      <c r="S105" s="128"/>
      <c r="T105" s="128"/>
      <c r="U105" s="107" t="s">
        <v>2557</v>
      </c>
      <c r="V105" s="69"/>
      <c r="W105" s="106" t="s">
        <v>757</v>
      </c>
      <c r="X105" s="69" t="s">
        <v>1643</v>
      </c>
      <c r="Y105" s="69" t="s">
        <v>2292</v>
      </c>
      <c r="Z105" s="69" t="s">
        <v>2644</v>
      </c>
      <c r="AA105" s="69" t="s">
        <v>2203</v>
      </c>
      <c r="AB105" s="69" t="s">
        <v>730</v>
      </c>
      <c r="AC105" s="69" t="s">
        <v>730</v>
      </c>
      <c r="AD105" s="69" t="s">
        <v>730</v>
      </c>
      <c r="AE105" s="69" t="s">
        <v>730</v>
      </c>
      <c r="AF105" s="69" t="s">
        <v>730</v>
      </c>
      <c r="AG105" s="69" t="s">
        <v>2383</v>
      </c>
      <c r="AH105" s="69" t="s">
        <v>2881</v>
      </c>
      <c r="AI105" s="69" t="s">
        <v>2880</v>
      </c>
      <c r="AJ105" s="69" t="s">
        <v>2880</v>
      </c>
      <c r="AK105" s="69" t="s">
        <v>3039</v>
      </c>
      <c r="AL105" s="69" t="s">
        <v>3003</v>
      </c>
      <c r="AM105" s="69" t="s">
        <v>3092</v>
      </c>
      <c r="AN105" s="69" t="s">
        <v>502</v>
      </c>
      <c r="AO105" s="131"/>
      <c r="AP105" s="69" t="s">
        <v>502</v>
      </c>
      <c r="AQ105" s="69" t="s">
        <v>3419</v>
      </c>
      <c r="AR105" s="69"/>
      <c r="AS105" s="69"/>
      <c r="AT105" s="69"/>
      <c r="AU105" s="69"/>
      <c r="AV105" s="69" t="s">
        <v>548</v>
      </c>
      <c r="AW105" s="69" t="s">
        <v>533</v>
      </c>
      <c r="AX105" s="69" t="s">
        <v>548</v>
      </c>
      <c r="AY105" s="69" t="s">
        <v>533</v>
      </c>
      <c r="AZ105" s="69" t="s">
        <v>3142</v>
      </c>
      <c r="BA105" s="69" t="s">
        <v>3115</v>
      </c>
      <c r="BB105" s="69" t="s">
        <v>3115</v>
      </c>
      <c r="BC105" s="69" t="s">
        <v>3</v>
      </c>
      <c r="BD105" s="69" t="s">
        <v>2236</v>
      </c>
      <c r="BE105" s="69" t="s">
        <v>2236</v>
      </c>
      <c r="BF105" s="69" t="s">
        <v>1138</v>
      </c>
      <c r="BG105" s="69" t="s">
        <v>1098</v>
      </c>
      <c r="BH105" s="69"/>
      <c r="BI105" s="69"/>
      <c r="BJ105" s="69" t="s">
        <v>1919</v>
      </c>
      <c r="BK105" s="69" t="s">
        <v>2485</v>
      </c>
      <c r="BL105" s="69" t="s">
        <v>757</v>
      </c>
      <c r="BM105" s="69"/>
      <c r="BN105" s="69"/>
      <c r="BO105" s="69"/>
      <c r="BP105" s="69" t="s">
        <v>617</v>
      </c>
      <c r="BQ105" s="69" t="s">
        <v>619</v>
      </c>
      <c r="BR105" s="69"/>
      <c r="BS105" s="69"/>
      <c r="BT105" s="69"/>
      <c r="BU105" s="69"/>
      <c r="BV105" s="69"/>
      <c r="BW105" s="69" t="s">
        <v>2083</v>
      </c>
      <c r="BX105" s="69" t="s">
        <v>2048</v>
      </c>
      <c r="BY105" s="69"/>
      <c r="BZ105" s="69" t="s">
        <v>1711</v>
      </c>
      <c r="CA105" s="69" t="s">
        <v>2736</v>
      </c>
      <c r="CB105" s="69" t="s">
        <v>1711</v>
      </c>
      <c r="CC105" s="69"/>
      <c r="CD105" s="69"/>
      <c r="CE105" s="69" t="s">
        <v>1749</v>
      </c>
      <c r="CF105" s="69" t="s">
        <v>3</v>
      </c>
      <c r="CG105" s="69" t="s">
        <v>3</v>
      </c>
      <c r="CH105" s="69" t="s">
        <v>1828</v>
      </c>
      <c r="CI105" s="69" t="s">
        <v>3555</v>
      </c>
      <c r="CJ105" s="69" t="s">
        <v>3555</v>
      </c>
      <c r="CK105" s="69" t="s">
        <v>3555</v>
      </c>
      <c r="CL105" s="69" t="s">
        <v>3575</v>
      </c>
      <c r="CM105" s="69" t="s">
        <v>779</v>
      </c>
      <c r="CN105" s="69" t="s">
        <v>757</v>
      </c>
      <c r="CO105" s="69" t="s">
        <v>982</v>
      </c>
      <c r="CP105" s="69" t="s">
        <v>3218</v>
      </c>
      <c r="CQ105" s="69" t="s">
        <v>3192</v>
      </c>
      <c r="CR105" s="69" t="s">
        <v>3003</v>
      </c>
      <c r="CS105" s="69" t="s">
        <v>2519</v>
      </c>
      <c r="CT105" s="69" t="s">
        <v>845</v>
      </c>
      <c r="CU105" s="69" t="s">
        <v>836</v>
      </c>
      <c r="CV105" s="69"/>
      <c r="CW105" s="69"/>
      <c r="CX105" s="69" t="s">
        <v>1229</v>
      </c>
      <c r="CY105" s="69"/>
      <c r="CZ105" s="69"/>
      <c r="DA105" s="69" t="s">
        <v>2178</v>
      </c>
      <c r="DB105" s="69" t="s">
        <v>936</v>
      </c>
      <c r="DC105" s="69" t="s">
        <v>879</v>
      </c>
      <c r="DD105" s="69" t="s">
        <v>879</v>
      </c>
      <c r="DE105" s="69"/>
      <c r="DF105" s="69"/>
      <c r="DG105" s="152" t="s">
        <v>3375</v>
      </c>
      <c r="DH105" s="69"/>
      <c r="DI105" s="96" t="s">
        <v>1046</v>
      </c>
      <c r="DJ105" s="96" t="s">
        <v>1046</v>
      </c>
      <c r="DK105" s="69" t="s">
        <v>1991</v>
      </c>
      <c r="DL105" s="69" t="s">
        <v>3484</v>
      </c>
      <c r="DM105" s="69"/>
      <c r="DN105" s="69"/>
      <c r="DO105" s="69"/>
      <c r="DP105" s="69"/>
      <c r="DQ105" s="69" t="s">
        <v>2933</v>
      </c>
      <c r="DR105" s="69" t="s">
        <v>3</v>
      </c>
      <c r="DS105" s="69" t="s">
        <v>1364</v>
      </c>
      <c r="DT105" s="69" t="s">
        <v>1215</v>
      </c>
      <c r="DU105" s="69" t="s">
        <v>1215</v>
      </c>
      <c r="DV105" s="69" t="s">
        <v>1557</v>
      </c>
      <c r="DW105" s="69" t="s">
        <v>3</v>
      </c>
      <c r="DX105" s="69" t="s">
        <v>441</v>
      </c>
      <c r="DY105" s="69" t="s">
        <v>757</v>
      </c>
      <c r="DZ105" s="69"/>
    </row>
    <row r="106" spans="1:130" s="18" customFormat="1" ht="22.5" customHeight="1" x14ac:dyDescent="0.15">
      <c r="A106" s="25" t="s">
        <v>72</v>
      </c>
      <c r="B106" s="46" t="s">
        <v>95</v>
      </c>
      <c r="C106" s="46" t="s">
        <v>3</v>
      </c>
      <c r="D106" s="46" t="s">
        <v>3</v>
      </c>
      <c r="E106" s="46" t="s">
        <v>95</v>
      </c>
      <c r="F106" s="46" t="s">
        <v>95</v>
      </c>
      <c r="G106" s="46" t="s">
        <v>95</v>
      </c>
      <c r="H106" s="47" t="s">
        <v>95</v>
      </c>
      <c r="I106" s="62" t="s">
        <v>95</v>
      </c>
      <c r="J106" s="47" t="s">
        <v>95</v>
      </c>
      <c r="K106" s="47" t="s">
        <v>95</v>
      </c>
      <c r="L106" s="47" t="s">
        <v>95</v>
      </c>
      <c r="M106" s="62" t="s">
        <v>95</v>
      </c>
      <c r="N106" s="47" t="s">
        <v>95</v>
      </c>
      <c r="O106" s="46" t="s">
        <v>95</v>
      </c>
      <c r="P106" s="46" t="s">
        <v>95</v>
      </c>
      <c r="Q106" s="46" t="s">
        <v>95</v>
      </c>
      <c r="R106" s="47" t="s">
        <v>95</v>
      </c>
      <c r="S106" s="117" t="s">
        <v>95</v>
      </c>
      <c r="T106" s="117" t="s">
        <v>95</v>
      </c>
      <c r="U106" s="120" t="s">
        <v>2530</v>
      </c>
      <c r="V106" s="46" t="s">
        <v>798</v>
      </c>
      <c r="W106" s="101" t="s">
        <v>798</v>
      </c>
      <c r="X106" s="46" t="s">
        <v>798</v>
      </c>
      <c r="Y106" s="47" t="s">
        <v>2322</v>
      </c>
      <c r="Z106" s="46" t="s">
        <v>95</v>
      </c>
      <c r="AA106" s="47" t="s">
        <v>2202</v>
      </c>
      <c r="AB106" s="47" t="s">
        <v>125</v>
      </c>
      <c r="AC106" s="47" t="s">
        <v>667</v>
      </c>
      <c r="AD106" s="47" t="s">
        <v>105</v>
      </c>
      <c r="AE106" s="47" t="s">
        <v>2394</v>
      </c>
      <c r="AF106" s="47" t="s">
        <v>2395</v>
      </c>
      <c r="AG106" s="47" t="s">
        <v>2419</v>
      </c>
      <c r="AH106" s="47" t="s">
        <v>95</v>
      </c>
      <c r="AI106" s="47" t="s">
        <v>95</v>
      </c>
      <c r="AJ106" s="47" t="s">
        <v>95</v>
      </c>
      <c r="AK106" s="47" t="s">
        <v>95</v>
      </c>
      <c r="AL106" s="47" t="s">
        <v>95</v>
      </c>
      <c r="AM106" s="47" t="s">
        <v>95</v>
      </c>
      <c r="AN106" s="44" t="s">
        <v>183</v>
      </c>
      <c r="AO106" s="130" t="s">
        <v>95</v>
      </c>
      <c r="AP106" s="44" t="s">
        <v>183</v>
      </c>
      <c r="AQ106" s="20" t="s">
        <v>3411</v>
      </c>
      <c r="AR106" s="46" t="s">
        <v>105</v>
      </c>
      <c r="AS106" s="46" t="s">
        <v>105</v>
      </c>
      <c r="AT106" s="46" t="s">
        <v>105</v>
      </c>
      <c r="AU106" s="42" t="s">
        <v>95</v>
      </c>
      <c r="AV106" s="20" t="s">
        <v>546</v>
      </c>
      <c r="AW106" s="44" t="s">
        <v>95</v>
      </c>
      <c r="AX106" s="20" t="s">
        <v>15</v>
      </c>
      <c r="AY106" s="44" t="s">
        <v>95</v>
      </c>
      <c r="AZ106" s="46" t="s">
        <v>15</v>
      </c>
      <c r="BA106" s="44" t="s">
        <v>2211</v>
      </c>
      <c r="BB106" s="44" t="s">
        <v>2209</v>
      </c>
      <c r="BC106" s="46" t="s">
        <v>15</v>
      </c>
      <c r="BD106" s="44" t="s">
        <v>2211</v>
      </c>
      <c r="BE106" s="44" t="s">
        <v>2209</v>
      </c>
      <c r="BF106" s="47" t="s">
        <v>105</v>
      </c>
      <c r="BG106" s="47" t="s">
        <v>248</v>
      </c>
      <c r="BH106" s="47" t="s">
        <v>248</v>
      </c>
      <c r="BI106" s="47" t="s">
        <v>399</v>
      </c>
      <c r="BJ106" s="47" t="s">
        <v>1917</v>
      </c>
      <c r="BK106" s="47" t="s">
        <v>2429</v>
      </c>
      <c r="BL106" s="47" t="s">
        <v>95</v>
      </c>
      <c r="BM106" s="46" t="s">
        <v>105</v>
      </c>
      <c r="BN106" s="46" t="s">
        <v>95</v>
      </c>
      <c r="BO106" s="46" t="s">
        <v>104</v>
      </c>
      <c r="BP106" s="46" t="s">
        <v>95</v>
      </c>
      <c r="BQ106" s="46" t="s">
        <v>104</v>
      </c>
      <c r="BR106" s="47" t="s">
        <v>810</v>
      </c>
      <c r="BS106" s="46" t="s">
        <v>95</v>
      </c>
      <c r="BT106" s="46" t="s">
        <v>95</v>
      </c>
      <c r="BU106" s="46" t="s">
        <v>23</v>
      </c>
      <c r="BV106" s="46" t="s">
        <v>23</v>
      </c>
      <c r="BW106" s="46" t="s">
        <v>2081</v>
      </c>
      <c r="BX106" s="46" t="s">
        <v>95</v>
      </c>
      <c r="BY106" s="46" t="s">
        <v>95</v>
      </c>
      <c r="BZ106" s="46" t="s">
        <v>95</v>
      </c>
      <c r="CA106" s="46" t="s">
        <v>95</v>
      </c>
      <c r="CB106" s="46" t="s">
        <v>95</v>
      </c>
      <c r="CC106" s="47" t="s">
        <v>15</v>
      </c>
      <c r="CD106" s="46" t="s">
        <v>95</v>
      </c>
      <c r="CE106" s="47" t="s">
        <v>59</v>
      </c>
      <c r="CF106" s="47" t="s">
        <v>145</v>
      </c>
      <c r="CG106" s="47" t="s">
        <v>145</v>
      </c>
      <c r="CH106" s="46" t="s">
        <v>95</v>
      </c>
      <c r="CI106" s="46" t="s">
        <v>3</v>
      </c>
      <c r="CJ106" s="46" t="s">
        <v>95</v>
      </c>
      <c r="CK106" s="46" t="s">
        <v>95</v>
      </c>
      <c r="CL106" s="46" t="s">
        <v>95</v>
      </c>
      <c r="CM106" s="46" t="s">
        <v>95</v>
      </c>
      <c r="CN106" s="46" t="s">
        <v>95</v>
      </c>
      <c r="CO106" s="47" t="s">
        <v>95</v>
      </c>
      <c r="CP106" s="47" t="s">
        <v>95</v>
      </c>
      <c r="CQ106" s="47" t="s">
        <v>95</v>
      </c>
      <c r="CR106" s="47" t="s">
        <v>95</v>
      </c>
      <c r="CS106" s="46" t="s">
        <v>819</v>
      </c>
      <c r="CT106" s="46" t="s">
        <v>244</v>
      </c>
      <c r="CU106" s="46" t="s">
        <v>95</v>
      </c>
      <c r="CV106" s="46" t="s">
        <v>125</v>
      </c>
      <c r="CW106" s="47" t="s">
        <v>105</v>
      </c>
      <c r="CX106" s="46" t="s">
        <v>95</v>
      </c>
      <c r="CY106" s="46" t="s">
        <v>125</v>
      </c>
      <c r="CZ106" s="46" t="s">
        <v>105</v>
      </c>
      <c r="DA106" s="47" t="s">
        <v>2119</v>
      </c>
      <c r="DB106" s="46" t="s">
        <v>95</v>
      </c>
      <c r="DC106" s="46" t="s">
        <v>95</v>
      </c>
      <c r="DD106" s="46" t="s">
        <v>95</v>
      </c>
      <c r="DE106" s="46" t="s">
        <v>95</v>
      </c>
      <c r="DF106" s="46" t="s">
        <v>125</v>
      </c>
      <c r="DG106" s="146" t="s">
        <v>95</v>
      </c>
      <c r="DH106" s="46" t="s">
        <v>95</v>
      </c>
      <c r="DI106" s="46" t="s">
        <v>95</v>
      </c>
      <c r="DJ106" s="46" t="s">
        <v>95</v>
      </c>
      <c r="DK106" s="46" t="s">
        <v>95</v>
      </c>
      <c r="DL106" s="46" t="s">
        <v>95</v>
      </c>
      <c r="DM106" s="46" t="s">
        <v>95</v>
      </c>
      <c r="DN106" s="47" t="s">
        <v>15</v>
      </c>
      <c r="DO106" s="47" t="s">
        <v>95</v>
      </c>
      <c r="DP106" s="46" t="s">
        <v>95</v>
      </c>
      <c r="DQ106" s="47" t="s">
        <v>2918</v>
      </c>
      <c r="DR106" s="47" t="s">
        <v>95</v>
      </c>
      <c r="DS106" s="47" t="s">
        <v>95</v>
      </c>
      <c r="DT106" s="47" t="s">
        <v>1216</v>
      </c>
      <c r="DU106" s="47" t="s">
        <v>95</v>
      </c>
      <c r="DV106" s="20" t="s">
        <v>95</v>
      </c>
      <c r="DW106" s="46" t="s">
        <v>105</v>
      </c>
      <c r="DX106" s="46" t="s">
        <v>95</v>
      </c>
      <c r="DY106" s="47" t="s">
        <v>105</v>
      </c>
      <c r="DZ106" s="46"/>
    </row>
    <row r="107" spans="1:130" s="18" customFormat="1" ht="12" customHeight="1" x14ac:dyDescent="0.15">
      <c r="A107" s="76" t="s">
        <v>402</v>
      </c>
      <c r="B107" s="69"/>
      <c r="C107" s="69" t="s">
        <v>2813</v>
      </c>
      <c r="D107" s="69" t="s">
        <v>2813</v>
      </c>
      <c r="E107" s="69" t="s">
        <v>1598</v>
      </c>
      <c r="F107" s="69"/>
      <c r="G107" s="69" t="s">
        <v>1598</v>
      </c>
      <c r="H107" s="69" t="s">
        <v>1480</v>
      </c>
      <c r="I107" s="106" t="s">
        <v>1480</v>
      </c>
      <c r="J107" s="69" t="s">
        <v>1480</v>
      </c>
      <c r="K107" s="69" t="s">
        <v>1480</v>
      </c>
      <c r="L107" s="69" t="s">
        <v>1480</v>
      </c>
      <c r="M107" s="106" t="s">
        <v>1480</v>
      </c>
      <c r="N107" s="69" t="s">
        <v>1365</v>
      </c>
      <c r="O107" s="69"/>
      <c r="P107" s="69"/>
      <c r="Q107" s="69"/>
      <c r="R107" s="69" t="s">
        <v>3251</v>
      </c>
      <c r="S107" s="128"/>
      <c r="T107" s="128"/>
      <c r="U107" s="107" t="s">
        <v>2563</v>
      </c>
      <c r="V107" s="69"/>
      <c r="W107" s="106" t="s">
        <v>1324</v>
      </c>
      <c r="X107" s="69" t="s">
        <v>1324</v>
      </c>
      <c r="Y107" s="69" t="s">
        <v>2334</v>
      </c>
      <c r="Z107" s="69" t="s">
        <v>2609</v>
      </c>
      <c r="AA107" s="69" t="s">
        <v>2201</v>
      </c>
      <c r="AB107" s="69" t="s">
        <v>668</v>
      </c>
      <c r="AC107" s="69" t="s">
        <v>668</v>
      </c>
      <c r="AD107" s="69" t="s">
        <v>668</v>
      </c>
      <c r="AE107" s="69" t="s">
        <v>2421</v>
      </c>
      <c r="AF107" s="69" t="s">
        <v>2421</v>
      </c>
      <c r="AG107" s="69" t="s">
        <v>2421</v>
      </c>
      <c r="AH107" s="69" t="s">
        <v>2882</v>
      </c>
      <c r="AI107" s="69" t="s">
        <v>2882</v>
      </c>
      <c r="AJ107" s="69" t="s">
        <v>2882</v>
      </c>
      <c r="AK107" s="69" t="s">
        <v>3093</v>
      </c>
      <c r="AL107" s="69" t="s">
        <v>3093</v>
      </c>
      <c r="AM107" s="69" t="s">
        <v>3094</v>
      </c>
      <c r="AN107" s="69" t="s">
        <v>508</v>
      </c>
      <c r="AO107" s="131"/>
      <c r="AP107" s="69" t="s">
        <v>508</v>
      </c>
      <c r="AQ107" s="69" t="s">
        <v>3413</v>
      </c>
      <c r="AR107" s="69"/>
      <c r="AS107" s="69"/>
      <c r="AT107" s="69"/>
      <c r="AU107" s="69"/>
      <c r="AV107" s="69" t="s">
        <v>549</v>
      </c>
      <c r="AW107" s="69" t="s">
        <v>549</v>
      </c>
      <c r="AX107" s="69" t="s">
        <v>549</v>
      </c>
      <c r="AY107" s="69" t="s">
        <v>549</v>
      </c>
      <c r="AZ107" s="69" t="s">
        <v>3112</v>
      </c>
      <c r="BA107" s="69" t="s">
        <v>2230</v>
      </c>
      <c r="BB107" s="69" t="s">
        <v>2217</v>
      </c>
      <c r="BC107" s="69" t="s">
        <v>2257</v>
      </c>
      <c r="BD107" s="69" t="s">
        <v>2237</v>
      </c>
      <c r="BE107" s="69" t="s">
        <v>2217</v>
      </c>
      <c r="BF107" s="69" t="s">
        <v>1083</v>
      </c>
      <c r="BG107" s="69" t="s">
        <v>1083</v>
      </c>
      <c r="BH107" s="69"/>
      <c r="BI107" s="69"/>
      <c r="BJ107" s="69" t="s">
        <v>1916</v>
      </c>
      <c r="BK107" s="69" t="s">
        <v>2481</v>
      </c>
      <c r="BL107" s="69" t="s">
        <v>2356</v>
      </c>
      <c r="BM107" s="69"/>
      <c r="BN107" s="69"/>
      <c r="BO107" s="69"/>
      <c r="BP107" s="69" t="s">
        <v>611</v>
      </c>
      <c r="BQ107" s="69" t="s">
        <v>592</v>
      </c>
      <c r="BR107" s="69"/>
      <c r="BS107" s="69"/>
      <c r="BT107" s="69"/>
      <c r="BU107" s="69"/>
      <c r="BV107" s="69"/>
      <c r="BW107" s="69" t="s">
        <v>2080</v>
      </c>
      <c r="BX107" s="69" t="s">
        <v>2045</v>
      </c>
      <c r="BY107" s="69"/>
      <c r="BZ107" s="69" t="s">
        <v>1697</v>
      </c>
      <c r="CA107" s="69" t="s">
        <v>2735</v>
      </c>
      <c r="CB107" s="69" t="s">
        <v>1697</v>
      </c>
      <c r="CC107" s="69"/>
      <c r="CD107" s="69"/>
      <c r="CE107" s="69" t="s">
        <v>1767</v>
      </c>
      <c r="CF107" s="69" t="s">
        <v>1767</v>
      </c>
      <c r="CG107" s="69" t="s">
        <v>1849</v>
      </c>
      <c r="CH107" s="69" t="s">
        <v>1803</v>
      </c>
      <c r="CI107" s="69" t="s">
        <v>3</v>
      </c>
      <c r="CJ107" s="69" t="s">
        <v>1803</v>
      </c>
      <c r="CK107" s="69" t="s">
        <v>1803</v>
      </c>
      <c r="CL107" s="69" t="s">
        <v>1756</v>
      </c>
      <c r="CM107" s="69" t="s">
        <v>780</v>
      </c>
      <c r="CN107" s="69" t="s">
        <v>780</v>
      </c>
      <c r="CO107" s="69" t="s">
        <v>989</v>
      </c>
      <c r="CP107" s="69" t="s">
        <v>3219</v>
      </c>
      <c r="CQ107" s="69" t="s">
        <v>3219</v>
      </c>
      <c r="CR107" s="69" t="s">
        <v>3219</v>
      </c>
      <c r="CS107" s="69" t="s">
        <v>2518</v>
      </c>
      <c r="CT107" s="69" t="s">
        <v>845</v>
      </c>
      <c r="CU107" s="69" t="s">
        <v>836</v>
      </c>
      <c r="CV107" s="69"/>
      <c r="CW107" s="69"/>
      <c r="CX107" s="69" t="s">
        <v>1262</v>
      </c>
      <c r="CY107" s="69"/>
      <c r="CZ107" s="69"/>
      <c r="DA107" s="69" t="s">
        <v>403</v>
      </c>
      <c r="DB107" s="69" t="s">
        <v>937</v>
      </c>
      <c r="DC107" s="69" t="s">
        <v>937</v>
      </c>
      <c r="DD107" s="69" t="s">
        <v>937</v>
      </c>
      <c r="DE107" s="69"/>
      <c r="DF107" s="69"/>
      <c r="DG107" s="152" t="s">
        <v>3376</v>
      </c>
      <c r="DH107" s="69"/>
      <c r="DI107" s="96" t="s">
        <v>1055</v>
      </c>
      <c r="DJ107" s="96" t="s">
        <v>1055</v>
      </c>
      <c r="DK107" s="69" t="s">
        <v>1992</v>
      </c>
      <c r="DL107" s="69" t="s">
        <v>3485</v>
      </c>
      <c r="DM107" s="69"/>
      <c r="DN107" s="69"/>
      <c r="DO107" s="69"/>
      <c r="DP107" s="69"/>
      <c r="DQ107" s="69" t="s">
        <v>2929</v>
      </c>
      <c r="DR107" s="69" t="s">
        <v>1383</v>
      </c>
      <c r="DS107" s="69" t="s">
        <v>2691</v>
      </c>
      <c r="DT107" s="69" t="s">
        <v>1214</v>
      </c>
      <c r="DU107" s="69" t="s">
        <v>1197</v>
      </c>
      <c r="DV107" s="69" t="s">
        <v>1579</v>
      </c>
      <c r="DW107" s="69" t="s">
        <v>411</v>
      </c>
      <c r="DX107" s="69" t="s">
        <v>441</v>
      </c>
      <c r="DY107" s="69" t="s">
        <v>1502</v>
      </c>
      <c r="DZ107" s="69"/>
    </row>
    <row r="108" spans="1:130" s="18" customFormat="1" ht="22.5" customHeight="1" x14ac:dyDescent="0.15">
      <c r="A108" s="25" t="s">
        <v>32</v>
      </c>
      <c r="B108" s="46" t="s">
        <v>95</v>
      </c>
      <c r="C108" s="46" t="s">
        <v>3</v>
      </c>
      <c r="D108" s="46" t="s">
        <v>3</v>
      </c>
      <c r="E108" s="46" t="s">
        <v>95</v>
      </c>
      <c r="F108" s="46" t="s">
        <v>173</v>
      </c>
      <c r="G108" s="46" t="s">
        <v>173</v>
      </c>
      <c r="H108" s="47" t="s">
        <v>3</v>
      </c>
      <c r="I108" s="62" t="s">
        <v>95</v>
      </c>
      <c r="J108" s="47" t="s">
        <v>3</v>
      </c>
      <c r="K108" s="47" t="s">
        <v>95</v>
      </c>
      <c r="L108" s="47" t="s">
        <v>3</v>
      </c>
      <c r="M108" s="62" t="s">
        <v>95</v>
      </c>
      <c r="N108" s="47" t="s">
        <v>95</v>
      </c>
      <c r="O108" s="46" t="s">
        <v>94</v>
      </c>
      <c r="P108" s="46" t="s">
        <v>95</v>
      </c>
      <c r="Q108" s="46" t="s">
        <v>95</v>
      </c>
      <c r="R108" s="47" t="s">
        <v>95</v>
      </c>
      <c r="S108" s="117" t="s">
        <v>95</v>
      </c>
      <c r="T108" s="117" t="s">
        <v>95</v>
      </c>
      <c r="U108" s="120" t="s">
        <v>23</v>
      </c>
      <c r="V108" s="46" t="s">
        <v>95</v>
      </c>
      <c r="W108" s="101" t="s">
        <v>95</v>
      </c>
      <c r="X108" s="46" t="s">
        <v>95</v>
      </c>
      <c r="Y108" s="46" t="s">
        <v>3</v>
      </c>
      <c r="Z108" s="47" t="s">
        <v>2654</v>
      </c>
      <c r="AA108" s="46" t="s">
        <v>3</v>
      </c>
      <c r="AB108" s="46" t="s">
        <v>3</v>
      </c>
      <c r="AC108" s="46" t="s">
        <v>125</v>
      </c>
      <c r="AD108" s="46" t="s">
        <v>667</v>
      </c>
      <c r="AE108" s="46" t="s">
        <v>3</v>
      </c>
      <c r="AF108" s="46" t="s">
        <v>2394</v>
      </c>
      <c r="AG108" s="46" t="s">
        <v>2395</v>
      </c>
      <c r="AH108" s="47" t="s">
        <v>95</v>
      </c>
      <c r="AI108" s="47" t="s">
        <v>95</v>
      </c>
      <c r="AJ108" s="47" t="s">
        <v>95</v>
      </c>
      <c r="AK108" s="47" t="s">
        <v>2209</v>
      </c>
      <c r="AL108" s="47" t="s">
        <v>183</v>
      </c>
      <c r="AM108" s="47" t="s">
        <v>3</v>
      </c>
      <c r="AN108" s="20" t="s">
        <v>183</v>
      </c>
      <c r="AO108" s="130" t="s">
        <v>95</v>
      </c>
      <c r="AP108" s="20" t="s">
        <v>183</v>
      </c>
      <c r="AQ108" s="43" t="s">
        <v>3420</v>
      </c>
      <c r="AR108" s="43" t="s">
        <v>3500</v>
      </c>
      <c r="AS108" s="43" t="s">
        <v>3500</v>
      </c>
      <c r="AT108" s="43" t="s">
        <v>3500</v>
      </c>
      <c r="AU108" s="42" t="s">
        <v>95</v>
      </c>
      <c r="AV108" s="20" t="s">
        <v>3</v>
      </c>
      <c r="AW108" s="44" t="s">
        <v>95</v>
      </c>
      <c r="AX108" s="20" t="s">
        <v>3</v>
      </c>
      <c r="AY108" s="44" t="s">
        <v>95</v>
      </c>
      <c r="AZ108" s="44" t="s">
        <v>3</v>
      </c>
      <c r="BA108" s="44" t="s">
        <v>3</v>
      </c>
      <c r="BB108" s="44" t="s">
        <v>3</v>
      </c>
      <c r="BC108" s="44" t="s">
        <v>3</v>
      </c>
      <c r="BD108" s="44" t="s">
        <v>3</v>
      </c>
      <c r="BE108" s="44" t="s">
        <v>0</v>
      </c>
      <c r="BF108" s="47" t="s">
        <v>105</v>
      </c>
      <c r="BG108" s="47" t="s">
        <v>248</v>
      </c>
      <c r="BH108" s="47" t="s">
        <v>248</v>
      </c>
      <c r="BI108" s="47" t="s">
        <v>399</v>
      </c>
      <c r="BJ108" s="47" t="s">
        <v>1917</v>
      </c>
      <c r="BK108" s="47" t="s">
        <v>2482</v>
      </c>
      <c r="BL108" s="47" t="s">
        <v>95</v>
      </c>
      <c r="BM108" s="46" t="s">
        <v>157</v>
      </c>
      <c r="BN108" s="46" t="s">
        <v>3</v>
      </c>
      <c r="BO108" s="46" t="s">
        <v>3</v>
      </c>
      <c r="BP108" s="46" t="s">
        <v>3</v>
      </c>
      <c r="BQ108" s="46" t="s">
        <v>3</v>
      </c>
      <c r="BR108" s="46" t="s">
        <v>95</v>
      </c>
      <c r="BS108" s="46" t="s">
        <v>23</v>
      </c>
      <c r="BT108" s="46" t="s">
        <v>23</v>
      </c>
      <c r="BU108" s="46" t="s">
        <v>23</v>
      </c>
      <c r="BV108" s="46" t="s">
        <v>23</v>
      </c>
      <c r="BW108" s="46" t="s">
        <v>2100</v>
      </c>
      <c r="BX108" s="46" t="s">
        <v>2100</v>
      </c>
      <c r="BY108" s="46" t="s">
        <v>95</v>
      </c>
      <c r="BZ108" s="46" t="s">
        <v>95</v>
      </c>
      <c r="CA108" s="46" t="s">
        <v>95</v>
      </c>
      <c r="CB108" s="46" t="s">
        <v>95</v>
      </c>
      <c r="CC108" s="47" t="s">
        <v>3</v>
      </c>
      <c r="CD108" s="60" t="s">
        <v>3</v>
      </c>
      <c r="CE108" s="46" t="s">
        <v>95</v>
      </c>
      <c r="CF108" s="46" t="s">
        <v>95</v>
      </c>
      <c r="CG108" s="46" t="s">
        <v>95</v>
      </c>
      <c r="CH108" s="47" t="s">
        <v>3</v>
      </c>
      <c r="CI108" s="46" t="s">
        <v>3</v>
      </c>
      <c r="CJ108" s="46" t="s">
        <v>95</v>
      </c>
      <c r="CK108" s="46" t="s">
        <v>3</v>
      </c>
      <c r="CL108" s="47" t="s">
        <v>3</v>
      </c>
      <c r="CM108" s="46" t="s">
        <v>750</v>
      </c>
      <c r="CN108" s="46" t="s">
        <v>750</v>
      </c>
      <c r="CO108" s="47" t="s">
        <v>95</v>
      </c>
      <c r="CP108" s="109" t="s">
        <v>12</v>
      </c>
      <c r="CQ108" s="109">
        <v>75000</v>
      </c>
      <c r="CR108" s="109" t="s">
        <v>15</v>
      </c>
      <c r="CS108" s="46" t="s">
        <v>3</v>
      </c>
      <c r="CT108" s="46" t="s">
        <v>3</v>
      </c>
      <c r="CU108" s="46" t="s">
        <v>3</v>
      </c>
      <c r="CV108" s="46" t="s">
        <v>105</v>
      </c>
      <c r="CW108" s="47" t="s">
        <v>3</v>
      </c>
      <c r="CX108" s="46" t="s">
        <v>95</v>
      </c>
      <c r="CY108" s="46" t="s">
        <v>3</v>
      </c>
      <c r="CZ108" s="46" t="s">
        <v>3</v>
      </c>
      <c r="DA108" s="47" t="s">
        <v>2164</v>
      </c>
      <c r="DB108" s="46" t="s">
        <v>3</v>
      </c>
      <c r="DC108" s="46" t="s">
        <v>3</v>
      </c>
      <c r="DD108" s="46" t="s">
        <v>3</v>
      </c>
      <c r="DE108" s="46" t="s">
        <v>95</v>
      </c>
      <c r="DF108" s="46" t="s">
        <v>95</v>
      </c>
      <c r="DG108" s="146" t="s">
        <v>3</v>
      </c>
      <c r="DH108" s="46" t="s">
        <v>95</v>
      </c>
      <c r="DI108" s="46" t="s">
        <v>95</v>
      </c>
      <c r="DJ108" s="46" t="s">
        <v>95</v>
      </c>
      <c r="DK108" s="46" t="s">
        <v>95</v>
      </c>
      <c r="DL108" s="46" t="s">
        <v>95</v>
      </c>
      <c r="DM108" s="46" t="s">
        <v>95</v>
      </c>
      <c r="DN108" s="46" t="s">
        <v>95</v>
      </c>
      <c r="DO108" s="46" t="s">
        <v>95</v>
      </c>
      <c r="DP108" s="46" t="s">
        <v>95</v>
      </c>
      <c r="DQ108" s="47" t="s">
        <v>2947</v>
      </c>
      <c r="DR108" s="47" t="s">
        <v>3</v>
      </c>
      <c r="DS108" s="47" t="s">
        <v>2676</v>
      </c>
      <c r="DT108" s="46" t="s">
        <v>3</v>
      </c>
      <c r="DU108" s="47" t="s">
        <v>95</v>
      </c>
      <c r="DV108" s="47" t="s">
        <v>1541</v>
      </c>
      <c r="DW108" s="46" t="s">
        <v>3</v>
      </c>
      <c r="DX108" s="46" t="s">
        <v>95</v>
      </c>
      <c r="DY108" s="46" t="s">
        <v>95</v>
      </c>
      <c r="DZ108" s="43"/>
    </row>
    <row r="109" spans="1:130" s="18" customFormat="1" ht="12" customHeight="1" x14ac:dyDescent="0.15">
      <c r="A109" s="76" t="s">
        <v>402</v>
      </c>
      <c r="B109" s="69"/>
      <c r="C109" s="69" t="s">
        <v>2813</v>
      </c>
      <c r="D109" s="69" t="s">
        <v>2813</v>
      </c>
      <c r="E109" s="69" t="s">
        <v>403</v>
      </c>
      <c r="F109" s="69"/>
      <c r="G109" s="69" t="s">
        <v>1592</v>
      </c>
      <c r="H109" s="69" t="s">
        <v>3</v>
      </c>
      <c r="I109" s="106" t="s">
        <v>1444</v>
      </c>
      <c r="J109" s="69" t="s">
        <v>3</v>
      </c>
      <c r="K109" s="69" t="s">
        <v>1444</v>
      </c>
      <c r="L109" s="69" t="s">
        <v>3</v>
      </c>
      <c r="M109" s="106" t="s">
        <v>1444</v>
      </c>
      <c r="N109" s="69" t="s">
        <v>1366</v>
      </c>
      <c r="O109" s="69"/>
      <c r="P109" s="69"/>
      <c r="Q109" s="69"/>
      <c r="R109" s="69" t="s">
        <v>3252</v>
      </c>
      <c r="S109" s="128"/>
      <c r="T109" s="128"/>
      <c r="U109" s="107" t="s">
        <v>1757</v>
      </c>
      <c r="V109" s="69"/>
      <c r="W109" s="106" t="s">
        <v>1326</v>
      </c>
      <c r="X109" s="69" t="s">
        <v>1326</v>
      </c>
      <c r="Y109" s="69" t="s">
        <v>3</v>
      </c>
      <c r="Z109" s="69" t="s">
        <v>2657</v>
      </c>
      <c r="AA109" s="69" t="s">
        <v>2198</v>
      </c>
      <c r="AB109" s="69" t="s">
        <v>665</v>
      </c>
      <c r="AC109" s="69" t="s">
        <v>666</v>
      </c>
      <c r="AD109" s="69" t="s">
        <v>666</v>
      </c>
      <c r="AE109" s="69" t="s">
        <v>665</v>
      </c>
      <c r="AF109" s="69" t="s">
        <v>2393</v>
      </c>
      <c r="AG109" s="69" t="s">
        <v>2393</v>
      </c>
      <c r="AH109" s="69" t="s">
        <v>2883</v>
      </c>
      <c r="AI109" s="69" t="s">
        <v>2883</v>
      </c>
      <c r="AJ109" s="69" t="s">
        <v>2883</v>
      </c>
      <c r="AK109" s="69" t="s">
        <v>3035</v>
      </c>
      <c r="AL109" s="69" t="s">
        <v>2999</v>
      </c>
      <c r="AM109" s="69" t="s">
        <v>3</v>
      </c>
      <c r="AN109" s="69" t="s">
        <v>507</v>
      </c>
      <c r="AO109" s="131"/>
      <c r="AP109" s="69" t="s">
        <v>507</v>
      </c>
      <c r="AQ109" s="69" t="s">
        <v>3421</v>
      </c>
      <c r="AR109" s="69"/>
      <c r="AS109" s="69"/>
      <c r="AT109" s="69"/>
      <c r="AU109" s="69"/>
      <c r="AV109" s="69" t="s">
        <v>3</v>
      </c>
      <c r="AW109" s="69" t="s">
        <v>532</v>
      </c>
      <c r="AX109" s="69" t="s">
        <v>3</v>
      </c>
      <c r="AY109" s="69" t="s">
        <v>532</v>
      </c>
      <c r="AZ109" s="69" t="s">
        <v>3</v>
      </c>
      <c r="BA109" s="69" t="s">
        <v>3</v>
      </c>
      <c r="BB109" s="69" t="s">
        <v>3</v>
      </c>
      <c r="BC109" s="69" t="s">
        <v>3</v>
      </c>
      <c r="BD109" s="69" t="s">
        <v>3</v>
      </c>
      <c r="BE109" s="69" t="s">
        <v>2218</v>
      </c>
      <c r="BF109" s="69" t="s">
        <v>1083</v>
      </c>
      <c r="BG109" s="69" t="s">
        <v>1083</v>
      </c>
      <c r="BH109" s="69"/>
      <c r="BI109" s="69"/>
      <c r="BJ109" s="69" t="s">
        <v>1918</v>
      </c>
      <c r="BK109" s="69" t="s">
        <v>2483</v>
      </c>
      <c r="BL109" s="69" t="s">
        <v>749</v>
      </c>
      <c r="BM109" s="69"/>
      <c r="BN109" s="69"/>
      <c r="BO109" s="69"/>
      <c r="BP109" s="69" t="s">
        <v>3</v>
      </c>
      <c r="BQ109" s="69" t="s">
        <v>3</v>
      </c>
      <c r="BR109" s="69"/>
      <c r="BS109" s="69"/>
      <c r="BT109" s="69"/>
      <c r="BU109" s="69"/>
      <c r="BV109" s="69"/>
      <c r="BW109" s="69" t="s">
        <v>749</v>
      </c>
      <c r="BX109" s="69" t="s">
        <v>749</v>
      </c>
      <c r="BY109" s="69"/>
      <c r="BZ109" s="69" t="s">
        <v>1698</v>
      </c>
      <c r="CA109" s="69" t="s">
        <v>2734</v>
      </c>
      <c r="CB109" s="69" t="s">
        <v>1698</v>
      </c>
      <c r="CC109" s="69"/>
      <c r="CD109" s="69"/>
      <c r="CE109" s="69" t="s">
        <v>1756</v>
      </c>
      <c r="CF109" s="69" t="s">
        <v>1803</v>
      </c>
      <c r="CG109" s="69" t="s">
        <v>1848</v>
      </c>
      <c r="CH109" s="69" t="s">
        <v>3</v>
      </c>
      <c r="CI109" s="69" t="s">
        <v>3</v>
      </c>
      <c r="CJ109" s="69" t="s">
        <v>3594</v>
      </c>
      <c r="CK109" s="69" t="s">
        <v>3</v>
      </c>
      <c r="CL109" s="69" t="s">
        <v>3</v>
      </c>
      <c r="CM109" s="69" t="s">
        <v>749</v>
      </c>
      <c r="CN109" s="69" t="s">
        <v>749</v>
      </c>
      <c r="CO109" s="69" t="s">
        <v>403</v>
      </c>
      <c r="CP109" s="69" t="s">
        <v>2994</v>
      </c>
      <c r="CQ109" s="69" t="s">
        <v>3043</v>
      </c>
      <c r="CR109" s="69" t="s">
        <v>3192</v>
      </c>
      <c r="CS109" s="69" t="s">
        <v>3</v>
      </c>
      <c r="CT109" s="69" t="s">
        <v>3</v>
      </c>
      <c r="CU109" s="69" t="s">
        <v>3</v>
      </c>
      <c r="CV109" s="69"/>
      <c r="CW109" s="69"/>
      <c r="CX109" s="69" t="s">
        <v>1261</v>
      </c>
      <c r="CY109" s="69"/>
      <c r="CZ109" s="69"/>
      <c r="DA109" s="69" t="s">
        <v>2172</v>
      </c>
      <c r="DB109" s="69" t="s">
        <v>3</v>
      </c>
      <c r="DC109" s="69" t="s">
        <v>3</v>
      </c>
      <c r="DD109" s="69" t="s">
        <v>3</v>
      </c>
      <c r="DE109" s="69"/>
      <c r="DF109" s="69"/>
      <c r="DG109" s="152" t="s">
        <v>3377</v>
      </c>
      <c r="DH109" s="69"/>
      <c r="DI109" s="96" t="s">
        <v>1054</v>
      </c>
      <c r="DJ109" s="96" t="s">
        <v>1054</v>
      </c>
      <c r="DK109" s="69" t="s">
        <v>1992</v>
      </c>
      <c r="DL109" s="69" t="s">
        <v>3485</v>
      </c>
      <c r="DM109" s="69"/>
      <c r="DN109" s="69"/>
      <c r="DO109" s="69"/>
      <c r="DP109" s="69"/>
      <c r="DQ109" s="69" t="s">
        <v>2929</v>
      </c>
      <c r="DR109" s="69" t="s">
        <v>1395</v>
      </c>
      <c r="DS109" s="69" t="s">
        <v>2671</v>
      </c>
      <c r="DT109" s="69" t="s">
        <v>3</v>
      </c>
      <c r="DU109" s="69" t="s">
        <v>749</v>
      </c>
      <c r="DV109" s="69" t="s">
        <v>1556</v>
      </c>
      <c r="DW109" s="69" t="s">
        <v>3</v>
      </c>
      <c r="DX109" s="69" t="s">
        <v>403</v>
      </c>
      <c r="DY109" s="69" t="s">
        <v>749</v>
      </c>
      <c r="DZ109" s="69"/>
    </row>
    <row r="110" spans="1:130" s="18" customFormat="1" ht="22.5" customHeight="1" x14ac:dyDescent="0.15">
      <c r="A110" s="25" t="s">
        <v>61</v>
      </c>
      <c r="B110" s="47" t="s">
        <v>95</v>
      </c>
      <c r="C110" s="47" t="s">
        <v>95</v>
      </c>
      <c r="D110" s="47" t="s">
        <v>95</v>
      </c>
      <c r="E110" s="47" t="s">
        <v>587</v>
      </c>
      <c r="F110" s="47" t="s">
        <v>95</v>
      </c>
      <c r="G110" s="47" t="s">
        <v>95</v>
      </c>
      <c r="H110" s="47" t="s">
        <v>95</v>
      </c>
      <c r="I110" s="62" t="s">
        <v>95</v>
      </c>
      <c r="J110" s="47" t="s">
        <v>95</v>
      </c>
      <c r="K110" s="47" t="s">
        <v>95</v>
      </c>
      <c r="L110" s="47" t="s">
        <v>95</v>
      </c>
      <c r="M110" s="62" t="s">
        <v>95</v>
      </c>
      <c r="N110" s="47" t="s">
        <v>3</v>
      </c>
      <c r="O110" s="60" t="s">
        <v>3</v>
      </c>
      <c r="P110" s="47" t="s">
        <v>95</v>
      </c>
      <c r="Q110" s="47" t="s">
        <v>95</v>
      </c>
      <c r="R110" s="47" t="s">
        <v>95</v>
      </c>
      <c r="S110" s="117" t="s">
        <v>95</v>
      </c>
      <c r="T110" s="117" t="s">
        <v>95</v>
      </c>
      <c r="U110" s="121" t="s">
        <v>95</v>
      </c>
      <c r="V110" s="47" t="s">
        <v>95</v>
      </c>
      <c r="W110" s="62" t="s">
        <v>95</v>
      </c>
      <c r="X110" s="47" t="s">
        <v>95</v>
      </c>
      <c r="Y110" s="47" t="s">
        <v>95</v>
      </c>
      <c r="Z110" s="46" t="s">
        <v>95</v>
      </c>
      <c r="AA110" s="46" t="s">
        <v>3</v>
      </c>
      <c r="AB110" s="47" t="s">
        <v>125</v>
      </c>
      <c r="AC110" s="47" t="s">
        <v>667</v>
      </c>
      <c r="AD110" s="47" t="s">
        <v>105</v>
      </c>
      <c r="AE110" s="47" t="s">
        <v>2394</v>
      </c>
      <c r="AF110" s="47" t="s">
        <v>2395</v>
      </c>
      <c r="AG110" s="47" t="s">
        <v>2419</v>
      </c>
      <c r="AH110" s="47" t="s">
        <v>95</v>
      </c>
      <c r="AI110" s="47" t="s">
        <v>95</v>
      </c>
      <c r="AJ110" s="47" t="s">
        <v>95</v>
      </c>
      <c r="AK110" s="47" t="s">
        <v>2209</v>
      </c>
      <c r="AL110" s="47" t="s">
        <v>183</v>
      </c>
      <c r="AM110" s="47" t="s">
        <v>95</v>
      </c>
      <c r="AN110" s="44" t="s">
        <v>183</v>
      </c>
      <c r="AO110" s="130" t="s">
        <v>95</v>
      </c>
      <c r="AP110" s="44" t="s">
        <v>183</v>
      </c>
      <c r="AQ110" s="43" t="s">
        <v>3416</v>
      </c>
      <c r="AR110" s="44" t="s">
        <v>95</v>
      </c>
      <c r="AS110" s="44" t="s">
        <v>95</v>
      </c>
      <c r="AT110" s="44" t="s">
        <v>95</v>
      </c>
      <c r="AU110" s="42" t="s">
        <v>95</v>
      </c>
      <c r="AV110" s="20" t="s">
        <v>95</v>
      </c>
      <c r="AW110" s="20" t="s">
        <v>95</v>
      </c>
      <c r="AX110" s="20" t="s">
        <v>95</v>
      </c>
      <c r="AY110" s="20" t="s">
        <v>95</v>
      </c>
      <c r="AZ110" s="20" t="s">
        <v>95</v>
      </c>
      <c r="BA110" s="20" t="s">
        <v>95</v>
      </c>
      <c r="BB110" s="20" t="s">
        <v>95</v>
      </c>
      <c r="BC110" s="20" t="s">
        <v>95</v>
      </c>
      <c r="BD110" s="20" t="s">
        <v>95</v>
      </c>
      <c r="BE110" s="20" t="s">
        <v>95</v>
      </c>
      <c r="BF110" s="47" t="s">
        <v>95</v>
      </c>
      <c r="BG110" s="47" t="s">
        <v>95</v>
      </c>
      <c r="BH110" s="47" t="s">
        <v>95</v>
      </c>
      <c r="BI110" s="46" t="s">
        <v>95</v>
      </c>
      <c r="BJ110" s="47" t="s">
        <v>1914</v>
      </c>
      <c r="BK110" s="47" t="s">
        <v>2484</v>
      </c>
      <c r="BL110" s="47" t="s">
        <v>95</v>
      </c>
      <c r="BM110" s="47" t="s">
        <v>95</v>
      </c>
      <c r="BN110" s="46" t="s">
        <v>95</v>
      </c>
      <c r="BO110" s="60" t="s">
        <v>3</v>
      </c>
      <c r="BP110" s="47" t="s">
        <v>587</v>
      </c>
      <c r="BQ110" s="46" t="s">
        <v>95</v>
      </c>
      <c r="BR110" s="46" t="s">
        <v>95</v>
      </c>
      <c r="BS110" s="46" t="s">
        <v>95</v>
      </c>
      <c r="BT110" s="46" t="s">
        <v>95</v>
      </c>
      <c r="BU110" s="46" t="s">
        <v>95</v>
      </c>
      <c r="BV110" s="46" t="s">
        <v>95</v>
      </c>
      <c r="BW110" s="47" t="s">
        <v>95</v>
      </c>
      <c r="BX110" s="47" t="s">
        <v>95</v>
      </c>
      <c r="BY110" s="46" t="s">
        <v>95</v>
      </c>
      <c r="BZ110" s="47" t="s">
        <v>1699</v>
      </c>
      <c r="CA110" s="47" t="s">
        <v>95</v>
      </c>
      <c r="CB110" s="47" t="s">
        <v>1699</v>
      </c>
      <c r="CC110" s="46" t="s">
        <v>95</v>
      </c>
      <c r="CD110" s="46" t="s">
        <v>95</v>
      </c>
      <c r="CE110" s="47" t="s">
        <v>3</v>
      </c>
      <c r="CF110" s="46" t="s">
        <v>95</v>
      </c>
      <c r="CG110" s="46" t="s">
        <v>95</v>
      </c>
      <c r="CH110" s="46" t="s">
        <v>95</v>
      </c>
      <c r="CI110" s="47" t="s">
        <v>1806</v>
      </c>
      <c r="CJ110" s="47" t="s">
        <v>1806</v>
      </c>
      <c r="CK110" s="47" t="s">
        <v>1806</v>
      </c>
      <c r="CL110" s="46" t="s">
        <v>95</v>
      </c>
      <c r="CM110" s="46" t="s">
        <v>95</v>
      </c>
      <c r="CN110" s="46" t="s">
        <v>95</v>
      </c>
      <c r="CO110" s="47" t="s">
        <v>95</v>
      </c>
      <c r="CP110" s="20" t="s">
        <v>95</v>
      </c>
      <c r="CQ110" s="20" t="s">
        <v>1699</v>
      </c>
      <c r="CR110" s="20" t="s">
        <v>1699</v>
      </c>
      <c r="CS110" s="46" t="s">
        <v>3</v>
      </c>
      <c r="CT110" s="46" t="s">
        <v>244</v>
      </c>
      <c r="CU110" s="46" t="s">
        <v>95</v>
      </c>
      <c r="CV110" s="46" t="s">
        <v>125</v>
      </c>
      <c r="CW110" s="47" t="s">
        <v>105</v>
      </c>
      <c r="CX110" s="47" t="s">
        <v>95</v>
      </c>
      <c r="CY110" s="46" t="s">
        <v>3</v>
      </c>
      <c r="CZ110" s="46" t="s">
        <v>3</v>
      </c>
      <c r="DA110" s="46" t="s">
        <v>95</v>
      </c>
      <c r="DB110" s="46" t="s">
        <v>95</v>
      </c>
      <c r="DC110" s="46" t="s">
        <v>95</v>
      </c>
      <c r="DD110" s="46" t="s">
        <v>95</v>
      </c>
      <c r="DE110" s="46" t="s">
        <v>95</v>
      </c>
      <c r="DF110" s="46" t="s">
        <v>125</v>
      </c>
      <c r="DG110" s="146" t="s">
        <v>95</v>
      </c>
      <c r="DH110" s="46" t="s">
        <v>95</v>
      </c>
      <c r="DI110" s="46" t="s">
        <v>95</v>
      </c>
      <c r="DJ110" s="46" t="s">
        <v>95</v>
      </c>
      <c r="DK110" s="46" t="s">
        <v>95</v>
      </c>
      <c r="DL110" s="46" t="s">
        <v>95</v>
      </c>
      <c r="DM110" s="60" t="s">
        <v>3</v>
      </c>
      <c r="DN110" s="60" t="s">
        <v>3</v>
      </c>
      <c r="DO110" s="47" t="s">
        <v>95</v>
      </c>
      <c r="DP110" s="47" t="s">
        <v>95</v>
      </c>
      <c r="DQ110" s="47" t="s">
        <v>95</v>
      </c>
      <c r="DR110" s="47" t="s">
        <v>95</v>
      </c>
      <c r="DS110" s="47" t="s">
        <v>95</v>
      </c>
      <c r="DT110" s="47" t="s">
        <v>1216</v>
      </c>
      <c r="DU110" s="47" t="s">
        <v>1216</v>
      </c>
      <c r="DV110" s="20" t="s">
        <v>95</v>
      </c>
      <c r="DW110" s="46" t="s">
        <v>95</v>
      </c>
      <c r="DX110" s="46" t="s">
        <v>95</v>
      </c>
      <c r="DY110" s="46" t="s">
        <v>125</v>
      </c>
      <c r="DZ110" s="44"/>
    </row>
    <row r="111" spans="1:130" s="18" customFormat="1" ht="12" customHeight="1" x14ac:dyDescent="0.15">
      <c r="A111" s="76" t="s">
        <v>402</v>
      </c>
      <c r="B111" s="69"/>
      <c r="C111" s="69" t="s">
        <v>2812</v>
      </c>
      <c r="D111" s="69" t="s">
        <v>2812</v>
      </c>
      <c r="E111" s="69" t="s">
        <v>1592</v>
      </c>
      <c r="F111" s="69"/>
      <c r="G111" s="69" t="s">
        <v>1597</v>
      </c>
      <c r="H111" s="69" t="s">
        <v>1628</v>
      </c>
      <c r="I111" s="106" t="s">
        <v>1445</v>
      </c>
      <c r="J111" s="69" t="s">
        <v>1460</v>
      </c>
      <c r="K111" s="69" t="s">
        <v>1445</v>
      </c>
      <c r="L111" s="69" t="s">
        <v>1628</v>
      </c>
      <c r="M111" s="106" t="s">
        <v>1445</v>
      </c>
      <c r="N111" s="69" t="s">
        <v>3</v>
      </c>
      <c r="O111" s="69"/>
      <c r="P111" s="69"/>
      <c r="Q111" s="69"/>
      <c r="R111" s="69" t="s">
        <v>3253</v>
      </c>
      <c r="S111" s="128"/>
      <c r="T111" s="128"/>
      <c r="U111" s="107" t="s">
        <v>2564</v>
      </c>
      <c r="V111" s="69"/>
      <c r="W111" s="106" t="s">
        <v>1325</v>
      </c>
      <c r="X111" s="69" t="s">
        <v>1325</v>
      </c>
      <c r="Y111" s="69" t="s">
        <v>2281</v>
      </c>
      <c r="Z111" s="69" t="s">
        <v>2603</v>
      </c>
      <c r="AA111" s="69" t="s">
        <v>3</v>
      </c>
      <c r="AB111" s="69" t="s">
        <v>715</v>
      </c>
      <c r="AC111" s="69" t="s">
        <v>715</v>
      </c>
      <c r="AD111" s="69" t="s">
        <v>715</v>
      </c>
      <c r="AE111" s="69" t="s">
        <v>715</v>
      </c>
      <c r="AF111" s="69" t="s">
        <v>715</v>
      </c>
      <c r="AG111" s="69" t="s">
        <v>715</v>
      </c>
      <c r="AH111" s="69" t="s">
        <v>2884</v>
      </c>
      <c r="AI111" s="69" t="s">
        <v>2884</v>
      </c>
      <c r="AJ111" s="69" t="s">
        <v>2884</v>
      </c>
      <c r="AK111" s="69" t="s">
        <v>3036</v>
      </c>
      <c r="AL111" s="69" t="s">
        <v>3000</v>
      </c>
      <c r="AM111" s="69" t="s">
        <v>3095</v>
      </c>
      <c r="AN111" s="69" t="s">
        <v>506</v>
      </c>
      <c r="AO111" s="131"/>
      <c r="AP111" s="69" t="s">
        <v>506</v>
      </c>
      <c r="AQ111" s="69" t="s">
        <v>3417</v>
      </c>
      <c r="AR111" s="69"/>
      <c r="AS111" s="69"/>
      <c r="AT111" s="69"/>
      <c r="AU111" s="69"/>
      <c r="AV111" s="69" t="s">
        <v>550</v>
      </c>
      <c r="AW111" s="69" t="s">
        <v>550</v>
      </c>
      <c r="AX111" s="69" t="s">
        <v>550</v>
      </c>
      <c r="AY111" s="69" t="s">
        <v>550</v>
      </c>
      <c r="AZ111" s="69" t="s">
        <v>3143</v>
      </c>
      <c r="BA111" s="69" t="s">
        <v>3143</v>
      </c>
      <c r="BB111" s="69" t="s">
        <v>3143</v>
      </c>
      <c r="BC111" s="69" t="s">
        <v>2256</v>
      </c>
      <c r="BD111" s="69" t="s">
        <v>2256</v>
      </c>
      <c r="BE111" s="69" t="s">
        <v>2256</v>
      </c>
      <c r="BF111" s="69" t="s">
        <v>1137</v>
      </c>
      <c r="BG111" s="69" t="s">
        <v>1137</v>
      </c>
      <c r="BH111" s="69"/>
      <c r="BI111" s="69"/>
      <c r="BJ111" s="69" t="s">
        <v>1915</v>
      </c>
      <c r="BK111" s="69" t="s">
        <v>2480</v>
      </c>
      <c r="BL111" s="69" t="s">
        <v>2363</v>
      </c>
      <c r="BM111" s="69"/>
      <c r="BN111" s="69"/>
      <c r="BO111" s="69"/>
      <c r="BP111" s="69" t="s">
        <v>609</v>
      </c>
      <c r="BQ111" s="69" t="s">
        <v>588</v>
      </c>
      <c r="BR111" s="69"/>
      <c r="BS111" s="69"/>
      <c r="BT111" s="69"/>
      <c r="BU111" s="69"/>
      <c r="BV111" s="69"/>
      <c r="BW111" s="69" t="s">
        <v>1137</v>
      </c>
      <c r="BX111" s="69" t="s">
        <v>1137</v>
      </c>
      <c r="BY111" s="69"/>
      <c r="BZ111" s="69" t="s">
        <v>1700</v>
      </c>
      <c r="CA111" s="69" t="s">
        <v>2733</v>
      </c>
      <c r="CB111" s="69" t="s">
        <v>1700</v>
      </c>
      <c r="CC111" s="69"/>
      <c r="CD111" s="69"/>
      <c r="CE111" s="69" t="s">
        <v>3</v>
      </c>
      <c r="CF111" s="69" t="s">
        <v>1804</v>
      </c>
      <c r="CG111" s="69" t="s">
        <v>1847</v>
      </c>
      <c r="CH111" s="69" t="s">
        <v>1805</v>
      </c>
      <c r="CI111" s="69" t="s">
        <v>3623</v>
      </c>
      <c r="CJ111" s="69" t="s">
        <v>3595</v>
      </c>
      <c r="CK111" s="69" t="s">
        <v>3614</v>
      </c>
      <c r="CL111" s="69" t="s">
        <v>3576</v>
      </c>
      <c r="CM111" s="69" t="s">
        <v>781</v>
      </c>
      <c r="CN111" s="69" t="s">
        <v>781</v>
      </c>
      <c r="CO111" s="69" t="s">
        <v>990</v>
      </c>
      <c r="CP111" s="69" t="s">
        <v>3215</v>
      </c>
      <c r="CQ111" s="69" t="s">
        <v>3217</v>
      </c>
      <c r="CR111" s="69" t="s">
        <v>3216</v>
      </c>
      <c r="CS111" s="69" t="s">
        <v>3</v>
      </c>
      <c r="CT111" s="69" t="s">
        <v>845</v>
      </c>
      <c r="CU111" s="69" t="s">
        <v>836</v>
      </c>
      <c r="CV111" s="69"/>
      <c r="CW111" s="69"/>
      <c r="CX111" s="69" t="s">
        <v>1260</v>
      </c>
      <c r="CY111" s="69"/>
      <c r="CZ111" s="69"/>
      <c r="DA111" s="69" t="s">
        <v>2171</v>
      </c>
      <c r="DB111" s="69" t="s">
        <v>919</v>
      </c>
      <c r="DC111" s="69" t="s">
        <v>919</v>
      </c>
      <c r="DD111" s="69" t="s">
        <v>919</v>
      </c>
      <c r="DE111" s="69"/>
      <c r="DF111" s="69"/>
      <c r="DG111" s="152" t="s">
        <v>3378</v>
      </c>
      <c r="DH111" s="69"/>
      <c r="DI111" s="96" t="s">
        <v>1056</v>
      </c>
      <c r="DJ111" s="96" t="s">
        <v>1056</v>
      </c>
      <c r="DK111" s="69" t="s">
        <v>1993</v>
      </c>
      <c r="DL111" s="69" t="s">
        <v>3486</v>
      </c>
      <c r="DM111" s="69"/>
      <c r="DN111" s="69"/>
      <c r="DO111" s="69"/>
      <c r="DP111" s="69"/>
      <c r="DQ111" s="69" t="s">
        <v>2925</v>
      </c>
      <c r="DR111" s="69" t="s">
        <v>1396</v>
      </c>
      <c r="DS111" s="69" t="s">
        <v>2690</v>
      </c>
      <c r="DT111" s="69" t="s">
        <v>1213</v>
      </c>
      <c r="DU111" s="69" t="s">
        <v>1213</v>
      </c>
      <c r="DV111" s="69" t="s">
        <v>1578</v>
      </c>
      <c r="DW111" s="69" t="s">
        <v>423</v>
      </c>
      <c r="DX111" s="69" t="s">
        <v>423</v>
      </c>
      <c r="DY111" s="69" t="s">
        <v>1511</v>
      </c>
      <c r="DZ111" s="69"/>
    </row>
    <row r="112" spans="1:130" s="18" customFormat="1" ht="22.5" customHeight="1" x14ac:dyDescent="0.15">
      <c r="A112" s="25" t="s">
        <v>71</v>
      </c>
      <c r="B112" s="46" t="s">
        <v>95</v>
      </c>
      <c r="C112" s="46" t="s">
        <v>95</v>
      </c>
      <c r="D112" s="46" t="s">
        <v>95</v>
      </c>
      <c r="E112" s="47" t="s">
        <v>3281</v>
      </c>
      <c r="F112" s="46" t="s">
        <v>0</v>
      </c>
      <c r="G112" s="46" t="s">
        <v>0</v>
      </c>
      <c r="H112" s="47" t="s">
        <v>14</v>
      </c>
      <c r="I112" s="62" t="s">
        <v>0</v>
      </c>
      <c r="J112" s="47" t="s">
        <v>14</v>
      </c>
      <c r="K112" s="47" t="s">
        <v>0</v>
      </c>
      <c r="L112" s="47" t="s">
        <v>14</v>
      </c>
      <c r="M112" s="62" t="s">
        <v>0</v>
      </c>
      <c r="N112" s="46" t="s">
        <v>3</v>
      </c>
      <c r="O112" s="46" t="s">
        <v>95</v>
      </c>
      <c r="P112" s="46" t="s">
        <v>95</v>
      </c>
      <c r="Q112" s="46" t="s">
        <v>95</v>
      </c>
      <c r="R112" s="46" t="s">
        <v>3239</v>
      </c>
      <c r="S112" s="117" t="s">
        <v>95</v>
      </c>
      <c r="T112" s="117" t="s">
        <v>95</v>
      </c>
      <c r="U112" s="120" t="s">
        <v>12</v>
      </c>
      <c r="V112" s="46" t="s">
        <v>141</v>
      </c>
      <c r="W112" s="62" t="s">
        <v>1280</v>
      </c>
      <c r="X112" s="47" t="s">
        <v>1280</v>
      </c>
      <c r="Y112" s="47" t="s">
        <v>2324</v>
      </c>
      <c r="Z112" s="46" t="s">
        <v>95</v>
      </c>
      <c r="AA112" s="46" t="s">
        <v>3</v>
      </c>
      <c r="AB112" s="46" t="s">
        <v>3</v>
      </c>
      <c r="AC112" s="46" t="s">
        <v>3</v>
      </c>
      <c r="AD112" s="46" t="s">
        <v>129</v>
      </c>
      <c r="AE112" s="46" t="s">
        <v>3</v>
      </c>
      <c r="AF112" s="46" t="s">
        <v>3</v>
      </c>
      <c r="AG112" s="46" t="s">
        <v>2396</v>
      </c>
      <c r="AH112" s="47" t="s">
        <v>2885</v>
      </c>
      <c r="AI112" s="47" t="s">
        <v>2885</v>
      </c>
      <c r="AJ112" s="47" t="s">
        <v>3</v>
      </c>
      <c r="AK112" s="47" t="s">
        <v>3032</v>
      </c>
      <c r="AL112" s="47" t="s">
        <v>2995</v>
      </c>
      <c r="AM112" s="47" t="s">
        <v>3</v>
      </c>
      <c r="AN112" s="20" t="s">
        <v>3</v>
      </c>
      <c r="AO112" s="130" t="s">
        <v>12</v>
      </c>
      <c r="AP112" s="44" t="s">
        <v>184</v>
      </c>
      <c r="AQ112" s="43" t="s">
        <v>3420</v>
      </c>
      <c r="AR112" s="43" t="s">
        <v>3500</v>
      </c>
      <c r="AS112" s="43" t="s">
        <v>3500</v>
      </c>
      <c r="AT112" s="43" t="s">
        <v>3500</v>
      </c>
      <c r="AU112" s="42" t="s">
        <v>12</v>
      </c>
      <c r="AV112" s="20" t="s">
        <v>196</v>
      </c>
      <c r="AW112" s="44" t="s">
        <v>12</v>
      </c>
      <c r="AX112" s="20" t="s">
        <v>196</v>
      </c>
      <c r="AY112" s="44" t="s">
        <v>12</v>
      </c>
      <c r="AZ112" s="44" t="s">
        <v>3</v>
      </c>
      <c r="BA112" s="43" t="s">
        <v>2209</v>
      </c>
      <c r="BB112" s="43" t="s">
        <v>2209</v>
      </c>
      <c r="BC112" s="44" t="s">
        <v>3</v>
      </c>
      <c r="BD112" s="44" t="s">
        <v>2209</v>
      </c>
      <c r="BE112" s="44" t="s">
        <v>2209</v>
      </c>
      <c r="BF112" s="47" t="s">
        <v>3</v>
      </c>
      <c r="BG112" s="47" t="s">
        <v>258</v>
      </c>
      <c r="BH112" s="47" t="s">
        <v>258</v>
      </c>
      <c r="BI112" s="47" t="s">
        <v>379</v>
      </c>
      <c r="BJ112" s="47" t="s">
        <v>379</v>
      </c>
      <c r="BK112" s="47" t="s">
        <v>379</v>
      </c>
      <c r="BL112" s="47" t="s">
        <v>12</v>
      </c>
      <c r="BM112" s="47" t="s">
        <v>110</v>
      </c>
      <c r="BN112" s="47" t="s">
        <v>110</v>
      </c>
      <c r="BO112" s="46" t="s">
        <v>3</v>
      </c>
      <c r="BP112" s="47" t="s">
        <v>110</v>
      </c>
      <c r="BQ112" s="47" t="s">
        <v>3</v>
      </c>
      <c r="BR112" s="47" t="s">
        <v>811</v>
      </c>
      <c r="BS112" s="46" t="s">
        <v>3</v>
      </c>
      <c r="BT112" s="47" t="s">
        <v>369</v>
      </c>
      <c r="BU112" s="46" t="s">
        <v>3</v>
      </c>
      <c r="BV112" s="47" t="s">
        <v>215</v>
      </c>
      <c r="BW112" s="47" t="s">
        <v>2071</v>
      </c>
      <c r="BX112" s="47" t="s">
        <v>2035</v>
      </c>
      <c r="BY112" s="47" t="s">
        <v>95</v>
      </c>
      <c r="BZ112" s="47" t="s">
        <v>95</v>
      </c>
      <c r="CA112" s="47" t="s">
        <v>95</v>
      </c>
      <c r="CB112" s="47" t="s">
        <v>95</v>
      </c>
      <c r="CC112" s="47" t="s">
        <v>1</v>
      </c>
      <c r="CD112" s="47" t="s">
        <v>0</v>
      </c>
      <c r="CE112" s="46" t="s">
        <v>95</v>
      </c>
      <c r="CF112" s="47" t="s">
        <v>1806</v>
      </c>
      <c r="CG112" s="47" t="s">
        <v>1806</v>
      </c>
      <c r="CH112" s="47" t="s">
        <v>0</v>
      </c>
      <c r="CI112" s="47" t="s">
        <v>3</v>
      </c>
      <c r="CJ112" s="47" t="s">
        <v>95</v>
      </c>
      <c r="CK112" s="47" t="s">
        <v>95</v>
      </c>
      <c r="CL112" s="47" t="s">
        <v>0</v>
      </c>
      <c r="CM112" s="47" t="s">
        <v>3</v>
      </c>
      <c r="CN112" s="47" t="s">
        <v>141</v>
      </c>
      <c r="CO112" s="46" t="s">
        <v>12</v>
      </c>
      <c r="CP112" s="44" t="s">
        <v>3</v>
      </c>
      <c r="CQ112" s="44" t="s">
        <v>3149</v>
      </c>
      <c r="CR112" s="109" t="s">
        <v>0</v>
      </c>
      <c r="CS112" s="47" t="s">
        <v>812</v>
      </c>
      <c r="CT112" s="46" t="s">
        <v>14</v>
      </c>
      <c r="CU112" s="46" t="s">
        <v>0</v>
      </c>
      <c r="CV112" s="46" t="s">
        <v>0</v>
      </c>
      <c r="CW112" s="47" t="s">
        <v>234</v>
      </c>
      <c r="CX112" s="47" t="s">
        <v>1258</v>
      </c>
      <c r="CY112" s="46" t="s">
        <v>3</v>
      </c>
      <c r="CZ112" s="46" t="s">
        <v>129</v>
      </c>
      <c r="DA112" s="47" t="s">
        <v>2120</v>
      </c>
      <c r="DB112" s="46" t="s">
        <v>3</v>
      </c>
      <c r="DC112" s="46" t="s">
        <v>186</v>
      </c>
      <c r="DD112" s="46" t="s">
        <v>186</v>
      </c>
      <c r="DE112" s="46" t="s">
        <v>0</v>
      </c>
      <c r="DF112" s="46" t="s">
        <v>3</v>
      </c>
      <c r="DG112" s="146" t="s">
        <v>3379</v>
      </c>
      <c r="DH112" s="47" t="s">
        <v>95</v>
      </c>
      <c r="DI112" s="47" t="s">
        <v>0</v>
      </c>
      <c r="DJ112" s="47" t="s">
        <v>0</v>
      </c>
      <c r="DK112" s="47" t="s">
        <v>95</v>
      </c>
      <c r="DL112" s="47" t="s">
        <v>3464</v>
      </c>
      <c r="DM112" s="47" t="s">
        <v>12</v>
      </c>
      <c r="DN112" s="46" t="s">
        <v>94</v>
      </c>
      <c r="DO112" s="46" t="s">
        <v>3</v>
      </c>
      <c r="DP112" s="47" t="s">
        <v>12</v>
      </c>
      <c r="DQ112" s="46" t="s">
        <v>3</v>
      </c>
      <c r="DR112" s="46" t="s">
        <v>3</v>
      </c>
      <c r="DS112" s="46" t="s">
        <v>95</v>
      </c>
      <c r="DT112" s="46" t="s">
        <v>3</v>
      </c>
      <c r="DU112" s="47" t="s">
        <v>95</v>
      </c>
      <c r="DV112" s="47" t="s">
        <v>1541</v>
      </c>
      <c r="DW112" s="46" t="s">
        <v>0</v>
      </c>
      <c r="DX112" s="46" t="s">
        <v>12</v>
      </c>
      <c r="DY112" s="46" t="s">
        <v>1</v>
      </c>
      <c r="DZ112" s="43"/>
    </row>
    <row r="113" spans="1:130" s="18" customFormat="1" ht="12" customHeight="1" x14ac:dyDescent="0.15">
      <c r="A113" s="76" t="s">
        <v>402</v>
      </c>
      <c r="B113" s="69"/>
      <c r="C113" s="69" t="s">
        <v>2775</v>
      </c>
      <c r="D113" s="69" t="s">
        <v>2775</v>
      </c>
      <c r="E113" s="69" t="s">
        <v>1592</v>
      </c>
      <c r="F113" s="69"/>
      <c r="G113" s="69" t="s">
        <v>1592</v>
      </c>
      <c r="H113" s="69" t="s">
        <v>1629</v>
      </c>
      <c r="I113" s="106" t="s">
        <v>1630</v>
      </c>
      <c r="J113" s="69" t="s">
        <v>1458</v>
      </c>
      <c r="K113" s="69" t="s">
        <v>1440</v>
      </c>
      <c r="L113" s="69" t="s">
        <v>1459</v>
      </c>
      <c r="M113" s="106" t="s">
        <v>1440</v>
      </c>
      <c r="N113" s="69" t="s">
        <v>3</v>
      </c>
      <c r="O113" s="69"/>
      <c r="P113" s="69"/>
      <c r="Q113" s="69"/>
      <c r="R113" s="69" t="s">
        <v>3239</v>
      </c>
      <c r="S113" s="128"/>
      <c r="T113" s="128"/>
      <c r="U113" s="107" t="s">
        <v>2557</v>
      </c>
      <c r="V113" s="69"/>
      <c r="W113" s="106" t="s">
        <v>1296</v>
      </c>
      <c r="X113" s="69" t="s">
        <v>1296</v>
      </c>
      <c r="Y113" s="69" t="s">
        <v>2300</v>
      </c>
      <c r="Z113" s="69" t="s">
        <v>2616</v>
      </c>
      <c r="AA113" s="69" t="s">
        <v>3</v>
      </c>
      <c r="AB113" s="69" t="s">
        <v>699</v>
      </c>
      <c r="AC113" s="69" t="s">
        <v>699</v>
      </c>
      <c r="AD113" s="69" t="s">
        <v>700</v>
      </c>
      <c r="AE113" s="69" t="s">
        <v>699</v>
      </c>
      <c r="AF113" s="69" t="s">
        <v>699</v>
      </c>
      <c r="AG113" s="69" t="s">
        <v>2416</v>
      </c>
      <c r="AH113" s="69" t="s">
        <v>2887</v>
      </c>
      <c r="AI113" s="69" t="s">
        <v>2886</v>
      </c>
      <c r="AJ113" s="69" t="s">
        <v>3</v>
      </c>
      <c r="AK113" s="69" t="s">
        <v>1502</v>
      </c>
      <c r="AL113" s="69" t="s">
        <v>2994</v>
      </c>
      <c r="AM113" s="69" t="s">
        <v>3</v>
      </c>
      <c r="AN113" s="69" t="s">
        <v>3</v>
      </c>
      <c r="AO113" s="131"/>
      <c r="AP113" s="69" t="s">
        <v>461</v>
      </c>
      <c r="AQ113" s="69" t="s">
        <v>3422</v>
      </c>
      <c r="AR113" s="69"/>
      <c r="AS113" s="69"/>
      <c r="AT113" s="69"/>
      <c r="AU113" s="69"/>
      <c r="AV113" s="69" t="s">
        <v>536</v>
      </c>
      <c r="AW113" s="69" t="s">
        <v>536</v>
      </c>
      <c r="AX113" s="69" t="s">
        <v>536</v>
      </c>
      <c r="AY113" s="69" t="s">
        <v>536</v>
      </c>
      <c r="AZ113" s="69" t="s">
        <v>3</v>
      </c>
      <c r="BA113" s="69" t="s">
        <v>2235</v>
      </c>
      <c r="BB113" s="69" t="s">
        <v>2235</v>
      </c>
      <c r="BC113" s="69" t="s">
        <v>3</v>
      </c>
      <c r="BD113" s="69" t="s">
        <v>2235</v>
      </c>
      <c r="BE113" s="69" t="s">
        <v>2235</v>
      </c>
      <c r="BF113" s="69" t="s">
        <v>3</v>
      </c>
      <c r="BG113" s="69" t="s">
        <v>1111</v>
      </c>
      <c r="BH113" s="69"/>
      <c r="BI113" s="69"/>
      <c r="BJ113" s="69" t="s">
        <v>1880</v>
      </c>
      <c r="BK113" s="69" t="s">
        <v>2431</v>
      </c>
      <c r="BL113" s="69" t="s">
        <v>1493</v>
      </c>
      <c r="BM113" s="69"/>
      <c r="BN113" s="69"/>
      <c r="BO113" s="69"/>
      <c r="BP113" s="69" t="s">
        <v>581</v>
      </c>
      <c r="BQ113" s="69" t="s">
        <v>3</v>
      </c>
      <c r="BR113" s="69"/>
      <c r="BS113" s="69"/>
      <c r="BT113" s="69"/>
      <c r="BU113" s="69"/>
      <c r="BV113" s="69"/>
      <c r="BW113" s="69" t="s">
        <v>2070</v>
      </c>
      <c r="BX113" s="69" t="s">
        <v>2034</v>
      </c>
      <c r="BY113" s="69"/>
      <c r="BZ113" s="69" t="s">
        <v>1693</v>
      </c>
      <c r="CA113" s="69" t="s">
        <v>2732</v>
      </c>
      <c r="CB113" s="69" t="s">
        <v>1693</v>
      </c>
      <c r="CC113" s="69"/>
      <c r="CD113" s="69"/>
      <c r="CE113" s="69" t="s">
        <v>1757</v>
      </c>
      <c r="CF113" s="69" t="s">
        <v>1807</v>
      </c>
      <c r="CG113" s="69" t="s">
        <v>1846</v>
      </c>
      <c r="CH113" s="69" t="s">
        <v>1827</v>
      </c>
      <c r="CI113" s="69" t="s">
        <v>3</v>
      </c>
      <c r="CJ113" s="69" t="s">
        <v>3596</v>
      </c>
      <c r="CK113" s="69" t="s">
        <v>3555</v>
      </c>
      <c r="CL113" s="69" t="s">
        <v>3555</v>
      </c>
      <c r="CM113" s="69" t="s">
        <v>755</v>
      </c>
      <c r="CN113" s="69" t="s">
        <v>754</v>
      </c>
      <c r="CO113" s="69" t="s">
        <v>979</v>
      </c>
      <c r="CP113" s="69" t="s">
        <v>3</v>
      </c>
      <c r="CQ113" s="69" t="s">
        <v>2993</v>
      </c>
      <c r="CR113" s="69" t="s">
        <v>2993</v>
      </c>
      <c r="CS113" s="69" t="s">
        <v>2512</v>
      </c>
      <c r="CT113" s="69" t="s">
        <v>845</v>
      </c>
      <c r="CU113" s="69" t="s">
        <v>836</v>
      </c>
      <c r="CV113" s="69"/>
      <c r="CW113" s="69"/>
      <c r="CX113" s="69" t="s">
        <v>1259</v>
      </c>
      <c r="CY113" s="69"/>
      <c r="CZ113" s="69"/>
      <c r="DA113" s="69" t="s">
        <v>403</v>
      </c>
      <c r="DB113" s="69" t="s">
        <v>3</v>
      </c>
      <c r="DC113" s="69" t="s">
        <v>886</v>
      </c>
      <c r="DD113" s="69" t="s">
        <v>886</v>
      </c>
      <c r="DE113" s="69"/>
      <c r="DF113" s="69"/>
      <c r="DG113" s="152" t="s">
        <v>3348</v>
      </c>
      <c r="DH113" s="69"/>
      <c r="DI113" s="96" t="s">
        <v>1043</v>
      </c>
      <c r="DJ113" s="96" t="s">
        <v>1043</v>
      </c>
      <c r="DK113" s="69" t="s">
        <v>1963</v>
      </c>
      <c r="DL113" s="69" t="s">
        <v>3487</v>
      </c>
      <c r="DM113" s="69"/>
      <c r="DN113" s="69"/>
      <c r="DO113" s="69"/>
      <c r="DP113" s="69"/>
      <c r="DQ113" s="69" t="s">
        <v>3</v>
      </c>
      <c r="DR113" s="69" t="s">
        <v>3</v>
      </c>
      <c r="DS113" s="69" t="s">
        <v>2671</v>
      </c>
      <c r="DT113" s="69" t="s">
        <v>3</v>
      </c>
      <c r="DU113" s="69" t="s">
        <v>1173</v>
      </c>
      <c r="DV113" s="69" t="s">
        <v>1544</v>
      </c>
      <c r="DW113" s="69" t="s">
        <v>411</v>
      </c>
      <c r="DX113" s="69" t="s">
        <v>441</v>
      </c>
      <c r="DY113" s="69" t="s">
        <v>1493</v>
      </c>
      <c r="DZ113" s="69"/>
    </row>
    <row r="114" spans="1:130" s="18" customFormat="1" ht="22.5" customHeight="1" x14ac:dyDescent="0.15">
      <c r="A114" s="25" t="s">
        <v>36</v>
      </c>
      <c r="B114" s="47" t="s">
        <v>343</v>
      </c>
      <c r="C114" s="46" t="s">
        <v>95</v>
      </c>
      <c r="D114" s="46" t="s">
        <v>95</v>
      </c>
      <c r="E114" s="47" t="s">
        <v>174</v>
      </c>
      <c r="F114" s="47" t="s">
        <v>1593</v>
      </c>
      <c r="G114" s="47" t="s">
        <v>1593</v>
      </c>
      <c r="H114" s="47" t="s">
        <v>3</v>
      </c>
      <c r="I114" s="62" t="s">
        <v>0</v>
      </c>
      <c r="J114" s="47" t="s">
        <v>3</v>
      </c>
      <c r="K114" s="47" t="s">
        <v>0</v>
      </c>
      <c r="L114" s="47" t="s">
        <v>3</v>
      </c>
      <c r="M114" s="62" t="s">
        <v>0</v>
      </c>
      <c r="N114" s="46" t="s">
        <v>3</v>
      </c>
      <c r="O114" s="46" t="s">
        <v>94</v>
      </c>
      <c r="P114" s="47" t="s">
        <v>12</v>
      </c>
      <c r="Q114" s="47" t="s">
        <v>0</v>
      </c>
      <c r="R114" s="46" t="s">
        <v>3239</v>
      </c>
      <c r="S114" s="117" t="s">
        <v>95</v>
      </c>
      <c r="T114" s="117" t="s">
        <v>95</v>
      </c>
      <c r="U114" s="120" t="s">
        <v>3</v>
      </c>
      <c r="V114" s="47" t="s">
        <v>3</v>
      </c>
      <c r="W114" s="62" t="s">
        <v>1293</v>
      </c>
      <c r="X114" s="47" t="s">
        <v>1293</v>
      </c>
      <c r="Y114" s="47" t="s">
        <v>2324</v>
      </c>
      <c r="Z114" s="46" t="s">
        <v>95</v>
      </c>
      <c r="AA114" s="46" t="s">
        <v>3</v>
      </c>
      <c r="AB114" s="46" t="s">
        <v>3</v>
      </c>
      <c r="AC114" s="46" t="s">
        <v>3</v>
      </c>
      <c r="AD114" s="46" t="s">
        <v>3</v>
      </c>
      <c r="AE114" s="46" t="s">
        <v>3</v>
      </c>
      <c r="AF114" s="46" t="s">
        <v>3</v>
      </c>
      <c r="AG114" s="47" t="s">
        <v>2422</v>
      </c>
      <c r="AH114" s="46" t="s">
        <v>3</v>
      </c>
      <c r="AI114" s="47" t="s">
        <v>3</v>
      </c>
      <c r="AJ114" s="47" t="s">
        <v>3</v>
      </c>
      <c r="AK114" s="47" t="s">
        <v>3</v>
      </c>
      <c r="AL114" s="47" t="s">
        <v>0</v>
      </c>
      <c r="AM114" s="47" t="s">
        <v>3</v>
      </c>
      <c r="AN114" s="20" t="s">
        <v>3</v>
      </c>
      <c r="AO114" s="130" t="s">
        <v>3239</v>
      </c>
      <c r="AP114" s="44" t="s">
        <v>14</v>
      </c>
      <c r="AQ114" s="43" t="s">
        <v>3420</v>
      </c>
      <c r="AR114" s="43" t="s">
        <v>3500</v>
      </c>
      <c r="AS114" s="43" t="s">
        <v>3500</v>
      </c>
      <c r="AT114" s="43" t="s">
        <v>3500</v>
      </c>
      <c r="AU114" s="44" t="s">
        <v>3</v>
      </c>
      <c r="AV114" s="20" t="s">
        <v>3</v>
      </c>
      <c r="AW114" s="20" t="s">
        <v>3</v>
      </c>
      <c r="AX114" s="20" t="s">
        <v>3</v>
      </c>
      <c r="AY114" s="20" t="s">
        <v>3</v>
      </c>
      <c r="AZ114" s="44" t="s">
        <v>3</v>
      </c>
      <c r="BA114" s="43" t="s">
        <v>3107</v>
      </c>
      <c r="BB114" s="43" t="s">
        <v>3107</v>
      </c>
      <c r="BC114" s="44" t="s">
        <v>3</v>
      </c>
      <c r="BD114" s="44" t="s">
        <v>0</v>
      </c>
      <c r="BE114" s="44" t="s">
        <v>0</v>
      </c>
      <c r="BF114" s="47" t="s">
        <v>3</v>
      </c>
      <c r="BG114" s="47" t="s">
        <v>3</v>
      </c>
      <c r="BH114" s="47" t="s">
        <v>3</v>
      </c>
      <c r="BI114" s="47" t="s">
        <v>379</v>
      </c>
      <c r="BJ114" s="47" t="s">
        <v>379</v>
      </c>
      <c r="BK114" s="47" t="s">
        <v>379</v>
      </c>
      <c r="BL114" s="47" t="s">
        <v>12</v>
      </c>
      <c r="BM114" s="46" t="s">
        <v>3</v>
      </c>
      <c r="BN114" s="46" t="s">
        <v>3</v>
      </c>
      <c r="BO114" s="46" t="s">
        <v>3</v>
      </c>
      <c r="BP114" s="47" t="s">
        <v>582</v>
      </c>
      <c r="BQ114" s="47" t="s">
        <v>3</v>
      </c>
      <c r="BR114" s="47" t="s">
        <v>95</v>
      </c>
      <c r="BS114" s="46" t="s">
        <v>3</v>
      </c>
      <c r="BT114" s="47" t="s">
        <v>0</v>
      </c>
      <c r="BU114" s="46" t="s">
        <v>3</v>
      </c>
      <c r="BV114" s="47" t="s">
        <v>0</v>
      </c>
      <c r="BW114" s="47" t="s">
        <v>3</v>
      </c>
      <c r="BX114" s="47" t="s">
        <v>3</v>
      </c>
      <c r="BY114" s="47" t="s">
        <v>1696</v>
      </c>
      <c r="BZ114" s="47" t="s">
        <v>1696</v>
      </c>
      <c r="CA114" s="47" t="s">
        <v>2700</v>
      </c>
      <c r="CB114" s="47" t="s">
        <v>1696</v>
      </c>
      <c r="CC114" s="47" t="s">
        <v>3</v>
      </c>
      <c r="CD114" s="47" t="s">
        <v>0</v>
      </c>
      <c r="CE114" s="47" t="s">
        <v>0</v>
      </c>
      <c r="CF114" s="47" t="s">
        <v>95</v>
      </c>
      <c r="CG114" s="47" t="s">
        <v>95</v>
      </c>
      <c r="CH114" s="47" t="s">
        <v>1754</v>
      </c>
      <c r="CI114" s="47" t="s">
        <v>3</v>
      </c>
      <c r="CJ114" s="47" t="s">
        <v>12</v>
      </c>
      <c r="CK114" s="47" t="s">
        <v>12</v>
      </c>
      <c r="CL114" s="47" t="s">
        <v>0</v>
      </c>
      <c r="CM114" s="47" t="s">
        <v>3</v>
      </c>
      <c r="CN114" s="47" t="s">
        <v>760</v>
      </c>
      <c r="CO114" s="46" t="s">
        <v>14</v>
      </c>
      <c r="CP114" s="44" t="s">
        <v>3</v>
      </c>
      <c r="CQ114" s="44" t="s">
        <v>3</v>
      </c>
      <c r="CR114" s="44" t="s">
        <v>3</v>
      </c>
      <c r="CS114" s="47" t="s">
        <v>812</v>
      </c>
      <c r="CT114" s="46" t="s">
        <v>14</v>
      </c>
      <c r="CU114" s="46" t="s">
        <v>0</v>
      </c>
      <c r="CV114" s="46" t="s">
        <v>3</v>
      </c>
      <c r="CW114" s="47" t="s">
        <v>3</v>
      </c>
      <c r="CX114" s="47" t="s">
        <v>1258</v>
      </c>
      <c r="CY114" s="46" t="s">
        <v>3</v>
      </c>
      <c r="CZ114" s="46" t="s">
        <v>3</v>
      </c>
      <c r="DA114" s="47" t="s">
        <v>2120</v>
      </c>
      <c r="DB114" s="46" t="s">
        <v>3</v>
      </c>
      <c r="DC114" s="46" t="s">
        <v>186</v>
      </c>
      <c r="DD114" s="46" t="s">
        <v>186</v>
      </c>
      <c r="DE114" s="47" t="s">
        <v>299</v>
      </c>
      <c r="DF114" s="46" t="s">
        <v>3</v>
      </c>
      <c r="DG114" s="147" t="s">
        <v>3</v>
      </c>
      <c r="DH114" s="46" t="s">
        <v>3</v>
      </c>
      <c r="DI114" s="46" t="s">
        <v>1</v>
      </c>
      <c r="DJ114" s="46" t="s">
        <v>1</v>
      </c>
      <c r="DK114" s="46" t="s">
        <v>3</v>
      </c>
      <c r="DL114" s="46" t="s">
        <v>3</v>
      </c>
      <c r="DM114" s="47" t="s">
        <v>12</v>
      </c>
      <c r="DN114" s="46" t="s">
        <v>94</v>
      </c>
      <c r="DO114" s="46" t="s">
        <v>3</v>
      </c>
      <c r="DP114" s="47" t="s">
        <v>12</v>
      </c>
      <c r="DQ114" s="46" t="s">
        <v>3</v>
      </c>
      <c r="DR114" s="46" t="s">
        <v>3</v>
      </c>
      <c r="DS114" s="46" t="s">
        <v>14</v>
      </c>
      <c r="DT114" s="46" t="s">
        <v>3</v>
      </c>
      <c r="DU114" s="47" t="s">
        <v>14</v>
      </c>
      <c r="DV114" s="46" t="s">
        <v>3</v>
      </c>
      <c r="DW114" s="46" t="s">
        <v>3</v>
      </c>
      <c r="DX114" s="47" t="s">
        <v>419</v>
      </c>
      <c r="DY114" s="47" t="s">
        <v>3</v>
      </c>
      <c r="DZ114" s="43"/>
    </row>
    <row r="115" spans="1:130" s="18" customFormat="1" ht="12" customHeight="1" x14ac:dyDescent="0.15">
      <c r="A115" s="76" t="s">
        <v>402</v>
      </c>
      <c r="B115" s="69"/>
      <c r="C115" s="69" t="s">
        <v>2776</v>
      </c>
      <c r="D115" s="69" t="s">
        <v>2776</v>
      </c>
      <c r="E115" s="69" t="s">
        <v>1592</v>
      </c>
      <c r="F115" s="69"/>
      <c r="G115" s="69" t="s">
        <v>1592</v>
      </c>
      <c r="H115" s="69" t="s">
        <v>3</v>
      </c>
      <c r="I115" s="106" t="s">
        <v>1441</v>
      </c>
      <c r="J115" s="69" t="s">
        <v>3</v>
      </c>
      <c r="K115" s="69" t="s">
        <v>1441</v>
      </c>
      <c r="L115" s="69" t="s">
        <v>3</v>
      </c>
      <c r="M115" s="106" t="s">
        <v>1441</v>
      </c>
      <c r="N115" s="69" t="s">
        <v>3</v>
      </c>
      <c r="O115" s="69"/>
      <c r="P115" s="69"/>
      <c r="Q115" s="69"/>
      <c r="R115" s="69" t="s">
        <v>3239</v>
      </c>
      <c r="S115" s="128"/>
      <c r="T115" s="128"/>
      <c r="U115" s="107" t="s">
        <v>2552</v>
      </c>
      <c r="V115" s="69"/>
      <c r="W115" s="106" t="s">
        <v>1292</v>
      </c>
      <c r="X115" s="69" t="s">
        <v>1292</v>
      </c>
      <c r="Y115" s="69" t="s">
        <v>2299</v>
      </c>
      <c r="Z115" s="69" t="s">
        <v>2615</v>
      </c>
      <c r="AA115" s="69" t="s">
        <v>3</v>
      </c>
      <c r="AB115" s="69" t="s">
        <v>3</v>
      </c>
      <c r="AC115" s="69" t="s">
        <v>3</v>
      </c>
      <c r="AD115" s="69" t="s">
        <v>3</v>
      </c>
      <c r="AE115" s="69" t="s">
        <v>699</v>
      </c>
      <c r="AF115" s="69" t="s">
        <v>699</v>
      </c>
      <c r="AG115" s="69" t="s">
        <v>2416</v>
      </c>
      <c r="AH115" s="69" t="s">
        <v>3</v>
      </c>
      <c r="AI115" s="69" t="s">
        <v>3</v>
      </c>
      <c r="AJ115" s="69" t="s">
        <v>3</v>
      </c>
      <c r="AK115" s="69" t="s">
        <v>3</v>
      </c>
      <c r="AL115" s="69" t="s">
        <v>2993</v>
      </c>
      <c r="AM115" s="69" t="s">
        <v>3</v>
      </c>
      <c r="AN115" s="69" t="s">
        <v>3</v>
      </c>
      <c r="AO115" s="131"/>
      <c r="AP115" s="69" t="s">
        <v>460</v>
      </c>
      <c r="AQ115" s="69" t="s">
        <v>3422</v>
      </c>
      <c r="AR115" s="69"/>
      <c r="AS115" s="69"/>
      <c r="AT115" s="69"/>
      <c r="AU115" s="69"/>
      <c r="AV115" s="69" t="s">
        <v>3</v>
      </c>
      <c r="AW115" s="69" t="s">
        <v>3</v>
      </c>
      <c r="AX115" s="69" t="s">
        <v>3</v>
      </c>
      <c r="AY115" s="69" t="s">
        <v>3</v>
      </c>
      <c r="AZ115" s="69" t="s">
        <v>3</v>
      </c>
      <c r="BA115" s="69" t="s">
        <v>2234</v>
      </c>
      <c r="BB115" s="69" t="s">
        <v>2234</v>
      </c>
      <c r="BC115" s="69" t="s">
        <v>3</v>
      </c>
      <c r="BD115" s="69" t="s">
        <v>2234</v>
      </c>
      <c r="BE115" s="69" t="s">
        <v>2234</v>
      </c>
      <c r="BF115" s="69" t="s">
        <v>3</v>
      </c>
      <c r="BG115" s="69" t="s">
        <v>3</v>
      </c>
      <c r="BH115" s="69"/>
      <c r="BI115" s="69"/>
      <c r="BJ115" s="69" t="s">
        <v>1881</v>
      </c>
      <c r="BK115" s="69" t="s">
        <v>2431</v>
      </c>
      <c r="BL115" s="69" t="s">
        <v>2337</v>
      </c>
      <c r="BM115" s="69"/>
      <c r="BN115" s="69"/>
      <c r="BO115" s="69"/>
      <c r="BP115" s="69" t="s">
        <v>607</v>
      </c>
      <c r="BQ115" s="69" t="s">
        <v>3</v>
      </c>
      <c r="BR115" s="69"/>
      <c r="BS115" s="69"/>
      <c r="BT115" s="69"/>
      <c r="BU115" s="69"/>
      <c r="BV115" s="69"/>
      <c r="BW115" s="69" t="s">
        <v>3</v>
      </c>
      <c r="BX115" s="69" t="s">
        <v>3</v>
      </c>
      <c r="BY115" s="69"/>
      <c r="BZ115" s="69" t="s">
        <v>1695</v>
      </c>
      <c r="CA115" s="69" t="s">
        <v>2730</v>
      </c>
      <c r="CB115" s="69" t="s">
        <v>2731</v>
      </c>
      <c r="CC115" s="69"/>
      <c r="CD115" s="69"/>
      <c r="CE115" s="69" t="s">
        <v>1753</v>
      </c>
      <c r="CF115" s="69" t="s">
        <v>1798</v>
      </c>
      <c r="CG115" s="69" t="s">
        <v>1843</v>
      </c>
      <c r="CH115" s="69" t="s">
        <v>1827</v>
      </c>
      <c r="CI115" s="69" t="s">
        <v>3</v>
      </c>
      <c r="CJ115" s="69" t="s">
        <v>3555</v>
      </c>
      <c r="CK115" s="69" t="s">
        <v>3555</v>
      </c>
      <c r="CL115" s="69" t="s">
        <v>3555</v>
      </c>
      <c r="CM115" s="69" t="s">
        <v>3</v>
      </c>
      <c r="CN115" s="69" t="s">
        <v>761</v>
      </c>
      <c r="CO115" s="69" t="s">
        <v>980</v>
      </c>
      <c r="CP115" s="69" t="s">
        <v>3</v>
      </c>
      <c r="CQ115" s="69" t="s">
        <v>3</v>
      </c>
      <c r="CR115" s="69" t="s">
        <v>3</v>
      </c>
      <c r="CS115" s="69" t="s">
        <v>2511</v>
      </c>
      <c r="CT115" s="69" t="s">
        <v>845</v>
      </c>
      <c r="CU115" s="69" t="s">
        <v>836</v>
      </c>
      <c r="CV115" s="69"/>
      <c r="CW115" s="69"/>
      <c r="CX115" s="69" t="s">
        <v>1259</v>
      </c>
      <c r="CY115" s="69"/>
      <c r="CZ115" s="69"/>
      <c r="DA115" s="69" t="s">
        <v>403</v>
      </c>
      <c r="DB115" s="69" t="s">
        <v>3</v>
      </c>
      <c r="DC115" s="69" t="s">
        <v>887</v>
      </c>
      <c r="DD115" s="69" t="s">
        <v>887</v>
      </c>
      <c r="DE115" s="69"/>
      <c r="DF115" s="69"/>
      <c r="DG115" s="152" t="s">
        <v>3</v>
      </c>
      <c r="DH115" s="69"/>
      <c r="DI115" s="96" t="s">
        <v>1044</v>
      </c>
      <c r="DJ115" s="96" t="s">
        <v>1044</v>
      </c>
      <c r="DK115" s="69" t="s">
        <v>1989</v>
      </c>
      <c r="DL115" s="69"/>
      <c r="DM115" s="69"/>
      <c r="DN115" s="69"/>
      <c r="DO115" s="69"/>
      <c r="DP115" s="69"/>
      <c r="DQ115" s="69" t="s">
        <v>3</v>
      </c>
      <c r="DR115" s="69" t="s">
        <v>3</v>
      </c>
      <c r="DS115" s="69" t="s">
        <v>2671</v>
      </c>
      <c r="DT115" s="69" t="s">
        <v>3</v>
      </c>
      <c r="DU115" s="69" t="s">
        <v>1171</v>
      </c>
      <c r="DV115" s="69" t="s">
        <v>3</v>
      </c>
      <c r="DW115" s="69" t="s">
        <v>3</v>
      </c>
      <c r="DX115" s="69" t="s">
        <v>441</v>
      </c>
      <c r="DY115" s="69" t="s">
        <v>3</v>
      </c>
      <c r="DZ115" s="69"/>
    </row>
    <row r="116" spans="1:130" s="18" customFormat="1" ht="22.5" customHeight="1" x14ac:dyDescent="0.15">
      <c r="A116" s="25" t="s">
        <v>20</v>
      </c>
      <c r="B116" s="47" t="s">
        <v>343</v>
      </c>
      <c r="C116" s="46" t="s">
        <v>95</v>
      </c>
      <c r="D116" s="46" t="s">
        <v>95</v>
      </c>
      <c r="E116" s="46" t="s">
        <v>3</v>
      </c>
      <c r="F116" s="46" t="s">
        <v>3</v>
      </c>
      <c r="G116" s="46" t="s">
        <v>3</v>
      </c>
      <c r="H116" s="47" t="s">
        <v>3</v>
      </c>
      <c r="I116" s="62" t="s">
        <v>1631</v>
      </c>
      <c r="J116" s="47" t="s">
        <v>3</v>
      </c>
      <c r="K116" s="47" t="s">
        <v>1631</v>
      </c>
      <c r="L116" s="47" t="s">
        <v>3</v>
      </c>
      <c r="M116" s="62" t="s">
        <v>1631</v>
      </c>
      <c r="N116" s="46" t="s">
        <v>3</v>
      </c>
      <c r="O116" s="46" t="s">
        <v>94</v>
      </c>
      <c r="P116" s="47" t="s">
        <v>12</v>
      </c>
      <c r="Q116" s="46" t="s">
        <v>3</v>
      </c>
      <c r="R116" s="46" t="s">
        <v>3239</v>
      </c>
      <c r="S116" s="117" t="s">
        <v>3296</v>
      </c>
      <c r="T116" s="117" t="s">
        <v>95</v>
      </c>
      <c r="U116" s="120" t="s">
        <v>3</v>
      </c>
      <c r="V116" s="46" t="s">
        <v>3</v>
      </c>
      <c r="W116" s="62" t="s">
        <v>1293</v>
      </c>
      <c r="X116" s="47" t="s">
        <v>1293</v>
      </c>
      <c r="Y116" s="47" t="s">
        <v>2324</v>
      </c>
      <c r="Z116" s="46" t="s">
        <v>95</v>
      </c>
      <c r="AA116" s="46" t="s">
        <v>3</v>
      </c>
      <c r="AB116" s="46" t="s">
        <v>3</v>
      </c>
      <c r="AC116" s="46" t="s">
        <v>3</v>
      </c>
      <c r="AD116" s="46" t="s">
        <v>3</v>
      </c>
      <c r="AE116" s="46" t="s">
        <v>3</v>
      </c>
      <c r="AF116" s="46" t="s">
        <v>3</v>
      </c>
      <c r="AG116" s="46" t="s">
        <v>3</v>
      </c>
      <c r="AH116" s="46" t="s">
        <v>3</v>
      </c>
      <c r="AI116" s="46" t="s">
        <v>3</v>
      </c>
      <c r="AJ116" s="46" t="s">
        <v>3</v>
      </c>
      <c r="AK116" s="47" t="s">
        <v>3</v>
      </c>
      <c r="AL116" s="47" t="s">
        <v>0</v>
      </c>
      <c r="AM116" s="47" t="s">
        <v>3</v>
      </c>
      <c r="AN116" s="20" t="s">
        <v>3</v>
      </c>
      <c r="AO116" s="130" t="s">
        <v>0</v>
      </c>
      <c r="AP116" s="44" t="s">
        <v>14</v>
      </c>
      <c r="AQ116" s="43" t="s">
        <v>3420</v>
      </c>
      <c r="AR116" s="43" t="s">
        <v>3500</v>
      </c>
      <c r="AS116" s="43" t="s">
        <v>3500</v>
      </c>
      <c r="AT116" s="43" t="s">
        <v>3500</v>
      </c>
      <c r="AU116" s="44" t="s">
        <v>3</v>
      </c>
      <c r="AV116" s="20" t="s">
        <v>3</v>
      </c>
      <c r="AW116" s="20" t="s">
        <v>3</v>
      </c>
      <c r="AX116" s="20" t="s">
        <v>3</v>
      </c>
      <c r="AY116" s="20" t="s">
        <v>3</v>
      </c>
      <c r="AZ116" s="44" t="s">
        <v>3</v>
      </c>
      <c r="BA116" s="43" t="s">
        <v>3107</v>
      </c>
      <c r="BB116" s="43" t="s">
        <v>3107</v>
      </c>
      <c r="BC116" s="44" t="s">
        <v>3</v>
      </c>
      <c r="BD116" s="44" t="s">
        <v>0</v>
      </c>
      <c r="BE116" s="44" t="s">
        <v>0</v>
      </c>
      <c r="BF116" s="47" t="s">
        <v>3</v>
      </c>
      <c r="BG116" s="47" t="s">
        <v>3</v>
      </c>
      <c r="BH116" s="47" t="s">
        <v>3</v>
      </c>
      <c r="BI116" s="47" t="s">
        <v>379</v>
      </c>
      <c r="BJ116" s="47" t="s">
        <v>1882</v>
      </c>
      <c r="BK116" s="47" t="s">
        <v>1882</v>
      </c>
      <c r="BL116" s="47" t="s">
        <v>12</v>
      </c>
      <c r="BM116" s="47" t="s">
        <v>108</v>
      </c>
      <c r="BN116" s="47" t="s">
        <v>108</v>
      </c>
      <c r="BO116" s="46" t="s">
        <v>3</v>
      </c>
      <c r="BP116" s="47" t="s">
        <v>95</v>
      </c>
      <c r="BQ116" s="47" t="s">
        <v>3</v>
      </c>
      <c r="BR116" s="47" t="s">
        <v>812</v>
      </c>
      <c r="BS116" s="46" t="s">
        <v>3</v>
      </c>
      <c r="BT116" s="47" t="s">
        <v>0</v>
      </c>
      <c r="BU116" s="46" t="s">
        <v>3</v>
      </c>
      <c r="BV116" s="47" t="s">
        <v>0</v>
      </c>
      <c r="BW116" s="47" t="s">
        <v>3</v>
      </c>
      <c r="BX116" s="47" t="s">
        <v>3</v>
      </c>
      <c r="BY116" s="47" t="s">
        <v>1696</v>
      </c>
      <c r="BZ116" s="47" t="s">
        <v>1696</v>
      </c>
      <c r="CA116" s="47" t="s">
        <v>2700</v>
      </c>
      <c r="CB116" s="47" t="s">
        <v>1696</v>
      </c>
      <c r="CC116" s="47" t="s">
        <v>3</v>
      </c>
      <c r="CD116" s="47" t="s">
        <v>0</v>
      </c>
      <c r="CE116" s="47" t="s">
        <v>1754</v>
      </c>
      <c r="CF116" s="47" t="s">
        <v>12</v>
      </c>
      <c r="CG116" s="47" t="s">
        <v>12</v>
      </c>
      <c r="CH116" s="47" t="s">
        <v>1754</v>
      </c>
      <c r="CI116" s="47" t="s">
        <v>3</v>
      </c>
      <c r="CJ116" s="47" t="s">
        <v>1631</v>
      </c>
      <c r="CK116" s="47" t="s">
        <v>1631</v>
      </c>
      <c r="CL116" s="47" t="s">
        <v>1754</v>
      </c>
      <c r="CM116" s="47" t="s">
        <v>3</v>
      </c>
      <c r="CN116" s="47" t="s">
        <v>3</v>
      </c>
      <c r="CO116" s="46" t="s">
        <v>14</v>
      </c>
      <c r="CP116" s="44" t="s">
        <v>3</v>
      </c>
      <c r="CQ116" s="44" t="s">
        <v>3</v>
      </c>
      <c r="CR116" s="44" t="s">
        <v>3</v>
      </c>
      <c r="CS116" s="47" t="s">
        <v>812</v>
      </c>
      <c r="CT116" s="46" t="s">
        <v>14</v>
      </c>
      <c r="CU116" s="46" t="s">
        <v>0</v>
      </c>
      <c r="CV116" s="46" t="s">
        <v>3</v>
      </c>
      <c r="CW116" s="47" t="s">
        <v>3</v>
      </c>
      <c r="CX116" s="47" t="s">
        <v>1258</v>
      </c>
      <c r="CY116" s="46" t="s">
        <v>3</v>
      </c>
      <c r="CZ116" s="46" t="s">
        <v>3</v>
      </c>
      <c r="DA116" s="47" t="s">
        <v>2120</v>
      </c>
      <c r="DB116" s="46" t="s">
        <v>3</v>
      </c>
      <c r="DC116" s="46" t="s">
        <v>186</v>
      </c>
      <c r="DD116" s="46" t="s">
        <v>186</v>
      </c>
      <c r="DE116" s="47" t="s">
        <v>291</v>
      </c>
      <c r="DF116" s="46" t="s">
        <v>3</v>
      </c>
      <c r="DG116" s="147" t="s">
        <v>3</v>
      </c>
      <c r="DH116" s="46" t="s">
        <v>3</v>
      </c>
      <c r="DI116" s="46" t="s">
        <v>1</v>
      </c>
      <c r="DJ116" s="46" t="s">
        <v>1</v>
      </c>
      <c r="DK116" s="46" t="s">
        <v>3</v>
      </c>
      <c r="DL116" s="46"/>
      <c r="DM116" s="47" t="s">
        <v>1</v>
      </c>
      <c r="DN116" s="60" t="s">
        <v>3</v>
      </c>
      <c r="DO116" s="60" t="s">
        <v>3</v>
      </c>
      <c r="DP116" s="47" t="s">
        <v>1</v>
      </c>
      <c r="DQ116" s="46" t="s">
        <v>3</v>
      </c>
      <c r="DR116" s="46" t="s">
        <v>14</v>
      </c>
      <c r="DS116" s="46" t="s">
        <v>14</v>
      </c>
      <c r="DT116" s="46" t="s">
        <v>3</v>
      </c>
      <c r="DU116" s="47" t="s">
        <v>14</v>
      </c>
      <c r="DV116" s="46" t="s">
        <v>3</v>
      </c>
      <c r="DW116" s="47" t="s">
        <v>3</v>
      </c>
      <c r="DX116" s="47" t="s">
        <v>3</v>
      </c>
      <c r="DY116" s="47" t="s">
        <v>3</v>
      </c>
      <c r="DZ116" s="43"/>
    </row>
    <row r="117" spans="1:130" s="18" customFormat="1" ht="12" customHeight="1" x14ac:dyDescent="0.15">
      <c r="A117" s="76" t="s">
        <v>402</v>
      </c>
      <c r="B117" s="69"/>
      <c r="C117" s="69" t="s">
        <v>2776</v>
      </c>
      <c r="D117" s="69" t="s">
        <v>2776</v>
      </c>
      <c r="E117" s="69" t="s">
        <v>3</v>
      </c>
      <c r="F117" s="69"/>
      <c r="G117" s="69" t="s">
        <v>3</v>
      </c>
      <c r="H117" s="69" t="s">
        <v>3</v>
      </c>
      <c r="I117" s="106" t="s">
        <v>1441</v>
      </c>
      <c r="J117" s="69" t="s">
        <v>3</v>
      </c>
      <c r="K117" s="69" t="s">
        <v>1441</v>
      </c>
      <c r="L117" s="69" t="s">
        <v>3</v>
      </c>
      <c r="M117" s="106" t="s">
        <v>1441</v>
      </c>
      <c r="N117" s="69" t="s">
        <v>3</v>
      </c>
      <c r="O117" s="69"/>
      <c r="P117" s="69"/>
      <c r="Q117" s="69"/>
      <c r="R117" s="69" t="s">
        <v>3239</v>
      </c>
      <c r="S117" s="128"/>
      <c r="T117" s="128"/>
      <c r="U117" s="107" t="s">
        <v>2552</v>
      </c>
      <c r="V117" s="69"/>
      <c r="W117" s="106" t="s">
        <v>1292</v>
      </c>
      <c r="X117" s="69" t="s">
        <v>1292</v>
      </c>
      <c r="Y117" s="69" t="s">
        <v>2299</v>
      </c>
      <c r="Z117" s="69" t="s">
        <v>2615</v>
      </c>
      <c r="AA117" s="69" t="s">
        <v>3</v>
      </c>
      <c r="AB117" s="69" t="s">
        <v>3</v>
      </c>
      <c r="AC117" s="69" t="s">
        <v>3</v>
      </c>
      <c r="AD117" s="69" t="s">
        <v>3</v>
      </c>
      <c r="AE117" s="69" t="s">
        <v>3</v>
      </c>
      <c r="AF117" s="69" t="s">
        <v>3</v>
      </c>
      <c r="AG117" s="69" t="s">
        <v>3</v>
      </c>
      <c r="AH117" s="69" t="s">
        <v>3</v>
      </c>
      <c r="AI117" s="69" t="s">
        <v>3</v>
      </c>
      <c r="AJ117" s="69" t="s">
        <v>3</v>
      </c>
      <c r="AK117" s="69" t="s">
        <v>3</v>
      </c>
      <c r="AL117" s="69" t="s">
        <v>2993</v>
      </c>
      <c r="AM117" s="69" t="s">
        <v>3</v>
      </c>
      <c r="AN117" s="69" t="s">
        <v>3</v>
      </c>
      <c r="AO117" s="131"/>
      <c r="AP117" s="69" t="s">
        <v>460</v>
      </c>
      <c r="AQ117" s="69" t="s">
        <v>3422</v>
      </c>
      <c r="AR117" s="69"/>
      <c r="AS117" s="69"/>
      <c r="AT117" s="69"/>
      <c r="AU117" s="69"/>
      <c r="AV117" s="69" t="s">
        <v>3</v>
      </c>
      <c r="AW117" s="69" t="s">
        <v>3</v>
      </c>
      <c r="AX117" s="69" t="s">
        <v>3</v>
      </c>
      <c r="AY117" s="69" t="s">
        <v>3</v>
      </c>
      <c r="AZ117" s="69" t="s">
        <v>3</v>
      </c>
      <c r="BA117" s="69" t="s">
        <v>2234</v>
      </c>
      <c r="BB117" s="69" t="s">
        <v>2234</v>
      </c>
      <c r="BC117" s="69" t="s">
        <v>3</v>
      </c>
      <c r="BD117" s="69" t="s">
        <v>2234</v>
      </c>
      <c r="BE117" s="69" t="s">
        <v>2234</v>
      </c>
      <c r="BF117" s="69" t="s">
        <v>3</v>
      </c>
      <c r="BG117" s="69" t="s">
        <v>3</v>
      </c>
      <c r="BH117" s="69"/>
      <c r="BI117" s="69"/>
      <c r="BJ117" s="69" t="s">
        <v>1881</v>
      </c>
      <c r="BK117" s="69" t="s">
        <v>2431</v>
      </c>
      <c r="BL117" s="69" t="s">
        <v>2337</v>
      </c>
      <c r="BM117" s="69"/>
      <c r="BN117" s="69"/>
      <c r="BO117" s="69"/>
      <c r="BP117" s="69" t="s">
        <v>607</v>
      </c>
      <c r="BQ117" s="69" t="s">
        <v>3</v>
      </c>
      <c r="BR117" s="69"/>
      <c r="BS117" s="69"/>
      <c r="BT117" s="69"/>
      <c r="BU117" s="69"/>
      <c r="BV117" s="69"/>
      <c r="BW117" s="69" t="s">
        <v>3</v>
      </c>
      <c r="BX117" s="69" t="s">
        <v>3</v>
      </c>
      <c r="BY117" s="69"/>
      <c r="BZ117" s="69" t="s">
        <v>1695</v>
      </c>
      <c r="CA117" s="69" t="s">
        <v>2730</v>
      </c>
      <c r="CB117" s="69" t="s">
        <v>2731</v>
      </c>
      <c r="CC117" s="69"/>
      <c r="CD117" s="69"/>
      <c r="CE117" s="69" t="s">
        <v>1753</v>
      </c>
      <c r="CF117" s="69" t="s">
        <v>1798</v>
      </c>
      <c r="CG117" s="69" t="s">
        <v>1843</v>
      </c>
      <c r="CH117" s="69" t="s">
        <v>1827</v>
      </c>
      <c r="CI117" s="69" t="s">
        <v>3</v>
      </c>
      <c r="CJ117" s="69" t="s">
        <v>3555</v>
      </c>
      <c r="CK117" s="69" t="s">
        <v>3555</v>
      </c>
      <c r="CL117" s="69" t="s">
        <v>3555</v>
      </c>
      <c r="CM117" s="69" t="s">
        <v>3</v>
      </c>
      <c r="CN117" s="69" t="s">
        <v>3</v>
      </c>
      <c r="CO117" s="69" t="s">
        <v>981</v>
      </c>
      <c r="CP117" s="69" t="s">
        <v>3</v>
      </c>
      <c r="CQ117" s="69" t="s">
        <v>3</v>
      </c>
      <c r="CR117" s="69" t="s">
        <v>3</v>
      </c>
      <c r="CS117" s="69" t="s">
        <v>2511</v>
      </c>
      <c r="CT117" s="69" t="s">
        <v>845</v>
      </c>
      <c r="CU117" s="69" t="s">
        <v>836</v>
      </c>
      <c r="CV117" s="69"/>
      <c r="CW117" s="69"/>
      <c r="CX117" s="69" t="s">
        <v>1259</v>
      </c>
      <c r="CY117" s="69"/>
      <c r="CZ117" s="69"/>
      <c r="DA117" s="69" t="s">
        <v>403</v>
      </c>
      <c r="DB117" s="69" t="s">
        <v>3</v>
      </c>
      <c r="DC117" s="69" t="s">
        <v>887</v>
      </c>
      <c r="DD117" s="69" t="s">
        <v>887</v>
      </c>
      <c r="DE117" s="69"/>
      <c r="DF117" s="69"/>
      <c r="DG117" s="152" t="s">
        <v>3</v>
      </c>
      <c r="DH117" s="69"/>
      <c r="DI117" s="96" t="s">
        <v>1044</v>
      </c>
      <c r="DJ117" s="96" t="s">
        <v>1044</v>
      </c>
      <c r="DK117" s="69" t="s">
        <v>1989</v>
      </c>
      <c r="DL117" s="69"/>
      <c r="DM117" s="69"/>
      <c r="DN117" s="69"/>
      <c r="DO117" s="69"/>
      <c r="DP117" s="69"/>
      <c r="DQ117" s="69" t="s">
        <v>3</v>
      </c>
      <c r="DR117" s="69" t="s">
        <v>1383</v>
      </c>
      <c r="DS117" s="69" t="s">
        <v>2671</v>
      </c>
      <c r="DT117" s="69" t="s">
        <v>3</v>
      </c>
      <c r="DU117" s="69" t="s">
        <v>1172</v>
      </c>
      <c r="DV117" s="69" t="s">
        <v>3</v>
      </c>
      <c r="DW117" s="69" t="s">
        <v>3</v>
      </c>
      <c r="DX117" s="69" t="s">
        <v>3</v>
      </c>
      <c r="DY117" s="69" t="s">
        <v>3</v>
      </c>
      <c r="DZ117" s="69"/>
    </row>
    <row r="118" spans="1:130" s="18" customFormat="1" ht="22.5" customHeight="1" x14ac:dyDescent="0.15">
      <c r="A118" s="25" t="s">
        <v>70</v>
      </c>
      <c r="B118" s="46" t="s">
        <v>95</v>
      </c>
      <c r="C118" s="46" t="s">
        <v>95</v>
      </c>
      <c r="D118" s="46" t="s">
        <v>95</v>
      </c>
      <c r="E118" s="47" t="s">
        <v>14</v>
      </c>
      <c r="F118" s="46" t="s">
        <v>264</v>
      </c>
      <c r="G118" s="46" t="s">
        <v>264</v>
      </c>
      <c r="H118" s="47" t="s">
        <v>3</v>
      </c>
      <c r="I118" s="62" t="s">
        <v>1410</v>
      </c>
      <c r="J118" s="47" t="s">
        <v>3</v>
      </c>
      <c r="K118" s="47" t="s">
        <v>1410</v>
      </c>
      <c r="L118" s="47" t="s">
        <v>3</v>
      </c>
      <c r="M118" s="62" t="s">
        <v>95</v>
      </c>
      <c r="N118" s="46" t="s">
        <v>3</v>
      </c>
      <c r="O118" s="46" t="s">
        <v>95</v>
      </c>
      <c r="P118" s="46" t="s">
        <v>95</v>
      </c>
      <c r="Q118" s="46" t="s">
        <v>95</v>
      </c>
      <c r="R118" s="46" t="s">
        <v>3239</v>
      </c>
      <c r="S118" s="117" t="s">
        <v>95</v>
      </c>
      <c r="T118" s="117" t="s">
        <v>95</v>
      </c>
      <c r="U118" s="120" t="s">
        <v>0</v>
      </c>
      <c r="V118" s="46" t="s">
        <v>186</v>
      </c>
      <c r="W118" s="101" t="s">
        <v>0</v>
      </c>
      <c r="X118" s="46" t="s">
        <v>0</v>
      </c>
      <c r="Y118" s="47" t="s">
        <v>2319</v>
      </c>
      <c r="Z118" s="47" t="s">
        <v>2618</v>
      </c>
      <c r="AA118" s="46" t="s">
        <v>3</v>
      </c>
      <c r="AB118" s="47" t="s">
        <v>3</v>
      </c>
      <c r="AC118" s="47" t="s">
        <v>3</v>
      </c>
      <c r="AD118" s="47" t="s">
        <v>696</v>
      </c>
      <c r="AE118" s="47" t="s">
        <v>3</v>
      </c>
      <c r="AF118" s="47" t="s">
        <v>3</v>
      </c>
      <c r="AG118" s="47" t="s">
        <v>2404</v>
      </c>
      <c r="AH118" s="47" t="s">
        <v>186</v>
      </c>
      <c r="AI118" s="47" t="s">
        <v>3</v>
      </c>
      <c r="AJ118" s="46" t="s">
        <v>3</v>
      </c>
      <c r="AK118" s="47" t="s">
        <v>3030</v>
      </c>
      <c r="AL118" s="47" t="s">
        <v>3029</v>
      </c>
      <c r="AM118" s="46" t="s">
        <v>3</v>
      </c>
      <c r="AN118" s="20" t="s">
        <v>3</v>
      </c>
      <c r="AO118" s="130" t="s">
        <v>184</v>
      </c>
      <c r="AP118" s="44" t="s">
        <v>0</v>
      </c>
      <c r="AQ118" s="43" t="s">
        <v>3420</v>
      </c>
      <c r="AR118" s="43" t="s">
        <v>3504</v>
      </c>
      <c r="AS118" s="43" t="s">
        <v>3504</v>
      </c>
      <c r="AT118" s="43" t="s">
        <v>3504</v>
      </c>
      <c r="AU118" s="42" t="s">
        <v>186</v>
      </c>
      <c r="AV118" s="20" t="s">
        <v>3</v>
      </c>
      <c r="AW118" s="44" t="s">
        <v>186</v>
      </c>
      <c r="AX118" s="20" t="s">
        <v>3</v>
      </c>
      <c r="AY118" s="43" t="s">
        <v>2569</v>
      </c>
      <c r="AZ118" s="44" t="s">
        <v>3</v>
      </c>
      <c r="BA118" s="43" t="s">
        <v>3108</v>
      </c>
      <c r="BB118" s="43" t="s">
        <v>3108</v>
      </c>
      <c r="BC118" s="44" t="s">
        <v>3</v>
      </c>
      <c r="BD118" s="44" t="s">
        <v>0</v>
      </c>
      <c r="BE118" s="44" t="s">
        <v>0</v>
      </c>
      <c r="BF118" s="47" t="s">
        <v>3</v>
      </c>
      <c r="BG118" s="47" t="s">
        <v>256</v>
      </c>
      <c r="BH118" s="47" t="s">
        <v>256</v>
      </c>
      <c r="BI118" s="47" t="s">
        <v>389</v>
      </c>
      <c r="BJ118" s="47" t="s">
        <v>389</v>
      </c>
      <c r="BK118" s="47" t="s">
        <v>389</v>
      </c>
      <c r="BL118" s="47" t="s">
        <v>0</v>
      </c>
      <c r="BM118" s="46" t="s">
        <v>95</v>
      </c>
      <c r="BN118" s="46" t="s">
        <v>95</v>
      </c>
      <c r="BO118" s="46" t="s">
        <v>3</v>
      </c>
      <c r="BP118" s="46" t="s">
        <v>95</v>
      </c>
      <c r="BQ118" s="47" t="s">
        <v>3</v>
      </c>
      <c r="BR118" s="47" t="s">
        <v>812</v>
      </c>
      <c r="BS118" s="46" t="s">
        <v>95</v>
      </c>
      <c r="BT118" s="46" t="s">
        <v>95</v>
      </c>
      <c r="BU118" s="46" t="s">
        <v>14</v>
      </c>
      <c r="BV118" s="46" t="s">
        <v>14</v>
      </c>
      <c r="BW118" s="47" t="s">
        <v>2031</v>
      </c>
      <c r="BX118" s="47" t="s">
        <v>2031</v>
      </c>
      <c r="BY118" s="46" t="s">
        <v>95</v>
      </c>
      <c r="BZ118" s="46" t="s">
        <v>95</v>
      </c>
      <c r="CA118" s="46" t="s">
        <v>14</v>
      </c>
      <c r="CB118" s="46" t="s">
        <v>95</v>
      </c>
      <c r="CC118" s="46" t="s">
        <v>16</v>
      </c>
      <c r="CD118" s="46" t="s">
        <v>95</v>
      </c>
      <c r="CE118" s="47" t="s">
        <v>1754</v>
      </c>
      <c r="CF118" s="47" t="s">
        <v>1631</v>
      </c>
      <c r="CG118" s="47" t="s">
        <v>1631</v>
      </c>
      <c r="CH118" s="46" t="s">
        <v>95</v>
      </c>
      <c r="CI118" s="46" t="s">
        <v>3565</v>
      </c>
      <c r="CJ118" s="46" t="s">
        <v>95</v>
      </c>
      <c r="CK118" s="46" t="s">
        <v>95</v>
      </c>
      <c r="CL118" s="46" t="s">
        <v>95</v>
      </c>
      <c r="CM118" s="46" t="s">
        <v>3</v>
      </c>
      <c r="CN118" s="46" t="s">
        <v>141</v>
      </c>
      <c r="CO118" s="46" t="s">
        <v>14</v>
      </c>
      <c r="CP118" s="44" t="s">
        <v>3</v>
      </c>
      <c r="CQ118" s="43" t="s">
        <v>3184</v>
      </c>
      <c r="CR118" s="43" t="s">
        <v>3204</v>
      </c>
      <c r="CS118" s="47" t="s">
        <v>812</v>
      </c>
      <c r="CT118" s="46" t="s">
        <v>14</v>
      </c>
      <c r="CU118" s="46" t="s">
        <v>0</v>
      </c>
      <c r="CV118" s="46" t="s">
        <v>14</v>
      </c>
      <c r="CW118" s="47" t="s">
        <v>231</v>
      </c>
      <c r="CX118" s="46" t="s">
        <v>95</v>
      </c>
      <c r="CY118" s="46" t="s">
        <v>3</v>
      </c>
      <c r="CZ118" s="46" t="s">
        <v>129</v>
      </c>
      <c r="DA118" s="46" t="s">
        <v>16</v>
      </c>
      <c r="DB118" s="46" t="s">
        <v>3</v>
      </c>
      <c r="DC118" s="46" t="s">
        <v>186</v>
      </c>
      <c r="DD118" s="46" t="s">
        <v>131</v>
      </c>
      <c r="DE118" s="46" t="s">
        <v>14</v>
      </c>
      <c r="DF118" s="46" t="s">
        <v>3</v>
      </c>
      <c r="DG118" s="146" t="s">
        <v>3380</v>
      </c>
      <c r="DH118" s="46" t="s">
        <v>131</v>
      </c>
      <c r="DI118" s="46" t="s">
        <v>131</v>
      </c>
      <c r="DJ118" s="46" t="s">
        <v>131</v>
      </c>
      <c r="DK118" s="46" t="s">
        <v>16</v>
      </c>
      <c r="DL118" s="46" t="s">
        <v>3464</v>
      </c>
      <c r="DM118" s="46" t="s">
        <v>95</v>
      </c>
      <c r="DN118" s="47" t="s">
        <v>12</v>
      </c>
      <c r="DO118" s="47" t="s">
        <v>12</v>
      </c>
      <c r="DP118" s="46" t="s">
        <v>95</v>
      </c>
      <c r="DQ118" s="47" t="s">
        <v>3</v>
      </c>
      <c r="DR118" s="46" t="s">
        <v>3</v>
      </c>
      <c r="DS118" s="47" t="s">
        <v>2675</v>
      </c>
      <c r="DT118" s="47" t="s">
        <v>3</v>
      </c>
      <c r="DU118" s="47" t="s">
        <v>264</v>
      </c>
      <c r="DV118" s="47" t="s">
        <v>1541</v>
      </c>
      <c r="DW118" s="46" t="s">
        <v>48</v>
      </c>
      <c r="DX118" s="47" t="s">
        <v>443</v>
      </c>
      <c r="DY118" s="47" t="s">
        <v>3</v>
      </c>
      <c r="DZ118" s="43"/>
    </row>
    <row r="119" spans="1:130" s="18" customFormat="1" ht="12" customHeight="1" x14ac:dyDescent="0.15">
      <c r="A119" s="76" t="s">
        <v>402</v>
      </c>
      <c r="B119" s="69"/>
      <c r="C119" s="69" t="s">
        <v>2770</v>
      </c>
      <c r="D119" s="69" t="s">
        <v>2770</v>
      </c>
      <c r="E119" s="69" t="s">
        <v>1588</v>
      </c>
      <c r="F119" s="69"/>
      <c r="G119" s="69" t="s">
        <v>1588</v>
      </c>
      <c r="H119" s="69" t="s">
        <v>3</v>
      </c>
      <c r="I119" s="106" t="s">
        <v>1438</v>
      </c>
      <c r="J119" s="69" t="s">
        <v>3</v>
      </c>
      <c r="K119" s="69" t="s">
        <v>1438</v>
      </c>
      <c r="L119" s="69" t="s">
        <v>3</v>
      </c>
      <c r="M119" s="106" t="s">
        <v>1438</v>
      </c>
      <c r="N119" s="69" t="s">
        <v>3</v>
      </c>
      <c r="O119" s="69"/>
      <c r="P119" s="69"/>
      <c r="Q119" s="69"/>
      <c r="R119" s="69" t="s">
        <v>3239</v>
      </c>
      <c r="S119" s="128"/>
      <c r="T119" s="128"/>
      <c r="U119" s="107" t="s">
        <v>2557</v>
      </c>
      <c r="V119" s="69"/>
      <c r="W119" s="106" t="s">
        <v>1320</v>
      </c>
      <c r="X119" s="69" t="s">
        <v>1320</v>
      </c>
      <c r="Y119" s="69" t="s">
        <v>2325</v>
      </c>
      <c r="Z119" s="69" t="s">
        <v>2646</v>
      </c>
      <c r="AA119" s="69" t="s">
        <v>3</v>
      </c>
      <c r="AB119" s="69" t="s">
        <v>694</v>
      </c>
      <c r="AC119" s="69" t="s">
        <v>694</v>
      </c>
      <c r="AD119" s="69" t="s">
        <v>695</v>
      </c>
      <c r="AE119" s="69" t="s">
        <v>694</v>
      </c>
      <c r="AF119" s="69" t="s">
        <v>694</v>
      </c>
      <c r="AG119" s="69" t="s">
        <v>2413</v>
      </c>
      <c r="AH119" s="69" t="s">
        <v>2888</v>
      </c>
      <c r="AI119" s="69" t="s">
        <v>3</v>
      </c>
      <c r="AJ119" s="69" t="s">
        <v>3</v>
      </c>
      <c r="AK119" s="69" t="s">
        <v>3027</v>
      </c>
      <c r="AL119" s="69" t="s">
        <v>2991</v>
      </c>
      <c r="AM119" s="69" t="s">
        <v>3</v>
      </c>
      <c r="AN119" s="69" t="s">
        <v>3</v>
      </c>
      <c r="AO119" s="131"/>
      <c r="AP119" s="69" t="s">
        <v>457</v>
      </c>
      <c r="AQ119" s="69" t="s">
        <v>3423</v>
      </c>
      <c r="AR119" s="69"/>
      <c r="AS119" s="69"/>
      <c r="AT119" s="69"/>
      <c r="AU119" s="69"/>
      <c r="AV119" s="69" t="s">
        <v>3</v>
      </c>
      <c r="AW119" s="69" t="s">
        <v>525</v>
      </c>
      <c r="AX119" s="69" t="s">
        <v>3</v>
      </c>
      <c r="AY119" s="69" t="s">
        <v>525</v>
      </c>
      <c r="AZ119" s="69" t="s">
        <v>3</v>
      </c>
      <c r="BA119" s="69" t="s">
        <v>3109</v>
      </c>
      <c r="BB119" s="69" t="s">
        <v>3109</v>
      </c>
      <c r="BC119" s="69" t="s">
        <v>3</v>
      </c>
      <c r="BD119" s="69" t="s">
        <v>2233</v>
      </c>
      <c r="BE119" s="69" t="s">
        <v>2233</v>
      </c>
      <c r="BF119" s="69" t="s">
        <v>3</v>
      </c>
      <c r="BG119" s="69" t="s">
        <v>1105</v>
      </c>
      <c r="BH119" s="69"/>
      <c r="BI119" s="69"/>
      <c r="BJ119" s="69" t="s">
        <v>1869</v>
      </c>
      <c r="BK119" s="69" t="s">
        <v>2432</v>
      </c>
      <c r="BL119" s="69" t="s">
        <v>756</v>
      </c>
      <c r="BM119" s="69"/>
      <c r="BN119" s="69"/>
      <c r="BO119" s="69"/>
      <c r="BP119" s="69" t="s">
        <v>604</v>
      </c>
      <c r="BQ119" s="69" t="s">
        <v>3</v>
      </c>
      <c r="BR119" s="69"/>
      <c r="BS119" s="69"/>
      <c r="BT119" s="69"/>
      <c r="BU119" s="69"/>
      <c r="BV119" s="69"/>
      <c r="BW119" s="69" t="s">
        <v>2067</v>
      </c>
      <c r="BX119" s="69" t="s">
        <v>2030</v>
      </c>
      <c r="BY119" s="69"/>
      <c r="BZ119" s="69" t="s">
        <v>1659</v>
      </c>
      <c r="CA119" s="69" t="s">
        <v>2713</v>
      </c>
      <c r="CB119" s="69" t="s">
        <v>1659</v>
      </c>
      <c r="CC119" s="69"/>
      <c r="CD119" s="69"/>
      <c r="CE119" s="69" t="s">
        <v>1753</v>
      </c>
      <c r="CF119" s="69" t="s">
        <v>1798</v>
      </c>
      <c r="CG119" s="69" t="s">
        <v>1843</v>
      </c>
      <c r="CH119" s="69" t="s">
        <v>1822</v>
      </c>
      <c r="CI119" s="69" t="s">
        <v>3555</v>
      </c>
      <c r="CJ119" s="69" t="s">
        <v>3597</v>
      </c>
      <c r="CK119" s="69" t="s">
        <v>1795</v>
      </c>
      <c r="CL119" s="69" t="s">
        <v>3555</v>
      </c>
      <c r="CM119" s="69" t="s">
        <v>3</v>
      </c>
      <c r="CN119" s="69" t="s">
        <v>756</v>
      </c>
      <c r="CO119" s="69" t="s">
        <v>977</v>
      </c>
      <c r="CP119" s="69" t="s">
        <v>3</v>
      </c>
      <c r="CQ119" s="69" t="s">
        <v>3183</v>
      </c>
      <c r="CR119" s="69" t="s">
        <v>3183</v>
      </c>
      <c r="CS119" s="69" t="s">
        <v>2515</v>
      </c>
      <c r="CT119" s="69" t="s">
        <v>845</v>
      </c>
      <c r="CU119" s="69" t="s">
        <v>836</v>
      </c>
      <c r="CV119" s="69"/>
      <c r="CW119" s="69"/>
      <c r="CX119" s="69" t="s">
        <v>1231</v>
      </c>
      <c r="CY119" s="69"/>
      <c r="CZ119" s="69"/>
      <c r="DA119" s="69" t="s">
        <v>2166</v>
      </c>
      <c r="DB119" s="69" t="s">
        <v>3</v>
      </c>
      <c r="DC119" s="69" t="s">
        <v>904</v>
      </c>
      <c r="DD119" s="69" t="s">
        <v>895</v>
      </c>
      <c r="DE119" s="69"/>
      <c r="DF119" s="69"/>
      <c r="DG119" s="152" t="s">
        <v>3348</v>
      </c>
      <c r="DH119" s="69"/>
      <c r="DI119" s="96" t="s">
        <v>1047</v>
      </c>
      <c r="DJ119" s="96" t="s">
        <v>1047</v>
      </c>
      <c r="DK119" s="69" t="s">
        <v>1959</v>
      </c>
      <c r="DL119" s="69" t="s">
        <v>3488</v>
      </c>
      <c r="DM119" s="69"/>
      <c r="DN119" s="69"/>
      <c r="DO119" s="69"/>
      <c r="DP119" s="69"/>
      <c r="DQ119" s="69" t="s">
        <v>3</v>
      </c>
      <c r="DR119" s="69" t="s">
        <v>3</v>
      </c>
      <c r="DS119" s="69" t="s">
        <v>2671</v>
      </c>
      <c r="DT119" s="69" t="s">
        <v>3</v>
      </c>
      <c r="DU119" s="69" t="s">
        <v>1182</v>
      </c>
      <c r="DV119" s="69" t="s">
        <v>1540</v>
      </c>
      <c r="DW119" s="69" t="s">
        <v>411</v>
      </c>
      <c r="DX119" s="69" t="s">
        <v>441</v>
      </c>
      <c r="DY119" s="69" t="s">
        <v>3</v>
      </c>
      <c r="DZ119" s="69"/>
    </row>
    <row r="120" spans="1:130" s="18" customFormat="1" ht="22.5" customHeight="1" x14ac:dyDescent="0.15">
      <c r="A120" s="25" t="s">
        <v>69</v>
      </c>
      <c r="B120" s="47" t="s">
        <v>95</v>
      </c>
      <c r="C120" s="46" t="s">
        <v>95</v>
      </c>
      <c r="D120" s="46" t="s">
        <v>95</v>
      </c>
      <c r="E120" s="47" t="s">
        <v>14</v>
      </c>
      <c r="F120" s="46" t="s">
        <v>264</v>
      </c>
      <c r="G120" s="46" t="s">
        <v>264</v>
      </c>
      <c r="H120" s="47" t="s">
        <v>3</v>
      </c>
      <c r="I120" s="62" t="s">
        <v>1410</v>
      </c>
      <c r="J120" s="47" t="s">
        <v>3</v>
      </c>
      <c r="K120" s="47" t="s">
        <v>1410</v>
      </c>
      <c r="L120" s="47" t="s">
        <v>3</v>
      </c>
      <c r="M120" s="62" t="s">
        <v>95</v>
      </c>
      <c r="N120" s="46" t="s">
        <v>3</v>
      </c>
      <c r="O120" s="47" t="s">
        <v>331</v>
      </c>
      <c r="P120" s="60" t="s">
        <v>3</v>
      </c>
      <c r="Q120" s="60" t="s">
        <v>3</v>
      </c>
      <c r="R120" s="46" t="s">
        <v>3239</v>
      </c>
      <c r="S120" s="117" t="s">
        <v>95</v>
      </c>
      <c r="T120" s="117" t="s">
        <v>95</v>
      </c>
      <c r="U120" s="121" t="s">
        <v>3</v>
      </c>
      <c r="V120" s="60" t="s">
        <v>3</v>
      </c>
      <c r="W120" s="101" t="s">
        <v>0</v>
      </c>
      <c r="X120" s="46" t="s">
        <v>0</v>
      </c>
      <c r="Y120" s="47" t="s">
        <v>3</v>
      </c>
      <c r="Z120" s="46" t="s">
        <v>3</v>
      </c>
      <c r="AA120" s="46" t="s">
        <v>3</v>
      </c>
      <c r="AB120" s="46" t="s">
        <v>3</v>
      </c>
      <c r="AC120" s="46" t="s">
        <v>3</v>
      </c>
      <c r="AD120" s="46" t="s">
        <v>3</v>
      </c>
      <c r="AE120" s="46" t="s">
        <v>3</v>
      </c>
      <c r="AF120" s="46" t="s">
        <v>3</v>
      </c>
      <c r="AG120" s="46" t="s">
        <v>2404</v>
      </c>
      <c r="AH120" s="46" t="s">
        <v>3</v>
      </c>
      <c r="AI120" s="47" t="s">
        <v>3</v>
      </c>
      <c r="AJ120" s="47" t="s">
        <v>3</v>
      </c>
      <c r="AK120" s="47" t="s">
        <v>186</v>
      </c>
      <c r="AL120" s="47" t="s">
        <v>95</v>
      </c>
      <c r="AM120" s="47" t="s">
        <v>3</v>
      </c>
      <c r="AN120" s="20" t="s">
        <v>3</v>
      </c>
      <c r="AO120" s="130" t="s">
        <v>184</v>
      </c>
      <c r="AP120" s="20" t="s">
        <v>3</v>
      </c>
      <c r="AQ120" s="43" t="s">
        <v>3424</v>
      </c>
      <c r="AR120" s="43" t="s">
        <v>3504</v>
      </c>
      <c r="AS120" s="43" t="s">
        <v>3504</v>
      </c>
      <c r="AT120" s="43" t="s">
        <v>3504</v>
      </c>
      <c r="AU120" s="42" t="s">
        <v>95</v>
      </c>
      <c r="AV120" s="20" t="s">
        <v>3</v>
      </c>
      <c r="AW120" s="44" t="s">
        <v>95</v>
      </c>
      <c r="AX120" s="20" t="s">
        <v>3</v>
      </c>
      <c r="AY120" s="44" t="s">
        <v>95</v>
      </c>
      <c r="AZ120" s="44" t="s">
        <v>3</v>
      </c>
      <c r="BA120" s="44" t="s">
        <v>0</v>
      </c>
      <c r="BB120" s="44" t="s">
        <v>0</v>
      </c>
      <c r="BC120" s="44" t="s">
        <v>3</v>
      </c>
      <c r="BD120" s="44" t="s">
        <v>3</v>
      </c>
      <c r="BE120" s="44" t="s">
        <v>3</v>
      </c>
      <c r="BF120" s="47" t="s">
        <v>3</v>
      </c>
      <c r="BG120" s="47" t="s">
        <v>3</v>
      </c>
      <c r="BH120" s="47" t="s">
        <v>3</v>
      </c>
      <c r="BI120" s="47" t="s">
        <v>389</v>
      </c>
      <c r="BJ120" s="47" t="s">
        <v>1871</v>
      </c>
      <c r="BK120" s="47" t="s">
        <v>1871</v>
      </c>
      <c r="BL120" s="47" t="s">
        <v>0</v>
      </c>
      <c r="BM120" s="60" t="s">
        <v>3</v>
      </c>
      <c r="BN120" s="60" t="s">
        <v>3</v>
      </c>
      <c r="BO120" s="60" t="s">
        <v>3</v>
      </c>
      <c r="BP120" s="47" t="s">
        <v>3</v>
      </c>
      <c r="BQ120" s="47" t="s">
        <v>3</v>
      </c>
      <c r="BR120" s="47" t="s">
        <v>812</v>
      </c>
      <c r="BS120" s="46" t="s">
        <v>95</v>
      </c>
      <c r="BT120" s="46" t="s">
        <v>95</v>
      </c>
      <c r="BU120" s="46" t="s">
        <v>3</v>
      </c>
      <c r="BV120" s="46" t="s">
        <v>3</v>
      </c>
      <c r="BW120" s="47" t="s">
        <v>2031</v>
      </c>
      <c r="BX120" s="47" t="s">
        <v>2031</v>
      </c>
      <c r="BY120" s="46" t="s">
        <v>95</v>
      </c>
      <c r="BZ120" s="46" t="s">
        <v>95</v>
      </c>
      <c r="CA120" s="46" t="s">
        <v>14</v>
      </c>
      <c r="CB120" s="46" t="s">
        <v>95</v>
      </c>
      <c r="CC120" s="46" t="s">
        <v>3</v>
      </c>
      <c r="CD120" s="46" t="s">
        <v>95</v>
      </c>
      <c r="CE120" s="46" t="s">
        <v>95</v>
      </c>
      <c r="CF120" s="46" t="s">
        <v>95</v>
      </c>
      <c r="CG120" s="46" t="s">
        <v>95</v>
      </c>
      <c r="CH120" s="46" t="s">
        <v>95</v>
      </c>
      <c r="CI120" s="46" t="s">
        <v>3565</v>
      </c>
      <c r="CJ120" s="46" t="s">
        <v>95</v>
      </c>
      <c r="CK120" s="46" t="s">
        <v>95</v>
      </c>
      <c r="CL120" s="46" t="s">
        <v>95</v>
      </c>
      <c r="CM120" s="46" t="s">
        <v>3</v>
      </c>
      <c r="CN120" s="46" t="s">
        <v>3</v>
      </c>
      <c r="CO120" s="47" t="s">
        <v>3</v>
      </c>
      <c r="CP120" s="44" t="s">
        <v>3</v>
      </c>
      <c r="CQ120" s="44" t="s">
        <v>14</v>
      </c>
      <c r="CR120" s="44" t="s">
        <v>131</v>
      </c>
      <c r="CS120" s="47" t="s">
        <v>812</v>
      </c>
      <c r="CT120" s="46" t="s">
        <v>3</v>
      </c>
      <c r="CU120" s="46" t="s">
        <v>3</v>
      </c>
      <c r="CV120" s="46" t="s">
        <v>3</v>
      </c>
      <c r="CW120" s="47" t="s">
        <v>3</v>
      </c>
      <c r="CX120" s="46" t="s">
        <v>95</v>
      </c>
      <c r="CY120" s="46" t="s">
        <v>3</v>
      </c>
      <c r="CZ120" s="46" t="s">
        <v>3</v>
      </c>
      <c r="DA120" s="46" t="s">
        <v>16</v>
      </c>
      <c r="DB120" s="46" t="s">
        <v>3</v>
      </c>
      <c r="DC120" s="46" t="s">
        <v>3</v>
      </c>
      <c r="DD120" s="46" t="s">
        <v>3</v>
      </c>
      <c r="DE120" s="46" t="s">
        <v>3</v>
      </c>
      <c r="DF120" s="46" t="s">
        <v>3</v>
      </c>
      <c r="DG120" s="146" t="s">
        <v>3</v>
      </c>
      <c r="DH120" s="46" t="s">
        <v>3</v>
      </c>
      <c r="DI120" s="46" t="s">
        <v>131</v>
      </c>
      <c r="DJ120" s="46" t="s">
        <v>131</v>
      </c>
      <c r="DK120" s="46" t="s">
        <v>16</v>
      </c>
      <c r="DL120" s="46" t="s">
        <v>3464</v>
      </c>
      <c r="DM120" s="46" t="s">
        <v>95</v>
      </c>
      <c r="DN120" s="47" t="s">
        <v>12</v>
      </c>
      <c r="DO120" s="47" t="s">
        <v>12</v>
      </c>
      <c r="DP120" s="46" t="s">
        <v>95</v>
      </c>
      <c r="DQ120" s="47" t="s">
        <v>3</v>
      </c>
      <c r="DR120" s="46" t="s">
        <v>3</v>
      </c>
      <c r="DS120" s="47" t="s">
        <v>3</v>
      </c>
      <c r="DT120" s="47" t="s">
        <v>3</v>
      </c>
      <c r="DU120" s="47" t="s">
        <v>3</v>
      </c>
      <c r="DV120" s="47" t="s">
        <v>3</v>
      </c>
      <c r="DW120" s="47" t="s">
        <v>48</v>
      </c>
      <c r="DX120" s="47" t="s">
        <v>16</v>
      </c>
      <c r="DY120" s="47" t="s">
        <v>3</v>
      </c>
      <c r="DZ120" s="43"/>
    </row>
    <row r="121" spans="1:130" s="18" customFormat="1" ht="12" customHeight="1" x14ac:dyDescent="0.15">
      <c r="A121" s="76" t="s">
        <v>402</v>
      </c>
      <c r="B121" s="69"/>
      <c r="C121" s="69" t="s">
        <v>2770</v>
      </c>
      <c r="D121" s="69" t="s">
        <v>2770</v>
      </c>
      <c r="E121" s="69" t="s">
        <v>1588</v>
      </c>
      <c r="F121" s="69"/>
      <c r="G121" s="69" t="s">
        <v>1588</v>
      </c>
      <c r="H121" s="69" t="s">
        <v>3</v>
      </c>
      <c r="I121" s="106" t="s">
        <v>1438</v>
      </c>
      <c r="J121" s="69" t="s">
        <v>3</v>
      </c>
      <c r="K121" s="69" t="s">
        <v>1438</v>
      </c>
      <c r="L121" s="69" t="s">
        <v>3</v>
      </c>
      <c r="M121" s="106" t="s">
        <v>1438</v>
      </c>
      <c r="N121" s="69" t="s">
        <v>3</v>
      </c>
      <c r="O121" s="69"/>
      <c r="P121" s="69"/>
      <c r="Q121" s="69"/>
      <c r="R121" s="69" t="s">
        <v>3239</v>
      </c>
      <c r="S121" s="128"/>
      <c r="T121" s="128"/>
      <c r="U121" s="107" t="s">
        <v>3</v>
      </c>
      <c r="V121" s="69"/>
      <c r="W121" s="106" t="s">
        <v>1321</v>
      </c>
      <c r="X121" s="69" t="s">
        <v>1321</v>
      </c>
      <c r="Y121" s="69" t="s">
        <v>3</v>
      </c>
      <c r="Z121" s="69" t="s">
        <v>3</v>
      </c>
      <c r="AA121" s="69" t="s">
        <v>3</v>
      </c>
      <c r="AB121" s="69" t="s">
        <v>3</v>
      </c>
      <c r="AC121" s="69" t="s">
        <v>3</v>
      </c>
      <c r="AD121" s="69" t="s">
        <v>3</v>
      </c>
      <c r="AE121" s="69" t="s">
        <v>3</v>
      </c>
      <c r="AF121" s="69" t="s">
        <v>3</v>
      </c>
      <c r="AG121" s="69" t="s">
        <v>2403</v>
      </c>
      <c r="AH121" s="69" t="s">
        <v>3</v>
      </c>
      <c r="AI121" s="69" t="s">
        <v>3</v>
      </c>
      <c r="AJ121" s="69" t="s">
        <v>3</v>
      </c>
      <c r="AK121" s="69" t="s">
        <v>3028</v>
      </c>
      <c r="AL121" s="69" t="s">
        <v>2990</v>
      </c>
      <c r="AM121" s="69" t="s">
        <v>3</v>
      </c>
      <c r="AN121" s="69" t="s">
        <v>3</v>
      </c>
      <c r="AO121" s="131"/>
      <c r="AP121" s="69" t="s">
        <v>3</v>
      </c>
      <c r="AQ121" s="69" t="s">
        <v>3425</v>
      </c>
      <c r="AR121" s="69"/>
      <c r="AS121" s="69"/>
      <c r="AT121" s="69"/>
      <c r="AU121" s="69"/>
      <c r="AV121" s="69" t="s">
        <v>3</v>
      </c>
      <c r="AW121" s="69" t="s">
        <v>535</v>
      </c>
      <c r="AX121" s="69" t="s">
        <v>3</v>
      </c>
      <c r="AY121" s="69" t="s">
        <v>2593</v>
      </c>
      <c r="AZ121" s="69" t="s">
        <v>3</v>
      </c>
      <c r="BA121" s="69" t="s">
        <v>3110</v>
      </c>
      <c r="BB121" s="69" t="s">
        <v>3110</v>
      </c>
      <c r="BC121" s="69" t="s">
        <v>3</v>
      </c>
      <c r="BD121" s="69" t="s">
        <v>3</v>
      </c>
      <c r="BE121" s="69" t="s">
        <v>3</v>
      </c>
      <c r="BF121" s="69" t="s">
        <v>3</v>
      </c>
      <c r="BG121" s="69" t="s">
        <v>3</v>
      </c>
      <c r="BH121" s="69"/>
      <c r="BI121" s="69"/>
      <c r="BJ121" s="69" t="s">
        <v>1870</v>
      </c>
      <c r="BK121" s="69" t="s">
        <v>2432</v>
      </c>
      <c r="BL121" s="69" t="s">
        <v>756</v>
      </c>
      <c r="BM121" s="69"/>
      <c r="BN121" s="69"/>
      <c r="BO121" s="69"/>
      <c r="BP121" s="69" t="s">
        <v>3</v>
      </c>
      <c r="BQ121" s="69" t="s">
        <v>3</v>
      </c>
      <c r="BR121" s="69"/>
      <c r="BS121" s="69"/>
      <c r="BT121" s="69"/>
      <c r="BU121" s="69"/>
      <c r="BV121" s="69"/>
      <c r="BW121" s="69" t="s">
        <v>2067</v>
      </c>
      <c r="BX121" s="69" t="s">
        <v>2030</v>
      </c>
      <c r="BY121" s="69"/>
      <c r="BZ121" s="69" t="s">
        <v>1659</v>
      </c>
      <c r="CA121" s="69" t="s">
        <v>2713</v>
      </c>
      <c r="CB121" s="69" t="s">
        <v>1659</v>
      </c>
      <c r="CC121" s="69"/>
      <c r="CD121" s="69"/>
      <c r="CE121" s="69" t="s">
        <v>1747</v>
      </c>
      <c r="CF121" s="69" t="s">
        <v>1795</v>
      </c>
      <c r="CG121" s="69" t="s">
        <v>1844</v>
      </c>
      <c r="CH121" s="69" t="s">
        <v>1822</v>
      </c>
      <c r="CI121" s="69" t="s">
        <v>3555</v>
      </c>
      <c r="CJ121" s="69" t="s">
        <v>3555</v>
      </c>
      <c r="CK121" s="69" t="s">
        <v>3555</v>
      </c>
      <c r="CL121" s="69" t="s">
        <v>1747</v>
      </c>
      <c r="CM121" s="69" t="s">
        <v>3</v>
      </c>
      <c r="CN121" s="69" t="s">
        <v>3</v>
      </c>
      <c r="CO121" s="69" t="s">
        <v>3</v>
      </c>
      <c r="CP121" s="69" t="s">
        <v>3</v>
      </c>
      <c r="CQ121" s="69" t="s">
        <v>3183</v>
      </c>
      <c r="CR121" s="69" t="s">
        <v>3183</v>
      </c>
      <c r="CS121" s="69" t="s">
        <v>2515</v>
      </c>
      <c r="CT121" s="69" t="s">
        <v>3</v>
      </c>
      <c r="CU121" s="69" t="s">
        <v>3</v>
      </c>
      <c r="CV121" s="69"/>
      <c r="CW121" s="69"/>
      <c r="CX121" s="69" t="s">
        <v>1231</v>
      </c>
      <c r="CY121" s="69"/>
      <c r="CZ121" s="69"/>
      <c r="DA121" s="69" t="s">
        <v>2167</v>
      </c>
      <c r="DB121" s="69" t="s">
        <v>3</v>
      </c>
      <c r="DC121" s="69" t="s">
        <v>3</v>
      </c>
      <c r="DD121" s="69" t="s">
        <v>3</v>
      </c>
      <c r="DE121" s="69"/>
      <c r="DF121" s="69"/>
      <c r="DG121" s="152" t="s">
        <v>3</v>
      </c>
      <c r="DH121" s="69"/>
      <c r="DI121" s="96" t="s">
        <v>1048</v>
      </c>
      <c r="DJ121" s="96" t="s">
        <v>1048</v>
      </c>
      <c r="DK121" s="69" t="s">
        <v>1960</v>
      </c>
      <c r="DL121" s="69" t="s">
        <v>3489</v>
      </c>
      <c r="DM121" s="69"/>
      <c r="DN121" s="69"/>
      <c r="DO121" s="69"/>
      <c r="DP121" s="69"/>
      <c r="DQ121" s="69" t="s">
        <v>3</v>
      </c>
      <c r="DR121" s="69" t="s">
        <v>3</v>
      </c>
      <c r="DS121" s="69" t="s">
        <v>3</v>
      </c>
      <c r="DT121" s="69" t="s">
        <v>3</v>
      </c>
      <c r="DU121" s="69" t="s">
        <v>3</v>
      </c>
      <c r="DV121" s="69" t="s">
        <v>3</v>
      </c>
      <c r="DW121" s="69" t="s">
        <v>411</v>
      </c>
      <c r="DX121" s="69" t="s">
        <v>441</v>
      </c>
      <c r="DY121" s="69" t="s">
        <v>3</v>
      </c>
      <c r="DZ121" s="69"/>
    </row>
    <row r="122" spans="1:130" s="18" customFormat="1" ht="22.5" customHeight="1" x14ac:dyDescent="0.15">
      <c r="A122" s="25" t="s">
        <v>68</v>
      </c>
      <c r="B122" s="47" t="s">
        <v>204</v>
      </c>
      <c r="C122" s="47" t="s">
        <v>146</v>
      </c>
      <c r="D122" s="47" t="s">
        <v>146</v>
      </c>
      <c r="E122" s="47" t="s">
        <v>107</v>
      </c>
      <c r="F122" s="47" t="s">
        <v>107</v>
      </c>
      <c r="G122" s="47" t="s">
        <v>107</v>
      </c>
      <c r="H122" s="47" t="s">
        <v>3</v>
      </c>
      <c r="I122" s="62" t="s">
        <v>1412</v>
      </c>
      <c r="J122" s="47" t="s">
        <v>3</v>
      </c>
      <c r="K122" s="47" t="s">
        <v>1412</v>
      </c>
      <c r="L122" s="47" t="s">
        <v>3</v>
      </c>
      <c r="M122" s="62" t="s">
        <v>1412</v>
      </c>
      <c r="N122" s="46" t="s">
        <v>3</v>
      </c>
      <c r="O122" s="47" t="s">
        <v>64</v>
      </c>
      <c r="P122" s="47" t="s">
        <v>12</v>
      </c>
      <c r="Q122" s="47" t="s">
        <v>0</v>
      </c>
      <c r="R122" s="46" t="s">
        <v>3239</v>
      </c>
      <c r="S122" s="47" t="s">
        <v>51</v>
      </c>
      <c r="T122" s="47" t="s">
        <v>51</v>
      </c>
      <c r="U122" s="121" t="s">
        <v>64</v>
      </c>
      <c r="V122" s="47" t="s">
        <v>799</v>
      </c>
      <c r="W122" s="62" t="s">
        <v>832</v>
      </c>
      <c r="X122" s="47" t="s">
        <v>832</v>
      </c>
      <c r="Y122" s="47" t="s">
        <v>2296</v>
      </c>
      <c r="Z122" s="47" t="s">
        <v>146</v>
      </c>
      <c r="AA122" s="46" t="s">
        <v>3</v>
      </c>
      <c r="AB122" s="47" t="s">
        <v>3</v>
      </c>
      <c r="AC122" s="47" t="s">
        <v>421</v>
      </c>
      <c r="AD122" s="47" t="s">
        <v>51</v>
      </c>
      <c r="AE122" s="47" t="s">
        <v>3</v>
      </c>
      <c r="AF122" s="47" t="s">
        <v>421</v>
      </c>
      <c r="AG122" s="47" t="s">
        <v>51</v>
      </c>
      <c r="AH122" s="47" t="s">
        <v>2889</v>
      </c>
      <c r="AI122" s="47" t="s">
        <v>3</v>
      </c>
      <c r="AJ122" s="47" t="s">
        <v>3</v>
      </c>
      <c r="AK122" s="47" t="s">
        <v>3038</v>
      </c>
      <c r="AL122" s="47" t="s">
        <v>3002</v>
      </c>
      <c r="AM122" s="47" t="s">
        <v>3</v>
      </c>
      <c r="AN122" s="20" t="s">
        <v>51</v>
      </c>
      <c r="AO122" s="130" t="s">
        <v>1</v>
      </c>
      <c r="AP122" s="43" t="s">
        <v>290</v>
      </c>
      <c r="AQ122" s="43" t="s">
        <v>3428</v>
      </c>
      <c r="AR122" s="43" t="s">
        <v>3505</v>
      </c>
      <c r="AS122" s="43" t="s">
        <v>3505</v>
      </c>
      <c r="AT122" s="43" t="s">
        <v>3505</v>
      </c>
      <c r="AU122" s="42" t="s">
        <v>1</v>
      </c>
      <c r="AV122" s="20" t="s">
        <v>3</v>
      </c>
      <c r="AW122" s="43" t="s">
        <v>421</v>
      </c>
      <c r="AX122" s="20" t="s">
        <v>3</v>
      </c>
      <c r="AY122" s="43" t="s">
        <v>146</v>
      </c>
      <c r="AZ122" s="47" t="s">
        <v>3</v>
      </c>
      <c r="BA122" s="43" t="s">
        <v>51</v>
      </c>
      <c r="BB122" s="43" t="s">
        <v>0</v>
      </c>
      <c r="BC122" s="47" t="s">
        <v>3</v>
      </c>
      <c r="BD122" s="43" t="s">
        <v>832</v>
      </c>
      <c r="BE122" s="43" t="s">
        <v>832</v>
      </c>
      <c r="BF122" s="47" t="s">
        <v>3</v>
      </c>
      <c r="BG122" s="47" t="s">
        <v>1097</v>
      </c>
      <c r="BH122" s="47" t="s">
        <v>1097</v>
      </c>
      <c r="BI122" s="47" t="s">
        <v>383</v>
      </c>
      <c r="BJ122" s="47" t="s">
        <v>1865</v>
      </c>
      <c r="BK122" s="47" t="s">
        <v>1865</v>
      </c>
      <c r="BL122" s="47" t="s">
        <v>290</v>
      </c>
      <c r="BM122" s="47" t="s">
        <v>146</v>
      </c>
      <c r="BN122" s="47" t="s">
        <v>107</v>
      </c>
      <c r="BO122" s="47" t="s">
        <v>3</v>
      </c>
      <c r="BP122" s="47" t="s">
        <v>107</v>
      </c>
      <c r="BQ122" s="47" t="s">
        <v>3</v>
      </c>
      <c r="BR122" s="47" t="s">
        <v>812</v>
      </c>
      <c r="BS122" s="47" t="s">
        <v>371</v>
      </c>
      <c r="BT122" s="47" t="s">
        <v>371</v>
      </c>
      <c r="BU122" s="46" t="s">
        <v>3</v>
      </c>
      <c r="BV122" s="47" t="s">
        <v>107</v>
      </c>
      <c r="BW122" s="47" t="s">
        <v>2047</v>
      </c>
      <c r="BX122" s="47" t="s">
        <v>2047</v>
      </c>
      <c r="BY122" s="47" t="s">
        <v>281</v>
      </c>
      <c r="BZ122" s="47" t="s">
        <v>281</v>
      </c>
      <c r="CA122" s="47" t="s">
        <v>1412</v>
      </c>
      <c r="CB122" s="47" t="s">
        <v>281</v>
      </c>
      <c r="CC122" s="47" t="s">
        <v>3</v>
      </c>
      <c r="CD122" s="47" t="s">
        <v>53</v>
      </c>
      <c r="CE122" s="46" t="s">
        <v>95</v>
      </c>
      <c r="CF122" s="46" t="s">
        <v>95</v>
      </c>
      <c r="CG122" s="46" t="s">
        <v>95</v>
      </c>
      <c r="CH122" s="47" t="s">
        <v>53</v>
      </c>
      <c r="CI122" s="47" t="s">
        <v>146</v>
      </c>
      <c r="CJ122" s="47" t="s">
        <v>146</v>
      </c>
      <c r="CK122" s="47" t="s">
        <v>146</v>
      </c>
      <c r="CL122" s="155" t="s">
        <v>53</v>
      </c>
      <c r="CM122" s="47" t="s">
        <v>3</v>
      </c>
      <c r="CN122" s="47" t="s">
        <v>763</v>
      </c>
      <c r="CO122" s="47" t="s">
        <v>130</v>
      </c>
      <c r="CP122" s="47" t="s">
        <v>3</v>
      </c>
      <c r="CQ122" s="43" t="s">
        <v>53</v>
      </c>
      <c r="CR122" s="43" t="s">
        <v>53</v>
      </c>
      <c r="CS122" s="47" t="s">
        <v>812</v>
      </c>
      <c r="CT122" s="47" t="s">
        <v>833</v>
      </c>
      <c r="CU122" s="47" t="s">
        <v>832</v>
      </c>
      <c r="CV122" s="46" t="s">
        <v>3</v>
      </c>
      <c r="CW122" s="47" t="s">
        <v>145</v>
      </c>
      <c r="CX122" s="46" t="s">
        <v>3</v>
      </c>
      <c r="CY122" s="46" t="s">
        <v>3</v>
      </c>
      <c r="CZ122" s="47" t="s">
        <v>130</v>
      </c>
      <c r="DA122" s="47" t="s">
        <v>51</v>
      </c>
      <c r="DB122" s="46" t="s">
        <v>3</v>
      </c>
      <c r="DC122" s="47" t="s">
        <v>884</v>
      </c>
      <c r="DD122" s="47" t="s">
        <v>884</v>
      </c>
      <c r="DE122" s="47" t="s">
        <v>290</v>
      </c>
      <c r="DF122" s="47" t="s">
        <v>3</v>
      </c>
      <c r="DG122" s="146" t="s">
        <v>3381</v>
      </c>
      <c r="DH122" s="47" t="s">
        <v>357</v>
      </c>
      <c r="DI122" s="47" t="s">
        <v>357</v>
      </c>
      <c r="DJ122" s="47" t="s">
        <v>357</v>
      </c>
      <c r="DK122" s="47" t="s">
        <v>1933</v>
      </c>
      <c r="DL122" s="47" t="s">
        <v>3</v>
      </c>
      <c r="DM122" s="47" t="s">
        <v>51</v>
      </c>
      <c r="DN122" s="47" t="s">
        <v>51</v>
      </c>
      <c r="DO122" s="47" t="s">
        <v>3</v>
      </c>
      <c r="DP122" s="47" t="s">
        <v>51</v>
      </c>
      <c r="DQ122" s="47" t="s">
        <v>2915</v>
      </c>
      <c r="DR122" s="47" t="s">
        <v>51</v>
      </c>
      <c r="DS122" s="47" t="s">
        <v>51</v>
      </c>
      <c r="DT122" s="47" t="s">
        <v>3</v>
      </c>
      <c r="DU122" s="47" t="s">
        <v>274</v>
      </c>
      <c r="DV122" s="47" t="s">
        <v>1577</v>
      </c>
      <c r="DW122" s="46" t="s">
        <v>3</v>
      </c>
      <c r="DX122" s="47" t="s">
        <v>421</v>
      </c>
      <c r="DY122" s="47" t="s">
        <v>3</v>
      </c>
      <c r="DZ122" s="43"/>
    </row>
    <row r="123" spans="1:130" s="18" customFormat="1" ht="12" customHeight="1" x14ac:dyDescent="0.15">
      <c r="A123" s="76" t="s">
        <v>402</v>
      </c>
      <c r="B123" s="69"/>
      <c r="C123" s="69" t="s">
        <v>2774</v>
      </c>
      <c r="D123" s="69" t="s">
        <v>2774</v>
      </c>
      <c r="E123" s="69" t="s">
        <v>1592</v>
      </c>
      <c r="F123" s="69"/>
      <c r="G123" s="69" t="s">
        <v>1592</v>
      </c>
      <c r="H123" s="69" t="s">
        <v>3</v>
      </c>
      <c r="I123" s="106" t="s">
        <v>1632</v>
      </c>
      <c r="J123" s="69" t="s">
        <v>3</v>
      </c>
      <c r="K123" s="69" t="s">
        <v>1442</v>
      </c>
      <c r="L123" s="69" t="s">
        <v>3</v>
      </c>
      <c r="M123" s="106" t="s">
        <v>1442</v>
      </c>
      <c r="N123" s="69" t="s">
        <v>3</v>
      </c>
      <c r="O123" s="69"/>
      <c r="P123" s="69"/>
      <c r="Q123" s="69"/>
      <c r="R123" s="69" t="s">
        <v>3239</v>
      </c>
      <c r="S123" s="128"/>
      <c r="T123" s="128"/>
      <c r="U123" s="107" t="s">
        <v>2557</v>
      </c>
      <c r="V123" s="69"/>
      <c r="W123" s="106" t="s">
        <v>1289</v>
      </c>
      <c r="X123" s="69" t="s">
        <v>1289</v>
      </c>
      <c r="Y123" s="69" t="s">
        <v>2295</v>
      </c>
      <c r="Z123" s="69" t="s">
        <v>2613</v>
      </c>
      <c r="AA123" s="69" t="s">
        <v>3</v>
      </c>
      <c r="AB123" s="69" t="s">
        <v>673</v>
      </c>
      <c r="AC123" s="69" t="s">
        <v>674</v>
      </c>
      <c r="AD123" s="69" t="s">
        <v>674</v>
      </c>
      <c r="AE123" s="69" t="s">
        <v>673</v>
      </c>
      <c r="AF123" s="69" t="s">
        <v>674</v>
      </c>
      <c r="AG123" s="69" t="s">
        <v>674</v>
      </c>
      <c r="AH123" s="69" t="s">
        <v>2890</v>
      </c>
      <c r="AI123" s="69" t="s">
        <v>3</v>
      </c>
      <c r="AJ123" s="69" t="s">
        <v>3</v>
      </c>
      <c r="AK123" s="69" t="s">
        <v>3037</v>
      </c>
      <c r="AL123" s="69" t="s">
        <v>3001</v>
      </c>
      <c r="AM123" s="69" t="s">
        <v>3</v>
      </c>
      <c r="AN123" s="69" t="s">
        <v>503</v>
      </c>
      <c r="AO123" s="131"/>
      <c r="AP123" s="69" t="s">
        <v>462</v>
      </c>
      <c r="AQ123" s="69" t="s">
        <v>3427</v>
      </c>
      <c r="AR123" s="69"/>
      <c r="AS123" s="69"/>
      <c r="AT123" s="69"/>
      <c r="AU123" s="69"/>
      <c r="AV123" s="69" t="s">
        <v>3</v>
      </c>
      <c r="AW123" s="69" t="s">
        <v>534</v>
      </c>
      <c r="AX123" s="69" t="s">
        <v>3</v>
      </c>
      <c r="AY123" s="69" t="s">
        <v>534</v>
      </c>
      <c r="AZ123" s="69" t="s">
        <v>3</v>
      </c>
      <c r="BA123" s="69" t="s">
        <v>2232</v>
      </c>
      <c r="BB123" s="69" t="s">
        <v>3117</v>
      </c>
      <c r="BC123" s="69" t="s">
        <v>3</v>
      </c>
      <c r="BD123" s="69" t="s">
        <v>2232</v>
      </c>
      <c r="BE123" s="69" t="s">
        <v>2232</v>
      </c>
      <c r="BF123" s="69" t="s">
        <v>3</v>
      </c>
      <c r="BG123" s="69" t="s">
        <v>1096</v>
      </c>
      <c r="BH123" s="69"/>
      <c r="BI123" s="69"/>
      <c r="BJ123" s="69" t="s">
        <v>1864</v>
      </c>
      <c r="BK123" s="69" t="s">
        <v>2432</v>
      </c>
      <c r="BL123" s="69" t="s">
        <v>2337</v>
      </c>
      <c r="BM123" s="69"/>
      <c r="BN123" s="69"/>
      <c r="BO123" s="69"/>
      <c r="BP123" s="69" t="s">
        <v>616</v>
      </c>
      <c r="BQ123" s="69" t="s">
        <v>3</v>
      </c>
      <c r="BR123" s="69"/>
      <c r="BS123" s="69"/>
      <c r="BT123" s="69"/>
      <c r="BU123" s="69"/>
      <c r="BV123" s="69"/>
      <c r="BW123" s="69" t="s">
        <v>2082</v>
      </c>
      <c r="BX123" s="69" t="s">
        <v>2046</v>
      </c>
      <c r="BY123" s="69"/>
      <c r="BZ123" s="69" t="s">
        <v>1692</v>
      </c>
      <c r="CA123" s="69" t="s">
        <v>2729</v>
      </c>
      <c r="CB123" s="69" t="s">
        <v>1692</v>
      </c>
      <c r="CC123" s="69"/>
      <c r="CD123" s="69"/>
      <c r="CE123" s="69" t="s">
        <v>1747</v>
      </c>
      <c r="CF123" s="69" t="s">
        <v>1795</v>
      </c>
      <c r="CG123" s="69" t="s">
        <v>1844</v>
      </c>
      <c r="CH123" s="69" t="s">
        <v>1798</v>
      </c>
      <c r="CI123" s="69" t="s">
        <v>1799</v>
      </c>
      <c r="CJ123" s="69" t="s">
        <v>3555</v>
      </c>
      <c r="CK123" s="69" t="s">
        <v>3555</v>
      </c>
      <c r="CL123" s="69" t="s">
        <v>3577</v>
      </c>
      <c r="CM123" s="69" t="s">
        <v>3</v>
      </c>
      <c r="CN123" s="69" t="s">
        <v>762</v>
      </c>
      <c r="CO123" s="69" t="s">
        <v>985</v>
      </c>
      <c r="CP123" s="69" t="s">
        <v>3</v>
      </c>
      <c r="CQ123" s="69" t="s">
        <v>3189</v>
      </c>
      <c r="CR123" s="69" t="s">
        <v>3189</v>
      </c>
      <c r="CS123" s="69" t="s">
        <v>2516</v>
      </c>
      <c r="CT123" s="69" t="s">
        <v>845</v>
      </c>
      <c r="CU123" s="69" t="s">
        <v>836</v>
      </c>
      <c r="CV123" s="69"/>
      <c r="CW123" s="69"/>
      <c r="CX123" s="69" t="s">
        <v>3</v>
      </c>
      <c r="CY123" s="69"/>
      <c r="CZ123" s="69"/>
      <c r="DA123" s="69" t="s">
        <v>2168</v>
      </c>
      <c r="DB123" s="69" t="s">
        <v>3</v>
      </c>
      <c r="DC123" s="69" t="s">
        <v>883</v>
      </c>
      <c r="DD123" s="69" t="s">
        <v>883</v>
      </c>
      <c r="DE123" s="69"/>
      <c r="DF123" s="69"/>
      <c r="DG123" s="152" t="s">
        <v>3348</v>
      </c>
      <c r="DH123" s="69"/>
      <c r="DI123" s="96" t="s">
        <v>1049</v>
      </c>
      <c r="DJ123" s="96" t="s">
        <v>1049</v>
      </c>
      <c r="DK123" s="69" t="s">
        <v>1958</v>
      </c>
      <c r="DL123" s="69"/>
      <c r="DM123" s="69"/>
      <c r="DN123" s="69"/>
      <c r="DO123" s="69"/>
      <c r="DP123" s="69"/>
      <c r="DQ123" s="69" t="s">
        <v>1222</v>
      </c>
      <c r="DR123" s="69" t="s">
        <v>1383</v>
      </c>
      <c r="DS123" s="69" t="s">
        <v>2671</v>
      </c>
      <c r="DT123" s="69" t="s">
        <v>3</v>
      </c>
      <c r="DU123" s="69" t="s">
        <v>1183</v>
      </c>
      <c r="DV123" s="69" t="s">
        <v>1576</v>
      </c>
      <c r="DW123" s="69" t="s">
        <v>3</v>
      </c>
      <c r="DX123" s="69" t="s">
        <v>441</v>
      </c>
      <c r="DY123" s="69" t="s">
        <v>3</v>
      </c>
      <c r="DZ123" s="69"/>
    </row>
    <row r="124" spans="1:130" s="18" customFormat="1" ht="22.5" customHeight="1" x14ac:dyDescent="0.15">
      <c r="A124" s="25" t="s">
        <v>67</v>
      </c>
      <c r="B124" s="47" t="s">
        <v>43</v>
      </c>
      <c r="C124" s="47" t="s">
        <v>43</v>
      </c>
      <c r="D124" s="47" t="s">
        <v>43</v>
      </c>
      <c r="E124" s="47" t="s">
        <v>3271</v>
      </c>
      <c r="F124" s="47" t="s">
        <v>185</v>
      </c>
      <c r="G124" s="47" t="s">
        <v>185</v>
      </c>
      <c r="H124" s="47" t="s">
        <v>3</v>
      </c>
      <c r="I124" s="62" t="s">
        <v>1411</v>
      </c>
      <c r="J124" s="47" t="s">
        <v>3</v>
      </c>
      <c r="K124" s="47" t="s">
        <v>1411</v>
      </c>
      <c r="L124" s="47" t="s">
        <v>3</v>
      </c>
      <c r="M124" s="62" t="s">
        <v>3335</v>
      </c>
      <c r="N124" s="46" t="s">
        <v>3</v>
      </c>
      <c r="O124" s="47" t="s">
        <v>185</v>
      </c>
      <c r="P124" s="47" t="s">
        <v>95</v>
      </c>
      <c r="Q124" s="47" t="s">
        <v>95</v>
      </c>
      <c r="R124" s="46" t="s">
        <v>3239</v>
      </c>
      <c r="S124" s="117" t="s">
        <v>3309</v>
      </c>
      <c r="T124" s="117" t="s">
        <v>3308</v>
      </c>
      <c r="U124" s="121" t="s">
        <v>185</v>
      </c>
      <c r="V124" s="47" t="s">
        <v>800</v>
      </c>
      <c r="W124" s="62" t="s">
        <v>185</v>
      </c>
      <c r="X124" s="47" t="s">
        <v>185</v>
      </c>
      <c r="Y124" s="47" t="s">
        <v>2316</v>
      </c>
      <c r="Z124" s="47" t="s">
        <v>298</v>
      </c>
      <c r="AA124" s="46" t="s">
        <v>3</v>
      </c>
      <c r="AB124" s="47" t="s">
        <v>3</v>
      </c>
      <c r="AC124" s="47" t="s">
        <v>3</v>
      </c>
      <c r="AD124" s="47" t="s">
        <v>664</v>
      </c>
      <c r="AE124" s="47" t="s">
        <v>3</v>
      </c>
      <c r="AF124" s="47" t="s">
        <v>3</v>
      </c>
      <c r="AG124" s="47" t="s">
        <v>664</v>
      </c>
      <c r="AH124" s="47" t="s">
        <v>2891</v>
      </c>
      <c r="AI124" s="47" t="s">
        <v>3</v>
      </c>
      <c r="AJ124" s="47" t="s">
        <v>3</v>
      </c>
      <c r="AK124" s="47" t="s">
        <v>185</v>
      </c>
      <c r="AL124" s="47" t="s">
        <v>332</v>
      </c>
      <c r="AM124" s="47" t="s">
        <v>2975</v>
      </c>
      <c r="AN124" s="20" t="s">
        <v>185</v>
      </c>
      <c r="AO124" s="130" t="s">
        <v>3317</v>
      </c>
      <c r="AP124" s="20" t="s">
        <v>185</v>
      </c>
      <c r="AQ124" s="20" t="s">
        <v>3433</v>
      </c>
      <c r="AR124" s="20" t="s">
        <v>3506</v>
      </c>
      <c r="AS124" s="20" t="s">
        <v>3506</v>
      </c>
      <c r="AT124" s="20" t="s">
        <v>3506</v>
      </c>
      <c r="AU124" s="41" t="s">
        <v>185</v>
      </c>
      <c r="AV124" s="20" t="s">
        <v>3</v>
      </c>
      <c r="AW124" s="43" t="s">
        <v>185</v>
      </c>
      <c r="AX124" s="43" t="s">
        <v>2581</v>
      </c>
      <c r="AY124" s="43" t="s">
        <v>2580</v>
      </c>
      <c r="AZ124" s="43" t="s">
        <v>185</v>
      </c>
      <c r="BA124" s="43" t="s">
        <v>2210</v>
      </c>
      <c r="BB124" s="43" t="s">
        <v>3101</v>
      </c>
      <c r="BC124" s="43" t="s">
        <v>185</v>
      </c>
      <c r="BD124" s="43" t="s">
        <v>2210</v>
      </c>
      <c r="BE124" s="43" t="s">
        <v>2210</v>
      </c>
      <c r="BF124" s="47" t="s">
        <v>94</v>
      </c>
      <c r="BG124" s="47" t="s">
        <v>1085</v>
      </c>
      <c r="BH124" s="47" t="s">
        <v>250</v>
      </c>
      <c r="BI124" s="47" t="s">
        <v>3</v>
      </c>
      <c r="BJ124" s="47" t="s">
        <v>1890</v>
      </c>
      <c r="BK124" s="47" t="s">
        <v>2424</v>
      </c>
      <c r="BL124" s="47" t="s">
        <v>2355</v>
      </c>
      <c r="BM124" s="47" t="s">
        <v>114</v>
      </c>
      <c r="BN124" s="47" t="s">
        <v>112</v>
      </c>
      <c r="BO124" s="47" t="s">
        <v>3</v>
      </c>
      <c r="BP124" s="47" t="s">
        <v>3323</v>
      </c>
      <c r="BQ124" s="47" t="s">
        <v>3</v>
      </c>
      <c r="BR124" s="47" t="s">
        <v>813</v>
      </c>
      <c r="BS124" s="47" t="s">
        <v>367</v>
      </c>
      <c r="BT124" s="47" t="s">
        <v>367</v>
      </c>
      <c r="BU124" s="46" t="s">
        <v>3</v>
      </c>
      <c r="BV124" s="46" t="s">
        <v>3</v>
      </c>
      <c r="BW124" s="47" t="s">
        <v>3</v>
      </c>
      <c r="BX124" s="47" t="s">
        <v>3</v>
      </c>
      <c r="BY124" s="46" t="s">
        <v>147</v>
      </c>
      <c r="BZ124" s="46" t="s">
        <v>147</v>
      </c>
      <c r="CA124" s="46" t="s">
        <v>147</v>
      </c>
      <c r="CB124" s="46" t="s">
        <v>147</v>
      </c>
      <c r="CC124" s="47" t="s">
        <v>3</v>
      </c>
      <c r="CD124" s="47" t="s">
        <v>113</v>
      </c>
      <c r="CE124" s="47" t="s">
        <v>53</v>
      </c>
      <c r="CF124" s="47" t="s">
        <v>146</v>
      </c>
      <c r="CG124" s="47" t="s">
        <v>146</v>
      </c>
      <c r="CH124" s="47" t="s">
        <v>114</v>
      </c>
      <c r="CI124" s="47" t="s">
        <v>3624</v>
      </c>
      <c r="CJ124" s="47" t="s">
        <v>147</v>
      </c>
      <c r="CK124" s="47" t="s">
        <v>3615</v>
      </c>
      <c r="CL124" s="47" t="s">
        <v>3578</v>
      </c>
      <c r="CM124" s="47" t="s">
        <v>3</v>
      </c>
      <c r="CN124" s="47" t="s">
        <v>3</v>
      </c>
      <c r="CO124" s="47" t="s">
        <v>332</v>
      </c>
      <c r="CP124" s="43" t="s">
        <v>3</v>
      </c>
      <c r="CQ124" s="43" t="s">
        <v>332</v>
      </c>
      <c r="CR124" s="43" t="s">
        <v>332</v>
      </c>
      <c r="CS124" s="47" t="s">
        <v>2509</v>
      </c>
      <c r="CT124" s="47" t="s">
        <v>831</v>
      </c>
      <c r="CU124" s="47" t="s">
        <v>332</v>
      </c>
      <c r="CV124" s="46" t="s">
        <v>3</v>
      </c>
      <c r="CW124" s="47" t="s">
        <v>268</v>
      </c>
      <c r="CX124" s="47" t="s">
        <v>185</v>
      </c>
      <c r="CY124" s="46" t="s">
        <v>3</v>
      </c>
      <c r="CZ124" s="46" t="s">
        <v>129</v>
      </c>
      <c r="DA124" s="47" t="s">
        <v>1494</v>
      </c>
      <c r="DB124" s="46" t="s">
        <v>3</v>
      </c>
      <c r="DC124" s="47" t="s">
        <v>185</v>
      </c>
      <c r="DD124" s="47" t="s">
        <v>185</v>
      </c>
      <c r="DE124" s="47" t="s">
        <v>297</v>
      </c>
      <c r="DF124" s="46" t="s">
        <v>3</v>
      </c>
      <c r="DG124" s="147" t="s">
        <v>2581</v>
      </c>
      <c r="DH124" s="47" t="s">
        <v>185</v>
      </c>
      <c r="DI124" s="47" t="s">
        <v>1005</v>
      </c>
      <c r="DJ124" s="47" t="s">
        <v>1005</v>
      </c>
      <c r="DK124" s="47" t="s">
        <v>1934</v>
      </c>
      <c r="DL124" s="47" t="s">
        <v>3</v>
      </c>
      <c r="DM124" s="47" t="s">
        <v>298</v>
      </c>
      <c r="DN124" s="47" t="s">
        <v>185</v>
      </c>
      <c r="DO124" s="47" t="s">
        <v>185</v>
      </c>
      <c r="DP124" s="47" t="s">
        <v>332</v>
      </c>
      <c r="DQ124" s="47" t="s">
        <v>2935</v>
      </c>
      <c r="DR124" s="47" t="s">
        <v>1397</v>
      </c>
      <c r="DS124" s="47" t="s">
        <v>1160</v>
      </c>
      <c r="DT124" s="47" t="s">
        <v>3</v>
      </c>
      <c r="DU124" s="47" t="s">
        <v>1160</v>
      </c>
      <c r="DV124" s="47" t="s">
        <v>1553</v>
      </c>
      <c r="DW124" s="47" t="s">
        <v>3</v>
      </c>
      <c r="DX124" s="47" t="s">
        <v>3</v>
      </c>
      <c r="DY124" s="47" t="s">
        <v>1494</v>
      </c>
      <c r="DZ124" s="20"/>
    </row>
    <row r="125" spans="1:130" s="18" customFormat="1" ht="12" customHeight="1" x14ac:dyDescent="0.15">
      <c r="A125" s="76" t="s">
        <v>402</v>
      </c>
      <c r="B125" s="69"/>
      <c r="C125" s="69" t="s">
        <v>2772</v>
      </c>
      <c r="D125" s="69" t="s">
        <v>2772</v>
      </c>
      <c r="E125" s="69" t="s">
        <v>1592</v>
      </c>
      <c r="F125" s="69"/>
      <c r="G125" s="69" t="s">
        <v>1592</v>
      </c>
      <c r="H125" s="69" t="s">
        <v>3</v>
      </c>
      <c r="I125" s="106" t="s">
        <v>1633</v>
      </c>
      <c r="J125" s="69" t="s">
        <v>3</v>
      </c>
      <c r="K125" s="69" t="s">
        <v>1437</v>
      </c>
      <c r="L125" s="69" t="s">
        <v>3</v>
      </c>
      <c r="M125" s="106" t="s">
        <v>1633</v>
      </c>
      <c r="N125" s="69" t="s">
        <v>3</v>
      </c>
      <c r="O125" s="69"/>
      <c r="P125" s="69"/>
      <c r="Q125" s="69"/>
      <c r="R125" s="69" t="s">
        <v>3239</v>
      </c>
      <c r="S125" s="128"/>
      <c r="T125" s="128"/>
      <c r="U125" s="107" t="s">
        <v>2557</v>
      </c>
      <c r="V125" s="69"/>
      <c r="W125" s="106" t="s">
        <v>1283</v>
      </c>
      <c r="X125" s="69" t="s">
        <v>1283</v>
      </c>
      <c r="Y125" s="69" t="s">
        <v>2331</v>
      </c>
      <c r="Z125" s="69" t="s">
        <v>2645</v>
      </c>
      <c r="AA125" s="69" t="s">
        <v>3</v>
      </c>
      <c r="AB125" s="69" t="s">
        <v>662</v>
      </c>
      <c r="AC125" s="69" t="s">
        <v>662</v>
      </c>
      <c r="AD125" s="69" t="s">
        <v>663</v>
      </c>
      <c r="AE125" s="69" t="s">
        <v>662</v>
      </c>
      <c r="AF125" s="69" t="s">
        <v>662</v>
      </c>
      <c r="AG125" s="69" t="s">
        <v>663</v>
      </c>
      <c r="AH125" s="69" t="s">
        <v>2892</v>
      </c>
      <c r="AI125" s="69" t="s">
        <v>3</v>
      </c>
      <c r="AJ125" s="69" t="s">
        <v>3</v>
      </c>
      <c r="AK125" s="69" t="s">
        <v>2994</v>
      </c>
      <c r="AL125" s="69" t="s">
        <v>3034</v>
      </c>
      <c r="AM125" s="69" t="s">
        <v>3096</v>
      </c>
      <c r="AN125" s="69" t="s">
        <v>504</v>
      </c>
      <c r="AO125" s="131"/>
      <c r="AP125" s="69" t="s">
        <v>504</v>
      </c>
      <c r="AQ125" s="69" t="s">
        <v>3434</v>
      </c>
      <c r="AR125" s="69"/>
      <c r="AS125" s="69"/>
      <c r="AT125" s="69"/>
      <c r="AU125" s="69"/>
      <c r="AV125" s="69" t="s">
        <v>3</v>
      </c>
      <c r="AW125" s="69" t="s">
        <v>528</v>
      </c>
      <c r="AX125" s="69" t="s">
        <v>528</v>
      </c>
      <c r="AY125" s="69" t="s">
        <v>528</v>
      </c>
      <c r="AZ125" s="69" t="s">
        <v>3144</v>
      </c>
      <c r="BA125" s="69" t="s">
        <v>2231</v>
      </c>
      <c r="BB125" s="69" t="s">
        <v>3116</v>
      </c>
      <c r="BC125" s="69" t="s">
        <v>2277</v>
      </c>
      <c r="BD125" s="69" t="s">
        <v>2231</v>
      </c>
      <c r="BE125" s="69" t="s">
        <v>2231</v>
      </c>
      <c r="BF125" s="69" t="s">
        <v>1134</v>
      </c>
      <c r="BG125" s="69" t="s">
        <v>1086</v>
      </c>
      <c r="BH125" s="69"/>
      <c r="BI125" s="69"/>
      <c r="BJ125" s="69" t="s">
        <v>1889</v>
      </c>
      <c r="BK125" s="69" t="s">
        <v>2430</v>
      </c>
      <c r="BL125" s="69" t="s">
        <v>2337</v>
      </c>
      <c r="BM125" s="69"/>
      <c r="BN125" s="69"/>
      <c r="BO125" s="69"/>
      <c r="BP125" s="69" t="s">
        <v>615</v>
      </c>
      <c r="BQ125" s="69" t="s">
        <v>3</v>
      </c>
      <c r="BR125" s="69"/>
      <c r="BS125" s="69"/>
      <c r="BT125" s="69"/>
      <c r="BU125" s="69"/>
      <c r="BV125" s="69"/>
      <c r="BW125" s="69" t="s">
        <v>3</v>
      </c>
      <c r="BX125" s="69" t="s">
        <v>3</v>
      </c>
      <c r="BY125" s="69"/>
      <c r="BZ125" s="69" t="s">
        <v>1694</v>
      </c>
      <c r="CA125" s="69" t="s">
        <v>2728</v>
      </c>
      <c r="CB125" s="69" t="s">
        <v>2727</v>
      </c>
      <c r="CC125" s="69"/>
      <c r="CD125" s="69"/>
      <c r="CE125" s="69" t="s">
        <v>1755</v>
      </c>
      <c r="CF125" s="69" t="s">
        <v>1799</v>
      </c>
      <c r="CG125" s="69" t="s">
        <v>1839</v>
      </c>
      <c r="CH125" s="69" t="s">
        <v>1825</v>
      </c>
      <c r="CI125" s="69" t="s">
        <v>3555</v>
      </c>
      <c r="CJ125" s="69" t="s">
        <v>3598</v>
      </c>
      <c r="CK125" s="69" t="s">
        <v>3555</v>
      </c>
      <c r="CL125" s="69" t="s">
        <v>3555</v>
      </c>
      <c r="CM125" s="69" t="s">
        <v>3</v>
      </c>
      <c r="CN125" s="69" t="s">
        <v>3</v>
      </c>
      <c r="CO125" s="69" t="s">
        <v>983</v>
      </c>
      <c r="CP125" s="69" t="s">
        <v>3</v>
      </c>
      <c r="CQ125" s="69" t="s">
        <v>3034</v>
      </c>
      <c r="CR125" s="69" t="s">
        <v>3034</v>
      </c>
      <c r="CS125" s="69" t="s">
        <v>2508</v>
      </c>
      <c r="CT125" s="69" t="s">
        <v>845</v>
      </c>
      <c r="CU125" s="69" t="s">
        <v>836</v>
      </c>
      <c r="CV125" s="69"/>
      <c r="CW125" s="69"/>
      <c r="CX125" s="69" t="s">
        <v>1240</v>
      </c>
      <c r="CY125" s="69"/>
      <c r="CZ125" s="69"/>
      <c r="DA125" s="69" t="s">
        <v>2169</v>
      </c>
      <c r="DB125" s="69" t="s">
        <v>3</v>
      </c>
      <c r="DC125" s="69" t="s">
        <v>880</v>
      </c>
      <c r="DD125" s="69" t="s">
        <v>880</v>
      </c>
      <c r="DE125" s="69"/>
      <c r="DF125" s="69"/>
      <c r="DG125" s="152" t="s">
        <v>3382</v>
      </c>
      <c r="DH125" s="69"/>
      <c r="DI125" s="96" t="s">
        <v>1040</v>
      </c>
      <c r="DJ125" s="96" t="s">
        <v>1040</v>
      </c>
      <c r="DK125" s="69" t="s">
        <v>1949</v>
      </c>
      <c r="DL125" s="69"/>
      <c r="DM125" s="69"/>
      <c r="DN125" s="69"/>
      <c r="DO125" s="69"/>
      <c r="DP125" s="69"/>
      <c r="DQ125" s="69" t="s">
        <v>2934</v>
      </c>
      <c r="DR125" s="69" t="s">
        <v>1383</v>
      </c>
      <c r="DS125" s="69" t="s">
        <v>2671</v>
      </c>
      <c r="DT125" s="69" t="s">
        <v>3</v>
      </c>
      <c r="DU125" s="69" t="s">
        <v>1184</v>
      </c>
      <c r="DV125" s="69" t="s">
        <v>1552</v>
      </c>
      <c r="DW125" s="69" t="s">
        <v>3</v>
      </c>
      <c r="DX125" s="69" t="s">
        <v>3</v>
      </c>
      <c r="DY125" s="69" t="s">
        <v>1502</v>
      </c>
      <c r="DZ125" s="69"/>
    </row>
    <row r="126" spans="1:130" s="18" customFormat="1" ht="22.5" customHeight="1" x14ac:dyDescent="0.15">
      <c r="A126" s="25" t="s">
        <v>66</v>
      </c>
      <c r="B126" s="47" t="s">
        <v>126</v>
      </c>
      <c r="C126" s="47" t="s">
        <v>126</v>
      </c>
      <c r="D126" s="47" t="s">
        <v>126</v>
      </c>
      <c r="E126" s="47" t="s">
        <v>3265</v>
      </c>
      <c r="F126" s="47" t="s">
        <v>325</v>
      </c>
      <c r="G126" s="47" t="s">
        <v>325</v>
      </c>
      <c r="H126" s="47" t="s">
        <v>830</v>
      </c>
      <c r="I126" s="62" t="s">
        <v>44</v>
      </c>
      <c r="J126" s="47" t="s">
        <v>830</v>
      </c>
      <c r="K126" s="47" t="s">
        <v>44</v>
      </c>
      <c r="L126" s="47" t="s">
        <v>830</v>
      </c>
      <c r="M126" s="62" t="s">
        <v>44</v>
      </c>
      <c r="N126" s="47" t="s">
        <v>1367</v>
      </c>
      <c r="O126" s="47" t="s">
        <v>44</v>
      </c>
      <c r="P126" s="47" t="s">
        <v>95</v>
      </c>
      <c r="Q126" s="47" t="s">
        <v>15</v>
      </c>
      <c r="R126" s="47" t="s">
        <v>132</v>
      </c>
      <c r="S126" s="117" t="s">
        <v>3125</v>
      </c>
      <c r="T126" s="117" t="s">
        <v>3125</v>
      </c>
      <c r="U126" s="121" t="s">
        <v>2531</v>
      </c>
      <c r="V126" s="47" t="s">
        <v>801</v>
      </c>
      <c r="W126" s="62" t="s">
        <v>801</v>
      </c>
      <c r="X126" s="47" t="s">
        <v>801</v>
      </c>
      <c r="Y126" s="47" t="s">
        <v>2315</v>
      </c>
      <c r="Z126" s="47" t="s">
        <v>2649</v>
      </c>
      <c r="AA126" s="47" t="s">
        <v>132</v>
      </c>
      <c r="AB126" s="47" t="s">
        <v>132</v>
      </c>
      <c r="AC126" s="47" t="s">
        <v>717</v>
      </c>
      <c r="AD126" s="47" t="s">
        <v>17</v>
      </c>
      <c r="AE126" s="47" t="s">
        <v>132</v>
      </c>
      <c r="AF126" s="47" t="s">
        <v>2385</v>
      </c>
      <c r="AG126" s="47" t="s">
        <v>2381</v>
      </c>
      <c r="AH126" s="47" t="s">
        <v>2893</v>
      </c>
      <c r="AI126" s="47" t="s">
        <v>132</v>
      </c>
      <c r="AJ126" s="47" t="s">
        <v>132</v>
      </c>
      <c r="AK126" s="47" t="s">
        <v>3044</v>
      </c>
      <c r="AL126" s="47" t="s">
        <v>2977</v>
      </c>
      <c r="AM126" s="47" t="s">
        <v>2976</v>
      </c>
      <c r="AN126" s="20" t="s">
        <v>126</v>
      </c>
      <c r="AO126" s="130" t="s">
        <v>3318</v>
      </c>
      <c r="AP126" s="20" t="s">
        <v>126</v>
      </c>
      <c r="AQ126" s="20" t="s">
        <v>126</v>
      </c>
      <c r="AR126" s="20" t="s">
        <v>126</v>
      </c>
      <c r="AS126" s="20" t="s">
        <v>126</v>
      </c>
      <c r="AT126" s="20" t="s">
        <v>126</v>
      </c>
      <c r="AU126" s="41" t="s">
        <v>126</v>
      </c>
      <c r="AV126" s="20" t="s">
        <v>132</v>
      </c>
      <c r="AW126" s="43" t="s">
        <v>126</v>
      </c>
      <c r="AX126" s="20" t="s">
        <v>132</v>
      </c>
      <c r="AY126" s="43" t="s">
        <v>2572</v>
      </c>
      <c r="AZ126" s="47" t="s">
        <v>3102</v>
      </c>
      <c r="BA126" s="43" t="s">
        <v>3103</v>
      </c>
      <c r="BB126" s="43" t="s">
        <v>3104</v>
      </c>
      <c r="BC126" s="47" t="s">
        <v>132</v>
      </c>
      <c r="BD126" s="43" t="s">
        <v>126</v>
      </c>
      <c r="BE126" s="43" t="s">
        <v>126</v>
      </c>
      <c r="BF126" s="47" t="s">
        <v>1133</v>
      </c>
      <c r="BG126" s="47" t="s">
        <v>1118</v>
      </c>
      <c r="BH126" s="47" t="s">
        <v>230</v>
      </c>
      <c r="BI126" s="47" t="s">
        <v>396</v>
      </c>
      <c r="BJ126" s="47" t="s">
        <v>396</v>
      </c>
      <c r="BK126" s="47" t="s">
        <v>396</v>
      </c>
      <c r="BL126" s="47" t="s">
        <v>2357</v>
      </c>
      <c r="BM126" s="47" t="s">
        <v>126</v>
      </c>
      <c r="BN126" s="47" t="s">
        <v>44</v>
      </c>
      <c r="BO126" s="47" t="s">
        <v>101</v>
      </c>
      <c r="BP126" s="47" t="s">
        <v>44</v>
      </c>
      <c r="BQ126" s="47" t="s">
        <v>621</v>
      </c>
      <c r="BR126" s="47" t="s">
        <v>814</v>
      </c>
      <c r="BS126" s="46" t="s">
        <v>126</v>
      </c>
      <c r="BT126" s="46" t="s">
        <v>126</v>
      </c>
      <c r="BU126" s="46" t="s">
        <v>126</v>
      </c>
      <c r="BV126" s="46" t="s">
        <v>126</v>
      </c>
      <c r="BW126" s="47" t="s">
        <v>2008</v>
      </c>
      <c r="BX126" s="47" t="s">
        <v>2009</v>
      </c>
      <c r="BY126" s="47" t="s">
        <v>1073</v>
      </c>
      <c r="BZ126" s="47" t="s">
        <v>1702</v>
      </c>
      <c r="CA126" s="47" t="s">
        <v>1702</v>
      </c>
      <c r="CB126" s="47" t="s">
        <v>1702</v>
      </c>
      <c r="CC126" s="47" t="s">
        <v>17</v>
      </c>
      <c r="CD126" s="47" t="s">
        <v>44</v>
      </c>
      <c r="CE126" s="47" t="s">
        <v>113</v>
      </c>
      <c r="CF126" s="47" t="s">
        <v>147</v>
      </c>
      <c r="CG126" s="47" t="s">
        <v>147</v>
      </c>
      <c r="CH126" s="47" t="s">
        <v>1759</v>
      </c>
      <c r="CI126" s="47" t="s">
        <v>95</v>
      </c>
      <c r="CJ126" s="47" t="s">
        <v>1760</v>
      </c>
      <c r="CK126" s="47" t="s">
        <v>1760</v>
      </c>
      <c r="CL126" s="47" t="s">
        <v>1759</v>
      </c>
      <c r="CM126" s="47" t="s">
        <v>132</v>
      </c>
      <c r="CN126" s="46" t="s">
        <v>126</v>
      </c>
      <c r="CO126" s="47" t="s">
        <v>44</v>
      </c>
      <c r="CP126" s="47" t="s">
        <v>21</v>
      </c>
      <c r="CQ126" s="43" t="s">
        <v>3187</v>
      </c>
      <c r="CR126" s="43" t="s">
        <v>3187</v>
      </c>
      <c r="CS126" s="47" t="s">
        <v>2509</v>
      </c>
      <c r="CT126" s="47" t="s">
        <v>830</v>
      </c>
      <c r="CU126" s="47" t="s">
        <v>44</v>
      </c>
      <c r="CV126" s="47" t="s">
        <v>44</v>
      </c>
      <c r="CW126" s="47" t="s">
        <v>230</v>
      </c>
      <c r="CX126" s="46" t="s">
        <v>126</v>
      </c>
      <c r="CY126" s="46" t="s">
        <v>132</v>
      </c>
      <c r="CZ126" s="46" t="s">
        <v>126</v>
      </c>
      <c r="DA126" s="47" t="s">
        <v>921</v>
      </c>
      <c r="DB126" s="47" t="s">
        <v>921</v>
      </c>
      <c r="DC126" s="47" t="s">
        <v>922</v>
      </c>
      <c r="DD126" s="47" t="s">
        <v>922</v>
      </c>
      <c r="DE126" s="46" t="s">
        <v>126</v>
      </c>
      <c r="DF126" s="46" t="s">
        <v>17</v>
      </c>
      <c r="DG126" s="147" t="s">
        <v>3383</v>
      </c>
      <c r="DH126" s="47" t="s">
        <v>348</v>
      </c>
      <c r="DI126" s="47" t="s">
        <v>1006</v>
      </c>
      <c r="DJ126" s="47" t="s">
        <v>1006</v>
      </c>
      <c r="DK126" s="47" t="s">
        <v>1759</v>
      </c>
      <c r="DL126" s="47" t="s">
        <v>126</v>
      </c>
      <c r="DM126" s="47" t="s">
        <v>44</v>
      </c>
      <c r="DN126" s="47" t="s">
        <v>17</v>
      </c>
      <c r="DO126" s="47" t="s">
        <v>126</v>
      </c>
      <c r="DP126" s="47" t="s">
        <v>347</v>
      </c>
      <c r="DQ126" s="47" t="s">
        <v>2931</v>
      </c>
      <c r="DR126" s="47" t="s">
        <v>1398</v>
      </c>
      <c r="DS126" s="47" t="s">
        <v>2688</v>
      </c>
      <c r="DT126" s="47" t="s">
        <v>1211</v>
      </c>
      <c r="DU126" s="47" t="s">
        <v>277</v>
      </c>
      <c r="DV126" s="20" t="s">
        <v>132</v>
      </c>
      <c r="DW126" s="47" t="s">
        <v>409</v>
      </c>
      <c r="DX126" s="47" t="s">
        <v>410</v>
      </c>
      <c r="DY126" s="47" t="s">
        <v>409</v>
      </c>
      <c r="DZ126" s="20"/>
    </row>
    <row r="127" spans="1:130" s="18" customFormat="1" ht="12" customHeight="1" x14ac:dyDescent="0.15">
      <c r="A127" s="76" t="s">
        <v>402</v>
      </c>
      <c r="B127" s="69"/>
      <c r="C127" s="69" t="s">
        <v>2778</v>
      </c>
      <c r="D127" s="69" t="s">
        <v>2778</v>
      </c>
      <c r="E127" s="69" t="s">
        <v>3258</v>
      </c>
      <c r="F127" s="69"/>
      <c r="G127" s="69" t="s">
        <v>1592</v>
      </c>
      <c r="H127" s="69" t="s">
        <v>1634</v>
      </c>
      <c r="I127" s="106" t="s">
        <v>1446</v>
      </c>
      <c r="J127" s="69" t="s">
        <v>1461</v>
      </c>
      <c r="K127" s="69" t="s">
        <v>1446</v>
      </c>
      <c r="L127" s="69" t="s">
        <v>1634</v>
      </c>
      <c r="M127" s="106" t="s">
        <v>1446</v>
      </c>
      <c r="N127" s="69" t="s">
        <v>1368</v>
      </c>
      <c r="O127" s="69"/>
      <c r="P127" s="69"/>
      <c r="Q127" s="69"/>
      <c r="R127" s="69" t="s">
        <v>3254</v>
      </c>
      <c r="S127" s="128"/>
      <c r="T127" s="128"/>
      <c r="U127" s="107" t="s">
        <v>1758</v>
      </c>
      <c r="V127" s="69"/>
      <c r="W127" s="106" t="s">
        <v>1284</v>
      </c>
      <c r="X127" s="69" t="s">
        <v>1284</v>
      </c>
      <c r="Y127" s="69" t="s">
        <v>2332</v>
      </c>
      <c r="Z127" s="69" t="s">
        <v>2650</v>
      </c>
      <c r="AA127" s="69" t="s">
        <v>2188</v>
      </c>
      <c r="AB127" s="69" t="s">
        <v>716</v>
      </c>
      <c r="AC127" s="69" t="s">
        <v>716</v>
      </c>
      <c r="AD127" s="69" t="s">
        <v>716</v>
      </c>
      <c r="AE127" s="69" t="s">
        <v>716</v>
      </c>
      <c r="AF127" s="69" t="s">
        <v>2386</v>
      </c>
      <c r="AG127" s="69" t="s">
        <v>2382</v>
      </c>
      <c r="AH127" s="69" t="s">
        <v>2895</v>
      </c>
      <c r="AI127" s="69" t="s">
        <v>2894</v>
      </c>
      <c r="AJ127" s="69" t="s">
        <v>2894</v>
      </c>
      <c r="AK127" s="69" t="s">
        <v>3073</v>
      </c>
      <c r="AL127" s="69" t="s">
        <v>1507</v>
      </c>
      <c r="AM127" s="69" t="s">
        <v>3072</v>
      </c>
      <c r="AN127" s="69" t="s">
        <v>509</v>
      </c>
      <c r="AO127" s="131"/>
      <c r="AP127" s="69" t="s">
        <v>509</v>
      </c>
      <c r="AQ127" s="69" t="s">
        <v>3429</v>
      </c>
      <c r="AR127" s="69"/>
      <c r="AS127" s="69"/>
      <c r="AT127" s="69"/>
      <c r="AU127" s="69"/>
      <c r="AV127" s="69" t="s">
        <v>562</v>
      </c>
      <c r="AW127" s="69" t="s">
        <v>562</v>
      </c>
      <c r="AX127" s="69" t="s">
        <v>562</v>
      </c>
      <c r="AY127" s="69" t="s">
        <v>2573</v>
      </c>
      <c r="AZ127" s="69" t="s">
        <v>3113</v>
      </c>
      <c r="BA127" s="69" t="s">
        <v>3114</v>
      </c>
      <c r="BB127" s="69" t="s">
        <v>3118</v>
      </c>
      <c r="BC127" s="69" t="s">
        <v>2278</v>
      </c>
      <c r="BD127" s="69" t="s">
        <v>2230</v>
      </c>
      <c r="BE127" s="69" t="s">
        <v>2230</v>
      </c>
      <c r="BF127" s="69" t="s">
        <v>1132</v>
      </c>
      <c r="BG127" s="69" t="s">
        <v>1119</v>
      </c>
      <c r="BH127" s="69"/>
      <c r="BI127" s="69"/>
      <c r="BJ127" s="69" t="s">
        <v>1898</v>
      </c>
      <c r="BK127" s="69" t="s">
        <v>2477</v>
      </c>
      <c r="BL127" s="69" t="s">
        <v>2337</v>
      </c>
      <c r="BM127" s="69"/>
      <c r="BN127" s="69"/>
      <c r="BO127" s="69"/>
      <c r="BP127" s="69" t="s">
        <v>614</v>
      </c>
      <c r="BQ127" s="69" t="s">
        <v>622</v>
      </c>
      <c r="BR127" s="69"/>
      <c r="BS127" s="69"/>
      <c r="BT127" s="69"/>
      <c r="BU127" s="69"/>
      <c r="BV127" s="69"/>
      <c r="BW127" s="69" t="s">
        <v>2078</v>
      </c>
      <c r="BX127" s="69" t="s">
        <v>2043</v>
      </c>
      <c r="BY127" s="69"/>
      <c r="BZ127" s="69" t="s">
        <v>1701</v>
      </c>
      <c r="CA127" s="69" t="s">
        <v>2726</v>
      </c>
      <c r="CB127" s="69" t="s">
        <v>1701</v>
      </c>
      <c r="CC127" s="69"/>
      <c r="CD127" s="69"/>
      <c r="CE127" s="69" t="s">
        <v>1752</v>
      </c>
      <c r="CF127" s="69" t="s">
        <v>1797</v>
      </c>
      <c r="CG127" s="69" t="s">
        <v>1840</v>
      </c>
      <c r="CH127" s="69" t="s">
        <v>1829</v>
      </c>
      <c r="CI127" s="69" t="s">
        <v>3555</v>
      </c>
      <c r="CJ127" s="69" t="s">
        <v>3555</v>
      </c>
      <c r="CK127" s="69" t="s">
        <v>3555</v>
      </c>
      <c r="CL127" s="69" t="s">
        <v>3555</v>
      </c>
      <c r="CM127" s="69" t="s">
        <v>743</v>
      </c>
      <c r="CN127" s="69" t="s">
        <v>742</v>
      </c>
      <c r="CO127" s="69" t="s">
        <v>991</v>
      </c>
      <c r="CP127" s="69" t="s">
        <v>3214</v>
      </c>
      <c r="CQ127" s="69" t="s">
        <v>3188</v>
      </c>
      <c r="CR127" s="69" t="s">
        <v>3188</v>
      </c>
      <c r="CS127" s="69" t="s">
        <v>2510</v>
      </c>
      <c r="CT127" s="69" t="s">
        <v>854</v>
      </c>
      <c r="CU127" s="69" t="s">
        <v>836</v>
      </c>
      <c r="CV127" s="69"/>
      <c r="CW127" s="69"/>
      <c r="CX127" s="69" t="s">
        <v>1257</v>
      </c>
      <c r="CY127" s="69"/>
      <c r="CZ127" s="69"/>
      <c r="DA127" s="69" t="s">
        <v>2177</v>
      </c>
      <c r="DB127" s="69" t="s">
        <v>920</v>
      </c>
      <c r="DC127" s="69" t="s">
        <v>906</v>
      </c>
      <c r="DD127" s="69" t="s">
        <v>906</v>
      </c>
      <c r="DE127" s="69"/>
      <c r="DF127" s="69"/>
      <c r="DG127" s="152" t="s">
        <v>3384</v>
      </c>
      <c r="DH127" s="69"/>
      <c r="DI127" s="96" t="s">
        <v>1057</v>
      </c>
      <c r="DJ127" s="96" t="s">
        <v>1057</v>
      </c>
      <c r="DK127" s="69" t="s">
        <v>1964</v>
      </c>
      <c r="DL127" s="69" t="s">
        <v>3490</v>
      </c>
      <c r="DM127" s="69"/>
      <c r="DN127" s="69"/>
      <c r="DO127" s="69"/>
      <c r="DP127" s="69"/>
      <c r="DQ127" s="69" t="s">
        <v>2930</v>
      </c>
      <c r="DR127" s="69" t="s">
        <v>1383</v>
      </c>
      <c r="DS127" s="69" t="s">
        <v>2689</v>
      </c>
      <c r="DT127" s="69" t="s">
        <v>1212</v>
      </c>
      <c r="DU127" s="69" t="s">
        <v>1186</v>
      </c>
      <c r="DV127" s="69" t="s">
        <v>1568</v>
      </c>
      <c r="DW127" s="69" t="s">
        <v>444</v>
      </c>
      <c r="DX127" s="69" t="s">
        <v>446</v>
      </c>
      <c r="DY127" s="69" t="s">
        <v>1505</v>
      </c>
      <c r="DZ127" s="69"/>
    </row>
    <row r="128" spans="1:130" s="18" customFormat="1" ht="22.5" customHeight="1" x14ac:dyDescent="0.15">
      <c r="A128" s="25" t="s">
        <v>65</v>
      </c>
      <c r="B128" s="47" t="s">
        <v>344</v>
      </c>
      <c r="C128" s="47" t="s">
        <v>95</v>
      </c>
      <c r="D128" s="47" t="s">
        <v>95</v>
      </c>
      <c r="E128" s="47" t="s">
        <v>12</v>
      </c>
      <c r="F128" s="47" t="s">
        <v>0</v>
      </c>
      <c r="G128" s="47" t="s">
        <v>0</v>
      </c>
      <c r="H128" s="47" t="s">
        <v>95</v>
      </c>
      <c r="I128" s="62" t="s">
        <v>95</v>
      </c>
      <c r="J128" s="47" t="s">
        <v>3</v>
      </c>
      <c r="K128" s="47" t="s">
        <v>95</v>
      </c>
      <c r="L128" s="47" t="s">
        <v>95</v>
      </c>
      <c r="M128" s="62" t="s">
        <v>95</v>
      </c>
      <c r="N128" s="46" t="s">
        <v>3</v>
      </c>
      <c r="O128" s="47" t="s">
        <v>38</v>
      </c>
      <c r="P128" s="47" t="s">
        <v>95</v>
      </c>
      <c r="Q128" s="47" t="s">
        <v>95</v>
      </c>
      <c r="R128" s="46" t="s">
        <v>3239</v>
      </c>
      <c r="S128" s="117" t="s">
        <v>3297</v>
      </c>
      <c r="T128" s="117" t="s">
        <v>105</v>
      </c>
      <c r="U128" s="121" t="s">
        <v>95</v>
      </c>
      <c r="V128" s="47" t="s">
        <v>12</v>
      </c>
      <c r="W128" s="62" t="s">
        <v>12</v>
      </c>
      <c r="X128" s="47" t="s">
        <v>12</v>
      </c>
      <c r="Y128" s="47" t="s">
        <v>2329</v>
      </c>
      <c r="Z128" s="47" t="s">
        <v>2623</v>
      </c>
      <c r="AA128" s="46" t="s">
        <v>3</v>
      </c>
      <c r="AB128" s="46" t="s">
        <v>3</v>
      </c>
      <c r="AC128" s="46" t="s">
        <v>3</v>
      </c>
      <c r="AD128" s="46" t="s">
        <v>247</v>
      </c>
      <c r="AE128" s="46" t="s">
        <v>3</v>
      </c>
      <c r="AF128" s="46" t="s">
        <v>3</v>
      </c>
      <c r="AG128" s="46" t="s">
        <v>2398</v>
      </c>
      <c r="AH128" s="47" t="s">
        <v>95</v>
      </c>
      <c r="AI128" s="47" t="s">
        <v>3</v>
      </c>
      <c r="AJ128" s="47" t="s">
        <v>3</v>
      </c>
      <c r="AK128" s="47" t="s">
        <v>95</v>
      </c>
      <c r="AL128" s="47" t="s">
        <v>95</v>
      </c>
      <c r="AM128" s="47" t="s">
        <v>3</v>
      </c>
      <c r="AN128" s="20" t="s">
        <v>0</v>
      </c>
      <c r="AO128" s="130" t="s">
        <v>95</v>
      </c>
      <c r="AP128" s="44" t="s">
        <v>12</v>
      </c>
      <c r="AQ128" s="43" t="s">
        <v>3420</v>
      </c>
      <c r="AR128" s="43" t="s">
        <v>3507</v>
      </c>
      <c r="AS128" s="43" t="s">
        <v>3507</v>
      </c>
      <c r="AT128" s="43" t="s">
        <v>3507</v>
      </c>
      <c r="AU128" s="44" t="s">
        <v>95</v>
      </c>
      <c r="AV128" s="20" t="s">
        <v>3</v>
      </c>
      <c r="AW128" s="44" t="s">
        <v>95</v>
      </c>
      <c r="AX128" s="20" t="s">
        <v>3</v>
      </c>
      <c r="AY128" s="44" t="s">
        <v>95</v>
      </c>
      <c r="AZ128" s="47" t="s">
        <v>3</v>
      </c>
      <c r="BA128" s="43" t="s">
        <v>2209</v>
      </c>
      <c r="BB128" s="43" t="s">
        <v>2209</v>
      </c>
      <c r="BC128" s="47" t="s">
        <v>3</v>
      </c>
      <c r="BD128" s="43" t="s">
        <v>2213</v>
      </c>
      <c r="BE128" s="43" t="s">
        <v>2213</v>
      </c>
      <c r="BF128" s="47" t="s">
        <v>1131</v>
      </c>
      <c r="BG128" s="47" t="s">
        <v>247</v>
      </c>
      <c r="BH128" s="47" t="s">
        <v>247</v>
      </c>
      <c r="BI128" s="47" t="s">
        <v>381</v>
      </c>
      <c r="BJ128" s="47" t="s">
        <v>381</v>
      </c>
      <c r="BK128" s="47" t="s">
        <v>2433</v>
      </c>
      <c r="BL128" s="47" t="s">
        <v>2351</v>
      </c>
      <c r="BM128" s="47" t="s">
        <v>95</v>
      </c>
      <c r="BN128" s="47" t="s">
        <v>95</v>
      </c>
      <c r="BO128" s="47" t="s">
        <v>3</v>
      </c>
      <c r="BP128" s="47" t="s">
        <v>95</v>
      </c>
      <c r="BQ128" s="47" t="s">
        <v>3</v>
      </c>
      <c r="BR128" s="47" t="s">
        <v>95</v>
      </c>
      <c r="BS128" s="46" t="s">
        <v>3</v>
      </c>
      <c r="BT128" s="46" t="s">
        <v>95</v>
      </c>
      <c r="BU128" s="46" t="s">
        <v>3</v>
      </c>
      <c r="BV128" s="46" t="s">
        <v>14</v>
      </c>
      <c r="BW128" s="47" t="s">
        <v>2042</v>
      </c>
      <c r="BX128" s="47" t="s">
        <v>95</v>
      </c>
      <c r="BY128" s="46" t="s">
        <v>95</v>
      </c>
      <c r="BZ128" s="46" t="s">
        <v>95</v>
      </c>
      <c r="CA128" s="46" t="s">
        <v>186</v>
      </c>
      <c r="CB128" s="46" t="s">
        <v>95</v>
      </c>
      <c r="CC128" s="47" t="s">
        <v>1</v>
      </c>
      <c r="CD128" s="47" t="s">
        <v>0</v>
      </c>
      <c r="CE128" s="47" t="s">
        <v>1759</v>
      </c>
      <c r="CF128" s="47" t="s">
        <v>1760</v>
      </c>
      <c r="CG128" s="47" t="s">
        <v>1761</v>
      </c>
      <c r="CH128" s="47" t="s">
        <v>0</v>
      </c>
      <c r="CI128" s="47" t="s">
        <v>3</v>
      </c>
      <c r="CJ128" s="47" t="s">
        <v>95</v>
      </c>
      <c r="CK128" s="47" t="s">
        <v>95</v>
      </c>
      <c r="CL128" s="47" t="s">
        <v>0</v>
      </c>
      <c r="CM128" s="47" t="s">
        <v>3</v>
      </c>
      <c r="CN128" s="47" t="s">
        <v>787</v>
      </c>
      <c r="CO128" s="47" t="s">
        <v>945</v>
      </c>
      <c r="CP128" s="47" t="s">
        <v>3</v>
      </c>
      <c r="CQ128" s="43" t="s">
        <v>3149</v>
      </c>
      <c r="CR128" s="43" t="s">
        <v>0</v>
      </c>
      <c r="CS128" s="46" t="s">
        <v>95</v>
      </c>
      <c r="CT128" s="47" t="s">
        <v>848</v>
      </c>
      <c r="CU128" s="47" t="s">
        <v>840</v>
      </c>
      <c r="CV128" s="46" t="s">
        <v>3</v>
      </c>
      <c r="CW128" s="47" t="s">
        <v>127</v>
      </c>
      <c r="CX128" s="47" t="s">
        <v>95</v>
      </c>
      <c r="CY128" s="46" t="s">
        <v>3</v>
      </c>
      <c r="CZ128" s="46" t="s">
        <v>127</v>
      </c>
      <c r="DA128" s="47" t="s">
        <v>2122</v>
      </c>
      <c r="DB128" s="46" t="s">
        <v>3</v>
      </c>
      <c r="DC128" s="46" t="s">
        <v>95</v>
      </c>
      <c r="DD128" s="46" t="s">
        <v>3</v>
      </c>
      <c r="DE128" s="46" t="s">
        <v>12</v>
      </c>
      <c r="DF128" s="46" t="s">
        <v>3</v>
      </c>
      <c r="DG128" s="146" t="s">
        <v>3385</v>
      </c>
      <c r="DH128" s="47" t="s">
        <v>95</v>
      </c>
      <c r="DI128" s="47" t="s">
        <v>95</v>
      </c>
      <c r="DJ128" s="47" t="s">
        <v>95</v>
      </c>
      <c r="DK128" s="47" t="s">
        <v>95</v>
      </c>
      <c r="DL128" s="47" t="s">
        <v>95</v>
      </c>
      <c r="DM128" s="47" t="s">
        <v>62</v>
      </c>
      <c r="DN128" s="46" t="s">
        <v>94</v>
      </c>
      <c r="DO128" s="46" t="s">
        <v>3</v>
      </c>
      <c r="DP128" s="47" t="s">
        <v>115</v>
      </c>
      <c r="DQ128" s="46" t="s">
        <v>3</v>
      </c>
      <c r="DR128" s="46" t="s">
        <v>16</v>
      </c>
      <c r="DS128" s="46" t="s">
        <v>16</v>
      </c>
      <c r="DT128" s="46" t="s">
        <v>3</v>
      </c>
      <c r="DU128" s="47" t="s">
        <v>16</v>
      </c>
      <c r="DV128" s="47" t="s">
        <v>1541</v>
      </c>
      <c r="DW128" s="47" t="s">
        <v>3</v>
      </c>
      <c r="DX128" s="47" t="s">
        <v>420</v>
      </c>
      <c r="DY128" s="46" t="s">
        <v>1</v>
      </c>
      <c r="DZ128" s="43"/>
    </row>
    <row r="129" spans="1:130" s="18" customFormat="1" ht="12" customHeight="1" x14ac:dyDescent="0.15">
      <c r="A129" s="76" t="s">
        <v>402</v>
      </c>
      <c r="B129" s="69"/>
      <c r="C129" s="69" t="s">
        <v>2786</v>
      </c>
      <c r="D129" s="69" t="s">
        <v>2786</v>
      </c>
      <c r="E129" s="69" t="s">
        <v>3276</v>
      </c>
      <c r="F129" s="69"/>
      <c r="G129" s="69" t="s">
        <v>1592</v>
      </c>
      <c r="H129" s="69" t="s">
        <v>1623</v>
      </c>
      <c r="I129" s="106" t="s">
        <v>1432</v>
      </c>
      <c r="J129" s="69" t="s">
        <v>3</v>
      </c>
      <c r="K129" s="69" t="s">
        <v>1432</v>
      </c>
      <c r="L129" s="69" t="s">
        <v>1623</v>
      </c>
      <c r="M129" s="106" t="s">
        <v>1432</v>
      </c>
      <c r="N129" s="69" t="s">
        <v>3</v>
      </c>
      <c r="O129" s="69"/>
      <c r="P129" s="69"/>
      <c r="Q129" s="69"/>
      <c r="R129" s="69" t="s">
        <v>3239</v>
      </c>
      <c r="S129" s="128"/>
      <c r="T129" s="128"/>
      <c r="U129" s="107" t="s">
        <v>2557</v>
      </c>
      <c r="V129" s="69"/>
      <c r="W129" s="106" t="s">
        <v>1286</v>
      </c>
      <c r="X129" s="69" t="s">
        <v>1286</v>
      </c>
      <c r="Y129" s="69" t="s">
        <v>1195</v>
      </c>
      <c r="Z129" s="69" t="s">
        <v>2648</v>
      </c>
      <c r="AA129" s="69" t="s">
        <v>3</v>
      </c>
      <c r="AB129" s="69" t="s">
        <v>669</v>
      </c>
      <c r="AC129" s="69" t="s">
        <v>669</v>
      </c>
      <c r="AD129" s="69" t="s">
        <v>670</v>
      </c>
      <c r="AE129" s="69" t="s">
        <v>669</v>
      </c>
      <c r="AF129" s="69" t="s">
        <v>669</v>
      </c>
      <c r="AG129" s="69" t="s">
        <v>2397</v>
      </c>
      <c r="AH129" s="69" t="s">
        <v>2896</v>
      </c>
      <c r="AI129" s="69" t="s">
        <v>3</v>
      </c>
      <c r="AJ129" s="69" t="s">
        <v>3</v>
      </c>
      <c r="AK129" s="69" t="s">
        <v>3034</v>
      </c>
      <c r="AL129" s="69" t="s">
        <v>3006</v>
      </c>
      <c r="AM129" s="69" t="s">
        <v>3</v>
      </c>
      <c r="AN129" s="69" t="s">
        <v>505</v>
      </c>
      <c r="AO129" s="131"/>
      <c r="AP129" s="69" t="s">
        <v>459</v>
      </c>
      <c r="AQ129" s="69" t="s">
        <v>3426</v>
      </c>
      <c r="AR129" s="69"/>
      <c r="AS129" s="69"/>
      <c r="AT129" s="69"/>
      <c r="AU129" s="69"/>
      <c r="AV129" s="69" t="s">
        <v>3</v>
      </c>
      <c r="AW129" s="69" t="s">
        <v>530</v>
      </c>
      <c r="AX129" s="69" t="s">
        <v>3</v>
      </c>
      <c r="AY129" s="69" t="s">
        <v>530</v>
      </c>
      <c r="AZ129" s="69" t="s">
        <v>3</v>
      </c>
      <c r="BA129" s="69" t="s">
        <v>2229</v>
      </c>
      <c r="BB129" s="69" t="s">
        <v>2229</v>
      </c>
      <c r="BC129" s="69" t="s">
        <v>3</v>
      </c>
      <c r="BD129" s="69" t="s">
        <v>2229</v>
      </c>
      <c r="BE129" s="69" t="s">
        <v>2229</v>
      </c>
      <c r="BF129" s="69" t="s">
        <v>1130</v>
      </c>
      <c r="BG129" s="69" t="s">
        <v>1084</v>
      </c>
      <c r="BH129" s="69"/>
      <c r="BI129" s="69"/>
      <c r="BJ129" s="69" t="s">
        <v>1860</v>
      </c>
      <c r="BK129" s="69" t="s">
        <v>2432</v>
      </c>
      <c r="BL129" s="69" t="s">
        <v>1492</v>
      </c>
      <c r="BM129" s="69"/>
      <c r="BN129" s="69"/>
      <c r="BO129" s="69"/>
      <c r="BP129" s="69" t="s">
        <v>575</v>
      </c>
      <c r="BQ129" s="69" t="s">
        <v>3</v>
      </c>
      <c r="BR129" s="69"/>
      <c r="BS129" s="69"/>
      <c r="BT129" s="69"/>
      <c r="BU129" s="69"/>
      <c r="BV129" s="69"/>
      <c r="BW129" s="69" t="s">
        <v>2076</v>
      </c>
      <c r="BX129" s="69" t="s">
        <v>2039</v>
      </c>
      <c r="BY129" s="69"/>
      <c r="BZ129" s="69" t="s">
        <v>1673</v>
      </c>
      <c r="CA129" s="69" t="s">
        <v>2725</v>
      </c>
      <c r="CB129" s="69" t="s">
        <v>1673</v>
      </c>
      <c r="CC129" s="69"/>
      <c r="CD129" s="69"/>
      <c r="CE129" s="69" t="s">
        <v>1758</v>
      </c>
      <c r="CF129" s="69" t="s">
        <v>1802</v>
      </c>
      <c r="CG129" s="69" t="s">
        <v>1850</v>
      </c>
      <c r="CH129" s="69" t="s">
        <v>1823</v>
      </c>
      <c r="CI129" s="69" t="s">
        <v>3</v>
      </c>
      <c r="CJ129" s="69" t="s">
        <v>3555</v>
      </c>
      <c r="CK129" s="69" t="s">
        <v>3555</v>
      </c>
      <c r="CL129" s="69" t="s">
        <v>3555</v>
      </c>
      <c r="CM129" s="69" t="s">
        <v>3</v>
      </c>
      <c r="CN129" s="69" t="s">
        <v>751</v>
      </c>
      <c r="CO129" s="69" t="s">
        <v>986</v>
      </c>
      <c r="CP129" s="69" t="s">
        <v>3</v>
      </c>
      <c r="CQ129" s="69" t="s">
        <v>3190</v>
      </c>
      <c r="CR129" s="69" t="s">
        <v>3190</v>
      </c>
      <c r="CS129" s="69" t="s">
        <v>2502</v>
      </c>
      <c r="CT129" s="69" t="s">
        <v>845</v>
      </c>
      <c r="CU129" s="69" t="s">
        <v>836</v>
      </c>
      <c r="CV129" s="69"/>
      <c r="CW129" s="69"/>
      <c r="CX129" s="69" t="s">
        <v>1230</v>
      </c>
      <c r="CY129" s="69"/>
      <c r="CZ129" s="69"/>
      <c r="DA129" s="69" t="s">
        <v>2173</v>
      </c>
      <c r="DB129" s="69" t="s">
        <v>3</v>
      </c>
      <c r="DC129" s="69" t="s">
        <v>901</v>
      </c>
      <c r="DD129" s="69" t="s">
        <v>3</v>
      </c>
      <c r="DE129" s="69"/>
      <c r="DF129" s="69"/>
      <c r="DG129" s="152" t="s">
        <v>3348</v>
      </c>
      <c r="DH129" s="69"/>
      <c r="DI129" s="96" t="s">
        <v>1050</v>
      </c>
      <c r="DJ129" s="96" t="s">
        <v>1050</v>
      </c>
      <c r="DK129" s="69" t="s">
        <v>1965</v>
      </c>
      <c r="DL129" s="69" t="s">
        <v>3491</v>
      </c>
      <c r="DM129" s="69"/>
      <c r="DN129" s="69"/>
      <c r="DO129" s="69"/>
      <c r="DP129" s="69"/>
      <c r="DQ129" s="69" t="s">
        <v>3</v>
      </c>
      <c r="DR129" s="69" t="s">
        <v>1383</v>
      </c>
      <c r="DS129" s="69" t="s">
        <v>2677</v>
      </c>
      <c r="DT129" s="69" t="s">
        <v>3</v>
      </c>
      <c r="DU129" s="69" t="s">
        <v>1195</v>
      </c>
      <c r="DV129" s="69" t="s">
        <v>1555</v>
      </c>
      <c r="DW129" s="69" t="s">
        <v>3</v>
      </c>
      <c r="DX129" s="69" t="s">
        <v>416</v>
      </c>
      <c r="DY129" s="69" t="s">
        <v>1492</v>
      </c>
      <c r="DZ129" s="69"/>
    </row>
    <row r="130" spans="1:130" s="18" customFormat="1" ht="22.5" customHeight="1" x14ac:dyDescent="0.15">
      <c r="A130" s="25" t="s">
        <v>18</v>
      </c>
      <c r="B130" s="47" t="s">
        <v>3</v>
      </c>
      <c r="C130" s="47" t="s">
        <v>3</v>
      </c>
      <c r="D130" s="47" t="s">
        <v>3</v>
      </c>
      <c r="E130" s="47" t="s">
        <v>326</v>
      </c>
      <c r="F130" s="47" t="s">
        <v>326</v>
      </c>
      <c r="G130" s="47" t="s">
        <v>326</v>
      </c>
      <c r="H130" s="47" t="s">
        <v>3</v>
      </c>
      <c r="I130" s="62" t="s">
        <v>3</v>
      </c>
      <c r="J130" s="47" t="s">
        <v>3</v>
      </c>
      <c r="K130" s="47" t="s">
        <v>3</v>
      </c>
      <c r="L130" s="47" t="s">
        <v>3</v>
      </c>
      <c r="M130" s="62" t="s">
        <v>3</v>
      </c>
      <c r="N130" s="46" t="s">
        <v>3</v>
      </c>
      <c r="O130" s="47" t="s">
        <v>3</v>
      </c>
      <c r="P130" s="47" t="s">
        <v>12</v>
      </c>
      <c r="Q130" s="47" t="s">
        <v>0</v>
      </c>
      <c r="R130" s="46" t="s">
        <v>3239</v>
      </c>
      <c r="S130" s="117" t="s">
        <v>3297</v>
      </c>
      <c r="T130" s="117" t="s">
        <v>3297</v>
      </c>
      <c r="U130" s="121" t="s">
        <v>3</v>
      </c>
      <c r="V130" s="47" t="s">
        <v>802</v>
      </c>
      <c r="W130" s="62" t="s">
        <v>3</v>
      </c>
      <c r="X130" s="47" t="s">
        <v>3</v>
      </c>
      <c r="Y130" s="47" t="s">
        <v>2330</v>
      </c>
      <c r="Z130" s="47" t="s">
        <v>2662</v>
      </c>
      <c r="AA130" s="46" t="s">
        <v>3</v>
      </c>
      <c r="AB130" s="46" t="s">
        <v>3</v>
      </c>
      <c r="AC130" s="46" t="s">
        <v>3</v>
      </c>
      <c r="AD130" s="46" t="s">
        <v>3</v>
      </c>
      <c r="AE130" s="46" t="s">
        <v>3</v>
      </c>
      <c r="AF130" s="46" t="s">
        <v>3</v>
      </c>
      <c r="AG130" s="46" t="s">
        <v>3</v>
      </c>
      <c r="AH130" s="47" t="s">
        <v>2897</v>
      </c>
      <c r="AI130" s="47" t="s">
        <v>3</v>
      </c>
      <c r="AJ130" s="47" t="s">
        <v>3</v>
      </c>
      <c r="AK130" s="47" t="s">
        <v>2978</v>
      </c>
      <c r="AL130" s="47" t="s">
        <v>2979</v>
      </c>
      <c r="AM130" s="47" t="s">
        <v>3</v>
      </c>
      <c r="AN130" s="20" t="s">
        <v>3</v>
      </c>
      <c r="AO130" s="130" t="s">
        <v>95</v>
      </c>
      <c r="AP130" s="44" t="s">
        <v>186</v>
      </c>
      <c r="AQ130" s="43" t="s">
        <v>3</v>
      </c>
      <c r="AR130" s="43" t="s">
        <v>3500</v>
      </c>
      <c r="AS130" s="43" t="s">
        <v>3500</v>
      </c>
      <c r="AT130" s="43" t="s">
        <v>3500</v>
      </c>
      <c r="AU130" s="42" t="s">
        <v>95</v>
      </c>
      <c r="AV130" s="20" t="s">
        <v>3</v>
      </c>
      <c r="AW130" s="43" t="s">
        <v>3</v>
      </c>
      <c r="AX130" s="20" t="s">
        <v>3</v>
      </c>
      <c r="AY130" s="43" t="s">
        <v>3</v>
      </c>
      <c r="AZ130" s="47" t="s">
        <v>3</v>
      </c>
      <c r="BA130" s="43" t="s">
        <v>3</v>
      </c>
      <c r="BB130" s="43" t="s">
        <v>0</v>
      </c>
      <c r="BC130" s="47" t="s">
        <v>3</v>
      </c>
      <c r="BD130" s="43" t="s">
        <v>3</v>
      </c>
      <c r="BE130" s="43" t="s">
        <v>0</v>
      </c>
      <c r="BF130" s="47" t="s">
        <v>3</v>
      </c>
      <c r="BG130" s="47" t="s">
        <v>3</v>
      </c>
      <c r="BH130" s="47" t="s">
        <v>247</v>
      </c>
      <c r="BI130" s="47" t="s">
        <v>381</v>
      </c>
      <c r="BJ130" s="47" t="s">
        <v>381</v>
      </c>
      <c r="BK130" s="47" t="s">
        <v>381</v>
      </c>
      <c r="BL130" s="47" t="s">
        <v>2354</v>
      </c>
      <c r="BM130" s="47" t="s">
        <v>155</v>
      </c>
      <c r="BN130" s="47" t="s">
        <v>95</v>
      </c>
      <c r="BO130" s="47" t="s">
        <v>3</v>
      </c>
      <c r="BP130" s="47" t="s">
        <v>95</v>
      </c>
      <c r="BQ130" s="47" t="s">
        <v>3</v>
      </c>
      <c r="BR130" s="47" t="s">
        <v>95</v>
      </c>
      <c r="BS130" s="46" t="s">
        <v>3</v>
      </c>
      <c r="BT130" s="46" t="s">
        <v>3</v>
      </c>
      <c r="BU130" s="46" t="s">
        <v>3</v>
      </c>
      <c r="BV130" s="46" t="s">
        <v>3</v>
      </c>
      <c r="BW130" s="47" t="s">
        <v>3</v>
      </c>
      <c r="BX130" s="47" t="s">
        <v>2042</v>
      </c>
      <c r="BY130" s="46" t="s">
        <v>95</v>
      </c>
      <c r="BZ130" s="46" t="s">
        <v>95</v>
      </c>
      <c r="CA130" s="46" t="s">
        <v>186</v>
      </c>
      <c r="CB130" s="46" t="s">
        <v>95</v>
      </c>
      <c r="CC130" s="47" t="s">
        <v>3</v>
      </c>
      <c r="CD130" s="47" t="s">
        <v>119</v>
      </c>
      <c r="CE130" s="47" t="s">
        <v>0</v>
      </c>
      <c r="CF130" s="47" t="s">
        <v>95</v>
      </c>
      <c r="CG130" s="47" t="s">
        <v>95</v>
      </c>
      <c r="CH130" s="47" t="s">
        <v>119</v>
      </c>
      <c r="CI130" s="47" t="s">
        <v>3</v>
      </c>
      <c r="CJ130" s="47" t="s">
        <v>95</v>
      </c>
      <c r="CK130" s="47" t="s">
        <v>95</v>
      </c>
      <c r="CL130" s="47" t="s">
        <v>119</v>
      </c>
      <c r="CM130" s="47" t="s">
        <v>3</v>
      </c>
      <c r="CN130" s="47" t="s">
        <v>3</v>
      </c>
      <c r="CO130" s="46" t="s">
        <v>12</v>
      </c>
      <c r="CP130" s="47" t="s">
        <v>3164</v>
      </c>
      <c r="CQ130" s="110" t="s">
        <v>0</v>
      </c>
      <c r="CR130" s="110" t="s">
        <v>1</v>
      </c>
      <c r="CS130" s="46" t="s">
        <v>95</v>
      </c>
      <c r="CT130" s="46" t="s">
        <v>3</v>
      </c>
      <c r="CU130" s="46" t="s">
        <v>3</v>
      </c>
      <c r="CV130" s="46" t="s">
        <v>3</v>
      </c>
      <c r="CW130" s="47" t="s">
        <v>233</v>
      </c>
      <c r="CX130" s="46" t="s">
        <v>3</v>
      </c>
      <c r="CY130" s="46" t="s">
        <v>3</v>
      </c>
      <c r="CZ130" s="46" t="s">
        <v>127</v>
      </c>
      <c r="DA130" s="47" t="s">
        <v>2123</v>
      </c>
      <c r="DB130" s="46" t="s">
        <v>3</v>
      </c>
      <c r="DC130" s="47" t="s">
        <v>877</v>
      </c>
      <c r="DD130" s="46" t="s">
        <v>3</v>
      </c>
      <c r="DE130" s="46" t="s">
        <v>94</v>
      </c>
      <c r="DF130" s="46" t="s">
        <v>94</v>
      </c>
      <c r="DG130" s="146" t="s">
        <v>3</v>
      </c>
      <c r="DH130" s="47" t="s">
        <v>3</v>
      </c>
      <c r="DI130" s="47" t="s">
        <v>3</v>
      </c>
      <c r="DJ130" s="47" t="s">
        <v>3</v>
      </c>
      <c r="DK130" s="47" t="s">
        <v>1998</v>
      </c>
      <c r="DL130" s="47" t="s">
        <v>3</v>
      </c>
      <c r="DM130" s="47" t="s">
        <v>115</v>
      </c>
      <c r="DN130" s="46" t="s">
        <v>94</v>
      </c>
      <c r="DO130" s="46" t="s">
        <v>3</v>
      </c>
      <c r="DP130" s="47" t="s">
        <v>115</v>
      </c>
      <c r="DQ130" s="46" t="s">
        <v>3</v>
      </c>
      <c r="DR130" s="46" t="s">
        <v>3</v>
      </c>
      <c r="DS130" s="46" t="s">
        <v>3</v>
      </c>
      <c r="DT130" s="46" t="s">
        <v>3</v>
      </c>
      <c r="DU130" s="47" t="s">
        <v>275</v>
      </c>
      <c r="DV130" s="46" t="s">
        <v>3</v>
      </c>
      <c r="DW130" s="46" t="s">
        <v>3</v>
      </c>
      <c r="DX130" s="47" t="s">
        <v>420</v>
      </c>
      <c r="DY130" s="46" t="s">
        <v>3</v>
      </c>
      <c r="DZ130" s="43"/>
    </row>
    <row r="131" spans="1:130" s="18" customFormat="1" ht="12" customHeight="1" x14ac:dyDescent="0.15">
      <c r="A131" s="76" t="s">
        <v>402</v>
      </c>
      <c r="B131" s="69"/>
      <c r="C131" s="69" t="s">
        <v>3</v>
      </c>
      <c r="D131" s="69" t="s">
        <v>3</v>
      </c>
      <c r="E131" s="69" t="s">
        <v>3276</v>
      </c>
      <c r="F131" s="69"/>
      <c r="G131" s="69" t="s">
        <v>1588</v>
      </c>
      <c r="H131" s="69" t="s">
        <v>3</v>
      </c>
      <c r="I131" s="106" t="s">
        <v>3</v>
      </c>
      <c r="J131" s="69" t="s">
        <v>3</v>
      </c>
      <c r="K131" s="69" t="s">
        <v>3</v>
      </c>
      <c r="L131" s="69" t="s">
        <v>3</v>
      </c>
      <c r="M131" s="106" t="s">
        <v>3</v>
      </c>
      <c r="N131" s="69" t="s">
        <v>3</v>
      </c>
      <c r="O131" s="69"/>
      <c r="P131" s="69"/>
      <c r="Q131" s="69"/>
      <c r="R131" s="69" t="s">
        <v>3239</v>
      </c>
      <c r="S131" s="128"/>
      <c r="T131" s="128"/>
      <c r="U131" s="107" t="s">
        <v>3</v>
      </c>
      <c r="V131" s="69"/>
      <c r="W131" s="106" t="s">
        <v>1286</v>
      </c>
      <c r="X131" s="69" t="s">
        <v>1286</v>
      </c>
      <c r="Y131" s="69" t="s">
        <v>1195</v>
      </c>
      <c r="Z131" s="69" t="s">
        <v>2647</v>
      </c>
      <c r="AA131" s="69" t="s">
        <v>3</v>
      </c>
      <c r="AB131" s="69" t="s">
        <v>3</v>
      </c>
      <c r="AC131" s="69" t="s">
        <v>3</v>
      </c>
      <c r="AD131" s="69" t="s">
        <v>3</v>
      </c>
      <c r="AE131" s="69" t="s">
        <v>3</v>
      </c>
      <c r="AF131" s="69" t="s">
        <v>3</v>
      </c>
      <c r="AG131" s="69" t="s">
        <v>3</v>
      </c>
      <c r="AH131" s="69" t="s">
        <v>2898</v>
      </c>
      <c r="AI131" s="69" t="s">
        <v>3</v>
      </c>
      <c r="AJ131" s="69" t="s">
        <v>3</v>
      </c>
      <c r="AK131" s="69" t="s">
        <v>3001</v>
      </c>
      <c r="AL131" s="69" t="s">
        <v>3011</v>
      </c>
      <c r="AM131" s="69" t="s">
        <v>3</v>
      </c>
      <c r="AN131" s="69" t="s">
        <v>3</v>
      </c>
      <c r="AO131" s="131"/>
      <c r="AP131" s="69" t="s">
        <v>455</v>
      </c>
      <c r="AQ131" s="69" t="s">
        <v>3426</v>
      </c>
      <c r="AR131" s="69"/>
      <c r="AS131" s="69"/>
      <c r="AT131" s="69"/>
      <c r="AU131" s="69"/>
      <c r="AV131" s="69" t="s">
        <v>3</v>
      </c>
      <c r="AW131" s="69" t="s">
        <v>530</v>
      </c>
      <c r="AX131" s="69" t="s">
        <v>3</v>
      </c>
      <c r="AY131" s="69" t="s">
        <v>530</v>
      </c>
      <c r="AZ131" s="69" t="s">
        <v>3</v>
      </c>
      <c r="BA131" s="69" t="s">
        <v>3</v>
      </c>
      <c r="BB131" s="69" t="s">
        <v>2221</v>
      </c>
      <c r="BC131" s="69" t="s">
        <v>3</v>
      </c>
      <c r="BD131" s="69" t="s">
        <v>3</v>
      </c>
      <c r="BE131" s="69" t="s">
        <v>2221</v>
      </c>
      <c r="BF131" s="69" t="s">
        <v>3</v>
      </c>
      <c r="BG131" s="69" t="s">
        <v>3</v>
      </c>
      <c r="BH131" s="69"/>
      <c r="BI131" s="69"/>
      <c r="BJ131" s="69" t="s">
        <v>1861</v>
      </c>
      <c r="BK131" s="69" t="s">
        <v>2432</v>
      </c>
      <c r="BL131" s="69" t="s">
        <v>2353</v>
      </c>
      <c r="BM131" s="69"/>
      <c r="BN131" s="69"/>
      <c r="BO131" s="69"/>
      <c r="BP131" s="69" t="s">
        <v>576</v>
      </c>
      <c r="BQ131" s="69" t="s">
        <v>3</v>
      </c>
      <c r="BR131" s="69"/>
      <c r="BS131" s="69"/>
      <c r="BT131" s="69"/>
      <c r="BU131" s="69"/>
      <c r="BV131" s="69"/>
      <c r="BW131" s="69" t="s">
        <v>3</v>
      </c>
      <c r="BX131" s="69" t="s">
        <v>2041</v>
      </c>
      <c r="BY131" s="69"/>
      <c r="BZ131" s="69" t="s">
        <v>1673</v>
      </c>
      <c r="CA131" s="69" t="s">
        <v>2725</v>
      </c>
      <c r="CB131" s="69" t="s">
        <v>1673</v>
      </c>
      <c r="CC131" s="69"/>
      <c r="CD131" s="69"/>
      <c r="CE131" s="69" t="s">
        <v>1748</v>
      </c>
      <c r="CF131" s="69" t="s">
        <v>1796</v>
      </c>
      <c r="CG131" s="69" t="s">
        <v>1845</v>
      </c>
      <c r="CH131" s="69" t="s">
        <v>1824</v>
      </c>
      <c r="CI131" s="69" t="s">
        <v>3</v>
      </c>
      <c r="CJ131" s="69" t="s">
        <v>3555</v>
      </c>
      <c r="CK131" s="69" t="s">
        <v>3555</v>
      </c>
      <c r="CL131" s="69" t="s">
        <v>3555</v>
      </c>
      <c r="CM131" s="69" t="s">
        <v>3</v>
      </c>
      <c r="CN131" s="69" t="s">
        <v>3</v>
      </c>
      <c r="CO131" s="69" t="s">
        <v>987</v>
      </c>
      <c r="CP131" s="69" t="s">
        <v>3210</v>
      </c>
      <c r="CQ131" s="69" t="s">
        <v>3198</v>
      </c>
      <c r="CR131" s="69" t="s">
        <v>3014</v>
      </c>
      <c r="CS131" s="69" t="s">
        <v>2502</v>
      </c>
      <c r="CT131" s="69" t="s">
        <v>3</v>
      </c>
      <c r="CU131" s="69" t="s">
        <v>3</v>
      </c>
      <c r="CV131" s="69"/>
      <c r="CW131" s="69"/>
      <c r="CX131" s="69" t="s">
        <v>3</v>
      </c>
      <c r="CY131" s="69"/>
      <c r="CZ131" s="69"/>
      <c r="DA131" s="69" t="s">
        <v>2175</v>
      </c>
      <c r="DB131" s="69" t="s">
        <v>3</v>
      </c>
      <c r="DC131" s="69" t="s">
        <v>902</v>
      </c>
      <c r="DD131" s="69" t="s">
        <v>3</v>
      </c>
      <c r="DE131" s="69"/>
      <c r="DF131" s="69"/>
      <c r="DG131" s="152" t="s">
        <v>3</v>
      </c>
      <c r="DH131" s="69"/>
      <c r="DI131" s="69" t="s">
        <v>3</v>
      </c>
      <c r="DJ131" s="69" t="s">
        <v>3</v>
      </c>
      <c r="DK131" s="69" t="s">
        <v>1999</v>
      </c>
      <c r="DL131" s="69"/>
      <c r="DM131" s="69"/>
      <c r="DN131" s="69"/>
      <c r="DO131" s="69"/>
      <c r="DP131" s="69"/>
      <c r="DQ131" s="69" t="s">
        <v>3</v>
      </c>
      <c r="DR131" s="69" t="s">
        <v>3</v>
      </c>
      <c r="DS131" s="69" t="s">
        <v>3</v>
      </c>
      <c r="DT131" s="69" t="s">
        <v>3</v>
      </c>
      <c r="DU131" s="69"/>
      <c r="DV131" s="69" t="s">
        <v>3</v>
      </c>
      <c r="DW131" s="69" t="s">
        <v>3</v>
      </c>
      <c r="DX131" s="69" t="s">
        <v>441</v>
      </c>
      <c r="DY131" s="69" t="s">
        <v>3</v>
      </c>
      <c r="DZ131" s="69"/>
    </row>
    <row r="132" spans="1:130" ht="36" x14ac:dyDescent="0.15">
      <c r="A132" s="25" t="s">
        <v>37</v>
      </c>
      <c r="B132" s="46" t="s">
        <v>3</v>
      </c>
      <c r="C132" s="47" t="s">
        <v>2759</v>
      </c>
      <c r="D132" s="47" t="s">
        <v>2759</v>
      </c>
      <c r="E132" s="47" t="s">
        <v>3259</v>
      </c>
      <c r="F132" s="47" t="s">
        <v>318</v>
      </c>
      <c r="G132" s="47" t="s">
        <v>318</v>
      </c>
      <c r="H132" s="47" t="s">
        <v>3</v>
      </c>
      <c r="I132" s="62" t="s">
        <v>12</v>
      </c>
      <c r="J132" s="47" t="s">
        <v>3</v>
      </c>
      <c r="K132" s="47" t="s">
        <v>12</v>
      </c>
      <c r="L132" s="47" t="s">
        <v>3</v>
      </c>
      <c r="M132" s="62" t="s">
        <v>12</v>
      </c>
      <c r="N132" s="46" t="s">
        <v>3</v>
      </c>
      <c r="O132" s="46" t="s">
        <v>94</v>
      </c>
      <c r="P132" s="46" t="s">
        <v>12</v>
      </c>
      <c r="Q132" s="46" t="s">
        <v>0</v>
      </c>
      <c r="R132" s="46" t="s">
        <v>3239</v>
      </c>
      <c r="S132" s="117" t="s">
        <v>0</v>
      </c>
      <c r="T132" s="117" t="s">
        <v>3297</v>
      </c>
      <c r="U132" s="105" t="s">
        <v>2527</v>
      </c>
      <c r="V132" s="47" t="s">
        <v>802</v>
      </c>
      <c r="W132" s="62" t="s">
        <v>802</v>
      </c>
      <c r="X132" s="47" t="s">
        <v>802</v>
      </c>
      <c r="Y132" s="46" t="s">
        <v>3</v>
      </c>
      <c r="Z132" s="47" t="s">
        <v>2654</v>
      </c>
      <c r="AA132" s="46" t="s">
        <v>3</v>
      </c>
      <c r="AB132" s="46" t="s">
        <v>3</v>
      </c>
      <c r="AC132" s="46" t="s">
        <v>3</v>
      </c>
      <c r="AD132" s="46" t="s">
        <v>3</v>
      </c>
      <c r="AE132" s="46" t="s">
        <v>3</v>
      </c>
      <c r="AF132" s="46" t="s">
        <v>3</v>
      </c>
      <c r="AG132" s="47" t="s">
        <v>2401</v>
      </c>
      <c r="AH132" s="47" t="s">
        <v>1751</v>
      </c>
      <c r="AI132" s="47" t="s">
        <v>3</v>
      </c>
      <c r="AJ132" s="47" t="s">
        <v>3</v>
      </c>
      <c r="AK132" s="47" t="s">
        <v>2978</v>
      </c>
      <c r="AL132" s="47" t="s">
        <v>2979</v>
      </c>
      <c r="AM132" s="47" t="s">
        <v>3</v>
      </c>
      <c r="AN132" s="20" t="s">
        <v>3</v>
      </c>
      <c r="AO132" s="130" t="s">
        <v>3239</v>
      </c>
      <c r="AP132" s="44" t="s">
        <v>186</v>
      </c>
      <c r="AQ132" s="43" t="s">
        <v>3</v>
      </c>
      <c r="AR132" s="43" t="s">
        <v>3511</v>
      </c>
      <c r="AS132" s="43" t="s">
        <v>3500</v>
      </c>
      <c r="AT132" s="43" t="s">
        <v>3511</v>
      </c>
      <c r="AU132" s="42" t="s">
        <v>12</v>
      </c>
      <c r="AV132" s="20" t="s">
        <v>3</v>
      </c>
      <c r="AW132" s="44" t="s">
        <v>12</v>
      </c>
      <c r="AX132" s="20" t="s">
        <v>3</v>
      </c>
      <c r="AY132" s="44" t="s">
        <v>12</v>
      </c>
      <c r="AZ132" s="47" t="s">
        <v>3</v>
      </c>
      <c r="BA132" s="43" t="s">
        <v>2214</v>
      </c>
      <c r="BB132" s="43" t="s">
        <v>0</v>
      </c>
      <c r="BC132" s="47" t="s">
        <v>3</v>
      </c>
      <c r="BD132" s="43" t="s">
        <v>2214</v>
      </c>
      <c r="BE132" s="43" t="s">
        <v>0</v>
      </c>
      <c r="BF132" s="47" t="s">
        <v>3</v>
      </c>
      <c r="BG132" s="47" t="s">
        <v>252</v>
      </c>
      <c r="BH132" s="47" t="s">
        <v>252</v>
      </c>
      <c r="BI132" s="47" t="s">
        <v>381</v>
      </c>
      <c r="BJ132" s="47" t="s">
        <v>381</v>
      </c>
      <c r="BK132" s="47" t="s">
        <v>2434</v>
      </c>
      <c r="BL132" s="47" t="s">
        <v>2354</v>
      </c>
      <c r="BM132" s="47" t="s">
        <v>155</v>
      </c>
      <c r="BN132" s="47" t="s">
        <v>116</v>
      </c>
      <c r="BO132" s="46" t="s">
        <v>3</v>
      </c>
      <c r="BP132" s="47" t="s">
        <v>578</v>
      </c>
      <c r="BQ132" s="47" t="s">
        <v>3</v>
      </c>
      <c r="BR132" s="47" t="s">
        <v>95</v>
      </c>
      <c r="BS132" s="46" t="s">
        <v>3</v>
      </c>
      <c r="BT132" s="47" t="s">
        <v>368</v>
      </c>
      <c r="BU132" s="46" t="s">
        <v>3</v>
      </c>
      <c r="BV132" s="47" t="s">
        <v>214</v>
      </c>
      <c r="BW132" s="47" t="s">
        <v>2007</v>
      </c>
      <c r="BX132" s="47" t="s">
        <v>95</v>
      </c>
      <c r="BY132" s="47" t="s">
        <v>95</v>
      </c>
      <c r="BZ132" s="46" t="s">
        <v>95</v>
      </c>
      <c r="CA132" s="46" t="s">
        <v>186</v>
      </c>
      <c r="CB132" s="46" t="s">
        <v>95</v>
      </c>
      <c r="CC132" s="47" t="s">
        <v>3</v>
      </c>
      <c r="CD132" s="47" t="s">
        <v>119</v>
      </c>
      <c r="CE132" s="47" t="s">
        <v>119</v>
      </c>
      <c r="CF132" s="47" t="s">
        <v>95</v>
      </c>
      <c r="CG132" s="47" t="s">
        <v>95</v>
      </c>
      <c r="CH132" s="47" t="s">
        <v>1751</v>
      </c>
      <c r="CI132" s="47" t="s">
        <v>3</v>
      </c>
      <c r="CJ132" s="47" t="s">
        <v>1751</v>
      </c>
      <c r="CK132" s="47" t="s">
        <v>1751</v>
      </c>
      <c r="CL132" s="47" t="s">
        <v>1751</v>
      </c>
      <c r="CM132" s="47" t="s">
        <v>3</v>
      </c>
      <c r="CN132" s="155" t="s">
        <v>141</v>
      </c>
      <c r="CO132" s="46" t="s">
        <v>12</v>
      </c>
      <c r="CP132" s="47" t="s">
        <v>3164</v>
      </c>
      <c r="CQ132" s="110" t="s">
        <v>0</v>
      </c>
      <c r="CR132" s="110" t="s">
        <v>1</v>
      </c>
      <c r="CS132" s="46" t="s">
        <v>95</v>
      </c>
      <c r="CT132" s="46" t="s">
        <v>3</v>
      </c>
      <c r="CU132" s="47" t="s">
        <v>842</v>
      </c>
      <c r="CV132" s="46" t="s">
        <v>3</v>
      </c>
      <c r="CW132" s="47" t="s">
        <v>233</v>
      </c>
      <c r="CX132" s="46" t="s">
        <v>3</v>
      </c>
      <c r="CY132" s="46" t="s">
        <v>3</v>
      </c>
      <c r="CZ132" s="46" t="s">
        <v>127</v>
      </c>
      <c r="DA132" s="47" t="s">
        <v>2123</v>
      </c>
      <c r="DB132" s="46" t="s">
        <v>3</v>
      </c>
      <c r="DC132" s="46" t="s">
        <v>186</v>
      </c>
      <c r="DD132" s="46" t="s">
        <v>3</v>
      </c>
      <c r="DE132" s="47" t="s">
        <v>292</v>
      </c>
      <c r="DF132" s="47" t="s">
        <v>292</v>
      </c>
      <c r="DG132" s="147" t="s">
        <v>3</v>
      </c>
      <c r="DH132" s="46" t="s">
        <v>3</v>
      </c>
      <c r="DI132" s="46" t="s">
        <v>3</v>
      </c>
      <c r="DJ132" s="46" t="s">
        <v>3</v>
      </c>
      <c r="DK132" s="47" t="s">
        <v>1935</v>
      </c>
      <c r="DL132" s="47" t="s">
        <v>3492</v>
      </c>
      <c r="DM132" s="67" t="s">
        <v>81</v>
      </c>
      <c r="DN132" s="46" t="s">
        <v>94</v>
      </c>
      <c r="DO132" s="46" t="s">
        <v>3</v>
      </c>
      <c r="DP132" s="47" t="s">
        <v>12</v>
      </c>
      <c r="DQ132" s="46" t="s">
        <v>3</v>
      </c>
      <c r="DR132" s="46" t="s">
        <v>3</v>
      </c>
      <c r="DS132" s="46" t="s">
        <v>3</v>
      </c>
      <c r="DT132" s="46" t="s">
        <v>3</v>
      </c>
      <c r="DU132" s="47" t="s">
        <v>231</v>
      </c>
      <c r="DV132" s="46" t="s">
        <v>3</v>
      </c>
      <c r="DW132" s="46" t="s">
        <v>3</v>
      </c>
      <c r="DX132" s="47" t="s">
        <v>420</v>
      </c>
      <c r="DY132" s="47" t="s">
        <v>3</v>
      </c>
      <c r="DZ132" s="43"/>
    </row>
    <row r="133" spans="1:130" s="18" customFormat="1" ht="12" customHeight="1" x14ac:dyDescent="0.15">
      <c r="A133" s="76" t="s">
        <v>402</v>
      </c>
      <c r="B133" s="69"/>
      <c r="C133" s="69" t="s">
        <v>2760</v>
      </c>
      <c r="D133" s="69" t="s">
        <v>2760</v>
      </c>
      <c r="E133" s="69" t="s">
        <v>3258</v>
      </c>
      <c r="F133" s="69"/>
      <c r="G133" s="69" t="s">
        <v>1588</v>
      </c>
      <c r="H133" s="69" t="s">
        <v>3</v>
      </c>
      <c r="I133" s="106" t="s">
        <v>1635</v>
      </c>
      <c r="J133" s="69" t="s">
        <v>3</v>
      </c>
      <c r="K133" s="69" t="s">
        <v>1431</v>
      </c>
      <c r="L133" s="69" t="s">
        <v>3</v>
      </c>
      <c r="M133" s="106" t="s">
        <v>1431</v>
      </c>
      <c r="N133" s="69" t="s">
        <v>3</v>
      </c>
      <c r="O133" s="69"/>
      <c r="P133" s="69"/>
      <c r="Q133" s="69"/>
      <c r="R133" s="69" t="s">
        <v>3239</v>
      </c>
      <c r="S133" s="128"/>
      <c r="T133" s="128"/>
      <c r="U133" s="107" t="s">
        <v>2533</v>
      </c>
      <c r="V133" s="69"/>
      <c r="W133" s="106" t="s">
        <v>1285</v>
      </c>
      <c r="X133" s="69" t="s">
        <v>1285</v>
      </c>
      <c r="Y133" s="69" t="s">
        <v>3</v>
      </c>
      <c r="Z133" s="69" t="s">
        <v>2658</v>
      </c>
      <c r="AA133" s="69" t="s">
        <v>3</v>
      </c>
      <c r="AB133" s="69" t="s">
        <v>3</v>
      </c>
      <c r="AC133" s="69" t="s">
        <v>3</v>
      </c>
      <c r="AD133" s="69" t="s">
        <v>3</v>
      </c>
      <c r="AE133" s="69" t="s">
        <v>3</v>
      </c>
      <c r="AF133" s="69" t="s">
        <v>3</v>
      </c>
      <c r="AG133" s="69" t="s">
        <v>2402</v>
      </c>
      <c r="AH133" s="69" t="s">
        <v>2898</v>
      </c>
      <c r="AI133" s="69" t="s">
        <v>3</v>
      </c>
      <c r="AJ133" s="69" t="s">
        <v>3</v>
      </c>
      <c r="AK133" s="69" t="s">
        <v>3042</v>
      </c>
      <c r="AL133" s="69" t="s">
        <v>3010</v>
      </c>
      <c r="AM133" s="69" t="s">
        <v>3</v>
      </c>
      <c r="AN133" s="69" t="s">
        <v>3</v>
      </c>
      <c r="AO133" s="131"/>
      <c r="AP133" s="69" t="s">
        <v>455</v>
      </c>
      <c r="AQ133" s="69" t="s">
        <v>3</v>
      </c>
      <c r="AR133" s="69"/>
      <c r="AS133" s="69"/>
      <c r="AT133" s="69"/>
      <c r="AU133" s="69"/>
      <c r="AV133" s="69" t="s">
        <v>3</v>
      </c>
      <c r="AW133" s="69" t="s">
        <v>531</v>
      </c>
      <c r="AX133" s="69" t="s">
        <v>3</v>
      </c>
      <c r="AY133" s="69" t="s">
        <v>531</v>
      </c>
      <c r="AZ133" s="69" t="s">
        <v>3</v>
      </c>
      <c r="BA133" s="69" t="s">
        <v>2228</v>
      </c>
      <c r="BB133" s="69" t="s">
        <v>2227</v>
      </c>
      <c r="BC133" s="69" t="s">
        <v>3</v>
      </c>
      <c r="BD133" s="69" t="s">
        <v>2228</v>
      </c>
      <c r="BE133" s="69" t="s">
        <v>2227</v>
      </c>
      <c r="BF133" s="69" t="s">
        <v>3</v>
      </c>
      <c r="BG133" s="69" t="s">
        <v>1089</v>
      </c>
      <c r="BH133" s="69"/>
      <c r="BI133" s="69"/>
      <c r="BJ133" s="69" t="s">
        <v>1861</v>
      </c>
      <c r="BK133" s="69" t="s">
        <v>2432</v>
      </c>
      <c r="BL133" s="69" t="s">
        <v>2353</v>
      </c>
      <c r="BM133" s="69"/>
      <c r="BN133" s="69"/>
      <c r="BO133" s="69"/>
      <c r="BP133" s="69" t="s">
        <v>577</v>
      </c>
      <c r="BQ133" s="69" t="s">
        <v>3</v>
      </c>
      <c r="BR133" s="69"/>
      <c r="BS133" s="69"/>
      <c r="BT133" s="69"/>
      <c r="BU133" s="69"/>
      <c r="BV133" s="69"/>
      <c r="BW133" s="69" t="s">
        <v>2077</v>
      </c>
      <c r="BX133" s="69" t="s">
        <v>2040</v>
      </c>
      <c r="BY133" s="69"/>
      <c r="BZ133" s="69" t="s">
        <v>1673</v>
      </c>
      <c r="CA133" s="69" t="s">
        <v>2725</v>
      </c>
      <c r="CB133" s="69" t="s">
        <v>1673</v>
      </c>
      <c r="CC133" s="69"/>
      <c r="CD133" s="69"/>
      <c r="CE133" s="69" t="s">
        <v>1750</v>
      </c>
      <c r="CF133" s="69" t="s">
        <v>1796</v>
      </c>
      <c r="CG133" s="69" t="s">
        <v>1845</v>
      </c>
      <c r="CH133" s="69" t="s">
        <v>1824</v>
      </c>
      <c r="CI133" s="69" t="s">
        <v>3</v>
      </c>
      <c r="CJ133" s="69" t="s">
        <v>3555</v>
      </c>
      <c r="CK133" s="69" t="s">
        <v>3555</v>
      </c>
      <c r="CL133" s="69" t="s">
        <v>3579</v>
      </c>
      <c r="CM133" s="69" t="s">
        <v>3</v>
      </c>
      <c r="CN133" s="69" t="s">
        <v>759</v>
      </c>
      <c r="CO133" s="69" t="s">
        <v>988</v>
      </c>
      <c r="CP133" s="69" t="s">
        <v>3210</v>
      </c>
      <c r="CQ133" s="69" t="s">
        <v>3198</v>
      </c>
      <c r="CR133" s="69" t="s">
        <v>3014</v>
      </c>
      <c r="CS133" s="69" t="s">
        <v>2502</v>
      </c>
      <c r="CT133" s="69" t="s">
        <v>3</v>
      </c>
      <c r="CU133" s="69" t="s">
        <v>836</v>
      </c>
      <c r="CV133" s="69"/>
      <c r="CW133" s="69"/>
      <c r="CX133" s="69" t="s">
        <v>3</v>
      </c>
      <c r="CY133" s="69"/>
      <c r="CZ133" s="69"/>
      <c r="DA133" s="69" t="s">
        <v>2174</v>
      </c>
      <c r="DB133" s="69" t="s">
        <v>3</v>
      </c>
      <c r="DC133" s="69" t="s">
        <v>900</v>
      </c>
      <c r="DD133" s="69" t="s">
        <v>3</v>
      </c>
      <c r="DE133" s="69"/>
      <c r="DF133" s="69"/>
      <c r="DG133" s="152" t="s">
        <v>3</v>
      </c>
      <c r="DH133" s="69"/>
      <c r="DI133" s="69" t="s">
        <v>3</v>
      </c>
      <c r="DJ133" s="69" t="s">
        <v>3</v>
      </c>
      <c r="DK133" s="69" t="s">
        <v>1952</v>
      </c>
      <c r="DL133" s="69" t="s">
        <v>3493</v>
      </c>
      <c r="DM133" s="69"/>
      <c r="DN133" s="69"/>
      <c r="DO133" s="69"/>
      <c r="DP133" s="69"/>
      <c r="DQ133" s="69" t="s">
        <v>3</v>
      </c>
      <c r="DR133" s="69" t="s">
        <v>3</v>
      </c>
      <c r="DS133" s="69" t="s">
        <v>3</v>
      </c>
      <c r="DT133" s="69" t="s">
        <v>3</v>
      </c>
      <c r="DU133" s="69" t="s">
        <v>1196</v>
      </c>
      <c r="DV133" s="69" t="s">
        <v>3</v>
      </c>
      <c r="DW133" s="69" t="s">
        <v>3</v>
      </c>
      <c r="DX133" s="69" t="s">
        <v>441</v>
      </c>
      <c r="DY133" s="69" t="s">
        <v>3</v>
      </c>
      <c r="DZ133" s="69"/>
    </row>
    <row r="134" spans="1:130" ht="22.5" customHeight="1" x14ac:dyDescent="0.15">
      <c r="A134" s="25" t="s">
        <v>33</v>
      </c>
      <c r="B134" s="47" t="s">
        <v>203</v>
      </c>
      <c r="C134" s="47" t="s">
        <v>203</v>
      </c>
      <c r="D134" s="47" t="s">
        <v>203</v>
      </c>
      <c r="E134" s="46" t="s">
        <v>3288</v>
      </c>
      <c r="F134" s="46" t="s">
        <v>48</v>
      </c>
      <c r="G134" s="46" t="s">
        <v>48</v>
      </c>
      <c r="H134" s="47" t="s">
        <v>3</v>
      </c>
      <c r="I134" s="62" t="s">
        <v>1410</v>
      </c>
      <c r="J134" s="47" t="s">
        <v>3</v>
      </c>
      <c r="K134" s="47" t="s">
        <v>1410</v>
      </c>
      <c r="L134" s="47" t="s">
        <v>3</v>
      </c>
      <c r="M134" s="62" t="s">
        <v>95</v>
      </c>
      <c r="N134" s="46" t="s">
        <v>3</v>
      </c>
      <c r="O134" s="46" t="s">
        <v>94</v>
      </c>
      <c r="P134" s="46" t="s">
        <v>94</v>
      </c>
      <c r="Q134" s="46" t="s">
        <v>94</v>
      </c>
      <c r="R134" s="46" t="s">
        <v>3239</v>
      </c>
      <c r="S134" s="117" t="s">
        <v>3298</v>
      </c>
      <c r="T134" s="117" t="s">
        <v>3298</v>
      </c>
      <c r="U134" s="121" t="s">
        <v>2561</v>
      </c>
      <c r="V134" s="46" t="s">
        <v>186</v>
      </c>
      <c r="W134" s="62" t="s">
        <v>186</v>
      </c>
      <c r="X134" s="47" t="s">
        <v>186</v>
      </c>
      <c r="Y134" s="46" t="s">
        <v>3</v>
      </c>
      <c r="Z134" s="47" t="s">
        <v>2654</v>
      </c>
      <c r="AA134" s="46" t="s">
        <v>3</v>
      </c>
      <c r="AB134" s="46" t="s">
        <v>3</v>
      </c>
      <c r="AC134" s="46" t="s">
        <v>3</v>
      </c>
      <c r="AD134" s="46" t="s">
        <v>3</v>
      </c>
      <c r="AE134" s="46" t="s">
        <v>3</v>
      </c>
      <c r="AF134" s="46" t="s">
        <v>3</v>
      </c>
      <c r="AG134" s="46" t="s">
        <v>2415</v>
      </c>
      <c r="AH134" s="47" t="s">
        <v>3</v>
      </c>
      <c r="AI134" s="47" t="s">
        <v>3</v>
      </c>
      <c r="AJ134" s="47" t="s">
        <v>3</v>
      </c>
      <c r="AK134" s="47" t="s">
        <v>3</v>
      </c>
      <c r="AL134" s="47" t="s">
        <v>95</v>
      </c>
      <c r="AM134" s="47" t="s">
        <v>3</v>
      </c>
      <c r="AN134" s="20" t="s">
        <v>3</v>
      </c>
      <c r="AO134" s="134" t="s">
        <v>3319</v>
      </c>
      <c r="AP134" s="44" t="s">
        <v>14</v>
      </c>
      <c r="AQ134" s="43" t="s">
        <v>3</v>
      </c>
      <c r="AR134" s="43" t="s">
        <v>3510</v>
      </c>
      <c r="AS134" s="43" t="s">
        <v>3502</v>
      </c>
      <c r="AT134" s="43" t="s">
        <v>3510</v>
      </c>
      <c r="AU134" s="42" t="s">
        <v>95</v>
      </c>
      <c r="AV134" s="20" t="s">
        <v>3</v>
      </c>
      <c r="AW134" s="44" t="s">
        <v>95</v>
      </c>
      <c r="AX134" s="20" t="s">
        <v>3</v>
      </c>
      <c r="AY134" s="44" t="s">
        <v>95</v>
      </c>
      <c r="AZ134" s="43" t="s">
        <v>3</v>
      </c>
      <c r="BA134" s="43" t="s">
        <v>0</v>
      </c>
      <c r="BB134" s="43" t="s">
        <v>0</v>
      </c>
      <c r="BC134" s="47" t="s">
        <v>3</v>
      </c>
      <c r="BD134" s="44" t="s">
        <v>0</v>
      </c>
      <c r="BE134" s="44" t="s">
        <v>0</v>
      </c>
      <c r="BF134" s="47" t="s">
        <v>3</v>
      </c>
      <c r="BG134" s="47" t="s">
        <v>257</v>
      </c>
      <c r="BH134" s="47" t="s">
        <v>257</v>
      </c>
      <c r="BI134" s="47" t="s">
        <v>390</v>
      </c>
      <c r="BJ134" s="47" t="s">
        <v>1922</v>
      </c>
      <c r="BK134" s="47" t="s">
        <v>2479</v>
      </c>
      <c r="BL134" s="47" t="s">
        <v>95</v>
      </c>
      <c r="BM134" s="46" t="s">
        <v>3</v>
      </c>
      <c r="BN134" s="47" t="s">
        <v>109</v>
      </c>
      <c r="BO134" s="46" t="s">
        <v>3</v>
      </c>
      <c r="BP134" s="47" t="s">
        <v>606</v>
      </c>
      <c r="BQ134" s="47" t="s">
        <v>3</v>
      </c>
      <c r="BR134" s="47" t="s">
        <v>95</v>
      </c>
      <c r="BS134" s="47" t="s">
        <v>221</v>
      </c>
      <c r="BT134" s="47" t="s">
        <v>221</v>
      </c>
      <c r="BU134" s="47" t="s">
        <v>221</v>
      </c>
      <c r="BV134" s="47" t="s">
        <v>221</v>
      </c>
      <c r="BW134" s="46" t="s">
        <v>2101</v>
      </c>
      <c r="BX134" s="46" t="s">
        <v>2101</v>
      </c>
      <c r="BY134" s="47" t="s">
        <v>1689</v>
      </c>
      <c r="BZ134" s="47" t="s">
        <v>1689</v>
      </c>
      <c r="CA134" s="47" t="s">
        <v>95</v>
      </c>
      <c r="CB134" s="47" t="s">
        <v>1689</v>
      </c>
      <c r="CC134" s="47" t="s">
        <v>3</v>
      </c>
      <c r="CD134" s="47" t="s">
        <v>118</v>
      </c>
      <c r="CE134" s="47" t="s">
        <v>1751</v>
      </c>
      <c r="CF134" s="47" t="s">
        <v>95</v>
      </c>
      <c r="CG134" s="47" t="s">
        <v>95</v>
      </c>
      <c r="CH134" s="47" t="s">
        <v>117</v>
      </c>
      <c r="CI134" s="47" t="s">
        <v>3</v>
      </c>
      <c r="CJ134" s="47" t="s">
        <v>3599</v>
      </c>
      <c r="CK134" s="47" t="s">
        <v>1801</v>
      </c>
      <c r="CL134" s="47" t="s">
        <v>117</v>
      </c>
      <c r="CM134" s="47" t="s">
        <v>3</v>
      </c>
      <c r="CN134" s="47" t="s">
        <v>3448</v>
      </c>
      <c r="CO134" s="46" t="s">
        <v>14</v>
      </c>
      <c r="CP134" s="47" t="s">
        <v>3</v>
      </c>
      <c r="CQ134" s="44" t="s">
        <v>14</v>
      </c>
      <c r="CR134" s="44" t="s">
        <v>16</v>
      </c>
      <c r="CS134" s="46" t="s">
        <v>3</v>
      </c>
      <c r="CT134" s="46" t="s">
        <v>3</v>
      </c>
      <c r="CU134" s="46" t="s">
        <v>14</v>
      </c>
      <c r="CV134" s="46" t="s">
        <v>3</v>
      </c>
      <c r="CW134" s="47" t="s">
        <v>3</v>
      </c>
      <c r="CX134" s="46" t="s">
        <v>3</v>
      </c>
      <c r="CY134" s="46" t="s">
        <v>3</v>
      </c>
      <c r="CZ134" s="46" t="s">
        <v>3</v>
      </c>
      <c r="DA134" s="46" t="s">
        <v>16</v>
      </c>
      <c r="DB134" s="46" t="s">
        <v>3</v>
      </c>
      <c r="DC134" s="46" t="s">
        <v>186</v>
      </c>
      <c r="DD134" s="46" t="s">
        <v>131</v>
      </c>
      <c r="DE134" s="46" t="s">
        <v>131</v>
      </c>
      <c r="DF134" s="46" t="s">
        <v>3</v>
      </c>
      <c r="DG134" s="147" t="s">
        <v>95</v>
      </c>
      <c r="DH134" s="46" t="s">
        <v>131</v>
      </c>
      <c r="DI134" s="46" t="s">
        <v>131</v>
      </c>
      <c r="DJ134" s="46" t="s">
        <v>131</v>
      </c>
      <c r="DK134" s="47" t="s">
        <v>95</v>
      </c>
      <c r="DL134" s="47" t="s">
        <v>95</v>
      </c>
      <c r="DM134" s="68" t="s">
        <v>95</v>
      </c>
      <c r="DN134" s="60" t="s">
        <v>3</v>
      </c>
      <c r="DO134" s="60" t="s">
        <v>3</v>
      </c>
      <c r="DP134" s="46" t="s">
        <v>95</v>
      </c>
      <c r="DQ134" s="46" t="s">
        <v>3</v>
      </c>
      <c r="DR134" s="46" t="s">
        <v>3</v>
      </c>
      <c r="DS134" s="47" t="s">
        <v>2675</v>
      </c>
      <c r="DT134" s="46" t="s">
        <v>3</v>
      </c>
      <c r="DU134" s="47" t="s">
        <v>264</v>
      </c>
      <c r="DV134" s="47" t="s">
        <v>1541</v>
      </c>
      <c r="DW134" s="47" t="s">
        <v>3</v>
      </c>
      <c r="DX134" s="47" t="s">
        <v>3</v>
      </c>
      <c r="DY134" s="47" t="s">
        <v>3</v>
      </c>
      <c r="DZ134" s="43"/>
    </row>
    <row r="135" spans="1:130" s="18" customFormat="1" ht="12" customHeight="1" x14ac:dyDescent="0.15">
      <c r="A135" s="76" t="s">
        <v>402</v>
      </c>
      <c r="B135" s="69"/>
      <c r="C135" s="69" t="s">
        <v>2771</v>
      </c>
      <c r="D135" s="69" t="s">
        <v>2771</v>
      </c>
      <c r="E135" s="69" t="s">
        <v>3258</v>
      </c>
      <c r="F135" s="69"/>
      <c r="G135" s="69" t="s">
        <v>1588</v>
      </c>
      <c r="H135" s="69" t="s">
        <v>3</v>
      </c>
      <c r="I135" s="106" t="s">
        <v>1439</v>
      </c>
      <c r="J135" s="69" t="s">
        <v>3</v>
      </c>
      <c r="K135" s="69" t="s">
        <v>1439</v>
      </c>
      <c r="L135" s="69" t="s">
        <v>3</v>
      </c>
      <c r="M135" s="106" t="s">
        <v>1439</v>
      </c>
      <c r="N135" s="69" t="s">
        <v>3</v>
      </c>
      <c r="O135" s="69"/>
      <c r="P135" s="69"/>
      <c r="Q135" s="69"/>
      <c r="R135" s="69" t="s">
        <v>3239</v>
      </c>
      <c r="S135" s="128"/>
      <c r="T135" s="128"/>
      <c r="U135" s="107" t="s">
        <v>2562</v>
      </c>
      <c r="V135" s="69"/>
      <c r="W135" s="106" t="s">
        <v>1299</v>
      </c>
      <c r="X135" s="69" t="s">
        <v>1299</v>
      </c>
      <c r="Y135" s="69" t="s">
        <v>3</v>
      </c>
      <c r="Z135" s="69" t="s">
        <v>2653</v>
      </c>
      <c r="AA135" s="69" t="s">
        <v>3</v>
      </c>
      <c r="AB135" s="69" t="s">
        <v>3</v>
      </c>
      <c r="AC135" s="69" t="s">
        <v>3</v>
      </c>
      <c r="AD135" s="69" t="s">
        <v>3</v>
      </c>
      <c r="AE135" s="69" t="s">
        <v>3</v>
      </c>
      <c r="AF135" s="69" t="s">
        <v>3</v>
      </c>
      <c r="AG135" s="69" t="s">
        <v>2414</v>
      </c>
      <c r="AH135" s="69" t="s">
        <v>3</v>
      </c>
      <c r="AI135" s="69" t="s">
        <v>3</v>
      </c>
      <c r="AJ135" s="69" t="s">
        <v>3</v>
      </c>
      <c r="AK135" s="69" t="s">
        <v>3</v>
      </c>
      <c r="AL135" s="69" t="s">
        <v>2987</v>
      </c>
      <c r="AM135" s="69" t="s">
        <v>3</v>
      </c>
      <c r="AN135" s="69" t="s">
        <v>3</v>
      </c>
      <c r="AO135" s="131"/>
      <c r="AP135" s="69" t="s">
        <v>458</v>
      </c>
      <c r="AQ135" s="69" t="s">
        <v>3</v>
      </c>
      <c r="AR135" s="69"/>
      <c r="AS135" s="69"/>
      <c r="AT135" s="69"/>
      <c r="AU135" s="69"/>
      <c r="AV135" s="69" t="s">
        <v>3</v>
      </c>
      <c r="AW135" s="69" t="s">
        <v>527</v>
      </c>
      <c r="AX135" s="69" t="s">
        <v>3</v>
      </c>
      <c r="AY135" s="69" t="s">
        <v>527</v>
      </c>
      <c r="AZ135" s="69" t="s">
        <v>3</v>
      </c>
      <c r="BA135" s="69" t="s">
        <v>2226</v>
      </c>
      <c r="BB135" s="69" t="s">
        <v>2226</v>
      </c>
      <c r="BC135" s="69" t="s">
        <v>3</v>
      </c>
      <c r="BD135" s="69" t="s">
        <v>2226</v>
      </c>
      <c r="BE135" s="69" t="s">
        <v>2226</v>
      </c>
      <c r="BF135" s="69" t="s">
        <v>3</v>
      </c>
      <c r="BG135" s="69" t="s">
        <v>1107</v>
      </c>
      <c r="BH135" s="69"/>
      <c r="BI135" s="69"/>
      <c r="BJ135" s="69" t="s">
        <v>1921</v>
      </c>
      <c r="BK135" s="69" t="s">
        <v>2478</v>
      </c>
      <c r="BL135" s="69" t="s">
        <v>2099</v>
      </c>
      <c r="BM135" s="69"/>
      <c r="BN135" s="69"/>
      <c r="BO135" s="69"/>
      <c r="BP135" s="69" t="s">
        <v>605</v>
      </c>
      <c r="BQ135" s="69" t="s">
        <v>3</v>
      </c>
      <c r="BR135" s="69"/>
      <c r="BS135" s="69"/>
      <c r="BT135" s="69"/>
      <c r="BU135" s="69"/>
      <c r="BV135" s="69"/>
      <c r="BW135" s="69" t="s">
        <v>2099</v>
      </c>
      <c r="BX135" s="69" t="s">
        <v>2099</v>
      </c>
      <c r="BY135" s="69"/>
      <c r="BZ135" s="69" t="s">
        <v>1688</v>
      </c>
      <c r="CA135" s="69" t="s">
        <v>2724</v>
      </c>
      <c r="CB135" s="69" t="s">
        <v>1688</v>
      </c>
      <c r="CC135" s="69"/>
      <c r="CD135" s="69"/>
      <c r="CE135" s="69" t="s">
        <v>1750</v>
      </c>
      <c r="CF135" s="69" t="s">
        <v>1796</v>
      </c>
      <c r="CG135" s="69" t="s">
        <v>1845</v>
      </c>
      <c r="CH135" s="69" t="s">
        <v>1739</v>
      </c>
      <c r="CI135" s="69" t="s">
        <v>3</v>
      </c>
      <c r="CJ135" s="69" t="s">
        <v>3555</v>
      </c>
      <c r="CK135" s="69" t="s">
        <v>3555</v>
      </c>
      <c r="CL135" s="69" t="s">
        <v>3555</v>
      </c>
      <c r="CM135" s="69" t="s">
        <v>3</v>
      </c>
      <c r="CN135" s="69" t="s">
        <v>3449</v>
      </c>
      <c r="CO135" s="69" t="s">
        <v>984</v>
      </c>
      <c r="CP135" s="69" t="s">
        <v>3</v>
      </c>
      <c r="CQ135" s="69" t="s">
        <v>3181</v>
      </c>
      <c r="CR135" s="69" t="s">
        <v>3181</v>
      </c>
      <c r="CS135" s="69" t="s">
        <v>3</v>
      </c>
      <c r="CT135" s="69" t="s">
        <v>3</v>
      </c>
      <c r="CU135" s="69" t="s">
        <v>836</v>
      </c>
      <c r="CV135" s="69"/>
      <c r="CW135" s="69"/>
      <c r="CX135" s="69" t="s">
        <v>3</v>
      </c>
      <c r="CY135" s="69"/>
      <c r="CZ135" s="69"/>
      <c r="DA135" s="69" t="s">
        <v>2176</v>
      </c>
      <c r="DB135" s="69" t="s">
        <v>3</v>
      </c>
      <c r="DC135" s="69" t="s">
        <v>903</v>
      </c>
      <c r="DD135" s="69" t="s">
        <v>894</v>
      </c>
      <c r="DE135" s="69"/>
      <c r="DF135" s="69"/>
      <c r="DG135" s="152" t="s">
        <v>3386</v>
      </c>
      <c r="DH135" s="69"/>
      <c r="DI135" s="96" t="s">
        <v>1041</v>
      </c>
      <c r="DJ135" s="96" t="s">
        <v>1041</v>
      </c>
      <c r="DK135" s="69" t="s">
        <v>1962</v>
      </c>
      <c r="DL135" s="69" t="s">
        <v>3494</v>
      </c>
      <c r="DM135" s="69"/>
      <c r="DN135" s="69"/>
      <c r="DO135" s="69"/>
      <c r="DP135" s="69"/>
      <c r="DQ135" s="69" t="s">
        <v>3</v>
      </c>
      <c r="DR135" s="69" t="s">
        <v>3</v>
      </c>
      <c r="DS135" s="69" t="s">
        <v>2671</v>
      </c>
      <c r="DT135" s="69" t="s">
        <v>3</v>
      </c>
      <c r="DU135" s="69" t="s">
        <v>1174</v>
      </c>
      <c r="DV135" s="69" t="s">
        <v>1551</v>
      </c>
      <c r="DW135" s="69" t="s">
        <v>3</v>
      </c>
      <c r="DX135" s="69" t="s">
        <v>3</v>
      </c>
      <c r="DY135" s="69" t="s">
        <v>3</v>
      </c>
      <c r="DZ135" s="69"/>
    </row>
    <row r="136" spans="1:130" ht="22.5" customHeight="1" x14ac:dyDescent="0.15">
      <c r="A136" s="25" t="s">
        <v>49</v>
      </c>
      <c r="B136" s="47" t="s">
        <v>3</v>
      </c>
      <c r="C136" s="47" t="s">
        <v>3</v>
      </c>
      <c r="D136" s="47" t="s">
        <v>3</v>
      </c>
      <c r="E136" s="47" t="s">
        <v>16</v>
      </c>
      <c r="F136" s="47" t="s">
        <v>16</v>
      </c>
      <c r="G136" s="47" t="s">
        <v>16</v>
      </c>
      <c r="H136" s="47" t="s">
        <v>3</v>
      </c>
      <c r="I136" s="62" t="s">
        <v>14</v>
      </c>
      <c r="J136" s="47" t="s">
        <v>3</v>
      </c>
      <c r="K136" s="47" t="s">
        <v>14</v>
      </c>
      <c r="L136" s="47" t="s">
        <v>3</v>
      </c>
      <c r="M136" s="62" t="s">
        <v>14</v>
      </c>
      <c r="N136" s="46" t="s">
        <v>3</v>
      </c>
      <c r="O136" s="60" t="s">
        <v>3</v>
      </c>
      <c r="P136" s="60" t="s">
        <v>3</v>
      </c>
      <c r="Q136" s="60" t="s">
        <v>3</v>
      </c>
      <c r="R136" s="46" t="s">
        <v>3239</v>
      </c>
      <c r="S136" s="117" t="s">
        <v>3299</v>
      </c>
      <c r="T136" s="117" t="s">
        <v>3299</v>
      </c>
      <c r="U136" s="121" t="s">
        <v>3</v>
      </c>
      <c r="V136" s="60" t="s">
        <v>3</v>
      </c>
      <c r="W136" s="103" t="s">
        <v>3</v>
      </c>
      <c r="X136" s="47" t="s">
        <v>3</v>
      </c>
      <c r="Y136" s="47" t="s">
        <v>3</v>
      </c>
      <c r="Z136" s="47" t="s">
        <v>3</v>
      </c>
      <c r="AA136" s="46" t="s">
        <v>3</v>
      </c>
      <c r="AB136" s="47" t="s">
        <v>3</v>
      </c>
      <c r="AC136" s="47" t="s">
        <v>16</v>
      </c>
      <c r="AD136" s="47" t="s">
        <v>14</v>
      </c>
      <c r="AE136" s="47" t="s">
        <v>3</v>
      </c>
      <c r="AF136" s="47" t="s">
        <v>16</v>
      </c>
      <c r="AG136" s="47" t="s">
        <v>14</v>
      </c>
      <c r="AH136" s="47" t="s">
        <v>3</v>
      </c>
      <c r="AI136" s="47" t="s">
        <v>3</v>
      </c>
      <c r="AJ136" s="47" t="s">
        <v>3</v>
      </c>
      <c r="AK136" s="47" t="s">
        <v>3</v>
      </c>
      <c r="AL136" s="47" t="s">
        <v>3</v>
      </c>
      <c r="AM136" s="47" t="s">
        <v>3</v>
      </c>
      <c r="AN136" s="20" t="s">
        <v>3</v>
      </c>
      <c r="AO136" s="130" t="s">
        <v>49</v>
      </c>
      <c r="AP136" s="20" t="s">
        <v>3</v>
      </c>
      <c r="AQ136" s="44" t="s">
        <v>3</v>
      </c>
      <c r="AR136" s="44" t="s">
        <v>3</v>
      </c>
      <c r="AS136" s="44" t="s">
        <v>3</v>
      </c>
      <c r="AT136" s="44" t="s">
        <v>3</v>
      </c>
      <c r="AU136" s="42" t="s">
        <v>3</v>
      </c>
      <c r="AV136" s="20" t="s">
        <v>3</v>
      </c>
      <c r="AW136" s="20" t="s">
        <v>3</v>
      </c>
      <c r="AX136" s="20" t="s">
        <v>3</v>
      </c>
      <c r="AY136" s="20" t="s">
        <v>3</v>
      </c>
      <c r="AZ136" s="20" t="s">
        <v>3</v>
      </c>
      <c r="BA136" s="20" t="s">
        <v>3</v>
      </c>
      <c r="BB136" s="20" t="s">
        <v>3</v>
      </c>
      <c r="BC136" s="20" t="s">
        <v>3</v>
      </c>
      <c r="BD136" s="20" t="s">
        <v>3</v>
      </c>
      <c r="BE136" s="20" t="s">
        <v>3</v>
      </c>
      <c r="BF136" s="47" t="s">
        <v>3</v>
      </c>
      <c r="BG136" s="47" t="s">
        <v>3</v>
      </c>
      <c r="BH136" s="47" t="s">
        <v>3</v>
      </c>
      <c r="BI136" s="60" t="s">
        <v>3</v>
      </c>
      <c r="BJ136" s="47" t="s">
        <v>1927</v>
      </c>
      <c r="BK136" s="47" t="s">
        <v>1927</v>
      </c>
      <c r="BL136" s="47" t="s">
        <v>2361</v>
      </c>
      <c r="BM136" s="60" t="s">
        <v>3</v>
      </c>
      <c r="BN136" s="60" t="s">
        <v>3</v>
      </c>
      <c r="BO136" s="60" t="s">
        <v>3</v>
      </c>
      <c r="BP136" s="47" t="s">
        <v>3</v>
      </c>
      <c r="BQ136" s="47" t="s">
        <v>3</v>
      </c>
      <c r="BR136" s="47" t="s">
        <v>95</v>
      </c>
      <c r="BS136" s="47" t="s">
        <v>221</v>
      </c>
      <c r="BT136" s="47" t="s">
        <v>221</v>
      </c>
      <c r="BU136" s="47" t="s">
        <v>221</v>
      </c>
      <c r="BV136" s="47" t="s">
        <v>221</v>
      </c>
      <c r="BW136" s="47" t="s">
        <v>16</v>
      </c>
      <c r="BX136" s="47" t="s">
        <v>16</v>
      </c>
      <c r="BY136" s="47" t="s">
        <v>95</v>
      </c>
      <c r="BZ136" s="47" t="s">
        <v>95</v>
      </c>
      <c r="CA136" s="47" t="s">
        <v>3</v>
      </c>
      <c r="CB136" s="47" t="s">
        <v>95</v>
      </c>
      <c r="CC136" s="60" t="s">
        <v>3</v>
      </c>
      <c r="CD136" s="60" t="s">
        <v>3</v>
      </c>
      <c r="CE136" s="47" t="s">
        <v>117</v>
      </c>
      <c r="CF136" s="47" t="s">
        <v>1801</v>
      </c>
      <c r="CG136" s="47" t="s">
        <v>1801</v>
      </c>
      <c r="CH136" s="47" t="s">
        <v>3</v>
      </c>
      <c r="CI136" s="47" t="s">
        <v>3</v>
      </c>
      <c r="CJ136" s="47" t="s">
        <v>95</v>
      </c>
      <c r="CK136" s="47" t="s">
        <v>95</v>
      </c>
      <c r="CL136" s="47" t="s">
        <v>3</v>
      </c>
      <c r="CM136" s="47" t="s">
        <v>3</v>
      </c>
      <c r="CN136" s="47" t="s">
        <v>3442</v>
      </c>
      <c r="CO136" s="46" t="s">
        <v>3</v>
      </c>
      <c r="CP136" s="47" t="s">
        <v>3</v>
      </c>
      <c r="CQ136" s="47" t="s">
        <v>3</v>
      </c>
      <c r="CR136" s="47" t="s">
        <v>3</v>
      </c>
      <c r="CS136" s="46" t="s">
        <v>3</v>
      </c>
      <c r="CT136" s="46" t="s">
        <v>3</v>
      </c>
      <c r="CU136" s="46" t="s">
        <v>3</v>
      </c>
      <c r="CV136" s="46" t="s">
        <v>3</v>
      </c>
      <c r="CW136" s="47" t="s">
        <v>3</v>
      </c>
      <c r="CX136" s="46" t="s">
        <v>3</v>
      </c>
      <c r="CY136" s="46" t="s">
        <v>3</v>
      </c>
      <c r="CZ136" s="46" t="s">
        <v>3</v>
      </c>
      <c r="DA136" s="46" t="s">
        <v>3</v>
      </c>
      <c r="DB136" s="46" t="s">
        <v>3</v>
      </c>
      <c r="DC136" s="46" t="s">
        <v>3</v>
      </c>
      <c r="DD136" s="46" t="s">
        <v>3</v>
      </c>
      <c r="DE136" s="46" t="s">
        <v>3</v>
      </c>
      <c r="DF136" s="46" t="s">
        <v>3</v>
      </c>
      <c r="DG136" s="147" t="s">
        <v>3</v>
      </c>
      <c r="DH136" s="46" t="s">
        <v>3</v>
      </c>
      <c r="DI136" s="46" t="s">
        <v>3</v>
      </c>
      <c r="DJ136" s="46" t="s">
        <v>3</v>
      </c>
      <c r="DK136" s="46" t="s">
        <v>16</v>
      </c>
      <c r="DL136" s="46" t="s">
        <v>3</v>
      </c>
      <c r="DM136" s="67" t="s">
        <v>16</v>
      </c>
      <c r="DN136" s="60" t="s">
        <v>3</v>
      </c>
      <c r="DO136" s="47" t="s">
        <v>3</v>
      </c>
      <c r="DP136" s="47" t="s">
        <v>16</v>
      </c>
      <c r="DQ136" s="46" t="s">
        <v>3</v>
      </c>
      <c r="DR136" s="46" t="s">
        <v>3</v>
      </c>
      <c r="DS136" s="47" t="s">
        <v>3</v>
      </c>
      <c r="DT136" s="47" t="s">
        <v>264</v>
      </c>
      <c r="DU136" s="47" t="s">
        <v>264</v>
      </c>
      <c r="DV136" s="46" t="s">
        <v>3</v>
      </c>
      <c r="DW136" s="47" t="s">
        <v>3</v>
      </c>
      <c r="DX136" s="47" t="s">
        <v>3</v>
      </c>
      <c r="DY136" s="47" t="s">
        <v>3</v>
      </c>
      <c r="DZ136" s="44"/>
    </row>
    <row r="137" spans="1:130" s="18" customFormat="1" ht="12" customHeight="1" x14ac:dyDescent="0.15">
      <c r="A137" s="76" t="s">
        <v>402</v>
      </c>
      <c r="B137" s="69"/>
      <c r="C137" s="69" t="s">
        <v>3</v>
      </c>
      <c r="D137" s="69" t="s">
        <v>3</v>
      </c>
      <c r="E137" s="69" t="s">
        <v>3258</v>
      </c>
      <c r="F137" s="69"/>
      <c r="G137" s="69" t="s">
        <v>1588</v>
      </c>
      <c r="H137" s="69" t="s">
        <v>3</v>
      </c>
      <c r="I137" s="106" t="s">
        <v>1636</v>
      </c>
      <c r="J137" s="69" t="s">
        <v>3</v>
      </c>
      <c r="K137" s="69" t="s">
        <v>1436</v>
      </c>
      <c r="L137" s="69" t="s">
        <v>3</v>
      </c>
      <c r="M137" s="106" t="s">
        <v>3334</v>
      </c>
      <c r="N137" s="69" t="s">
        <v>3</v>
      </c>
      <c r="O137" s="69"/>
      <c r="P137" s="69"/>
      <c r="Q137" s="69"/>
      <c r="R137" s="69" t="s">
        <v>3239</v>
      </c>
      <c r="S137" s="128"/>
      <c r="T137" s="128"/>
      <c r="U137" s="107" t="s">
        <v>1740</v>
      </c>
      <c r="V137" s="69"/>
      <c r="W137" s="106" t="s">
        <v>1319</v>
      </c>
      <c r="X137" s="69" t="s">
        <v>1319</v>
      </c>
      <c r="Y137" s="69" t="s">
        <v>3</v>
      </c>
      <c r="Z137" s="69" t="s">
        <v>2641</v>
      </c>
      <c r="AA137" s="69" t="s">
        <v>3</v>
      </c>
      <c r="AB137" s="69" t="s">
        <v>675</v>
      </c>
      <c r="AC137" s="69" t="s">
        <v>676</v>
      </c>
      <c r="AD137" s="69" t="s">
        <v>676</v>
      </c>
      <c r="AE137" s="69" t="s">
        <v>675</v>
      </c>
      <c r="AF137" s="69" t="s">
        <v>676</v>
      </c>
      <c r="AG137" s="69" t="s">
        <v>676</v>
      </c>
      <c r="AH137" s="69" t="s">
        <v>3</v>
      </c>
      <c r="AI137" s="69" t="s">
        <v>3</v>
      </c>
      <c r="AJ137" s="69" t="s">
        <v>3</v>
      </c>
      <c r="AK137" s="69" t="s">
        <v>3097</v>
      </c>
      <c r="AL137" s="69" t="s">
        <v>3097</v>
      </c>
      <c r="AM137" s="69" t="s">
        <v>3097</v>
      </c>
      <c r="AN137" s="69" t="s">
        <v>3</v>
      </c>
      <c r="AO137" s="131"/>
      <c r="AP137" s="69" t="s">
        <v>3</v>
      </c>
      <c r="AQ137" s="69" t="s">
        <v>3</v>
      </c>
      <c r="AR137" s="69"/>
      <c r="AS137" s="69"/>
      <c r="AT137" s="69"/>
      <c r="AU137" s="69"/>
      <c r="AV137" s="69" t="s">
        <v>3</v>
      </c>
      <c r="AW137" s="69" t="s">
        <v>3</v>
      </c>
      <c r="AX137" s="69" t="s">
        <v>3</v>
      </c>
      <c r="AY137" s="69" t="s">
        <v>3</v>
      </c>
      <c r="AZ137" s="69" t="s">
        <v>3</v>
      </c>
      <c r="BA137" s="69" t="s">
        <v>3</v>
      </c>
      <c r="BB137" s="69" t="s">
        <v>3</v>
      </c>
      <c r="BC137" s="69" t="s">
        <v>3</v>
      </c>
      <c r="BD137" s="69" t="s">
        <v>3</v>
      </c>
      <c r="BE137" s="69" t="s">
        <v>3</v>
      </c>
      <c r="BF137" s="69" t="s">
        <v>3</v>
      </c>
      <c r="BG137" s="69" t="s">
        <v>3</v>
      </c>
      <c r="BH137" s="69"/>
      <c r="BI137" s="69"/>
      <c r="BJ137" s="69" t="s">
        <v>1926</v>
      </c>
      <c r="BK137" s="69" t="s">
        <v>2445</v>
      </c>
      <c r="BL137" s="69" t="s">
        <v>2362</v>
      </c>
      <c r="BM137" s="69"/>
      <c r="BN137" s="69"/>
      <c r="BO137" s="69"/>
      <c r="BP137" s="69" t="s">
        <v>3</v>
      </c>
      <c r="BQ137" s="69" t="s">
        <v>3</v>
      </c>
      <c r="BR137" s="69"/>
      <c r="BS137" s="69"/>
      <c r="BT137" s="69"/>
      <c r="BU137" s="69"/>
      <c r="BV137" s="69"/>
      <c r="BW137" s="69" t="s">
        <v>2085</v>
      </c>
      <c r="BX137" s="69" t="s">
        <v>2049</v>
      </c>
      <c r="BY137" s="69"/>
      <c r="BZ137" s="69" t="s">
        <v>1690</v>
      </c>
      <c r="CA137" s="69" t="s">
        <v>2723</v>
      </c>
      <c r="CB137" s="69" t="s">
        <v>1690</v>
      </c>
      <c r="CC137" s="69"/>
      <c r="CD137" s="69"/>
      <c r="CE137" s="69" t="s">
        <v>1739</v>
      </c>
      <c r="CF137" s="69" t="s">
        <v>1739</v>
      </c>
      <c r="CG137" s="69" t="s">
        <v>1739</v>
      </c>
      <c r="CH137" s="69" t="s">
        <v>1826</v>
      </c>
      <c r="CI137" s="69" t="s">
        <v>3</v>
      </c>
      <c r="CJ137" s="69" t="s">
        <v>3555</v>
      </c>
      <c r="CK137" s="69" t="s">
        <v>3555</v>
      </c>
      <c r="CL137" s="69" t="s">
        <v>1762</v>
      </c>
      <c r="CM137" s="69" t="s">
        <v>782</v>
      </c>
      <c r="CN137" s="69" t="s">
        <v>3450</v>
      </c>
      <c r="CO137" s="69" t="s">
        <v>3</v>
      </c>
      <c r="CP137" s="69" t="s">
        <v>3220</v>
      </c>
      <c r="CQ137" s="69" t="s">
        <v>3220</v>
      </c>
      <c r="CR137" s="69" t="s">
        <v>3220</v>
      </c>
      <c r="CS137" s="69" t="s">
        <v>3</v>
      </c>
      <c r="CT137" s="69" t="s">
        <v>865</v>
      </c>
      <c r="CU137" s="69" t="s">
        <v>865</v>
      </c>
      <c r="CV137" s="69"/>
      <c r="CW137" s="69"/>
      <c r="CX137" s="69" t="s">
        <v>1256</v>
      </c>
      <c r="CY137" s="69"/>
      <c r="CZ137" s="69"/>
      <c r="DA137" s="69" t="s">
        <v>2140</v>
      </c>
      <c r="DB137" s="69" t="s">
        <v>3</v>
      </c>
      <c r="DC137" s="69" t="s">
        <v>3</v>
      </c>
      <c r="DD137" s="69" t="s">
        <v>3</v>
      </c>
      <c r="DE137" s="69"/>
      <c r="DF137" s="69"/>
      <c r="DG137" s="152" t="s">
        <v>3</v>
      </c>
      <c r="DH137" s="69"/>
      <c r="DI137" s="96" t="s">
        <v>1063</v>
      </c>
      <c r="DJ137" s="96" t="s">
        <v>1063</v>
      </c>
      <c r="DK137" s="96" t="s">
        <v>3</v>
      </c>
      <c r="DL137" s="96"/>
      <c r="DM137" s="69"/>
      <c r="DN137" s="69"/>
      <c r="DO137" s="69"/>
      <c r="DP137" s="69"/>
      <c r="DQ137" s="69" t="s">
        <v>3</v>
      </c>
      <c r="DR137" s="69" t="s">
        <v>3</v>
      </c>
      <c r="DS137" s="69" t="s">
        <v>3</v>
      </c>
      <c r="DT137" s="69" t="s">
        <v>1166</v>
      </c>
      <c r="DU137" s="69" t="s">
        <v>1166</v>
      </c>
      <c r="DV137" s="69" t="s">
        <v>3</v>
      </c>
      <c r="DW137" s="69" t="s">
        <v>3</v>
      </c>
      <c r="DX137" s="69" t="s">
        <v>3</v>
      </c>
      <c r="DY137" s="69" t="s">
        <v>1509</v>
      </c>
      <c r="DZ137" s="69"/>
    </row>
    <row r="138" spans="1:130" s="18" customFormat="1" ht="22.5" customHeight="1" x14ac:dyDescent="0.15">
      <c r="A138" s="25" t="s">
        <v>50</v>
      </c>
      <c r="B138" s="47" t="s">
        <v>3</v>
      </c>
      <c r="C138" s="47" t="s">
        <v>3</v>
      </c>
      <c r="D138" s="47" t="s">
        <v>3</v>
      </c>
      <c r="E138" s="60" t="s">
        <v>3</v>
      </c>
      <c r="F138" s="60" t="s">
        <v>3</v>
      </c>
      <c r="G138" s="60" t="s">
        <v>3</v>
      </c>
      <c r="H138" s="47" t="s">
        <v>3</v>
      </c>
      <c r="I138" s="62" t="s">
        <v>3</v>
      </c>
      <c r="J138" s="47" t="s">
        <v>3</v>
      </c>
      <c r="K138" s="47" t="s">
        <v>3</v>
      </c>
      <c r="L138" s="47" t="s">
        <v>3</v>
      </c>
      <c r="M138" s="62" t="s">
        <v>3</v>
      </c>
      <c r="N138" s="46" t="s">
        <v>3</v>
      </c>
      <c r="O138" s="60" t="s">
        <v>3</v>
      </c>
      <c r="P138" s="60" t="s">
        <v>3</v>
      </c>
      <c r="Q138" s="60" t="s">
        <v>3</v>
      </c>
      <c r="R138" s="46" t="s">
        <v>3239</v>
      </c>
      <c r="S138" s="117" t="s">
        <v>3239</v>
      </c>
      <c r="T138" s="117" t="s">
        <v>3239</v>
      </c>
      <c r="U138" s="121" t="s">
        <v>3</v>
      </c>
      <c r="V138" s="60" t="s">
        <v>3</v>
      </c>
      <c r="W138" s="62" t="s">
        <v>3</v>
      </c>
      <c r="X138" s="47" t="s">
        <v>3</v>
      </c>
      <c r="Y138" s="47" t="s">
        <v>3</v>
      </c>
      <c r="Z138" s="47" t="s">
        <v>3</v>
      </c>
      <c r="AA138" s="46" t="s">
        <v>3</v>
      </c>
      <c r="AB138" s="46" t="s">
        <v>3</v>
      </c>
      <c r="AC138" s="46" t="s">
        <v>3</v>
      </c>
      <c r="AD138" s="46" t="s">
        <v>3</v>
      </c>
      <c r="AE138" s="46" t="s">
        <v>3</v>
      </c>
      <c r="AF138" s="46" t="s">
        <v>3</v>
      </c>
      <c r="AG138" s="47" t="s">
        <v>2400</v>
      </c>
      <c r="AH138" s="47" t="s">
        <v>2899</v>
      </c>
      <c r="AI138" s="47" t="s">
        <v>3</v>
      </c>
      <c r="AJ138" s="47" t="s">
        <v>3</v>
      </c>
      <c r="AK138" s="47" t="s">
        <v>3</v>
      </c>
      <c r="AL138" s="47" t="s">
        <v>3</v>
      </c>
      <c r="AM138" s="47" t="s">
        <v>3</v>
      </c>
      <c r="AN138" s="20" t="s">
        <v>3</v>
      </c>
      <c r="AO138" s="130" t="s">
        <v>3239</v>
      </c>
      <c r="AP138" s="20" t="s">
        <v>3</v>
      </c>
      <c r="AQ138" s="44" t="s">
        <v>3</v>
      </c>
      <c r="AR138" s="44" t="s">
        <v>3</v>
      </c>
      <c r="AS138" s="44" t="s">
        <v>3</v>
      </c>
      <c r="AT138" s="44" t="s">
        <v>3</v>
      </c>
      <c r="AU138" s="44" t="s">
        <v>3</v>
      </c>
      <c r="AV138" s="20" t="s">
        <v>3</v>
      </c>
      <c r="AW138" s="20" t="s">
        <v>3</v>
      </c>
      <c r="AX138" s="20" t="s">
        <v>3</v>
      </c>
      <c r="AY138" s="47" t="s">
        <v>2568</v>
      </c>
      <c r="AZ138" s="20" t="s">
        <v>3</v>
      </c>
      <c r="BA138" s="20" t="s">
        <v>3</v>
      </c>
      <c r="BB138" s="20" t="s">
        <v>3</v>
      </c>
      <c r="BC138" s="20" t="s">
        <v>3</v>
      </c>
      <c r="BD138" s="20" t="s">
        <v>3</v>
      </c>
      <c r="BE138" s="20" t="s">
        <v>3</v>
      </c>
      <c r="BF138" s="47" t="s">
        <v>3</v>
      </c>
      <c r="BG138" s="47" t="s">
        <v>3</v>
      </c>
      <c r="BH138" s="47" t="s">
        <v>3</v>
      </c>
      <c r="BI138" s="47" t="s">
        <v>391</v>
      </c>
      <c r="BJ138" s="47" t="s">
        <v>3</v>
      </c>
      <c r="BK138" s="47" t="s">
        <v>3</v>
      </c>
      <c r="BL138" s="47" t="s">
        <v>3</v>
      </c>
      <c r="BM138" s="60" t="s">
        <v>3</v>
      </c>
      <c r="BN138" s="60" t="s">
        <v>3</v>
      </c>
      <c r="BO138" s="60" t="s">
        <v>3</v>
      </c>
      <c r="BP138" s="47" t="s">
        <v>3</v>
      </c>
      <c r="BQ138" s="47" t="s">
        <v>3</v>
      </c>
      <c r="BR138" s="47" t="s">
        <v>95</v>
      </c>
      <c r="BS138" s="47" t="s">
        <v>370</v>
      </c>
      <c r="BT138" s="47" t="s">
        <v>370</v>
      </c>
      <c r="BU138" s="47" t="s">
        <v>222</v>
      </c>
      <c r="BV138" s="47" t="s">
        <v>222</v>
      </c>
      <c r="BW138" s="47" t="s">
        <v>3</v>
      </c>
      <c r="BX138" s="47" t="s">
        <v>3</v>
      </c>
      <c r="BY138" s="47" t="s">
        <v>3</v>
      </c>
      <c r="BZ138" s="47" t="s">
        <v>3</v>
      </c>
      <c r="CA138" s="47" t="s">
        <v>3</v>
      </c>
      <c r="CB138" s="47" t="s">
        <v>3</v>
      </c>
      <c r="CC138" s="47" t="s">
        <v>3</v>
      </c>
      <c r="CD138" s="47" t="s">
        <v>3</v>
      </c>
      <c r="CE138" s="47" t="s">
        <v>3</v>
      </c>
      <c r="CF138" s="47" t="s">
        <v>95</v>
      </c>
      <c r="CG138" s="47" t="s">
        <v>95</v>
      </c>
      <c r="CH138" s="47" t="s">
        <v>3</v>
      </c>
      <c r="CI138" s="47" t="s">
        <v>3</v>
      </c>
      <c r="CJ138" s="47" t="s">
        <v>3</v>
      </c>
      <c r="CK138" s="47" t="s">
        <v>3</v>
      </c>
      <c r="CL138" s="47" t="s">
        <v>3</v>
      </c>
      <c r="CM138" s="47" t="s">
        <v>3</v>
      </c>
      <c r="CN138" s="47" t="s">
        <v>3</v>
      </c>
      <c r="CO138" s="46" t="s">
        <v>3</v>
      </c>
      <c r="CP138" s="47" t="s">
        <v>3</v>
      </c>
      <c r="CQ138" s="47" t="s">
        <v>3</v>
      </c>
      <c r="CR138" s="47" t="s">
        <v>3</v>
      </c>
      <c r="CS138" s="46" t="s">
        <v>3</v>
      </c>
      <c r="CT138" s="46" t="s">
        <v>3</v>
      </c>
      <c r="CU138" s="46" t="s">
        <v>3</v>
      </c>
      <c r="CV138" s="46" t="s">
        <v>3</v>
      </c>
      <c r="CW138" s="47" t="s">
        <v>3</v>
      </c>
      <c r="CX138" s="46" t="s">
        <v>3</v>
      </c>
      <c r="CY138" s="46" t="s">
        <v>3</v>
      </c>
      <c r="CZ138" s="46" t="s">
        <v>3</v>
      </c>
      <c r="DA138" s="46" t="s">
        <v>3</v>
      </c>
      <c r="DB138" s="46" t="s">
        <v>3</v>
      </c>
      <c r="DC138" s="46" t="s">
        <v>3</v>
      </c>
      <c r="DD138" s="46" t="s">
        <v>3</v>
      </c>
      <c r="DE138" s="46" t="s">
        <v>3</v>
      </c>
      <c r="DF138" s="46" t="s">
        <v>3</v>
      </c>
      <c r="DG138" s="147" t="s">
        <v>3</v>
      </c>
      <c r="DH138" s="46" t="s">
        <v>3</v>
      </c>
      <c r="DI138" s="46" t="s">
        <v>3</v>
      </c>
      <c r="DJ138" s="46" t="s">
        <v>3</v>
      </c>
      <c r="DK138" s="46" t="s">
        <v>3</v>
      </c>
      <c r="DL138" s="46" t="s">
        <v>3</v>
      </c>
      <c r="DM138" s="47" t="s">
        <v>16</v>
      </c>
      <c r="DN138" s="60" t="s">
        <v>3</v>
      </c>
      <c r="DO138" s="47" t="s">
        <v>3</v>
      </c>
      <c r="DP138" s="47" t="s">
        <v>335</v>
      </c>
      <c r="DQ138" s="46" t="s">
        <v>3</v>
      </c>
      <c r="DR138" s="46" t="s">
        <v>3</v>
      </c>
      <c r="DS138" s="46" t="s">
        <v>3</v>
      </c>
      <c r="DT138" s="46" t="s">
        <v>3</v>
      </c>
      <c r="DU138" s="47" t="s">
        <v>276</v>
      </c>
      <c r="DV138" s="46" t="s">
        <v>3</v>
      </c>
      <c r="DW138" s="60" t="s">
        <v>3</v>
      </c>
      <c r="DX138" s="47" t="s">
        <v>3</v>
      </c>
      <c r="DY138" s="47" t="s">
        <v>3</v>
      </c>
      <c r="DZ138" s="44"/>
    </row>
    <row r="139" spans="1:130" s="18" customFormat="1" ht="12" customHeight="1" x14ac:dyDescent="0.15">
      <c r="A139" s="76" t="s">
        <v>402</v>
      </c>
      <c r="B139" s="69"/>
      <c r="C139" s="69" t="s">
        <v>3</v>
      </c>
      <c r="D139" s="69" t="s">
        <v>3</v>
      </c>
      <c r="E139" s="69"/>
      <c r="F139" s="69"/>
      <c r="G139" s="69"/>
      <c r="H139" s="69" t="s">
        <v>3</v>
      </c>
      <c r="I139" s="106" t="s">
        <v>3</v>
      </c>
      <c r="J139" s="69" t="s">
        <v>3</v>
      </c>
      <c r="K139" s="69" t="s">
        <v>3</v>
      </c>
      <c r="L139" s="69" t="s">
        <v>3</v>
      </c>
      <c r="M139" s="106" t="s">
        <v>3</v>
      </c>
      <c r="N139" s="69" t="s">
        <v>3</v>
      </c>
      <c r="O139" s="69"/>
      <c r="P139" s="69"/>
      <c r="Q139" s="69"/>
      <c r="R139" s="69" t="s">
        <v>3239</v>
      </c>
      <c r="S139" s="128"/>
      <c r="T139" s="128"/>
      <c r="U139" s="107" t="s">
        <v>3</v>
      </c>
      <c r="V139" s="69"/>
      <c r="W139" s="106" t="s">
        <v>3</v>
      </c>
      <c r="X139" s="69" t="s">
        <v>3</v>
      </c>
      <c r="Y139" s="69" t="s">
        <v>3</v>
      </c>
      <c r="Z139" s="69" t="s">
        <v>3</v>
      </c>
      <c r="AA139" s="69" t="s">
        <v>3</v>
      </c>
      <c r="AB139" s="69" t="s">
        <v>3</v>
      </c>
      <c r="AC139" s="69" t="s">
        <v>3</v>
      </c>
      <c r="AD139" s="69" t="s">
        <v>3</v>
      </c>
      <c r="AE139" s="69" t="s">
        <v>3</v>
      </c>
      <c r="AF139" s="69" t="s">
        <v>3</v>
      </c>
      <c r="AG139" s="69" t="s">
        <v>2384</v>
      </c>
      <c r="AH139" s="69" t="s">
        <v>2900</v>
      </c>
      <c r="AI139" s="69" t="s">
        <v>3</v>
      </c>
      <c r="AJ139" s="69" t="s">
        <v>3</v>
      </c>
      <c r="AK139" s="69" t="s">
        <v>3</v>
      </c>
      <c r="AL139" s="69" t="s">
        <v>3</v>
      </c>
      <c r="AM139" s="69" t="s">
        <v>3</v>
      </c>
      <c r="AN139" s="69" t="s">
        <v>3</v>
      </c>
      <c r="AO139" s="131"/>
      <c r="AP139" s="69" t="s">
        <v>3</v>
      </c>
      <c r="AQ139" s="69" t="s">
        <v>3</v>
      </c>
      <c r="AR139" s="69"/>
      <c r="AS139" s="69"/>
      <c r="AT139" s="69"/>
      <c r="AU139" s="69"/>
      <c r="AV139" s="69" t="s">
        <v>3</v>
      </c>
      <c r="AW139" s="69" t="s">
        <v>3</v>
      </c>
      <c r="AX139" s="69" t="s">
        <v>3</v>
      </c>
      <c r="AY139" s="69" t="s">
        <v>2582</v>
      </c>
      <c r="AZ139" s="69" t="s">
        <v>3</v>
      </c>
      <c r="BA139" s="69" t="s">
        <v>3</v>
      </c>
      <c r="BB139" s="69" t="s">
        <v>3</v>
      </c>
      <c r="BC139" s="69" t="s">
        <v>3</v>
      </c>
      <c r="BD139" s="69" t="s">
        <v>3</v>
      </c>
      <c r="BE139" s="69" t="s">
        <v>3</v>
      </c>
      <c r="BF139" s="69" t="s">
        <v>3</v>
      </c>
      <c r="BG139" s="69" t="s">
        <v>3</v>
      </c>
      <c r="BH139" s="69"/>
      <c r="BI139" s="69"/>
      <c r="BJ139" s="69" t="s">
        <v>3</v>
      </c>
      <c r="BK139" s="69" t="s">
        <v>3</v>
      </c>
      <c r="BL139" s="69" t="s">
        <v>3</v>
      </c>
      <c r="BM139" s="69"/>
      <c r="BN139" s="69"/>
      <c r="BO139" s="69"/>
      <c r="BP139" s="69" t="s">
        <v>3</v>
      </c>
      <c r="BQ139" s="69" t="s">
        <v>3</v>
      </c>
      <c r="BR139" s="69"/>
      <c r="BS139" s="69"/>
      <c r="BT139" s="69"/>
      <c r="BU139" s="69"/>
      <c r="BV139" s="69"/>
      <c r="BW139" s="69" t="s">
        <v>3</v>
      </c>
      <c r="BX139" s="69" t="s">
        <v>3</v>
      </c>
      <c r="BY139" s="69"/>
      <c r="BZ139" s="69" t="s">
        <v>3</v>
      </c>
      <c r="CA139" s="69" t="s">
        <v>3</v>
      </c>
      <c r="CB139" s="69" t="s">
        <v>3</v>
      </c>
      <c r="CC139" s="69"/>
      <c r="CD139" s="69"/>
      <c r="CE139" s="69" t="s">
        <v>1762</v>
      </c>
      <c r="CF139" s="69" t="s">
        <v>1800</v>
      </c>
      <c r="CG139" s="69" t="s">
        <v>1838</v>
      </c>
      <c r="CH139" s="69" t="s">
        <v>3</v>
      </c>
      <c r="CI139" s="69" t="s">
        <v>3580</v>
      </c>
      <c r="CJ139" s="69" t="s">
        <v>3580</v>
      </c>
      <c r="CK139" s="69" t="s">
        <v>3580</v>
      </c>
      <c r="CL139" s="69" t="s">
        <v>3580</v>
      </c>
      <c r="CM139" s="69" t="s">
        <v>3</v>
      </c>
      <c r="CN139" s="69" t="s">
        <v>3</v>
      </c>
      <c r="CO139" s="69" t="s">
        <v>3</v>
      </c>
      <c r="CP139" s="69" t="s">
        <v>3</v>
      </c>
      <c r="CQ139" s="69" t="s">
        <v>3</v>
      </c>
      <c r="CR139" s="69" t="s">
        <v>3</v>
      </c>
      <c r="CS139" s="69" t="s">
        <v>3</v>
      </c>
      <c r="CT139" s="69" t="s">
        <v>3</v>
      </c>
      <c r="CU139" s="69" t="s">
        <v>3</v>
      </c>
      <c r="CV139" s="69"/>
      <c r="CW139" s="69"/>
      <c r="CX139" s="69" t="s">
        <v>3</v>
      </c>
      <c r="CY139" s="69"/>
      <c r="CZ139" s="69"/>
      <c r="DA139" s="69" t="s">
        <v>3</v>
      </c>
      <c r="DB139" s="69" t="s">
        <v>3</v>
      </c>
      <c r="DC139" s="69" t="s">
        <v>3</v>
      </c>
      <c r="DD139" s="69" t="s">
        <v>3</v>
      </c>
      <c r="DE139" s="69"/>
      <c r="DF139" s="69"/>
      <c r="DG139" s="152" t="s">
        <v>3</v>
      </c>
      <c r="DH139" s="69"/>
      <c r="DI139" s="69" t="s">
        <v>3</v>
      </c>
      <c r="DJ139" s="69" t="s">
        <v>3</v>
      </c>
      <c r="DK139" s="69" t="s">
        <v>3</v>
      </c>
      <c r="DL139" s="69"/>
      <c r="DM139" s="69"/>
      <c r="DN139" s="69"/>
      <c r="DO139" s="69"/>
      <c r="DP139" s="69"/>
      <c r="DQ139" s="69" t="s">
        <v>3</v>
      </c>
      <c r="DR139" s="69" t="s">
        <v>3</v>
      </c>
      <c r="DS139" s="69" t="s">
        <v>3</v>
      </c>
      <c r="DT139" s="69" t="s">
        <v>3</v>
      </c>
      <c r="DU139" s="69" t="s">
        <v>1189</v>
      </c>
      <c r="DV139" s="69" t="s">
        <v>3</v>
      </c>
      <c r="DW139" s="69" t="s">
        <v>3</v>
      </c>
      <c r="DX139" s="69" t="s">
        <v>3</v>
      </c>
      <c r="DY139" s="69" t="s">
        <v>3</v>
      </c>
      <c r="DZ139" s="69"/>
    </row>
    <row r="140" spans="1:130" ht="12" customHeight="1" x14ac:dyDescent="0.2">
      <c r="A140" s="18"/>
      <c r="S140" s="113"/>
      <c r="T140" s="116"/>
      <c r="AO140" s="132"/>
      <c r="CE140" s="47" t="s">
        <v>3</v>
      </c>
      <c r="CF140" s="47" t="s">
        <v>3</v>
      </c>
      <c r="CG140" s="47" t="s">
        <v>3</v>
      </c>
      <c r="DG140" s="136"/>
    </row>
    <row r="141" spans="1:130" ht="22.5" customHeight="1" x14ac:dyDescent="0.15">
      <c r="A141" s="92" t="s">
        <v>46</v>
      </c>
      <c r="B141" s="49" t="str">
        <f t="shared" ref="B141:Q141" si="22">B1</f>
        <v>Allianz Optimal
(Stand 03-2010)</v>
      </c>
      <c r="C141" s="49" t="str">
        <f t="shared" si="22"/>
        <v>Allianz inkl. SicherheitPlus
(Stand 2012-10)</v>
      </c>
      <c r="D141" s="49" t="str">
        <f>D1</f>
        <v>Allianz inkl. SicherheitPlus
(Stand 2014-05)</v>
      </c>
      <c r="E141" s="49" t="str">
        <f>E1</f>
        <v>Alte Leipziger comfort
(Stand 2015-07)</v>
      </c>
      <c r="F141" s="49" t="str">
        <f t="shared" si="22"/>
        <v>Alte Leipziger XXL
(Stand 07-2011)</v>
      </c>
      <c r="G141" s="49" t="str">
        <f t="shared" si="22"/>
        <v>Alte Leipziger XXL
(Stand 01-2013)</v>
      </c>
      <c r="H141" s="49" t="str">
        <f t="shared" si="22"/>
        <v>ARAG Basis (Wohnfläche)
(03-2013)</v>
      </c>
      <c r="I141" s="122" t="str">
        <f t="shared" si="22"/>
        <v>ARAG Comfort (Wohnfläche)
(03-2013)</v>
      </c>
      <c r="J141" s="49" t="str">
        <f t="shared" si="22"/>
        <v>ARAG Basis (Wohnfläche)
(Stand 07-2010)</v>
      </c>
      <c r="K141" s="49" t="str">
        <f t="shared" si="22"/>
        <v xml:space="preserve">ARAG Comfort (Wohnfl.) (Stand 07-2010) </v>
      </c>
      <c r="L141" s="49" t="str">
        <f>L1</f>
        <v>ARAG Basis (Wohnfläche)</v>
      </c>
      <c r="M141" s="122" t="str">
        <f>M1</f>
        <v>ARAG Comfort (Wohnfläche)</v>
      </c>
      <c r="N141" s="49" t="str">
        <f t="shared" si="22"/>
        <v>AXA
(ohne Feuerdeckung)</v>
      </c>
      <c r="O141" s="49" t="str">
        <f t="shared" si="22"/>
        <v>AXA</v>
      </c>
      <c r="P141" s="49" t="str">
        <f t="shared" si="22"/>
        <v>AXA BOXplus Extra</v>
      </c>
      <c r="Q141" s="49" t="str">
        <f t="shared" si="22"/>
        <v>AXA BOXplus Standard</v>
      </c>
      <c r="R141" s="45" t="s">
        <v>3234</v>
      </c>
      <c r="S141" s="53" t="s">
        <v>3310</v>
      </c>
      <c r="T141" s="53" t="s">
        <v>3311</v>
      </c>
      <c r="U141" s="123" t="str">
        <f>U1</f>
        <v>Baden Badener TOP (WF)</v>
      </c>
      <c r="V141" s="49" t="str">
        <f>V1</f>
        <v>Basler Top
(Stand 01-2012)</v>
      </c>
      <c r="W141" s="49" t="str">
        <f t="shared" ref="W141:AD141" si="23">W1</f>
        <v>Basler Ambiente Top
(Stand 07-2012)</v>
      </c>
      <c r="X141" s="49" t="str">
        <f>X1</f>
        <v>Basler Ambiente Top</v>
      </c>
      <c r="Y141" s="49" t="str">
        <f t="shared" si="23"/>
        <v>Concordia Basis
(Stand 09-2006)</v>
      </c>
      <c r="Z141" s="49" t="str">
        <f>Z1</f>
        <v>Concordia Basis-Plus
(Stand 10-2008)</v>
      </c>
      <c r="AA141" s="49" t="str">
        <f t="shared" si="23"/>
        <v>DBV+Partner
(Stand 02-1977)</v>
      </c>
      <c r="AB141" s="49" t="str">
        <f t="shared" si="23"/>
        <v>Debeka Basis
(Stand 04-2012)</v>
      </c>
      <c r="AC141" s="49" t="str">
        <f t="shared" si="23"/>
        <v>Debeka Standard
(Stand 04-2012)</v>
      </c>
      <c r="AD141" s="49" t="str">
        <f t="shared" si="23"/>
        <v>Debeka Top
(Stand 04-2012)</v>
      </c>
      <c r="AE141" s="49" t="str">
        <f>AE1</f>
        <v>Debeka Basis</v>
      </c>
      <c r="AF141" s="49" t="str">
        <f>AF1</f>
        <v>Debeka Standard</v>
      </c>
      <c r="AG141" s="49" t="str">
        <f>AG1</f>
        <v>Debeka Top</v>
      </c>
      <c r="AH141" s="49" t="str">
        <f t="shared" ref="AH141:BE141" si="24">AH1</f>
        <v>die Bayerische
Komfort-Schutz
(Stand 06-2011)</v>
      </c>
      <c r="AI141" s="49" t="str">
        <f t="shared" si="24"/>
        <v>die Bayerische
Standard-Plus
(Stand 06-2011)</v>
      </c>
      <c r="AJ141" s="49" t="str">
        <f t="shared" si="24"/>
        <v>die Bayerische
Standard-Schutz
(Stand 01-2008)</v>
      </c>
      <c r="AK141" s="49" t="str">
        <f>AK1</f>
        <v>die Bayerische Komfort</v>
      </c>
      <c r="AL141" s="49" t="str">
        <f>AL1</f>
        <v>die Bayerische Prestige</v>
      </c>
      <c r="AM141" s="49" t="str">
        <f>AM1</f>
        <v>die Bayerische Smart</v>
      </c>
      <c r="AN141" s="49" t="str">
        <f>AN1</f>
        <v>Domcura Komfort</v>
      </c>
      <c r="AO141" s="135" t="s">
        <v>3312</v>
      </c>
      <c r="AP141" s="49" t="str">
        <f>AP1</f>
        <v>Domcura Top</v>
      </c>
      <c r="AQ141" s="49" t="str">
        <f t="shared" si="24"/>
        <v>ERGO</v>
      </c>
      <c r="AR141" s="49" t="str">
        <f t="shared" ref="AR141" si="25">AR1</f>
        <v>ERGO spezial</v>
      </c>
      <c r="AS141" s="49" t="str">
        <f>AS1</f>
        <v>ERGO</v>
      </c>
      <c r="AT141" s="49" t="str">
        <f>AT1</f>
        <v>ERGO spezial</v>
      </c>
      <c r="AU141" s="49" t="str">
        <f t="shared" si="24"/>
        <v>Generali KomfortPlus (qm)
(Stand 01-2010)</v>
      </c>
      <c r="AV141" s="49" t="str">
        <f t="shared" si="24"/>
        <v>Generali Basis (qm)
(Stand 10-2012)</v>
      </c>
      <c r="AW141" s="49" t="str">
        <f t="shared" si="24"/>
        <v>Generali KomfortPlus (qm)
(Stand 10-2012)</v>
      </c>
      <c r="AX141" s="49" t="str">
        <f>AX1</f>
        <v>Generali Basis (qm)</v>
      </c>
      <c r="AY141" s="49" t="str">
        <f>AY1</f>
        <v>Generali KomfortPlus (qm)</v>
      </c>
      <c r="AZ141" s="49" t="str">
        <f>AZ1</f>
        <v>Gothaer (qm)</v>
      </c>
      <c r="BA141" s="49" t="str">
        <f>BA1</f>
        <v>Gothaer Top (qm)</v>
      </c>
      <c r="BB141" s="49" t="str">
        <f>BB1</f>
        <v>Gothaer Top Plus (qm)</v>
      </c>
      <c r="BC141" s="49" t="str">
        <f t="shared" si="24"/>
        <v>Gothaer (qm)
(Stand 01-2009)</v>
      </c>
      <c r="BD141" s="49" t="str">
        <f t="shared" si="24"/>
        <v>Gothaer Top (qm)
(Stand 01-2009)</v>
      </c>
      <c r="BE141" s="49" t="str">
        <f t="shared" si="24"/>
        <v>Gothaer Top Plus (qm)
(Stand 01-2009)</v>
      </c>
      <c r="BF141" s="61" t="str">
        <f t="shared" ref="BF141:DN141" si="26">BF1</f>
        <v>Grundeigentümer Schutz 60
(Stand 04-2011)</v>
      </c>
      <c r="BG141" s="61" t="str">
        <f t="shared" si="26"/>
        <v>Grundeigentümer Schutz 60 Plus (Stand 04-2011)</v>
      </c>
      <c r="BH141" s="61" t="str">
        <f t="shared" si="26"/>
        <v>Grundeigentümer Schutz 60 Plus (Stand 10-2010)</v>
      </c>
      <c r="BI141" s="49" t="str">
        <f t="shared" si="26"/>
        <v>HDI Privatschutz
(Stand 01-2011)</v>
      </c>
      <c r="BJ141" s="49" t="str">
        <f t="shared" ref="BJ141:BT141" si="27">BJ1</f>
        <v>HDI Privatschutz (Wert 1914)
(Stand 07-2011)</v>
      </c>
      <c r="BK141" s="49" t="str">
        <f t="shared" si="27"/>
        <v>HDI Privatschutz (Wohnfläche)</v>
      </c>
      <c r="BL141" s="49" t="str">
        <f t="shared" si="27"/>
        <v>Helvetia Komfort</v>
      </c>
      <c r="BM141" s="49" t="str">
        <f t="shared" si="27"/>
        <v>HFK Hausverwalter
(Stand 01-2009)</v>
      </c>
      <c r="BN141" s="49" t="str">
        <f t="shared" si="27"/>
        <v>HFK mit Zusatzdeckung
(Stand 01-2009)</v>
      </c>
      <c r="BO141" s="49" t="str">
        <f t="shared" si="27"/>
        <v>HFK ohne Zusatzdeckung
(Stand 01-2009)</v>
      </c>
      <c r="BP141" s="49" t="str">
        <f t="shared" si="27"/>
        <v>HFK afm mit Zusatzdeckung</v>
      </c>
      <c r="BQ141" s="49" t="str">
        <f t="shared" si="27"/>
        <v>HFK afm ohne Zusatzdeckung</v>
      </c>
      <c r="BR141" s="49" t="str">
        <f t="shared" si="27"/>
        <v>Hiscox Haus &amp; Kunst</v>
      </c>
      <c r="BS141" s="49" t="str">
        <f t="shared" si="27"/>
        <v>HUK Classic</v>
      </c>
      <c r="BT141" s="49" t="str">
        <f t="shared" si="27"/>
        <v>HUK Plus</v>
      </c>
      <c r="BU141" s="49" t="str">
        <f t="shared" si="26"/>
        <v>HUK Classic
(Stand 03-2010)</v>
      </c>
      <c r="BV141" s="49" t="str">
        <f t="shared" si="26"/>
        <v>HUK Plus
(Stand 03-2010)</v>
      </c>
      <c r="BW141" s="49" t="str">
        <f t="shared" si="26"/>
        <v>Inter Exklusiv
(Stand 10-2010)</v>
      </c>
      <c r="BX141" s="49" t="str">
        <f t="shared" si="26"/>
        <v>Inter Premium
(Stand 10-2010)</v>
      </c>
      <c r="BY141" s="49" t="str">
        <f t="shared" si="26"/>
        <v>Interrisk XXL
(Stand 03-2011)</v>
      </c>
      <c r="BZ141" s="49" t="str">
        <f t="shared" si="26"/>
        <v>Interrisk XXL
(Stand 10-2012)</v>
      </c>
      <c r="CA141" s="49" t="str">
        <f>CA1</f>
        <v>InterRisk XL</v>
      </c>
      <c r="CB141" s="49" t="str">
        <f>CB1</f>
        <v>InterRisk XXL</v>
      </c>
      <c r="CC141" s="49" t="str">
        <f>CC1</f>
        <v>ITL afm Protect 2000</v>
      </c>
      <c r="CD141" s="49" t="str">
        <f t="shared" si="26"/>
        <v>ITL afm Protect 2009
(Stand 01-2008)</v>
      </c>
      <c r="CE141" s="69" t="s">
        <v>3</v>
      </c>
      <c r="CF141" s="69" t="s">
        <v>3</v>
      </c>
      <c r="CG141" s="69" t="s">
        <v>3</v>
      </c>
      <c r="CH141" s="49" t="str">
        <f>CH1</f>
        <v>ITL afm Eurosecure 2009</v>
      </c>
      <c r="CI141" s="45" t="s">
        <v>3552</v>
      </c>
      <c r="CJ141" s="45" t="s">
        <v>3550</v>
      </c>
      <c r="CK141" s="45" t="s">
        <v>3549</v>
      </c>
      <c r="CL141" s="45" t="s">
        <v>3551</v>
      </c>
      <c r="CM141" s="49" t="str">
        <f>CM1</f>
        <v>Itzehoer Basis</v>
      </c>
      <c r="CN141" s="49" t="str">
        <f>CN1</f>
        <v>Itzehoer Plus</v>
      </c>
      <c r="CO141" s="13" t="str">
        <f t="shared" si="26"/>
        <v>Marsh Wohngebäude 2011
(Stand 01-2011)</v>
      </c>
      <c r="CP141" s="49"/>
      <c r="CQ141" s="49"/>
      <c r="CR141" s="49"/>
      <c r="CS141" s="49" t="str">
        <f>CS1</f>
        <v>nat. suisse AllRisk</v>
      </c>
      <c r="CT141" s="49" t="str">
        <f>CT1</f>
        <v>nat. suisse Komfort</v>
      </c>
      <c r="CU141" s="49" t="str">
        <f>CU1</f>
        <v>nat. suisse Premium</v>
      </c>
      <c r="CV141" s="49" t="str">
        <f t="shared" si="26"/>
        <v>nat. suisse Ideal-Schutz
(Stand 01-2008)</v>
      </c>
      <c r="CW141" s="61" t="str">
        <f t="shared" si="26"/>
        <v>Neuendorfer
(Stand 01-2008)</v>
      </c>
      <c r="CX141" s="49" t="str">
        <f>CX1</f>
        <v>Nürnberger KomplettSchutz (Wert 1914)</v>
      </c>
      <c r="CY141" s="49" t="str">
        <f t="shared" si="26"/>
        <v>Provinzial Basis
(Stand 01-2009)</v>
      </c>
      <c r="CZ141" s="49" t="str">
        <f t="shared" si="26"/>
        <v>Provinzial Top
(Stand 01-2009)</v>
      </c>
      <c r="DA141" s="49" t="str">
        <f t="shared" si="26"/>
        <v>Provinzial Rheinland
V.I.P.-Intelligent</v>
      </c>
      <c r="DB141" s="49" t="str">
        <f>DB1</f>
        <v>Provinzial Kompaktschutz</v>
      </c>
      <c r="DC141" s="49" t="str">
        <f>DC1</f>
        <v>Provinzial Rundum inkl. Plus</v>
      </c>
      <c r="DD141" s="49" t="str">
        <f>DD1</f>
        <v>Provinzial Rundumschutz</v>
      </c>
      <c r="DE141" s="49" t="str">
        <f t="shared" si="26"/>
        <v>Rhion Plus
(Stand 04-2011)</v>
      </c>
      <c r="DF141" s="49" t="str">
        <f t="shared" si="26"/>
        <v>Rhion Standard
(Stand 04-2011)</v>
      </c>
      <c r="DG141" s="145" t="s">
        <v>3341</v>
      </c>
      <c r="DH141" s="49" t="str">
        <f t="shared" si="26"/>
        <v>R+V PrivatPolice (Fläche)
(Stand 01-2011)</v>
      </c>
      <c r="DI141" s="49" t="str">
        <f t="shared" si="26"/>
        <v>R+V PrivatPolice (Fläche)
(Stand 07-2012)</v>
      </c>
      <c r="DJ141" s="49" t="str">
        <f>DJ1</f>
        <v>R+V PrivatPolice (Fläche)</v>
      </c>
      <c r="DK141" s="49" t="str">
        <f>DK1</f>
        <v>VdVA</v>
      </c>
      <c r="DL141" s="53" t="s">
        <v>3496</v>
      </c>
      <c r="DM141" s="49" t="str">
        <f t="shared" si="26"/>
        <v>VHV Exklusiv
(Stand 09-2008)</v>
      </c>
      <c r="DN141" s="49" t="str">
        <f t="shared" si="26"/>
        <v>VHV Klassik
(Stand 09-2008)</v>
      </c>
      <c r="DO141" s="49" t="str">
        <f>DO1</f>
        <v>VHV Klassik Garant</v>
      </c>
      <c r="DP141" s="49" t="str">
        <f>DP1</f>
        <v>VHV Klassik Garant Exklusiv</v>
      </c>
      <c r="DQ141" s="61" t="str">
        <f t="shared" ref="DQ141:DX141" si="28">DQ1</f>
        <v>VKB Standard (Für Fr. La Tona) (VGB 88)</v>
      </c>
      <c r="DR141" s="49" t="str">
        <f t="shared" si="28"/>
        <v>VKB (Für Fr. La Tona) (Feuerdeckung inkl. Plus-Paket)</v>
      </c>
      <c r="DS141" s="61" t="str">
        <f t="shared" si="28"/>
        <v>VKB VGB 2000 Plus 2
(Stand 01-2008)</v>
      </c>
      <c r="DT141" s="61" t="str">
        <f>DT1</f>
        <v>VKB Kompakt</v>
      </c>
      <c r="DU141" s="61" t="str">
        <f>DU1</f>
        <v>VKB Optimal</v>
      </c>
      <c r="DV141" s="49" t="str">
        <f t="shared" si="28"/>
        <v>Volksfürsorge Komfort (qm)
Stand (01-2007)</v>
      </c>
      <c r="DW141" s="49" t="str">
        <f t="shared" si="28"/>
        <v>Württembergische KompaktSchutz (11-2010)</v>
      </c>
      <c r="DX141" s="49" t="str">
        <f t="shared" si="28"/>
        <v>Württembergische PremiumSchutz (11-2010)</v>
      </c>
      <c r="DY141" s="49" t="str">
        <f>DY1</f>
        <v>WÜBA Plus</v>
      </c>
      <c r="DZ141" s="49"/>
    </row>
    <row r="142" spans="1:130" s="18" customFormat="1" ht="22.5" customHeight="1" x14ac:dyDescent="0.15">
      <c r="A142" s="77" t="s">
        <v>401</v>
      </c>
      <c r="B142" s="47" t="s">
        <v>3</v>
      </c>
      <c r="C142" s="47" t="s">
        <v>95</v>
      </c>
      <c r="D142" s="47" t="s">
        <v>95</v>
      </c>
      <c r="E142" s="47" t="s">
        <v>95</v>
      </c>
      <c r="F142" s="47" t="s">
        <v>319</v>
      </c>
      <c r="G142" s="47" t="s">
        <v>95</v>
      </c>
      <c r="H142" s="47" t="s">
        <v>3</v>
      </c>
      <c r="I142" s="101" t="s">
        <v>12</v>
      </c>
      <c r="J142" s="47" t="s">
        <v>3</v>
      </c>
      <c r="K142" s="46" t="s">
        <v>12</v>
      </c>
      <c r="L142" s="47" t="s">
        <v>3</v>
      </c>
      <c r="M142" s="101" t="s">
        <v>12</v>
      </c>
      <c r="N142" s="46" t="s">
        <v>3</v>
      </c>
      <c r="O142" s="46" t="s">
        <v>0</v>
      </c>
      <c r="P142" s="46" t="s">
        <v>95</v>
      </c>
      <c r="Q142" s="46" t="s">
        <v>95</v>
      </c>
      <c r="R142" s="46" t="s">
        <v>3239</v>
      </c>
      <c r="S142" s="117" t="s">
        <v>95</v>
      </c>
      <c r="T142" s="117" t="s">
        <v>95</v>
      </c>
      <c r="U142" s="120" t="s">
        <v>95</v>
      </c>
      <c r="V142" s="46" t="s">
        <v>95</v>
      </c>
      <c r="W142" s="62" t="s">
        <v>1645</v>
      </c>
      <c r="X142" s="47" t="s">
        <v>1645</v>
      </c>
      <c r="Y142" s="47" t="s">
        <v>2283</v>
      </c>
      <c r="Z142" s="46" t="s">
        <v>0</v>
      </c>
      <c r="AA142" s="46" t="s">
        <v>3</v>
      </c>
      <c r="AB142" s="46" t="s">
        <v>3</v>
      </c>
      <c r="AC142" s="46" t="s">
        <v>3</v>
      </c>
      <c r="AD142" s="46" t="s">
        <v>12</v>
      </c>
      <c r="AE142" s="46" t="s">
        <v>3</v>
      </c>
      <c r="AF142" s="46" t="s">
        <v>3</v>
      </c>
      <c r="AG142" s="46" t="s">
        <v>12</v>
      </c>
      <c r="AH142" s="47" t="s">
        <v>2901</v>
      </c>
      <c r="AI142" s="46" t="s">
        <v>3</v>
      </c>
      <c r="AJ142" s="46" t="s">
        <v>3</v>
      </c>
      <c r="AK142" s="47" t="s">
        <v>3521</v>
      </c>
      <c r="AL142" s="47" t="s">
        <v>3008</v>
      </c>
      <c r="AM142" s="47" t="s">
        <v>3007</v>
      </c>
      <c r="AN142" s="20" t="s">
        <v>12</v>
      </c>
      <c r="AO142" s="130" t="s">
        <v>95</v>
      </c>
      <c r="AP142" s="20" t="s">
        <v>465</v>
      </c>
      <c r="AQ142" s="20" t="s">
        <v>12</v>
      </c>
      <c r="AR142" s="20" t="s">
        <v>3508</v>
      </c>
      <c r="AS142" s="20" t="s">
        <v>3</v>
      </c>
      <c r="AT142" s="20" t="s">
        <v>3508</v>
      </c>
      <c r="AU142" s="42" t="s">
        <v>95</v>
      </c>
      <c r="AV142" s="20" t="s">
        <v>3</v>
      </c>
      <c r="AW142" s="44" t="s">
        <v>95</v>
      </c>
      <c r="AX142" s="20" t="s">
        <v>174</v>
      </c>
      <c r="AY142" s="44" t="s">
        <v>95</v>
      </c>
      <c r="AZ142" s="46" t="s">
        <v>3</v>
      </c>
      <c r="BA142" s="43" t="s">
        <v>2209</v>
      </c>
      <c r="BB142" s="43" t="s">
        <v>3105</v>
      </c>
      <c r="BC142" s="46" t="s">
        <v>3</v>
      </c>
      <c r="BD142" s="44" t="s">
        <v>1</v>
      </c>
      <c r="BE142" s="44" t="s">
        <v>2209</v>
      </c>
      <c r="BF142" s="47" t="s">
        <v>3</v>
      </c>
      <c r="BG142" s="47" t="s">
        <v>95</v>
      </c>
      <c r="BH142" s="47" t="s">
        <v>95</v>
      </c>
      <c r="BI142" s="47" t="s">
        <v>380</v>
      </c>
      <c r="BJ142" s="47" t="s">
        <v>1924</v>
      </c>
      <c r="BK142" s="47" t="s">
        <v>2427</v>
      </c>
      <c r="BL142" s="47" t="s">
        <v>95</v>
      </c>
      <c r="BM142" s="46" t="s">
        <v>95</v>
      </c>
      <c r="BN142" s="46" t="s">
        <v>95</v>
      </c>
      <c r="BO142" s="46" t="s">
        <v>3</v>
      </c>
      <c r="BP142" s="46" t="s">
        <v>95</v>
      </c>
      <c r="BQ142" s="46" t="s">
        <v>3</v>
      </c>
      <c r="BR142" s="46" t="s">
        <v>23</v>
      </c>
      <c r="BS142" s="46" t="s">
        <v>95</v>
      </c>
      <c r="BT142" s="46" t="s">
        <v>95</v>
      </c>
      <c r="BU142" s="46" t="s">
        <v>95</v>
      </c>
      <c r="BV142" s="46" t="s">
        <v>95</v>
      </c>
      <c r="BW142" s="46" t="s">
        <v>0</v>
      </c>
      <c r="BX142" s="46" t="s">
        <v>12</v>
      </c>
      <c r="BY142" s="47" t="s">
        <v>1705</v>
      </c>
      <c r="BZ142" s="47" t="s">
        <v>1705</v>
      </c>
      <c r="CA142" s="46" t="s">
        <v>0</v>
      </c>
      <c r="CB142" s="47" t="s">
        <v>1705</v>
      </c>
      <c r="CC142" s="46" t="s">
        <v>3</v>
      </c>
      <c r="CD142" s="46" t="s">
        <v>95</v>
      </c>
      <c r="CE142" s="14"/>
      <c r="CF142" s="14"/>
      <c r="CG142" s="14"/>
      <c r="CH142" s="46" t="s">
        <v>95</v>
      </c>
      <c r="CI142" s="46" t="s">
        <v>95</v>
      </c>
      <c r="CJ142" s="46" t="s">
        <v>95</v>
      </c>
      <c r="CK142" s="46" t="s">
        <v>3616</v>
      </c>
      <c r="CL142" s="46" t="s">
        <v>95</v>
      </c>
      <c r="CM142" s="47" t="s">
        <v>3</v>
      </c>
      <c r="CN142" s="47" t="s">
        <v>3</v>
      </c>
      <c r="CO142" s="46" t="s">
        <v>23</v>
      </c>
      <c r="CP142" s="47" t="s">
        <v>3211</v>
      </c>
      <c r="CQ142" s="43" t="s">
        <v>3197</v>
      </c>
      <c r="CR142" s="43" t="s">
        <v>3197</v>
      </c>
      <c r="CS142" s="47" t="s">
        <v>2496</v>
      </c>
      <c r="CT142" s="46" t="s">
        <v>0</v>
      </c>
      <c r="CU142" s="46" t="s">
        <v>95</v>
      </c>
      <c r="CV142" s="46" t="s">
        <v>3</v>
      </c>
      <c r="CW142" s="47" t="s">
        <v>95</v>
      </c>
      <c r="CX142" s="46" t="s">
        <v>0</v>
      </c>
      <c r="CY142" s="46" t="s">
        <v>3</v>
      </c>
      <c r="CZ142" s="46" t="s">
        <v>3</v>
      </c>
      <c r="DA142" s="46" t="s">
        <v>196</v>
      </c>
      <c r="DB142" s="46" t="s">
        <v>3</v>
      </c>
      <c r="DC142" s="46" t="s">
        <v>184</v>
      </c>
      <c r="DD142" s="46" t="s">
        <v>3</v>
      </c>
      <c r="DE142" s="46" t="s">
        <v>95</v>
      </c>
      <c r="DF142" s="46" t="s">
        <v>3</v>
      </c>
      <c r="DG142" s="146" t="s">
        <v>3</v>
      </c>
      <c r="DH142" s="46" t="s">
        <v>95</v>
      </c>
      <c r="DI142" s="47" t="s">
        <v>925</v>
      </c>
      <c r="DJ142" s="47" t="s">
        <v>925</v>
      </c>
      <c r="DK142" s="46" t="s">
        <v>95</v>
      </c>
      <c r="DL142" s="46" t="s">
        <v>3452</v>
      </c>
      <c r="DM142" s="46" t="s">
        <v>95</v>
      </c>
      <c r="DN142" s="46" t="s">
        <v>12</v>
      </c>
      <c r="DO142" s="46" t="s">
        <v>12</v>
      </c>
      <c r="DP142" s="46" t="s">
        <v>95</v>
      </c>
      <c r="DQ142" s="46" t="s">
        <v>3</v>
      </c>
      <c r="DR142" s="46" t="s">
        <v>3</v>
      </c>
      <c r="DS142" s="46" t="s">
        <v>3</v>
      </c>
      <c r="DT142" s="46" t="s">
        <v>12</v>
      </c>
      <c r="DU142" s="47" t="s">
        <v>95</v>
      </c>
      <c r="DV142" s="46" t="s">
        <v>95</v>
      </c>
      <c r="DW142" s="46" t="s">
        <v>3</v>
      </c>
      <c r="DX142" s="46" t="s">
        <v>12</v>
      </c>
      <c r="DY142" s="46" t="s">
        <v>3</v>
      </c>
      <c r="DZ142" s="20"/>
    </row>
    <row r="143" spans="1:130" s="18" customFormat="1" ht="12" customHeight="1" x14ac:dyDescent="0.15">
      <c r="A143" s="76" t="s">
        <v>402</v>
      </c>
      <c r="B143" s="69"/>
      <c r="C143" s="69" t="s">
        <v>2807</v>
      </c>
      <c r="D143" s="69" t="s">
        <v>2807</v>
      </c>
      <c r="E143" s="69" t="s">
        <v>3278</v>
      </c>
      <c r="F143" s="69"/>
      <c r="G143" s="69" t="s">
        <v>1587</v>
      </c>
      <c r="H143" s="69" t="s">
        <v>3</v>
      </c>
      <c r="I143" s="106" t="s">
        <v>1448</v>
      </c>
      <c r="J143" s="69" t="s">
        <v>3</v>
      </c>
      <c r="K143" s="69" t="s">
        <v>1448</v>
      </c>
      <c r="L143" s="69" t="s">
        <v>3</v>
      </c>
      <c r="M143" s="106" t="s">
        <v>1448</v>
      </c>
      <c r="N143" s="69" t="s">
        <v>3</v>
      </c>
      <c r="O143" s="69"/>
      <c r="P143" s="69"/>
      <c r="Q143" s="69"/>
      <c r="R143" s="69" t="s">
        <v>3239</v>
      </c>
      <c r="S143" s="128"/>
      <c r="T143" s="128"/>
      <c r="U143" s="107" t="s">
        <v>2565</v>
      </c>
      <c r="V143" s="69"/>
      <c r="W143" s="106" t="s">
        <v>1290</v>
      </c>
      <c r="X143" s="69" t="s">
        <v>1290</v>
      </c>
      <c r="Y143" s="69" t="s">
        <v>2284</v>
      </c>
      <c r="Z143" s="69" t="s">
        <v>2607</v>
      </c>
      <c r="AA143" s="69" t="s">
        <v>2204</v>
      </c>
      <c r="AB143" s="69" t="s">
        <v>661</v>
      </c>
      <c r="AC143" s="69" t="s">
        <v>661</v>
      </c>
      <c r="AD143" s="69" t="s">
        <v>661</v>
      </c>
      <c r="AE143" s="69" t="s">
        <v>661</v>
      </c>
      <c r="AF143" s="69" t="s">
        <v>661</v>
      </c>
      <c r="AG143" s="69" t="s">
        <v>661</v>
      </c>
      <c r="AH143" s="69" t="s">
        <v>2903</v>
      </c>
      <c r="AI143" s="69" t="s">
        <v>2902</v>
      </c>
      <c r="AJ143" s="69" t="s">
        <v>2902</v>
      </c>
      <c r="AK143" s="69" t="s">
        <v>3041</v>
      </c>
      <c r="AL143" s="69" t="s">
        <v>3009</v>
      </c>
      <c r="AM143" s="69" t="s">
        <v>3098</v>
      </c>
      <c r="AN143" s="69" t="s">
        <v>512</v>
      </c>
      <c r="AO143" s="131"/>
      <c r="AP143" s="69" t="s">
        <v>466</v>
      </c>
      <c r="AQ143" s="69" t="s">
        <v>3430</v>
      </c>
      <c r="AR143" s="69"/>
      <c r="AS143" s="69"/>
      <c r="AT143" s="69"/>
      <c r="AU143" s="69"/>
      <c r="AV143" s="69" t="s">
        <v>3</v>
      </c>
      <c r="AW143" s="69" t="s">
        <v>540</v>
      </c>
      <c r="AX143" s="69" t="s">
        <v>540</v>
      </c>
      <c r="AY143" s="69" t="s">
        <v>540</v>
      </c>
      <c r="AZ143" s="69" t="s">
        <v>3</v>
      </c>
      <c r="BA143" s="69" t="s">
        <v>2225</v>
      </c>
      <c r="BB143" s="69" t="s">
        <v>3122</v>
      </c>
      <c r="BC143" s="69" t="s">
        <v>3</v>
      </c>
      <c r="BD143" s="69" t="s">
        <v>2225</v>
      </c>
      <c r="BE143" s="69" t="s">
        <v>2222</v>
      </c>
      <c r="BF143" s="69" t="s">
        <v>3</v>
      </c>
      <c r="BG143" s="69" t="s">
        <v>1088</v>
      </c>
      <c r="BH143" s="69"/>
      <c r="BI143" s="69"/>
      <c r="BJ143" s="69" t="s">
        <v>1925</v>
      </c>
      <c r="BK143" s="69" t="s">
        <v>2446</v>
      </c>
      <c r="BL143" s="69" t="s">
        <v>2337</v>
      </c>
      <c r="BM143" s="69"/>
      <c r="BN143" s="69"/>
      <c r="BO143" s="69"/>
      <c r="BP143" s="69" t="s">
        <v>574</v>
      </c>
      <c r="BQ143" s="69" t="s">
        <v>620</v>
      </c>
      <c r="BR143" s="69"/>
      <c r="BS143" s="69"/>
      <c r="BT143" s="69"/>
      <c r="BU143" s="69"/>
      <c r="BV143" s="69"/>
      <c r="BW143" s="69" t="s">
        <v>2086</v>
      </c>
      <c r="BX143" s="69" t="s">
        <v>2050</v>
      </c>
      <c r="BY143" s="69"/>
      <c r="BZ143" s="69" t="s">
        <v>1706</v>
      </c>
      <c r="CA143" s="69" t="s">
        <v>2722</v>
      </c>
      <c r="CB143" s="69" t="s">
        <v>1706</v>
      </c>
      <c r="CC143" s="69"/>
      <c r="CD143" s="69"/>
      <c r="CE143" s="49" t="str">
        <f>CE1</f>
        <v>ITL afm Protect 2010</v>
      </c>
      <c r="CF143" s="49" t="str">
        <f>CF1</f>
        <v>ITL Eurosecure 2010</v>
      </c>
      <c r="CG143" s="49" t="str">
        <f>CG1</f>
        <v>ITL Existenz 2010</v>
      </c>
      <c r="CH143" s="69" t="s">
        <v>1770</v>
      </c>
      <c r="CI143" s="69" t="s">
        <v>3555</v>
      </c>
      <c r="CJ143" s="69" t="s">
        <v>1770</v>
      </c>
      <c r="CK143" s="69" t="s">
        <v>3555</v>
      </c>
      <c r="CL143" s="69" t="s">
        <v>3555</v>
      </c>
      <c r="CM143" s="69" t="s">
        <v>3</v>
      </c>
      <c r="CN143" s="69" t="s">
        <v>3</v>
      </c>
      <c r="CO143" s="69" t="s">
        <v>992</v>
      </c>
      <c r="CP143" s="69" t="s">
        <v>3209</v>
      </c>
      <c r="CQ143" s="69" t="s">
        <v>3014</v>
      </c>
      <c r="CR143" s="69" t="s">
        <v>3205</v>
      </c>
      <c r="CS143" s="69" t="s">
        <v>2495</v>
      </c>
      <c r="CT143" s="69" t="s">
        <v>845</v>
      </c>
      <c r="CU143" s="69" t="s">
        <v>836</v>
      </c>
      <c r="CV143" s="69"/>
      <c r="CW143" s="69"/>
      <c r="CX143" s="69" t="s">
        <v>1255</v>
      </c>
      <c r="CY143" s="69"/>
      <c r="CZ143" s="69"/>
      <c r="DA143" s="69" t="s">
        <v>2139</v>
      </c>
      <c r="DB143" s="69" t="s">
        <v>899</v>
      </c>
      <c r="DC143" s="69" t="s">
        <v>898</v>
      </c>
      <c r="DD143" s="69" t="s">
        <v>899</v>
      </c>
      <c r="DE143" s="69"/>
      <c r="DF143" s="69"/>
      <c r="DG143" s="152" t="s">
        <v>3</v>
      </c>
      <c r="DH143" s="69"/>
      <c r="DI143" s="96" t="s">
        <v>1064</v>
      </c>
      <c r="DJ143" s="96" t="s">
        <v>1064</v>
      </c>
      <c r="DK143" s="69" t="s">
        <v>1987</v>
      </c>
      <c r="DL143" s="69" t="s">
        <v>3495</v>
      </c>
      <c r="DM143" s="69"/>
      <c r="DN143" s="69"/>
      <c r="DO143" s="69"/>
      <c r="DP143" s="69"/>
      <c r="DQ143" s="69" t="s">
        <v>3</v>
      </c>
      <c r="DR143" s="69" t="s">
        <v>3</v>
      </c>
      <c r="DS143" s="69" t="s">
        <v>2692</v>
      </c>
      <c r="DT143" s="69" t="s">
        <v>1165</v>
      </c>
      <c r="DU143" s="69" t="s">
        <v>1198</v>
      </c>
      <c r="DV143" s="69" t="s">
        <v>1582</v>
      </c>
      <c r="DW143" s="69" t="s">
        <v>3</v>
      </c>
      <c r="DX143" s="69" t="s">
        <v>411</v>
      </c>
      <c r="DY143" s="69" t="s">
        <v>3</v>
      </c>
      <c r="DZ143" s="69"/>
    </row>
    <row r="144" spans="1:130" ht="12" customHeight="1" x14ac:dyDescent="0.15">
      <c r="A144" s="93"/>
      <c r="B144" s="34"/>
      <c r="C144" s="34"/>
      <c r="D144" s="34"/>
      <c r="E144" s="34"/>
      <c r="F144" s="34"/>
      <c r="G144" s="34"/>
      <c r="H144" s="34"/>
      <c r="I144" s="34"/>
      <c r="J144" s="34"/>
      <c r="K144" s="34"/>
      <c r="L144" s="34"/>
      <c r="M144" s="34"/>
      <c r="N144" s="5"/>
      <c r="O144" s="34"/>
      <c r="P144" s="34"/>
      <c r="Q144" s="34"/>
      <c r="R144" s="5"/>
      <c r="S144" s="113"/>
      <c r="T144" s="116"/>
      <c r="U144" s="34"/>
      <c r="V144" s="34"/>
      <c r="W144" s="34"/>
      <c r="X144" s="34"/>
      <c r="Y144" s="34"/>
      <c r="Z144" s="35"/>
      <c r="AA144" s="34"/>
      <c r="AB144" s="24"/>
      <c r="AC144" s="24"/>
      <c r="AD144" s="24"/>
      <c r="AE144" s="24"/>
      <c r="AF144" s="24"/>
      <c r="AG144" s="24"/>
      <c r="AH144" s="34"/>
      <c r="AI144" s="34"/>
      <c r="AJ144" s="34"/>
      <c r="AK144" s="34"/>
      <c r="AL144" s="34"/>
      <c r="AM144" s="34"/>
      <c r="AN144" s="34"/>
      <c r="AO144" s="132"/>
      <c r="AP144" s="34"/>
      <c r="AQ144" s="34"/>
      <c r="AR144" s="34"/>
      <c r="AS144" s="34"/>
      <c r="AT144" s="34"/>
      <c r="AU144" s="34"/>
      <c r="AV144" s="34"/>
      <c r="AW144" s="34"/>
      <c r="AX144" s="34"/>
      <c r="AY144" s="34"/>
      <c r="AZ144" s="35"/>
      <c r="BA144" s="34"/>
      <c r="BB144" s="34"/>
      <c r="BC144" s="35"/>
      <c r="BD144" s="34"/>
      <c r="BE144" s="34"/>
      <c r="BI144" s="35"/>
      <c r="BJ144" s="35"/>
      <c r="BK144" s="35"/>
      <c r="BL144" s="35"/>
      <c r="BM144" s="34"/>
      <c r="BN144" s="34"/>
      <c r="BO144" s="34"/>
      <c r="BP144" s="34"/>
      <c r="BQ144" s="34"/>
      <c r="BR144" s="34"/>
      <c r="BS144" s="35"/>
      <c r="BT144" s="35"/>
      <c r="BU144" s="35"/>
      <c r="BV144" s="35"/>
      <c r="BW144" s="35"/>
      <c r="BX144" s="35"/>
      <c r="BY144" s="35"/>
      <c r="BZ144" s="35"/>
      <c r="CA144" s="35"/>
      <c r="CB144" s="35"/>
      <c r="CC144" s="35"/>
      <c r="CD144" s="35"/>
      <c r="CE144" s="46" t="s">
        <v>95</v>
      </c>
      <c r="CF144" s="46" t="s">
        <v>95</v>
      </c>
      <c r="CG144" s="46" t="s">
        <v>95</v>
      </c>
      <c r="CH144" s="35"/>
      <c r="CI144" s="35"/>
      <c r="CJ144" s="35"/>
      <c r="CK144" s="35"/>
      <c r="CL144" s="35"/>
      <c r="CM144" s="35"/>
      <c r="CN144" s="35"/>
      <c r="CO144" s="5"/>
      <c r="CP144" s="35"/>
      <c r="CQ144" s="34"/>
      <c r="CR144" s="34"/>
      <c r="CS144" s="35"/>
      <c r="CT144" s="35"/>
      <c r="CU144" s="35"/>
      <c r="CV144" s="35"/>
      <c r="CX144" s="34"/>
      <c r="CY144" s="35"/>
      <c r="CZ144" s="35"/>
      <c r="DA144" s="35"/>
      <c r="DB144" s="35"/>
      <c r="DC144" s="35"/>
      <c r="DD144" s="35"/>
      <c r="DE144" s="35"/>
      <c r="DF144" s="35"/>
      <c r="DG144" s="144"/>
      <c r="DH144" s="35"/>
      <c r="DI144" s="35"/>
      <c r="DJ144" s="35"/>
      <c r="DK144" s="35"/>
      <c r="DL144" s="35"/>
      <c r="DM144" s="35"/>
      <c r="DN144" s="24"/>
      <c r="DO144" s="24"/>
      <c r="DP144" s="35"/>
      <c r="DQ144" s="24"/>
      <c r="DR144" s="5"/>
      <c r="DS144" s="24"/>
      <c r="DT144" s="24"/>
      <c r="DV144" s="5"/>
      <c r="DW144" s="35"/>
      <c r="DX144" s="35"/>
      <c r="DY144" s="24"/>
      <c r="DZ144" s="34"/>
    </row>
    <row r="145" spans="1:130" ht="22.5" customHeight="1" x14ac:dyDescent="0.15">
      <c r="A145" s="94" t="s">
        <v>86</v>
      </c>
      <c r="B145" s="49" t="str">
        <f t="shared" ref="B145:Q145" si="29">B1</f>
        <v>Allianz Optimal
(Stand 03-2010)</v>
      </c>
      <c r="C145" s="49" t="str">
        <f t="shared" si="29"/>
        <v>Allianz inkl. SicherheitPlus
(Stand 2012-10)</v>
      </c>
      <c r="D145" s="49" t="str">
        <f>D1</f>
        <v>Allianz inkl. SicherheitPlus
(Stand 2014-05)</v>
      </c>
      <c r="E145" s="49" t="str">
        <f>E1</f>
        <v>Alte Leipziger comfort
(Stand 2015-07)</v>
      </c>
      <c r="F145" s="49" t="str">
        <f t="shared" si="29"/>
        <v>Alte Leipziger XXL
(Stand 07-2011)</v>
      </c>
      <c r="G145" s="49" t="str">
        <f t="shared" si="29"/>
        <v>Alte Leipziger XXL
(Stand 01-2013)</v>
      </c>
      <c r="H145" s="49" t="str">
        <f t="shared" si="29"/>
        <v>ARAG Basis (Wohnfläche)
(03-2013)</v>
      </c>
      <c r="I145" s="122" t="str">
        <f t="shared" si="29"/>
        <v>ARAG Comfort (Wohnfläche)
(03-2013)</v>
      </c>
      <c r="J145" s="49" t="str">
        <f t="shared" si="29"/>
        <v>ARAG Basis (Wohnfläche)
(Stand 07-2010)</v>
      </c>
      <c r="K145" s="49" t="str">
        <f t="shared" si="29"/>
        <v xml:space="preserve">ARAG Comfort (Wohnfl.) (Stand 07-2010) </v>
      </c>
      <c r="L145" s="49" t="str">
        <f>L1</f>
        <v>ARAG Basis (Wohnfläche)</v>
      </c>
      <c r="M145" s="122" t="str">
        <f>M1</f>
        <v>ARAG Comfort (Wohnfläche)</v>
      </c>
      <c r="N145" s="49" t="str">
        <f t="shared" si="29"/>
        <v>AXA
(ohne Feuerdeckung)</v>
      </c>
      <c r="O145" s="49" t="str">
        <f t="shared" si="29"/>
        <v>AXA</v>
      </c>
      <c r="P145" s="49" t="str">
        <f t="shared" si="29"/>
        <v>AXA BOXplus Extra</v>
      </c>
      <c r="Q145" s="49" t="str">
        <f t="shared" si="29"/>
        <v>AXA BOXplus Standard</v>
      </c>
      <c r="R145" s="45" t="s">
        <v>3234</v>
      </c>
      <c r="S145" s="53" t="s">
        <v>3310</v>
      </c>
      <c r="T145" s="53" t="s">
        <v>3311</v>
      </c>
      <c r="U145" s="123" t="str">
        <f>U1</f>
        <v>Baden Badener TOP (WF)</v>
      </c>
      <c r="V145" s="49" t="str">
        <f>V1</f>
        <v>Basler Top
(Stand 01-2012)</v>
      </c>
      <c r="W145" s="49" t="str">
        <f t="shared" ref="W145:AD145" si="30">W1</f>
        <v>Basler Ambiente Top
(Stand 07-2012)</v>
      </c>
      <c r="X145" s="49" t="str">
        <f>X1</f>
        <v>Basler Ambiente Top</v>
      </c>
      <c r="Y145" s="49" t="str">
        <f t="shared" si="30"/>
        <v>Concordia Basis
(Stand 09-2006)</v>
      </c>
      <c r="Z145" s="49" t="str">
        <f>Z1</f>
        <v>Concordia Basis-Plus
(Stand 10-2008)</v>
      </c>
      <c r="AA145" s="49" t="str">
        <f t="shared" si="30"/>
        <v>DBV+Partner
(Stand 02-1977)</v>
      </c>
      <c r="AB145" s="49" t="str">
        <f t="shared" si="30"/>
        <v>Debeka Basis
(Stand 04-2012)</v>
      </c>
      <c r="AC145" s="49" t="str">
        <f t="shared" si="30"/>
        <v>Debeka Standard
(Stand 04-2012)</v>
      </c>
      <c r="AD145" s="49" t="str">
        <f t="shared" si="30"/>
        <v>Debeka Top
(Stand 04-2012)</v>
      </c>
      <c r="AE145" s="49" t="str">
        <f>AE1</f>
        <v>Debeka Basis</v>
      </c>
      <c r="AF145" s="49" t="str">
        <f>AF1</f>
        <v>Debeka Standard</v>
      </c>
      <c r="AG145" s="49" t="str">
        <f>AG1</f>
        <v>Debeka Top</v>
      </c>
      <c r="AH145" s="49" t="str">
        <f t="shared" ref="AH145:BE145" si="31">AH1</f>
        <v>die Bayerische
Komfort-Schutz
(Stand 06-2011)</v>
      </c>
      <c r="AI145" s="49" t="str">
        <f t="shared" si="31"/>
        <v>die Bayerische
Standard-Plus
(Stand 06-2011)</v>
      </c>
      <c r="AJ145" s="49" t="str">
        <f t="shared" si="31"/>
        <v>die Bayerische
Standard-Schutz
(Stand 01-2008)</v>
      </c>
      <c r="AK145" s="49" t="str">
        <f>AK1</f>
        <v>die Bayerische Komfort</v>
      </c>
      <c r="AL145" s="49" t="str">
        <f>AL1</f>
        <v>die Bayerische Prestige</v>
      </c>
      <c r="AM145" s="49" t="str">
        <f>AM1</f>
        <v>die Bayerische Smart</v>
      </c>
      <c r="AN145" s="49" t="str">
        <f>AN1</f>
        <v>Domcura Komfort</v>
      </c>
      <c r="AO145" s="135" t="s">
        <v>3312</v>
      </c>
      <c r="AP145" s="49" t="str">
        <f>AP1</f>
        <v>Domcura Top</v>
      </c>
      <c r="AQ145" s="49" t="str">
        <f t="shared" si="31"/>
        <v>ERGO</v>
      </c>
      <c r="AR145" s="49" t="str">
        <f t="shared" ref="AR145" si="32">AR1</f>
        <v>ERGO spezial</v>
      </c>
      <c r="AS145" s="49" t="str">
        <f>AS1</f>
        <v>ERGO</v>
      </c>
      <c r="AT145" s="49" t="str">
        <f>AT1</f>
        <v>ERGO spezial</v>
      </c>
      <c r="AU145" s="49" t="str">
        <f t="shared" si="31"/>
        <v>Generali KomfortPlus (qm)
(Stand 01-2010)</v>
      </c>
      <c r="AV145" s="49" t="str">
        <f t="shared" si="31"/>
        <v>Generali Basis (qm)
(Stand 10-2012)</v>
      </c>
      <c r="AW145" s="49" t="str">
        <f t="shared" si="31"/>
        <v>Generali KomfortPlus (qm)
(Stand 10-2012)</v>
      </c>
      <c r="AX145" s="49" t="str">
        <f>AX1</f>
        <v>Generali Basis (qm)</v>
      </c>
      <c r="AY145" s="49" t="str">
        <f>AY1</f>
        <v>Generali KomfortPlus (qm)</v>
      </c>
      <c r="AZ145" s="49" t="str">
        <f>AZ1</f>
        <v>Gothaer (qm)</v>
      </c>
      <c r="BA145" s="49" t="str">
        <f>BA1</f>
        <v>Gothaer Top (qm)</v>
      </c>
      <c r="BB145" s="49" t="str">
        <f>BB1</f>
        <v>Gothaer Top Plus (qm)</v>
      </c>
      <c r="BC145" s="49" t="str">
        <f t="shared" si="31"/>
        <v>Gothaer (qm)
(Stand 01-2009)</v>
      </c>
      <c r="BD145" s="49" t="str">
        <f t="shared" si="31"/>
        <v>Gothaer Top (qm)
(Stand 01-2009)</v>
      </c>
      <c r="BE145" s="49" t="str">
        <f t="shared" si="31"/>
        <v>Gothaer Top Plus (qm)
(Stand 01-2009)</v>
      </c>
      <c r="BF145" s="61" t="str">
        <f t="shared" ref="BF145:DN145" si="33">BF1</f>
        <v>Grundeigentümer Schutz 60
(Stand 04-2011)</v>
      </c>
      <c r="BG145" s="61" t="str">
        <f t="shared" si="33"/>
        <v>Grundeigentümer Schutz 60 Plus (Stand 04-2011)</v>
      </c>
      <c r="BH145" s="61" t="str">
        <f t="shared" si="33"/>
        <v>Grundeigentümer Schutz 60 Plus (Stand 10-2010)</v>
      </c>
      <c r="BI145" s="49" t="str">
        <f t="shared" si="33"/>
        <v>HDI Privatschutz
(Stand 01-2011)</v>
      </c>
      <c r="BJ145" s="49" t="str">
        <f t="shared" ref="BJ145:BT145" si="34">BJ1</f>
        <v>HDI Privatschutz (Wert 1914)
(Stand 07-2011)</v>
      </c>
      <c r="BK145" s="49" t="str">
        <f t="shared" si="34"/>
        <v>HDI Privatschutz (Wohnfläche)</v>
      </c>
      <c r="BL145" s="49" t="str">
        <f t="shared" si="34"/>
        <v>Helvetia Komfort</v>
      </c>
      <c r="BM145" s="49" t="str">
        <f t="shared" si="34"/>
        <v>HFK Hausverwalter
(Stand 01-2009)</v>
      </c>
      <c r="BN145" s="49" t="str">
        <f t="shared" si="34"/>
        <v>HFK mit Zusatzdeckung
(Stand 01-2009)</v>
      </c>
      <c r="BO145" s="49" t="str">
        <f t="shared" si="34"/>
        <v>HFK ohne Zusatzdeckung
(Stand 01-2009)</v>
      </c>
      <c r="BP145" s="49" t="str">
        <f t="shared" si="34"/>
        <v>HFK afm mit Zusatzdeckung</v>
      </c>
      <c r="BQ145" s="49" t="str">
        <f t="shared" si="34"/>
        <v>HFK afm ohne Zusatzdeckung</v>
      </c>
      <c r="BR145" s="49" t="str">
        <f t="shared" si="34"/>
        <v>Hiscox Haus &amp; Kunst</v>
      </c>
      <c r="BS145" s="49" t="str">
        <f t="shared" si="34"/>
        <v>HUK Classic</v>
      </c>
      <c r="BT145" s="49" t="str">
        <f t="shared" si="34"/>
        <v>HUK Plus</v>
      </c>
      <c r="BU145" s="49" t="str">
        <f t="shared" si="33"/>
        <v>HUK Classic
(Stand 03-2010)</v>
      </c>
      <c r="BV145" s="49" t="str">
        <f t="shared" si="33"/>
        <v>HUK Plus
(Stand 03-2010)</v>
      </c>
      <c r="BW145" s="49" t="str">
        <f t="shared" si="33"/>
        <v>Inter Exklusiv
(Stand 10-2010)</v>
      </c>
      <c r="BX145" s="49" t="str">
        <f t="shared" si="33"/>
        <v>Inter Premium
(Stand 10-2010)</v>
      </c>
      <c r="BY145" s="49" t="str">
        <f t="shared" si="33"/>
        <v>Interrisk XXL
(Stand 03-2011)</v>
      </c>
      <c r="BZ145" s="49" t="str">
        <f t="shared" si="33"/>
        <v>Interrisk XXL
(Stand 10-2012)</v>
      </c>
      <c r="CA145" s="49" t="str">
        <f>CA1</f>
        <v>InterRisk XL</v>
      </c>
      <c r="CB145" s="49" t="str">
        <f>CB1</f>
        <v>InterRisk XXL</v>
      </c>
      <c r="CC145" s="49" t="str">
        <f>CC1</f>
        <v>ITL afm Protect 2000</v>
      </c>
      <c r="CD145" s="49" t="str">
        <f t="shared" si="33"/>
        <v>ITL afm Protect 2009
(Stand 01-2008)</v>
      </c>
      <c r="CE145" s="69" t="s">
        <v>1769</v>
      </c>
      <c r="CF145" s="69" t="s">
        <v>1770</v>
      </c>
      <c r="CG145" s="69" t="s">
        <v>1854</v>
      </c>
      <c r="CH145" s="49" t="str">
        <f>CH1</f>
        <v>ITL afm Eurosecure 2009</v>
      </c>
      <c r="CI145" s="45" t="s">
        <v>3552</v>
      </c>
      <c r="CJ145" s="45" t="s">
        <v>3550</v>
      </c>
      <c r="CK145" s="45" t="s">
        <v>3549</v>
      </c>
      <c r="CL145" s="45" t="s">
        <v>3551</v>
      </c>
      <c r="CM145" s="49" t="str">
        <f>CM1</f>
        <v>Itzehoer Basis</v>
      </c>
      <c r="CN145" s="49" t="str">
        <f>CN1</f>
        <v>Itzehoer Plus</v>
      </c>
      <c r="CO145" s="13" t="str">
        <f t="shared" si="33"/>
        <v>Marsh Wohngebäude 2011
(Stand 01-2011)</v>
      </c>
      <c r="CP145" s="49"/>
      <c r="CQ145" s="49"/>
      <c r="CR145" s="49"/>
      <c r="CS145" s="49" t="str">
        <f>CS1</f>
        <v>nat. suisse AllRisk</v>
      </c>
      <c r="CT145" s="49" t="str">
        <f>CT1</f>
        <v>nat. suisse Komfort</v>
      </c>
      <c r="CU145" s="49" t="str">
        <f>CU1</f>
        <v>nat. suisse Premium</v>
      </c>
      <c r="CV145" s="49" t="str">
        <f t="shared" si="33"/>
        <v>nat. suisse Ideal-Schutz
(Stand 01-2008)</v>
      </c>
      <c r="CW145" s="61" t="str">
        <f t="shared" si="33"/>
        <v>Neuendorfer
(Stand 01-2008)</v>
      </c>
      <c r="CX145" s="49" t="str">
        <f>CX1</f>
        <v>Nürnberger KomplettSchutz (Wert 1914)</v>
      </c>
      <c r="CY145" s="49" t="str">
        <f t="shared" si="33"/>
        <v>Provinzial Basis
(Stand 01-2009)</v>
      </c>
      <c r="CZ145" s="49" t="str">
        <f t="shared" si="33"/>
        <v>Provinzial Top
(Stand 01-2009)</v>
      </c>
      <c r="DA145" s="49" t="str">
        <f t="shared" si="33"/>
        <v>Provinzial Rheinland
V.I.P.-Intelligent</v>
      </c>
      <c r="DB145" s="49" t="str">
        <f>DB1</f>
        <v>Provinzial Kompaktschutz</v>
      </c>
      <c r="DC145" s="49" t="str">
        <f>DC1</f>
        <v>Provinzial Rundum inkl. Plus</v>
      </c>
      <c r="DD145" s="49" t="str">
        <f>DD1</f>
        <v>Provinzial Rundumschutz</v>
      </c>
      <c r="DE145" s="49" t="str">
        <f t="shared" si="33"/>
        <v>Rhion Plus
(Stand 04-2011)</v>
      </c>
      <c r="DF145" s="49" t="str">
        <f t="shared" si="33"/>
        <v>Rhion Standard
(Stand 04-2011)</v>
      </c>
      <c r="DG145" s="145" t="s">
        <v>3341</v>
      </c>
      <c r="DH145" s="49" t="str">
        <f t="shared" si="33"/>
        <v>R+V PrivatPolice (Fläche)
(Stand 01-2011)</v>
      </c>
      <c r="DI145" s="49" t="str">
        <f t="shared" si="33"/>
        <v>R+V PrivatPolice (Fläche)
(Stand 07-2012)</v>
      </c>
      <c r="DJ145" s="49" t="str">
        <f>DJ1</f>
        <v>R+V PrivatPolice (Fläche)</v>
      </c>
      <c r="DK145" s="49" t="str">
        <f>DK1</f>
        <v>VdVA</v>
      </c>
      <c r="DL145" s="53" t="s">
        <v>3496</v>
      </c>
      <c r="DM145" s="49" t="str">
        <f t="shared" si="33"/>
        <v>VHV Exklusiv
(Stand 09-2008)</v>
      </c>
      <c r="DN145" s="49" t="str">
        <f t="shared" si="33"/>
        <v>VHV Klassik
(Stand 09-2008)</v>
      </c>
      <c r="DO145" s="49" t="str">
        <f>DO1</f>
        <v>VHV Klassik Garant</v>
      </c>
      <c r="DP145" s="49" t="str">
        <f>DP1</f>
        <v>VHV Klassik Garant Exklusiv</v>
      </c>
      <c r="DQ145" s="61" t="str">
        <f t="shared" ref="DQ145:DX145" si="35">DQ1</f>
        <v>VKB Standard (Für Fr. La Tona) (VGB 88)</v>
      </c>
      <c r="DR145" s="49" t="str">
        <f t="shared" si="35"/>
        <v>VKB (Für Fr. La Tona) (Feuerdeckung inkl. Plus-Paket)</v>
      </c>
      <c r="DS145" s="61" t="str">
        <f t="shared" si="35"/>
        <v>VKB VGB 2000 Plus 2
(Stand 01-2008)</v>
      </c>
      <c r="DT145" s="61" t="str">
        <f>DT1</f>
        <v>VKB Kompakt</v>
      </c>
      <c r="DU145" s="61" t="str">
        <f>DU1</f>
        <v>VKB Optimal</v>
      </c>
      <c r="DV145" s="49" t="str">
        <f t="shared" si="35"/>
        <v>Volksfürsorge Komfort (qm)
Stand (01-2007)</v>
      </c>
      <c r="DW145" s="49" t="str">
        <f t="shared" si="35"/>
        <v>Württembergische KompaktSchutz (11-2010)</v>
      </c>
      <c r="DX145" s="49" t="str">
        <f t="shared" si="35"/>
        <v>Württembergische PremiumSchutz (11-2010)</v>
      </c>
      <c r="DY145" s="49" t="str">
        <f>DY1</f>
        <v>WÜBA Plus</v>
      </c>
      <c r="DZ145" s="49"/>
    </row>
    <row r="146" spans="1:130" s="83" customFormat="1" ht="57" customHeight="1" x14ac:dyDescent="0.15">
      <c r="A146" s="25" t="s">
        <v>85</v>
      </c>
      <c r="B146" s="20" t="s">
        <v>205</v>
      </c>
      <c r="C146" s="20" t="s">
        <v>543</v>
      </c>
      <c r="D146" s="20" t="s">
        <v>543</v>
      </c>
      <c r="E146" s="47" t="s">
        <v>87</v>
      </c>
      <c r="F146" s="47" t="s">
        <v>87</v>
      </c>
      <c r="G146" s="47" t="s">
        <v>87</v>
      </c>
      <c r="H146" s="47" t="s">
        <v>87</v>
      </c>
      <c r="I146" s="62" t="s">
        <v>87</v>
      </c>
      <c r="J146" s="47" t="s">
        <v>87</v>
      </c>
      <c r="K146" s="47" t="s">
        <v>87</v>
      </c>
      <c r="L146" s="47" t="s">
        <v>87</v>
      </c>
      <c r="M146" s="62" t="s">
        <v>87</v>
      </c>
      <c r="N146" s="47" t="s">
        <v>1369</v>
      </c>
      <c r="O146" s="47" t="s">
        <v>88</v>
      </c>
      <c r="P146" s="47" t="s">
        <v>170</v>
      </c>
      <c r="Q146" s="47" t="s">
        <v>170</v>
      </c>
      <c r="R146" s="47" t="s">
        <v>1369</v>
      </c>
      <c r="S146" s="117" t="s">
        <v>3300</v>
      </c>
      <c r="T146" s="117" t="s">
        <v>3300</v>
      </c>
      <c r="U146" s="121" t="s">
        <v>87</v>
      </c>
      <c r="V146" s="47" t="s">
        <v>87</v>
      </c>
      <c r="W146" s="62" t="s">
        <v>1316</v>
      </c>
      <c r="X146" s="47" t="s">
        <v>1316</v>
      </c>
      <c r="Y146" s="47" t="s">
        <v>87</v>
      </c>
      <c r="Z146" s="47" t="s">
        <v>2660</v>
      </c>
      <c r="AA146" s="47" t="s">
        <v>2125</v>
      </c>
      <c r="AB146" s="47" t="s">
        <v>3</v>
      </c>
      <c r="AC146" s="47" t="s">
        <v>87</v>
      </c>
      <c r="AD146" s="47" t="s">
        <v>87</v>
      </c>
      <c r="AE146" s="47" t="s">
        <v>3</v>
      </c>
      <c r="AF146" s="47" t="s">
        <v>87</v>
      </c>
      <c r="AG146" s="47" t="s">
        <v>87</v>
      </c>
      <c r="AH146" s="20" t="s">
        <v>2905</v>
      </c>
      <c r="AI146" s="47" t="s">
        <v>2904</v>
      </c>
      <c r="AJ146" s="47" t="s">
        <v>2904</v>
      </c>
      <c r="AK146" s="20" t="s">
        <v>3051</v>
      </c>
      <c r="AL146" s="20" t="s">
        <v>3051</v>
      </c>
      <c r="AM146" s="20" t="s">
        <v>3051</v>
      </c>
      <c r="AN146" s="20" t="s">
        <v>187</v>
      </c>
      <c r="AO146" s="134" t="s">
        <v>3320</v>
      </c>
      <c r="AP146" s="20" t="s">
        <v>187</v>
      </c>
      <c r="AQ146" s="20" t="s">
        <v>200</v>
      </c>
      <c r="AR146" s="20" t="s">
        <v>200</v>
      </c>
      <c r="AS146" s="20" t="s">
        <v>200</v>
      </c>
      <c r="AT146" s="20" t="s">
        <v>200</v>
      </c>
      <c r="AU146" s="20" t="s">
        <v>187</v>
      </c>
      <c r="AV146" s="20" t="s">
        <v>543</v>
      </c>
      <c r="AW146" s="20" t="s">
        <v>543</v>
      </c>
      <c r="AX146" s="20" t="s">
        <v>543</v>
      </c>
      <c r="AY146" s="20" t="s">
        <v>543</v>
      </c>
      <c r="AZ146" s="20" t="s">
        <v>543</v>
      </c>
      <c r="BA146" s="20" t="s">
        <v>543</v>
      </c>
      <c r="BB146" s="20" t="s">
        <v>543</v>
      </c>
      <c r="BC146" s="20" t="s">
        <v>543</v>
      </c>
      <c r="BD146" s="20" t="s">
        <v>543</v>
      </c>
      <c r="BE146" s="20" t="s">
        <v>543</v>
      </c>
      <c r="BF146" s="47" t="s">
        <v>87</v>
      </c>
      <c r="BG146" s="47" t="s">
        <v>87</v>
      </c>
      <c r="BH146" s="47" t="s">
        <v>87</v>
      </c>
      <c r="BI146" s="47" t="s">
        <v>87</v>
      </c>
      <c r="BJ146" s="47" t="s">
        <v>1876</v>
      </c>
      <c r="BK146" s="47" t="s">
        <v>1876</v>
      </c>
      <c r="BL146" s="47" t="s">
        <v>87</v>
      </c>
      <c r="BM146" s="47" t="s">
        <v>159</v>
      </c>
      <c r="BN146" s="47" t="s">
        <v>102</v>
      </c>
      <c r="BO146" s="47" t="s">
        <v>102</v>
      </c>
      <c r="BP146" s="47" t="s">
        <v>633</v>
      </c>
      <c r="BQ146" s="47" t="s">
        <v>633</v>
      </c>
      <c r="BR146" s="47" t="s">
        <v>822</v>
      </c>
      <c r="BS146" s="47" t="s">
        <v>361</v>
      </c>
      <c r="BT146" s="47" t="s">
        <v>361</v>
      </c>
      <c r="BU146" s="47" t="s">
        <v>220</v>
      </c>
      <c r="BV146" s="47" t="s">
        <v>220</v>
      </c>
      <c r="BW146" s="47" t="s">
        <v>87</v>
      </c>
      <c r="BX146" s="47" t="s">
        <v>87</v>
      </c>
      <c r="BY146" s="47" t="s">
        <v>87</v>
      </c>
      <c r="BZ146" s="47" t="s">
        <v>87</v>
      </c>
      <c r="CA146" s="47" t="s">
        <v>87</v>
      </c>
      <c r="CB146" s="47" t="s">
        <v>87</v>
      </c>
      <c r="CC146" s="47" t="s">
        <v>3</v>
      </c>
      <c r="CD146" s="47" t="s">
        <v>87</v>
      </c>
      <c r="CE146" s="35"/>
      <c r="CF146" s="35"/>
      <c r="CG146" s="35"/>
      <c r="CH146" s="47" t="s">
        <v>87</v>
      </c>
      <c r="CI146" s="47" t="s">
        <v>3625</v>
      </c>
      <c r="CJ146" s="47" t="s">
        <v>87</v>
      </c>
      <c r="CK146" s="47" t="s">
        <v>87</v>
      </c>
      <c r="CL146" s="47" t="s">
        <v>87</v>
      </c>
      <c r="CM146" s="47" t="s">
        <v>269</v>
      </c>
      <c r="CN146" s="47" t="s">
        <v>269</v>
      </c>
      <c r="CO146" s="47" t="s">
        <v>942</v>
      </c>
      <c r="CP146" s="47" t="s">
        <v>87</v>
      </c>
      <c r="CQ146" s="47" t="s">
        <v>87</v>
      </c>
      <c r="CR146" s="47" t="s">
        <v>87</v>
      </c>
      <c r="CS146" s="47" t="s">
        <v>95</v>
      </c>
      <c r="CT146" s="47" t="s">
        <v>87</v>
      </c>
      <c r="CU146" s="47" t="s">
        <v>87</v>
      </c>
      <c r="CV146" s="47" t="s">
        <v>87</v>
      </c>
      <c r="CW146" s="47" t="s">
        <v>235</v>
      </c>
      <c r="CX146" s="47" t="s">
        <v>87</v>
      </c>
      <c r="CY146" s="47" t="s">
        <v>135</v>
      </c>
      <c r="CZ146" s="47" t="s">
        <v>135</v>
      </c>
      <c r="DA146" s="47" t="s">
        <v>2126</v>
      </c>
      <c r="DB146" s="47" t="s">
        <v>911</v>
      </c>
      <c r="DC146" s="47" t="s">
        <v>87</v>
      </c>
      <c r="DD146" s="47" t="s">
        <v>87</v>
      </c>
      <c r="DE146" s="47" t="s">
        <v>87</v>
      </c>
      <c r="DF146" s="47" t="s">
        <v>87</v>
      </c>
      <c r="DG146" s="147" t="s">
        <v>87</v>
      </c>
      <c r="DH146" s="47" t="s">
        <v>269</v>
      </c>
      <c r="DI146" s="47" t="s">
        <v>87</v>
      </c>
      <c r="DJ146" s="47" t="s">
        <v>87</v>
      </c>
      <c r="DK146" s="47" t="s">
        <v>1942</v>
      </c>
      <c r="DL146" s="47" t="s">
        <v>87</v>
      </c>
      <c r="DM146" s="47" t="s">
        <v>87</v>
      </c>
      <c r="DN146" s="47" t="s">
        <v>87</v>
      </c>
      <c r="DO146" s="47" t="s">
        <v>87</v>
      </c>
      <c r="DP146" s="47" t="s">
        <v>87</v>
      </c>
      <c r="DQ146" s="47" t="s">
        <v>2937</v>
      </c>
      <c r="DR146" s="47" t="s">
        <v>1399</v>
      </c>
      <c r="DS146" s="47" t="s">
        <v>2667</v>
      </c>
      <c r="DT146" s="47" t="s">
        <v>1207</v>
      </c>
      <c r="DU146" s="47" t="s">
        <v>1207</v>
      </c>
      <c r="DV146" s="20" t="s">
        <v>543</v>
      </c>
      <c r="DW146" s="47" t="s">
        <v>269</v>
      </c>
      <c r="DX146" s="47" t="s">
        <v>269</v>
      </c>
      <c r="DY146" s="47" t="s">
        <v>87</v>
      </c>
      <c r="DZ146" s="20"/>
    </row>
    <row r="147" spans="1:130" s="18" customFormat="1" ht="12" customHeight="1" x14ac:dyDescent="0.15">
      <c r="A147" s="76" t="s">
        <v>402</v>
      </c>
      <c r="B147" s="69"/>
      <c r="C147" s="69" t="s">
        <v>2798</v>
      </c>
      <c r="D147" s="69" t="s">
        <v>2798</v>
      </c>
      <c r="E147" s="69" t="s">
        <v>3289</v>
      </c>
      <c r="F147" s="69"/>
      <c r="G147" s="69" t="s">
        <v>403</v>
      </c>
      <c r="H147" s="69" t="s">
        <v>1470</v>
      </c>
      <c r="I147" s="106" t="s">
        <v>1470</v>
      </c>
      <c r="J147" s="69" t="s">
        <v>1470</v>
      </c>
      <c r="K147" s="69" t="s">
        <v>1470</v>
      </c>
      <c r="L147" s="69" t="s">
        <v>1470</v>
      </c>
      <c r="M147" s="106" t="s">
        <v>1470</v>
      </c>
      <c r="N147" s="69" t="s">
        <v>3</v>
      </c>
      <c r="O147" s="69"/>
      <c r="P147" s="69"/>
      <c r="Q147" s="69"/>
      <c r="R147" s="69" t="s">
        <v>3239</v>
      </c>
      <c r="S147" s="128"/>
      <c r="T147" s="128"/>
      <c r="U147" s="107" t="s">
        <v>2541</v>
      </c>
      <c r="V147" s="69"/>
      <c r="W147" s="106" t="s">
        <v>1317</v>
      </c>
      <c r="X147" s="69" t="s">
        <v>1317</v>
      </c>
      <c r="Y147" s="69" t="s">
        <v>3</v>
      </c>
      <c r="Z147" s="69" t="s">
        <v>3</v>
      </c>
      <c r="AA147" s="69" t="s">
        <v>3</v>
      </c>
      <c r="AB147" s="69" t="s">
        <v>729</v>
      </c>
      <c r="AC147" s="69" t="s">
        <v>718</v>
      </c>
      <c r="AD147" s="69" t="s">
        <v>718</v>
      </c>
      <c r="AE147" s="69" t="s">
        <v>729</v>
      </c>
      <c r="AF147" s="69" t="s">
        <v>718</v>
      </c>
      <c r="AG147" s="69" t="s">
        <v>718</v>
      </c>
      <c r="AH147" s="69" t="s">
        <v>3</v>
      </c>
      <c r="AI147" s="69" t="s">
        <v>2906</v>
      </c>
      <c r="AJ147" s="69" t="s">
        <v>2906</v>
      </c>
      <c r="AK147" s="69" t="s">
        <v>3049</v>
      </c>
      <c r="AL147" s="69" t="s">
        <v>3049</v>
      </c>
      <c r="AM147" s="69" t="s">
        <v>3050</v>
      </c>
      <c r="AN147" s="69" t="s">
        <v>467</v>
      </c>
      <c r="AO147" s="131"/>
      <c r="AP147" s="69" t="s">
        <v>467</v>
      </c>
      <c r="AQ147" s="69"/>
      <c r="AR147" s="69"/>
      <c r="AS147" s="69"/>
      <c r="AT147" s="69"/>
      <c r="AU147" s="69"/>
      <c r="AV147" s="69" t="s">
        <v>542</v>
      </c>
      <c r="AW147" s="69" t="s">
        <v>542</v>
      </c>
      <c r="AX147" s="69" t="s">
        <v>542</v>
      </c>
      <c r="AY147" s="69" t="s">
        <v>542</v>
      </c>
      <c r="AZ147" s="69" t="s">
        <v>3145</v>
      </c>
      <c r="BA147" s="69" t="s">
        <v>3145</v>
      </c>
      <c r="BB147" s="69" t="s">
        <v>3145</v>
      </c>
      <c r="BC147" s="69" t="s">
        <v>2253</v>
      </c>
      <c r="BD147" s="69" t="s">
        <v>2253</v>
      </c>
      <c r="BE147" s="69" t="s">
        <v>2253</v>
      </c>
      <c r="BF147" s="69" t="s">
        <v>1151</v>
      </c>
      <c r="BG147" s="69" t="s">
        <v>1151</v>
      </c>
      <c r="BH147" s="69"/>
      <c r="BI147" s="69"/>
      <c r="BJ147" s="69" t="s">
        <v>1879</v>
      </c>
      <c r="BK147" s="69" t="s">
        <v>2441</v>
      </c>
      <c r="BL147" s="69" t="s">
        <v>1358</v>
      </c>
      <c r="BM147" s="69"/>
      <c r="BN147" s="69"/>
      <c r="BO147" s="69"/>
      <c r="BP147" s="69" t="s">
        <v>632</v>
      </c>
      <c r="BQ147" s="69" t="s">
        <v>632</v>
      </c>
      <c r="BR147" s="69"/>
      <c r="BS147" s="69"/>
      <c r="BT147" s="69"/>
      <c r="BU147" s="69"/>
      <c r="BV147" s="69"/>
      <c r="BW147" s="69" t="s">
        <v>2095</v>
      </c>
      <c r="BX147" s="69" t="s">
        <v>2095</v>
      </c>
      <c r="BY147" s="69"/>
      <c r="BZ147" s="69" t="s">
        <v>1666</v>
      </c>
      <c r="CA147" s="69" t="s">
        <v>1666</v>
      </c>
      <c r="CB147" s="69" t="s">
        <v>1666</v>
      </c>
      <c r="CC147" s="69"/>
      <c r="CD147" s="69"/>
      <c r="CE147" s="49" t="str">
        <f>CE1</f>
        <v>ITL afm Protect 2010</v>
      </c>
      <c r="CF147" s="49" t="str">
        <f>CF1</f>
        <v>ITL Eurosecure 2010</v>
      </c>
      <c r="CG147" s="49" t="str">
        <f>CG1</f>
        <v>ITL Existenz 2010</v>
      </c>
      <c r="CH147" s="69" t="s">
        <v>1715</v>
      </c>
      <c r="CI147" s="69" t="s">
        <v>3555</v>
      </c>
      <c r="CJ147" s="69" t="s">
        <v>3581</v>
      </c>
      <c r="CK147" s="69" t="s">
        <v>3581</v>
      </c>
      <c r="CL147" s="69" t="s">
        <v>3581</v>
      </c>
      <c r="CM147" s="69" t="s">
        <v>718</v>
      </c>
      <c r="CN147" s="69" t="s">
        <v>718</v>
      </c>
      <c r="CO147" s="69" t="s">
        <v>966</v>
      </c>
      <c r="CP147" s="69" t="s">
        <v>1252</v>
      </c>
      <c r="CQ147" s="69" t="s">
        <v>1252</v>
      </c>
      <c r="CR147" s="69" t="s">
        <v>1252</v>
      </c>
      <c r="CS147" s="69" t="s">
        <v>2501</v>
      </c>
      <c r="CT147" s="69" t="s">
        <v>852</v>
      </c>
      <c r="CU147" s="69" t="s">
        <v>852</v>
      </c>
      <c r="CV147" s="69"/>
      <c r="CW147" s="69"/>
      <c r="CX147" s="69" t="s">
        <v>1252</v>
      </c>
      <c r="CY147" s="69"/>
      <c r="CZ147" s="69"/>
      <c r="DA147" s="69" t="s">
        <v>403</v>
      </c>
      <c r="DB147" s="69" t="s">
        <v>403</v>
      </c>
      <c r="DC147" s="69" t="s">
        <v>913</v>
      </c>
      <c r="DD147" s="69" t="s">
        <v>913</v>
      </c>
      <c r="DE147" s="69"/>
      <c r="DF147" s="69"/>
      <c r="DG147" s="152" t="s">
        <v>3387</v>
      </c>
      <c r="DH147" s="69"/>
      <c r="DI147" s="69" t="s">
        <v>1031</v>
      </c>
      <c r="DJ147" s="69" t="s">
        <v>1031</v>
      </c>
      <c r="DK147" s="69" t="s">
        <v>1943</v>
      </c>
      <c r="DL147" s="69"/>
      <c r="DM147" s="69"/>
      <c r="DN147" s="69"/>
      <c r="DO147" s="69"/>
      <c r="DP147" s="69"/>
      <c r="DQ147" s="69" t="s">
        <v>2936</v>
      </c>
      <c r="DR147" s="69" t="s">
        <v>1400</v>
      </c>
      <c r="DS147" s="69" t="s">
        <v>2668</v>
      </c>
      <c r="DT147" s="69" t="s">
        <v>1206</v>
      </c>
      <c r="DU147" s="69" t="s">
        <v>1206</v>
      </c>
      <c r="DV147" s="69" t="s">
        <v>1548</v>
      </c>
      <c r="DW147" s="69" t="s">
        <v>412</v>
      </c>
      <c r="DX147" s="69" t="s">
        <v>412</v>
      </c>
      <c r="DY147" s="69" t="s">
        <v>1252</v>
      </c>
      <c r="DZ147" s="69"/>
    </row>
    <row r="148" spans="1:130" s="18" customFormat="1" ht="54" x14ac:dyDescent="0.15">
      <c r="A148" s="25" t="s">
        <v>83</v>
      </c>
      <c r="B148" s="47" t="s">
        <v>84</v>
      </c>
      <c r="C148" s="47" t="s">
        <v>84</v>
      </c>
      <c r="D148" s="47" t="s">
        <v>84</v>
      </c>
      <c r="E148" s="47" t="s">
        <v>84</v>
      </c>
      <c r="F148" s="47" t="s">
        <v>84</v>
      </c>
      <c r="G148" s="47" t="s">
        <v>84</v>
      </c>
      <c r="H148" s="47" t="s">
        <v>84</v>
      </c>
      <c r="I148" s="62" t="s">
        <v>84</v>
      </c>
      <c r="J148" s="47" t="s">
        <v>84</v>
      </c>
      <c r="K148" s="47" t="s">
        <v>84</v>
      </c>
      <c r="L148" s="47" t="s">
        <v>84</v>
      </c>
      <c r="M148" s="62" t="s">
        <v>84</v>
      </c>
      <c r="N148" s="47" t="s">
        <v>1370</v>
      </c>
      <c r="O148" s="47" t="s">
        <v>84</v>
      </c>
      <c r="P148" s="47" t="s">
        <v>84</v>
      </c>
      <c r="Q148" s="47" t="s">
        <v>84</v>
      </c>
      <c r="R148" s="47" t="s">
        <v>1370</v>
      </c>
      <c r="S148" s="117" t="s">
        <v>3301</v>
      </c>
      <c r="T148" s="117" t="s">
        <v>3301</v>
      </c>
      <c r="U148" s="105" t="s">
        <v>84</v>
      </c>
      <c r="V148" s="20" t="s">
        <v>803</v>
      </c>
      <c r="W148" s="102" t="s">
        <v>803</v>
      </c>
      <c r="X148" s="20" t="s">
        <v>803</v>
      </c>
      <c r="Y148" s="47" t="s">
        <v>84</v>
      </c>
      <c r="Z148" s="47" t="s">
        <v>2659</v>
      </c>
      <c r="AA148" s="47" t="s">
        <v>2125</v>
      </c>
      <c r="AB148" s="20" t="s">
        <v>3</v>
      </c>
      <c r="AC148" s="20" t="s">
        <v>84</v>
      </c>
      <c r="AD148" s="20" t="s">
        <v>84</v>
      </c>
      <c r="AE148" s="20" t="s">
        <v>3</v>
      </c>
      <c r="AF148" s="20" t="s">
        <v>84</v>
      </c>
      <c r="AG148" s="20" t="s">
        <v>84</v>
      </c>
      <c r="AH148" s="47" t="s">
        <v>84</v>
      </c>
      <c r="AI148" s="47" t="s">
        <v>3</v>
      </c>
      <c r="AJ148" s="47" t="s">
        <v>3</v>
      </c>
      <c r="AK148" s="47" t="s">
        <v>84</v>
      </c>
      <c r="AL148" s="47" t="s">
        <v>84</v>
      </c>
      <c r="AM148" s="47" t="s">
        <v>84</v>
      </c>
      <c r="AN148" s="20" t="s">
        <v>84</v>
      </c>
      <c r="AO148" s="130" t="s">
        <v>3239</v>
      </c>
      <c r="AP148" s="20" t="s">
        <v>84</v>
      </c>
      <c r="AQ148" s="20" t="s">
        <v>84</v>
      </c>
      <c r="AR148" s="20" t="s">
        <v>84</v>
      </c>
      <c r="AS148" s="20" t="s">
        <v>84</v>
      </c>
      <c r="AT148" s="20" t="s">
        <v>84</v>
      </c>
      <c r="AU148" s="20" t="s">
        <v>84</v>
      </c>
      <c r="AV148" s="20" t="s">
        <v>84</v>
      </c>
      <c r="AW148" s="20" t="s">
        <v>84</v>
      </c>
      <c r="AX148" s="20" t="s">
        <v>84</v>
      </c>
      <c r="AY148" s="20" t="s">
        <v>84</v>
      </c>
      <c r="AZ148" s="20" t="s">
        <v>84</v>
      </c>
      <c r="BA148" s="20" t="s">
        <v>84</v>
      </c>
      <c r="BB148" s="20" t="s">
        <v>84</v>
      </c>
      <c r="BC148" s="20" t="s">
        <v>84</v>
      </c>
      <c r="BD148" s="20" t="s">
        <v>84</v>
      </c>
      <c r="BE148" s="20" t="s">
        <v>84</v>
      </c>
      <c r="BF148" s="47" t="s">
        <v>84</v>
      </c>
      <c r="BG148" s="47" t="s">
        <v>84</v>
      </c>
      <c r="BH148" s="47" t="s">
        <v>84</v>
      </c>
      <c r="BI148" s="47" t="s">
        <v>84</v>
      </c>
      <c r="BJ148" s="47" t="s">
        <v>84</v>
      </c>
      <c r="BK148" s="47" t="s">
        <v>84</v>
      </c>
      <c r="BL148" s="47" t="s">
        <v>1668</v>
      </c>
      <c r="BM148" s="47" t="s">
        <v>160</v>
      </c>
      <c r="BN148" s="47" t="s">
        <v>148</v>
      </c>
      <c r="BO148" s="47" t="s">
        <v>148</v>
      </c>
      <c r="BP148" s="47" t="s">
        <v>148</v>
      </c>
      <c r="BQ148" s="47" t="s">
        <v>148</v>
      </c>
      <c r="BR148" s="47" t="s">
        <v>815</v>
      </c>
      <c r="BS148" s="47" t="s">
        <v>84</v>
      </c>
      <c r="BT148" s="47" t="s">
        <v>84</v>
      </c>
      <c r="BU148" s="47" t="s">
        <v>84</v>
      </c>
      <c r="BV148" s="47" t="s">
        <v>84</v>
      </c>
      <c r="BW148" s="47" t="s">
        <v>84</v>
      </c>
      <c r="BX148" s="47" t="s">
        <v>84</v>
      </c>
      <c r="BY148" s="47" t="s">
        <v>84</v>
      </c>
      <c r="BZ148" s="47" t="s">
        <v>1668</v>
      </c>
      <c r="CA148" s="47" t="s">
        <v>1668</v>
      </c>
      <c r="CB148" s="47" t="s">
        <v>1668</v>
      </c>
      <c r="CC148" s="47" t="s">
        <v>3</v>
      </c>
      <c r="CD148" s="47" t="s">
        <v>84</v>
      </c>
      <c r="CE148" s="47" t="s">
        <v>87</v>
      </c>
      <c r="CF148" s="47" t="s">
        <v>87</v>
      </c>
      <c r="CG148" s="47" t="s">
        <v>1835</v>
      </c>
      <c r="CH148" s="47" t="s">
        <v>84</v>
      </c>
      <c r="CI148" s="47" t="s">
        <v>84</v>
      </c>
      <c r="CJ148" s="47" t="s">
        <v>84</v>
      </c>
      <c r="CK148" s="47" t="s">
        <v>84</v>
      </c>
      <c r="CL148" s="47" t="s">
        <v>84</v>
      </c>
      <c r="CM148" s="47" t="s">
        <v>84</v>
      </c>
      <c r="CN148" s="47" t="s">
        <v>84</v>
      </c>
      <c r="CO148" s="47" t="s">
        <v>968</v>
      </c>
      <c r="CP148" s="47" t="s">
        <v>3212</v>
      </c>
      <c r="CQ148" s="47" t="s">
        <v>3212</v>
      </c>
      <c r="CR148" s="47" t="s">
        <v>3212</v>
      </c>
      <c r="CS148" s="47" t="s">
        <v>968</v>
      </c>
      <c r="CT148" s="47" t="s">
        <v>850</v>
      </c>
      <c r="CU148" s="47" t="s">
        <v>850</v>
      </c>
      <c r="CV148" s="46" t="s">
        <v>84</v>
      </c>
      <c r="CW148" s="47" t="s">
        <v>84</v>
      </c>
      <c r="CX148" s="20" t="s">
        <v>84</v>
      </c>
      <c r="CY148" s="47" t="s">
        <v>136</v>
      </c>
      <c r="CZ148" s="47" t="s">
        <v>136</v>
      </c>
      <c r="DA148" s="47" t="s">
        <v>2125</v>
      </c>
      <c r="DB148" s="47" t="s">
        <v>911</v>
      </c>
      <c r="DC148" s="47" t="s">
        <v>914</v>
      </c>
      <c r="DD148" s="47" t="s">
        <v>914</v>
      </c>
      <c r="DE148" s="47" t="s">
        <v>84</v>
      </c>
      <c r="DF148" s="47" t="s">
        <v>84</v>
      </c>
      <c r="DG148" s="147" t="s">
        <v>84</v>
      </c>
      <c r="DH148" s="47" t="s">
        <v>84</v>
      </c>
      <c r="DI148" s="47" t="s">
        <v>1033</v>
      </c>
      <c r="DJ148" s="47" t="s">
        <v>1033</v>
      </c>
      <c r="DK148" s="47" t="s">
        <v>1941</v>
      </c>
      <c r="DL148" s="47"/>
      <c r="DM148" s="47" t="s">
        <v>89</v>
      </c>
      <c r="DN148" s="47" t="s">
        <v>89</v>
      </c>
      <c r="DO148" s="47" t="s">
        <v>3212</v>
      </c>
      <c r="DP148" s="47" t="s">
        <v>3212</v>
      </c>
      <c r="DQ148" s="47" t="s">
        <v>84</v>
      </c>
      <c r="DR148" s="47" t="s">
        <v>84</v>
      </c>
      <c r="DS148" s="47" t="s">
        <v>84</v>
      </c>
      <c r="DT148" s="47" t="s">
        <v>84</v>
      </c>
      <c r="DU148" s="47" t="s">
        <v>84</v>
      </c>
      <c r="DV148" s="20" t="s">
        <v>1546</v>
      </c>
      <c r="DW148" s="47" t="s">
        <v>413</v>
      </c>
      <c r="DX148" s="47" t="s">
        <v>413</v>
      </c>
      <c r="DY148" s="47" t="s">
        <v>84</v>
      </c>
      <c r="DZ148" s="20"/>
    </row>
    <row r="149" spans="1:130" s="18" customFormat="1" ht="12" customHeight="1" x14ac:dyDescent="0.15">
      <c r="A149" s="76" t="s">
        <v>402</v>
      </c>
      <c r="B149" s="69"/>
      <c r="C149" s="69" t="s">
        <v>2797</v>
      </c>
      <c r="D149" s="69" t="s">
        <v>2797</v>
      </c>
      <c r="E149" s="69" t="s">
        <v>3</v>
      </c>
      <c r="F149" s="69"/>
      <c r="G149" s="69" t="s">
        <v>3</v>
      </c>
      <c r="H149" s="69" t="s">
        <v>1478</v>
      </c>
      <c r="I149" s="106" t="s">
        <v>1478</v>
      </c>
      <c r="J149" s="69" t="s">
        <v>1478</v>
      </c>
      <c r="K149" s="69" t="s">
        <v>1478</v>
      </c>
      <c r="L149" s="69" t="s">
        <v>1478</v>
      </c>
      <c r="M149" s="106" t="s">
        <v>1478</v>
      </c>
      <c r="N149" s="69" t="s">
        <v>3</v>
      </c>
      <c r="O149" s="69"/>
      <c r="P149" s="69"/>
      <c r="Q149" s="69"/>
      <c r="R149" s="69" t="s">
        <v>3239</v>
      </c>
      <c r="S149" s="128"/>
      <c r="T149" s="128"/>
      <c r="U149" s="107" t="s">
        <v>2542</v>
      </c>
      <c r="V149" s="69"/>
      <c r="W149" s="106" t="s">
        <v>1318</v>
      </c>
      <c r="X149" s="69" t="s">
        <v>1318</v>
      </c>
      <c r="Y149" s="69" t="s">
        <v>3</v>
      </c>
      <c r="Z149" s="69" t="s">
        <v>3</v>
      </c>
      <c r="AA149" s="69" t="s">
        <v>3</v>
      </c>
      <c r="AB149" s="69" t="s">
        <v>729</v>
      </c>
      <c r="AC149" s="69" t="s">
        <v>719</v>
      </c>
      <c r="AD149" s="69" t="s">
        <v>719</v>
      </c>
      <c r="AE149" s="69" t="s">
        <v>729</v>
      </c>
      <c r="AF149" s="69" t="s">
        <v>719</v>
      </c>
      <c r="AG149" s="69" t="s">
        <v>719</v>
      </c>
      <c r="AH149" s="69" t="s">
        <v>3</v>
      </c>
      <c r="AI149" s="69" t="s">
        <v>3</v>
      </c>
      <c r="AJ149" s="69" t="s">
        <v>3</v>
      </c>
      <c r="AK149" s="69" t="s">
        <v>3052</v>
      </c>
      <c r="AL149" s="69" t="s">
        <v>3052</v>
      </c>
      <c r="AM149" s="69" t="s">
        <v>3052</v>
      </c>
      <c r="AN149" s="69" t="s">
        <v>468</v>
      </c>
      <c r="AO149" s="131"/>
      <c r="AP149" s="69" t="s">
        <v>468</v>
      </c>
      <c r="AQ149" s="69"/>
      <c r="AR149" s="69"/>
      <c r="AS149" s="69"/>
      <c r="AT149" s="69"/>
      <c r="AU149" s="69"/>
      <c r="AV149" s="69" t="s">
        <v>542</v>
      </c>
      <c r="AW149" s="69" t="s">
        <v>542</v>
      </c>
      <c r="AX149" s="69" t="s">
        <v>542</v>
      </c>
      <c r="AY149" s="69" t="s">
        <v>542</v>
      </c>
      <c r="AZ149" s="69" t="s">
        <v>3146</v>
      </c>
      <c r="BA149" s="69" t="s">
        <v>3146</v>
      </c>
      <c r="BB149" s="69" t="s">
        <v>3146</v>
      </c>
      <c r="BC149" s="69" t="s">
        <v>2255</v>
      </c>
      <c r="BD149" s="69" t="s">
        <v>2255</v>
      </c>
      <c r="BE149" s="69" t="s">
        <v>2255</v>
      </c>
      <c r="BF149" s="69" t="s">
        <v>1152</v>
      </c>
      <c r="BG149" s="69" t="s">
        <v>1152</v>
      </c>
      <c r="BH149" s="69"/>
      <c r="BI149" s="69"/>
      <c r="BJ149" s="69" t="s">
        <v>1877</v>
      </c>
      <c r="BK149" s="69" t="s">
        <v>2442</v>
      </c>
      <c r="BL149" s="69" t="s">
        <v>2360</v>
      </c>
      <c r="BM149" s="69"/>
      <c r="BN149" s="69"/>
      <c r="BO149" s="69"/>
      <c r="BP149" s="69" t="s">
        <v>634</v>
      </c>
      <c r="BQ149" s="69" t="s">
        <v>634</v>
      </c>
      <c r="BR149" s="69"/>
      <c r="BS149" s="69"/>
      <c r="BT149" s="69"/>
      <c r="BU149" s="69"/>
      <c r="BV149" s="69"/>
      <c r="BW149" s="69" t="s">
        <v>2096</v>
      </c>
      <c r="BX149" s="69" t="s">
        <v>2096</v>
      </c>
      <c r="BY149" s="69"/>
      <c r="BZ149" s="69" t="s">
        <v>1667</v>
      </c>
      <c r="CA149" s="69" t="s">
        <v>1667</v>
      </c>
      <c r="CB149" s="69" t="s">
        <v>1667</v>
      </c>
      <c r="CC149" s="69"/>
      <c r="CD149" s="69"/>
      <c r="CE149" s="69" t="s">
        <v>1715</v>
      </c>
      <c r="CF149" s="69" t="s">
        <v>1715</v>
      </c>
      <c r="CG149" s="69" t="s">
        <v>1836</v>
      </c>
      <c r="CH149" s="69" t="s">
        <v>1716</v>
      </c>
      <c r="CI149" s="69" t="s">
        <v>1716</v>
      </c>
      <c r="CJ149" s="69" t="s">
        <v>1716</v>
      </c>
      <c r="CK149" s="69" t="s">
        <v>1716</v>
      </c>
      <c r="CL149" s="69" t="s">
        <v>3582</v>
      </c>
      <c r="CM149" s="69" t="s">
        <v>783</v>
      </c>
      <c r="CN149" s="69" t="s">
        <v>783</v>
      </c>
      <c r="CO149" s="69" t="s">
        <v>967</v>
      </c>
      <c r="CP149" s="69" t="s">
        <v>1510</v>
      </c>
      <c r="CQ149" s="69" t="s">
        <v>1510</v>
      </c>
      <c r="CR149" s="69" t="s">
        <v>1510</v>
      </c>
      <c r="CS149" s="69" t="s">
        <v>2500</v>
      </c>
      <c r="CT149" s="69" t="s">
        <v>853</v>
      </c>
      <c r="CU149" s="69" t="s">
        <v>853</v>
      </c>
      <c r="CV149" s="69"/>
      <c r="CW149" s="69"/>
      <c r="CX149" s="69" t="s">
        <v>1253</v>
      </c>
      <c r="CY149" s="69"/>
      <c r="CZ149" s="69"/>
      <c r="DA149" s="69" t="s">
        <v>3</v>
      </c>
      <c r="DB149" s="69" t="s">
        <v>403</v>
      </c>
      <c r="DC149" s="69" t="s">
        <v>915</v>
      </c>
      <c r="DD149" s="69" t="s">
        <v>915</v>
      </c>
      <c r="DE149" s="69"/>
      <c r="DF149" s="69"/>
      <c r="DG149" s="152" t="s">
        <v>3387</v>
      </c>
      <c r="DH149" s="69"/>
      <c r="DI149" s="69" t="s">
        <v>1032</v>
      </c>
      <c r="DJ149" s="69" t="s">
        <v>1032</v>
      </c>
      <c r="DK149" s="69" t="s">
        <v>1940</v>
      </c>
      <c r="DL149" s="69"/>
      <c r="DM149" s="69"/>
      <c r="DN149" s="69"/>
      <c r="DO149" s="69"/>
      <c r="DP149" s="69"/>
      <c r="DQ149" s="69" t="s">
        <v>2938</v>
      </c>
      <c r="DR149" s="69" t="s">
        <v>1401</v>
      </c>
      <c r="DS149" s="69" t="s">
        <v>2670</v>
      </c>
      <c r="DT149" s="69" t="s">
        <v>1208</v>
      </c>
      <c r="DU149" s="69" t="s">
        <v>1208</v>
      </c>
      <c r="DV149" s="69" t="s">
        <v>1547</v>
      </c>
      <c r="DW149" s="69" t="s">
        <v>414</v>
      </c>
      <c r="DX149" s="69" t="s">
        <v>414</v>
      </c>
      <c r="DY149" s="69" t="s">
        <v>1510</v>
      </c>
      <c r="DZ149" s="69"/>
    </row>
    <row r="150" spans="1:130" s="18" customFormat="1" ht="90" x14ac:dyDescent="0.15">
      <c r="A150" s="25" t="s">
        <v>304</v>
      </c>
      <c r="B150" s="47" t="s">
        <v>317</v>
      </c>
      <c r="C150" s="47" t="s">
        <v>2795</v>
      </c>
      <c r="D150" s="47" t="s">
        <v>2795</v>
      </c>
      <c r="E150" s="47" t="s">
        <v>307</v>
      </c>
      <c r="F150" s="47" t="s">
        <v>307</v>
      </c>
      <c r="G150" s="47" t="s">
        <v>307</v>
      </c>
      <c r="H150" s="46" t="s">
        <v>1415</v>
      </c>
      <c r="I150" s="101" t="s">
        <v>1415</v>
      </c>
      <c r="J150" s="46" t="s">
        <v>1415</v>
      </c>
      <c r="K150" s="46" t="s">
        <v>1415</v>
      </c>
      <c r="L150" s="46" t="s">
        <v>1415</v>
      </c>
      <c r="M150" s="101" t="s">
        <v>1415</v>
      </c>
      <c r="N150" s="47" t="s">
        <v>1371</v>
      </c>
      <c r="O150" s="47" t="s">
        <v>307</v>
      </c>
      <c r="P150" s="47" t="s">
        <v>307</v>
      </c>
      <c r="Q150" s="47" t="s">
        <v>307</v>
      </c>
      <c r="R150" s="47" t="s">
        <v>1371</v>
      </c>
      <c r="S150" s="117" t="s">
        <v>3302</v>
      </c>
      <c r="T150" s="117" t="s">
        <v>3302</v>
      </c>
      <c r="U150" s="121" t="s">
        <v>2526</v>
      </c>
      <c r="V150" s="47" t="s">
        <v>807</v>
      </c>
      <c r="W150" s="62" t="s">
        <v>1315</v>
      </c>
      <c r="X150" s="47" t="s">
        <v>1315</v>
      </c>
      <c r="Y150" s="47" t="s">
        <v>2125</v>
      </c>
      <c r="Z150" s="47" t="s">
        <v>2661</v>
      </c>
      <c r="AA150" s="47" t="s">
        <v>2125</v>
      </c>
      <c r="AB150" s="47" t="s">
        <v>3</v>
      </c>
      <c r="AC150" s="47" t="s">
        <v>726</v>
      </c>
      <c r="AD150" s="47" t="s">
        <v>726</v>
      </c>
      <c r="AE150" s="47" t="s">
        <v>3</v>
      </c>
      <c r="AF150" s="47" t="s">
        <v>726</v>
      </c>
      <c r="AG150" s="47" t="s">
        <v>726</v>
      </c>
      <c r="AH150" s="47" t="s">
        <v>2907</v>
      </c>
      <c r="AI150" s="47" t="s">
        <v>3</v>
      </c>
      <c r="AJ150" s="47" t="s">
        <v>3</v>
      </c>
      <c r="AK150" s="20" t="s">
        <v>3055</v>
      </c>
      <c r="AL150" s="20" t="s">
        <v>3056</v>
      </c>
      <c r="AM150" s="47" t="s">
        <v>3054</v>
      </c>
      <c r="AN150" s="20" t="s">
        <v>314</v>
      </c>
      <c r="AO150" s="130" t="s">
        <v>3321</v>
      </c>
      <c r="AP150" s="20" t="s">
        <v>314</v>
      </c>
      <c r="AQ150" s="20" t="s">
        <v>306</v>
      </c>
      <c r="AR150" s="20" t="s">
        <v>306</v>
      </c>
      <c r="AS150" s="20" t="s">
        <v>306</v>
      </c>
      <c r="AT150" s="20" t="s">
        <v>306</v>
      </c>
      <c r="AU150" s="20" t="s">
        <v>308</v>
      </c>
      <c r="AV150" s="20" t="s">
        <v>308</v>
      </c>
      <c r="AW150" s="20" t="s">
        <v>308</v>
      </c>
      <c r="AX150" s="20" t="s">
        <v>2588</v>
      </c>
      <c r="AY150" s="20" t="s">
        <v>2588</v>
      </c>
      <c r="AZ150" s="47" t="s">
        <v>3147</v>
      </c>
      <c r="BA150" s="47" t="s">
        <v>3147</v>
      </c>
      <c r="BB150" s="47" t="s">
        <v>3147</v>
      </c>
      <c r="BC150" s="47" t="s">
        <v>721</v>
      </c>
      <c r="BD150" s="47" t="s">
        <v>721</v>
      </c>
      <c r="BE150" s="47" t="s">
        <v>721</v>
      </c>
      <c r="BF150" s="47" t="s">
        <v>309</v>
      </c>
      <c r="BG150" s="47" t="s">
        <v>309</v>
      </c>
      <c r="BH150" s="47" t="s">
        <v>309</v>
      </c>
      <c r="BI150" s="47" t="s">
        <v>378</v>
      </c>
      <c r="BJ150" s="47" t="s">
        <v>721</v>
      </c>
      <c r="BK150" s="47" t="s">
        <v>378</v>
      </c>
      <c r="BL150" s="47" t="s">
        <v>721</v>
      </c>
      <c r="BM150" s="47" t="s">
        <v>309</v>
      </c>
      <c r="BN150" s="47" t="s">
        <v>309</v>
      </c>
      <c r="BO150" s="47" t="s">
        <v>309</v>
      </c>
      <c r="BP150" s="47" t="s">
        <v>721</v>
      </c>
      <c r="BQ150" s="47" t="s">
        <v>721</v>
      </c>
      <c r="BR150" s="47" t="s">
        <v>818</v>
      </c>
      <c r="BS150" s="47" t="s">
        <v>722</v>
      </c>
      <c r="BT150" s="47" t="s">
        <v>722</v>
      </c>
      <c r="BU150" s="47" t="s">
        <v>310</v>
      </c>
      <c r="BV150" s="47" t="s">
        <v>310</v>
      </c>
      <c r="BW150" s="47" t="s">
        <v>2090</v>
      </c>
      <c r="BX150" s="47" t="s">
        <v>2090</v>
      </c>
      <c r="BY150" s="47" t="s">
        <v>3</v>
      </c>
      <c r="BZ150" s="47" t="s">
        <v>3</v>
      </c>
      <c r="CA150" s="47" t="s">
        <v>3</v>
      </c>
      <c r="CB150" s="47" t="s">
        <v>3</v>
      </c>
      <c r="CC150" s="47" t="s">
        <v>312</v>
      </c>
      <c r="CD150" s="47" t="s">
        <v>311</v>
      </c>
      <c r="CE150" s="47" t="s">
        <v>84</v>
      </c>
      <c r="CF150" s="47" t="s">
        <v>84</v>
      </c>
      <c r="CG150" s="47" t="s">
        <v>84</v>
      </c>
      <c r="CH150" s="47" t="s">
        <v>311</v>
      </c>
      <c r="CI150" s="47" t="s">
        <v>3585</v>
      </c>
      <c r="CJ150" s="47" t="s">
        <v>3585</v>
      </c>
      <c r="CK150" s="47" t="s">
        <v>3585</v>
      </c>
      <c r="CL150" s="47" t="s">
        <v>3585</v>
      </c>
      <c r="CM150" s="47" t="s">
        <v>790</v>
      </c>
      <c r="CN150" s="47" t="s">
        <v>790</v>
      </c>
      <c r="CO150" s="47" t="s">
        <v>721</v>
      </c>
      <c r="CP150" s="47" t="s">
        <v>721</v>
      </c>
      <c r="CQ150" s="47" t="s">
        <v>721</v>
      </c>
      <c r="CR150" s="47" t="s">
        <v>721</v>
      </c>
      <c r="CS150" s="47" t="s">
        <v>824</v>
      </c>
      <c r="CT150" s="47" t="s">
        <v>721</v>
      </c>
      <c r="CU150" s="47" t="s">
        <v>721</v>
      </c>
      <c r="CV150" s="47" t="s">
        <v>721</v>
      </c>
      <c r="CW150" s="47" t="s">
        <v>315</v>
      </c>
      <c r="CX150" s="47" t="s">
        <v>790</v>
      </c>
      <c r="CY150" s="47" t="s">
        <v>723</v>
      </c>
      <c r="CZ150" s="47" t="s">
        <v>723</v>
      </c>
      <c r="DA150" s="47" t="s">
        <v>2125</v>
      </c>
      <c r="DB150" s="47" t="s">
        <v>911</v>
      </c>
      <c r="DC150" s="47" t="s">
        <v>310</v>
      </c>
      <c r="DD150" s="47" t="s">
        <v>310</v>
      </c>
      <c r="DE150" s="47" t="s">
        <v>309</v>
      </c>
      <c r="DF150" s="47" t="s">
        <v>309</v>
      </c>
      <c r="DG150" s="147" t="s">
        <v>3388</v>
      </c>
      <c r="DH150" s="47" t="s">
        <v>353</v>
      </c>
      <c r="DI150" s="47" t="s">
        <v>353</v>
      </c>
      <c r="DJ150" s="47" t="s">
        <v>353</v>
      </c>
      <c r="DK150" s="47" t="s">
        <v>1315</v>
      </c>
      <c r="DL150" s="47"/>
      <c r="DM150" s="47" t="s">
        <v>316</v>
      </c>
      <c r="DN150" s="47" t="s">
        <v>316</v>
      </c>
      <c r="DO150" s="47" t="s">
        <v>724</v>
      </c>
      <c r="DP150" s="47" t="s">
        <v>724</v>
      </c>
      <c r="DQ150" s="47" t="s">
        <v>2125</v>
      </c>
      <c r="DR150" s="47" t="s">
        <v>1371</v>
      </c>
      <c r="DS150" s="47" t="s">
        <v>1209</v>
      </c>
      <c r="DT150" s="47" t="s">
        <v>1209</v>
      </c>
      <c r="DU150" s="47" t="s">
        <v>1209</v>
      </c>
      <c r="DV150" s="47" t="s">
        <v>1550</v>
      </c>
      <c r="DW150" s="47" t="s">
        <v>449</v>
      </c>
      <c r="DX150" s="47" t="s">
        <v>725</v>
      </c>
      <c r="DY150" s="47" t="s">
        <v>1528</v>
      </c>
      <c r="DZ150" s="20"/>
    </row>
    <row r="151" spans="1:130" s="18" customFormat="1" ht="12" customHeight="1" x14ac:dyDescent="0.15">
      <c r="A151" s="76" t="s">
        <v>402</v>
      </c>
      <c r="B151" s="69"/>
      <c r="C151" s="69" t="s">
        <v>2796</v>
      </c>
      <c r="D151" s="69" t="s">
        <v>2796</v>
      </c>
      <c r="E151" s="69" t="s">
        <v>403</v>
      </c>
      <c r="F151" s="69"/>
      <c r="G151" s="69" t="s">
        <v>403</v>
      </c>
      <c r="H151" s="69" t="s">
        <v>1479</v>
      </c>
      <c r="I151" s="106" t="s">
        <v>1479</v>
      </c>
      <c r="J151" s="69" t="s">
        <v>1479</v>
      </c>
      <c r="K151" s="69" t="s">
        <v>1479</v>
      </c>
      <c r="L151" s="69" t="s">
        <v>1479</v>
      </c>
      <c r="M151" s="106" t="s">
        <v>1479</v>
      </c>
      <c r="N151" s="69" t="s">
        <v>3</v>
      </c>
      <c r="O151" s="69"/>
      <c r="P151" s="69"/>
      <c r="Q151" s="69"/>
      <c r="R151" s="69" t="s">
        <v>3239</v>
      </c>
      <c r="S151" s="128"/>
      <c r="T151" s="128"/>
      <c r="U151" s="107" t="s">
        <v>2543</v>
      </c>
      <c r="V151" s="69"/>
      <c r="W151" s="106" t="s">
        <v>1314</v>
      </c>
      <c r="X151" s="69" t="s">
        <v>1314</v>
      </c>
      <c r="Y151" s="69" t="s">
        <v>3</v>
      </c>
      <c r="Z151" s="69" t="s">
        <v>3</v>
      </c>
      <c r="AA151" s="69" t="s">
        <v>3</v>
      </c>
      <c r="AB151" s="69" t="s">
        <v>729</v>
      </c>
      <c r="AC151" s="69" t="s">
        <v>720</v>
      </c>
      <c r="AD151" s="69" t="s">
        <v>720</v>
      </c>
      <c r="AE151" s="69" t="s">
        <v>729</v>
      </c>
      <c r="AF151" s="69" t="s">
        <v>720</v>
      </c>
      <c r="AG151" s="69" t="s">
        <v>720</v>
      </c>
      <c r="AH151" s="69" t="s">
        <v>2908</v>
      </c>
      <c r="AI151" s="69" t="s">
        <v>3</v>
      </c>
      <c r="AJ151" s="69" t="s">
        <v>3</v>
      </c>
      <c r="AK151" s="69" t="s">
        <v>3053</v>
      </c>
      <c r="AL151" s="69" t="s">
        <v>3053</v>
      </c>
      <c r="AM151" s="69" t="s">
        <v>3053</v>
      </c>
      <c r="AN151" s="69" t="s">
        <v>469</v>
      </c>
      <c r="AO151" s="131"/>
      <c r="AP151" s="69" t="s">
        <v>469</v>
      </c>
      <c r="AQ151" s="69"/>
      <c r="AR151" s="69"/>
      <c r="AS151" s="69"/>
      <c r="AT151" s="69"/>
      <c r="AU151" s="69"/>
      <c r="AV151" s="69" t="s">
        <v>552</v>
      </c>
      <c r="AW151" s="69" t="s">
        <v>552</v>
      </c>
      <c r="AX151" s="69" t="s">
        <v>2589</v>
      </c>
      <c r="AY151" s="69" t="s">
        <v>2589</v>
      </c>
      <c r="AZ151" s="69" t="s">
        <v>851</v>
      </c>
      <c r="BA151" s="69" t="s">
        <v>851</v>
      </c>
      <c r="BB151" s="69" t="s">
        <v>851</v>
      </c>
      <c r="BC151" s="69" t="s">
        <v>552</v>
      </c>
      <c r="BD151" s="69" t="s">
        <v>552</v>
      </c>
      <c r="BE151" s="69" t="s">
        <v>552</v>
      </c>
      <c r="BF151" s="69" t="s">
        <v>1153</v>
      </c>
      <c r="BG151" s="69" t="s">
        <v>1153</v>
      </c>
      <c r="BH151" s="69"/>
      <c r="BI151" s="69"/>
      <c r="BJ151" s="69" t="s">
        <v>1878</v>
      </c>
      <c r="BK151" s="69" t="s">
        <v>2443</v>
      </c>
      <c r="BL151" s="69" t="s">
        <v>851</v>
      </c>
      <c r="BM151" s="69"/>
      <c r="BN151" s="69"/>
      <c r="BO151" s="69"/>
      <c r="BP151" s="69" t="s">
        <v>635</v>
      </c>
      <c r="BQ151" s="69" t="s">
        <v>635</v>
      </c>
      <c r="BR151" s="69"/>
      <c r="BS151" s="69"/>
      <c r="BT151" s="69"/>
      <c r="BU151" s="69"/>
      <c r="BV151" s="69"/>
      <c r="BW151" s="69" t="s">
        <v>2097</v>
      </c>
      <c r="BX151" s="69" t="s">
        <v>2097</v>
      </c>
      <c r="BY151" s="69"/>
      <c r="BZ151" s="69" t="s">
        <v>403</v>
      </c>
      <c r="CA151" s="69" t="s">
        <v>403</v>
      </c>
      <c r="CB151" s="69" t="s">
        <v>403</v>
      </c>
      <c r="CC151" s="69"/>
      <c r="CD151" s="69"/>
      <c r="CE151" s="69" t="s">
        <v>1716</v>
      </c>
      <c r="CF151" s="69" t="s">
        <v>1716</v>
      </c>
      <c r="CG151" s="69" t="s">
        <v>1837</v>
      </c>
      <c r="CH151" s="69" t="s">
        <v>1717</v>
      </c>
      <c r="CI151" s="69" t="s">
        <v>3586</v>
      </c>
      <c r="CJ151" s="69" t="s">
        <v>3586</v>
      </c>
      <c r="CK151" s="69" t="s">
        <v>3586</v>
      </c>
      <c r="CL151" s="69" t="s">
        <v>3586</v>
      </c>
      <c r="CM151" s="69" t="s">
        <v>791</v>
      </c>
      <c r="CN151" s="69" t="s">
        <v>791</v>
      </c>
      <c r="CO151" s="69" t="s">
        <v>969</v>
      </c>
      <c r="CP151" s="69" t="s">
        <v>3213</v>
      </c>
      <c r="CQ151" s="69" t="s">
        <v>405</v>
      </c>
      <c r="CR151" s="69" t="s">
        <v>405</v>
      </c>
      <c r="CS151" s="69" t="s">
        <v>2506</v>
      </c>
      <c r="CT151" s="69" t="s">
        <v>851</v>
      </c>
      <c r="CU151" s="69" t="s">
        <v>851</v>
      </c>
      <c r="CV151" s="69"/>
      <c r="CW151" s="69"/>
      <c r="CX151" s="69" t="s">
        <v>1254</v>
      </c>
      <c r="CY151" s="69"/>
      <c r="CZ151" s="69"/>
      <c r="DA151" s="69" t="s">
        <v>3</v>
      </c>
      <c r="DB151" s="69" t="s">
        <v>403</v>
      </c>
      <c r="DC151" s="69" t="s">
        <v>916</v>
      </c>
      <c r="DD151" s="69" t="s">
        <v>916</v>
      </c>
      <c r="DE151" s="69"/>
      <c r="DF151" s="69"/>
      <c r="DG151" s="152" t="s">
        <v>3387</v>
      </c>
      <c r="DH151" s="69"/>
      <c r="DI151" s="69" t="s">
        <v>403</v>
      </c>
      <c r="DJ151" s="69" t="s">
        <v>403</v>
      </c>
      <c r="DK151" s="69" t="s">
        <v>1944</v>
      </c>
      <c r="DL151" s="69"/>
      <c r="DM151" s="69"/>
      <c r="DN151" s="69"/>
      <c r="DO151" s="69"/>
      <c r="DP151" s="69"/>
      <c r="DQ151" s="69" t="s">
        <v>2939</v>
      </c>
      <c r="DR151" s="69" t="s">
        <v>1402</v>
      </c>
      <c r="DS151" s="69" t="s">
        <v>2669</v>
      </c>
      <c r="DT151" s="69" t="s">
        <v>1210</v>
      </c>
      <c r="DU151" s="69" t="s">
        <v>1210</v>
      </c>
      <c r="DV151" s="69" t="s">
        <v>1549</v>
      </c>
      <c r="DW151" s="69" t="s">
        <v>411</v>
      </c>
      <c r="DX151" s="69" t="s">
        <v>411</v>
      </c>
      <c r="DY151" s="69" t="s">
        <v>1527</v>
      </c>
      <c r="DZ151" s="69"/>
    </row>
    <row r="152" spans="1:130" s="18" customFormat="1" ht="12" customHeight="1" x14ac:dyDescent="0.15">
      <c r="A152" s="28"/>
      <c r="B152" s="58"/>
      <c r="C152" s="58"/>
      <c r="D152" s="58"/>
      <c r="E152" s="58"/>
      <c r="F152" s="58"/>
      <c r="G152" s="58"/>
      <c r="H152" s="58"/>
      <c r="I152" s="58"/>
      <c r="J152" s="58"/>
      <c r="K152" s="58"/>
      <c r="L152" s="58"/>
      <c r="M152" s="58"/>
      <c r="N152" s="97"/>
      <c r="O152" s="58"/>
      <c r="P152" s="58"/>
      <c r="Q152" s="58"/>
      <c r="R152" s="97"/>
      <c r="S152" s="33"/>
      <c r="T152" s="33"/>
      <c r="U152" s="58"/>
      <c r="V152" s="58"/>
      <c r="W152" s="58"/>
      <c r="X152" s="58"/>
      <c r="Y152" s="58"/>
      <c r="Z152" s="58"/>
      <c r="AA152" s="58"/>
      <c r="AB152" s="58"/>
      <c r="AC152" s="58"/>
      <c r="AD152" s="58"/>
      <c r="AE152" s="58"/>
      <c r="AF152" s="58"/>
      <c r="AG152" s="58"/>
      <c r="AH152" s="58"/>
      <c r="AI152" s="58"/>
      <c r="AJ152" s="58"/>
      <c r="AK152" s="58"/>
      <c r="AL152" s="58"/>
      <c r="AM152" s="58"/>
      <c r="AN152" s="58"/>
      <c r="AO152" s="132"/>
      <c r="AP152" s="58"/>
      <c r="AQ152" s="58"/>
      <c r="AR152" s="58"/>
      <c r="AS152" s="58"/>
      <c r="AT152" s="58"/>
      <c r="AU152" s="58"/>
      <c r="AV152" s="58"/>
      <c r="AW152" s="58"/>
      <c r="AX152" s="58"/>
      <c r="AY152" s="58"/>
      <c r="AZ152" s="58"/>
      <c r="BA152" s="58"/>
      <c r="BB152" s="58"/>
      <c r="BC152" s="58"/>
      <c r="BD152" s="58"/>
      <c r="BE152" s="58"/>
      <c r="BI152" s="58"/>
      <c r="BJ152" s="58"/>
      <c r="BK152" s="58"/>
      <c r="BL152" s="58"/>
      <c r="BM152" s="58"/>
      <c r="BN152" s="58"/>
      <c r="BO152" s="58"/>
      <c r="BP152" s="58"/>
      <c r="BQ152" s="58"/>
      <c r="BR152" s="58"/>
      <c r="BS152" s="48"/>
      <c r="BT152" s="48"/>
      <c r="BU152" s="48"/>
      <c r="BV152" s="48"/>
      <c r="BW152" s="58"/>
      <c r="BX152" s="58"/>
      <c r="BY152" s="48"/>
      <c r="BZ152" s="48"/>
      <c r="CA152" s="48"/>
      <c r="CB152" s="48"/>
      <c r="CC152" s="58"/>
      <c r="CD152" s="58"/>
      <c r="CE152" s="47" t="s">
        <v>311</v>
      </c>
      <c r="CF152" s="47" t="s">
        <v>311</v>
      </c>
      <c r="CG152" s="47" t="s">
        <v>313</v>
      </c>
      <c r="CH152" s="58"/>
      <c r="CI152" s="58"/>
      <c r="CJ152" s="58"/>
      <c r="CK152" s="58"/>
      <c r="CL152" s="58"/>
      <c r="CM152" s="58"/>
      <c r="CN152" s="58"/>
      <c r="CO152" s="7"/>
      <c r="CP152" s="58"/>
      <c r="CQ152" s="58"/>
      <c r="CR152" s="58"/>
      <c r="CS152" s="48"/>
      <c r="CT152" s="48"/>
      <c r="CU152" s="48"/>
      <c r="CV152" s="48"/>
      <c r="CX152" s="58"/>
      <c r="CY152" s="58"/>
      <c r="CZ152" s="58"/>
      <c r="DA152" s="58"/>
      <c r="DB152" s="58"/>
      <c r="DC152" s="58"/>
      <c r="DD152" s="58"/>
      <c r="DE152" s="58"/>
      <c r="DF152" s="58"/>
      <c r="DG152" s="151"/>
      <c r="DH152" s="58"/>
      <c r="DI152" s="58"/>
      <c r="DJ152" s="58"/>
      <c r="DK152" s="58"/>
      <c r="DL152" s="58"/>
      <c r="DM152" s="58"/>
      <c r="DN152" s="58"/>
      <c r="DO152" s="58"/>
      <c r="DP152" s="58"/>
      <c r="DQ152" s="58"/>
      <c r="DR152" s="97"/>
      <c r="DS152" s="58"/>
      <c r="DT152" s="58"/>
      <c r="DV152" s="7"/>
      <c r="DW152" s="58"/>
      <c r="DX152" s="58"/>
      <c r="DY152" s="58"/>
      <c r="DZ152" s="58"/>
    </row>
    <row r="153" spans="1:130" ht="22.5" customHeight="1" x14ac:dyDescent="0.15">
      <c r="A153" s="78" t="s">
        <v>177</v>
      </c>
      <c r="B153" s="53" t="str">
        <f t="shared" ref="B153:Q153" si="36">B1</f>
        <v>Allianz Optimal
(Stand 03-2010)</v>
      </c>
      <c r="C153" s="53" t="str">
        <f t="shared" si="36"/>
        <v>Allianz inkl. SicherheitPlus
(Stand 2012-10)</v>
      </c>
      <c r="D153" s="53" t="str">
        <f>D1</f>
        <v>Allianz inkl. SicherheitPlus
(Stand 2014-05)</v>
      </c>
      <c r="E153" s="53" t="str">
        <f>E1</f>
        <v>Alte Leipziger comfort
(Stand 2015-07)</v>
      </c>
      <c r="F153" s="53" t="str">
        <f t="shared" si="36"/>
        <v>Alte Leipziger XXL
(Stand 07-2011)</v>
      </c>
      <c r="G153" s="53" t="str">
        <f t="shared" si="36"/>
        <v>Alte Leipziger XXL
(Stand 01-2013)</v>
      </c>
      <c r="H153" s="53" t="str">
        <f t="shared" si="36"/>
        <v>ARAG Basis (Wohnfläche)
(03-2013)</v>
      </c>
      <c r="I153" s="53" t="str">
        <f t="shared" si="36"/>
        <v>ARAG Comfort (Wohnfläche)
(03-2013)</v>
      </c>
      <c r="J153" s="53" t="str">
        <f t="shared" si="36"/>
        <v>ARAG Basis (Wohnfläche)
(Stand 07-2010)</v>
      </c>
      <c r="K153" s="53" t="str">
        <f t="shared" si="36"/>
        <v xml:space="preserve">ARAG Comfort (Wohnfl.) (Stand 07-2010) </v>
      </c>
      <c r="L153" s="53" t="str">
        <f>L1</f>
        <v>ARAG Basis (Wohnfläche)</v>
      </c>
      <c r="M153" s="53" t="str">
        <f>M1</f>
        <v>ARAG Comfort (Wohnfläche)</v>
      </c>
      <c r="N153" s="53" t="str">
        <f t="shared" si="36"/>
        <v>AXA
(ohne Feuerdeckung)</v>
      </c>
      <c r="O153" s="53" t="str">
        <f t="shared" si="36"/>
        <v>AXA</v>
      </c>
      <c r="P153" s="53" t="str">
        <f t="shared" si="36"/>
        <v>AXA BOXplus Extra</v>
      </c>
      <c r="Q153" s="53" t="str">
        <f t="shared" si="36"/>
        <v>AXA BOXplus Standard</v>
      </c>
      <c r="R153" s="45" t="s">
        <v>3234</v>
      </c>
      <c r="S153" s="53" t="s">
        <v>3310</v>
      </c>
      <c r="T153" s="53" t="s">
        <v>3311</v>
      </c>
      <c r="U153" s="53" t="str">
        <f>U1</f>
        <v>Baden Badener TOP (WF)</v>
      </c>
      <c r="V153" s="53" t="str">
        <f>V1</f>
        <v>Basler Top
(Stand 01-2012)</v>
      </c>
      <c r="W153" s="53" t="str">
        <f t="shared" ref="W153:AD153" si="37">W1</f>
        <v>Basler Ambiente Top
(Stand 07-2012)</v>
      </c>
      <c r="X153" s="53" t="str">
        <f>X1</f>
        <v>Basler Ambiente Top</v>
      </c>
      <c r="Y153" s="53" t="str">
        <f t="shared" si="37"/>
        <v>Concordia Basis
(Stand 09-2006)</v>
      </c>
      <c r="Z153" s="53" t="str">
        <f>Z1</f>
        <v>Concordia Basis-Plus
(Stand 10-2008)</v>
      </c>
      <c r="AA153" s="53" t="str">
        <f t="shared" si="37"/>
        <v>DBV+Partner
(Stand 02-1977)</v>
      </c>
      <c r="AB153" s="53" t="str">
        <f t="shared" si="37"/>
        <v>Debeka Basis
(Stand 04-2012)</v>
      </c>
      <c r="AC153" s="53" t="str">
        <f t="shared" si="37"/>
        <v>Debeka Standard
(Stand 04-2012)</v>
      </c>
      <c r="AD153" s="53" t="str">
        <f t="shared" si="37"/>
        <v>Debeka Top
(Stand 04-2012)</v>
      </c>
      <c r="AE153" s="53" t="str">
        <f>AE1</f>
        <v>Debeka Basis</v>
      </c>
      <c r="AF153" s="53" t="str">
        <f>AF1</f>
        <v>Debeka Standard</v>
      </c>
      <c r="AG153" s="53" t="str">
        <f>AG1</f>
        <v>Debeka Top</v>
      </c>
      <c r="AH153" s="53" t="str">
        <f t="shared" ref="AH153:BE153" si="38">AH1</f>
        <v>die Bayerische
Komfort-Schutz
(Stand 06-2011)</v>
      </c>
      <c r="AI153" s="53" t="str">
        <f t="shared" si="38"/>
        <v>die Bayerische
Standard-Plus
(Stand 06-2011)</v>
      </c>
      <c r="AJ153" s="53" t="str">
        <f t="shared" si="38"/>
        <v>die Bayerische
Standard-Schutz
(Stand 01-2008)</v>
      </c>
      <c r="AK153" s="53" t="str">
        <f>AK1</f>
        <v>die Bayerische Komfort</v>
      </c>
      <c r="AL153" s="53" t="str">
        <f>AL1</f>
        <v>die Bayerische Prestige</v>
      </c>
      <c r="AM153" s="53" t="str">
        <f>AM1</f>
        <v>die Bayerische Smart</v>
      </c>
      <c r="AN153" s="53" t="str">
        <f>AN1</f>
        <v>Domcura Komfort</v>
      </c>
      <c r="AO153" s="135" t="s">
        <v>3312</v>
      </c>
      <c r="AP153" s="53" t="str">
        <f>AP1</f>
        <v>Domcura Top</v>
      </c>
      <c r="AQ153" s="53" t="str">
        <f t="shared" si="38"/>
        <v>ERGO</v>
      </c>
      <c r="AR153" s="53" t="str">
        <f t="shared" ref="AR153" si="39">AR1</f>
        <v>ERGO spezial</v>
      </c>
      <c r="AS153" s="53" t="str">
        <f>AS1</f>
        <v>ERGO</v>
      </c>
      <c r="AT153" s="53" t="str">
        <f>AT1</f>
        <v>ERGO spezial</v>
      </c>
      <c r="AU153" s="53" t="str">
        <f t="shared" si="38"/>
        <v>Generali KomfortPlus (qm)
(Stand 01-2010)</v>
      </c>
      <c r="AV153" s="53" t="str">
        <f t="shared" si="38"/>
        <v>Generali Basis (qm)
(Stand 10-2012)</v>
      </c>
      <c r="AW153" s="53" t="str">
        <f t="shared" si="38"/>
        <v>Generali KomfortPlus (qm)
(Stand 10-2012)</v>
      </c>
      <c r="AX153" s="53" t="str">
        <f>AX1</f>
        <v>Generali Basis (qm)</v>
      </c>
      <c r="AY153" s="53" t="str">
        <f>AY1</f>
        <v>Generali KomfortPlus (qm)</v>
      </c>
      <c r="AZ153" s="53" t="str">
        <f>AZ1</f>
        <v>Gothaer (qm)</v>
      </c>
      <c r="BA153" s="53" t="str">
        <f>BA1</f>
        <v>Gothaer Top (qm)</v>
      </c>
      <c r="BB153" s="53" t="str">
        <f>BB1</f>
        <v>Gothaer Top Plus (qm)</v>
      </c>
      <c r="BC153" s="53" t="str">
        <f t="shared" si="38"/>
        <v>Gothaer (qm)
(Stand 01-2009)</v>
      </c>
      <c r="BD153" s="53" t="str">
        <f t="shared" si="38"/>
        <v>Gothaer Top (qm)
(Stand 01-2009)</v>
      </c>
      <c r="BE153" s="53" t="str">
        <f t="shared" si="38"/>
        <v>Gothaer Top Plus (qm)
(Stand 01-2009)</v>
      </c>
      <c r="BF153" s="61" t="str">
        <f t="shared" ref="BF153:DN153" si="40">BF1</f>
        <v>Grundeigentümer Schutz 60
(Stand 04-2011)</v>
      </c>
      <c r="BG153" s="61" t="str">
        <f t="shared" si="40"/>
        <v>Grundeigentümer Schutz 60 Plus (Stand 04-2011)</v>
      </c>
      <c r="BH153" s="61" t="str">
        <f t="shared" si="40"/>
        <v>Grundeigentümer Schutz 60 Plus (Stand 10-2010)</v>
      </c>
      <c r="BI153" s="53" t="str">
        <f t="shared" si="40"/>
        <v>HDI Privatschutz
(Stand 01-2011)</v>
      </c>
      <c r="BJ153" s="53" t="str">
        <f t="shared" ref="BJ153:BT153" si="41">BJ1</f>
        <v>HDI Privatschutz (Wert 1914)
(Stand 07-2011)</v>
      </c>
      <c r="BK153" s="53" t="str">
        <f t="shared" si="41"/>
        <v>HDI Privatschutz (Wohnfläche)</v>
      </c>
      <c r="BL153" s="53" t="str">
        <f t="shared" si="41"/>
        <v>Helvetia Komfort</v>
      </c>
      <c r="BM153" s="53" t="str">
        <f t="shared" si="41"/>
        <v>HFK Hausverwalter
(Stand 01-2009)</v>
      </c>
      <c r="BN153" s="53" t="str">
        <f t="shared" si="41"/>
        <v>HFK mit Zusatzdeckung
(Stand 01-2009)</v>
      </c>
      <c r="BO153" s="53" t="str">
        <f t="shared" si="41"/>
        <v>HFK ohne Zusatzdeckung
(Stand 01-2009)</v>
      </c>
      <c r="BP153" s="53" t="str">
        <f t="shared" si="41"/>
        <v>HFK afm mit Zusatzdeckung</v>
      </c>
      <c r="BQ153" s="53" t="str">
        <f t="shared" si="41"/>
        <v>HFK afm ohne Zusatzdeckung</v>
      </c>
      <c r="BR153" s="53" t="str">
        <f t="shared" si="41"/>
        <v>Hiscox Haus &amp; Kunst</v>
      </c>
      <c r="BS153" s="53" t="str">
        <f t="shared" si="41"/>
        <v>HUK Classic</v>
      </c>
      <c r="BT153" s="53" t="str">
        <f t="shared" si="41"/>
        <v>HUK Plus</v>
      </c>
      <c r="BU153" s="53" t="str">
        <f t="shared" si="40"/>
        <v>HUK Classic
(Stand 03-2010)</v>
      </c>
      <c r="BV153" s="53" t="str">
        <f t="shared" si="40"/>
        <v>HUK Plus
(Stand 03-2010)</v>
      </c>
      <c r="BW153" s="53" t="str">
        <f t="shared" si="40"/>
        <v>Inter Exklusiv
(Stand 10-2010)</v>
      </c>
      <c r="BX153" s="53" t="str">
        <f t="shared" si="40"/>
        <v>Inter Premium
(Stand 10-2010)</v>
      </c>
      <c r="BY153" s="53" t="str">
        <f t="shared" si="40"/>
        <v>Interrisk XXL
(Stand 03-2011)</v>
      </c>
      <c r="BZ153" s="53" t="str">
        <f t="shared" si="40"/>
        <v>Interrisk XXL
(Stand 10-2012)</v>
      </c>
      <c r="CA153" s="53" t="str">
        <f>CA1</f>
        <v>InterRisk XL</v>
      </c>
      <c r="CB153" s="53" t="str">
        <f>CB1</f>
        <v>InterRisk XXL</v>
      </c>
      <c r="CC153" s="53" t="str">
        <f>CC1</f>
        <v>ITL afm Protect 2000</v>
      </c>
      <c r="CD153" s="53" t="str">
        <f t="shared" si="40"/>
        <v>ITL afm Protect 2009
(Stand 01-2008)</v>
      </c>
      <c r="CE153" s="69" t="s">
        <v>1717</v>
      </c>
      <c r="CF153" s="69" t="s">
        <v>1717</v>
      </c>
      <c r="CG153" s="69" t="s">
        <v>3</v>
      </c>
      <c r="CH153" s="53" t="str">
        <f>CH1</f>
        <v>ITL afm Eurosecure 2009</v>
      </c>
      <c r="CI153" s="45" t="s">
        <v>3552</v>
      </c>
      <c r="CJ153" s="45" t="s">
        <v>3550</v>
      </c>
      <c r="CK153" s="45" t="s">
        <v>3549</v>
      </c>
      <c r="CL153" s="45" t="s">
        <v>3551</v>
      </c>
      <c r="CM153" s="53" t="str">
        <f>CM1</f>
        <v>Itzehoer Basis</v>
      </c>
      <c r="CN153" s="53" t="str">
        <f>CN1</f>
        <v>Itzehoer Plus</v>
      </c>
      <c r="CO153" s="11" t="str">
        <f t="shared" si="40"/>
        <v>Marsh Wohngebäude 2011
(Stand 01-2011)</v>
      </c>
      <c r="CP153" s="53"/>
      <c r="CQ153" s="53"/>
      <c r="CR153" s="53"/>
      <c r="CS153" s="53" t="str">
        <f>CS1</f>
        <v>nat. suisse AllRisk</v>
      </c>
      <c r="CT153" s="53" t="str">
        <f>CT1</f>
        <v>nat. suisse Komfort</v>
      </c>
      <c r="CU153" s="53" t="str">
        <f>CU1</f>
        <v>nat. suisse Premium</v>
      </c>
      <c r="CV153" s="53" t="str">
        <f t="shared" si="40"/>
        <v>nat. suisse Ideal-Schutz
(Stand 01-2008)</v>
      </c>
      <c r="CW153" s="61" t="str">
        <f t="shared" si="40"/>
        <v>Neuendorfer
(Stand 01-2008)</v>
      </c>
      <c r="CX153" s="53" t="str">
        <f>CX1</f>
        <v>Nürnberger KomplettSchutz (Wert 1914)</v>
      </c>
      <c r="CY153" s="53" t="str">
        <f t="shared" si="40"/>
        <v>Provinzial Basis
(Stand 01-2009)</v>
      </c>
      <c r="CZ153" s="53" t="str">
        <f t="shared" si="40"/>
        <v>Provinzial Top
(Stand 01-2009)</v>
      </c>
      <c r="DA153" s="53" t="str">
        <f t="shared" si="40"/>
        <v>Provinzial Rheinland
V.I.P.-Intelligent</v>
      </c>
      <c r="DB153" s="53" t="str">
        <f>DB1</f>
        <v>Provinzial Kompaktschutz</v>
      </c>
      <c r="DC153" s="53" t="str">
        <f>DC1</f>
        <v>Provinzial Rundum inkl. Plus</v>
      </c>
      <c r="DD153" s="53" t="str">
        <f>DD1</f>
        <v>Provinzial Rundumschutz</v>
      </c>
      <c r="DE153" s="53" t="str">
        <f t="shared" si="40"/>
        <v>Rhion Plus
(Stand 04-2011)</v>
      </c>
      <c r="DF153" s="53" t="str">
        <f t="shared" si="40"/>
        <v>Rhion Standard
(Stand 04-2011)</v>
      </c>
      <c r="DG153" s="145" t="s">
        <v>3341</v>
      </c>
      <c r="DH153" s="53" t="str">
        <f t="shared" si="40"/>
        <v>R+V PrivatPolice (Fläche)
(Stand 01-2011)</v>
      </c>
      <c r="DI153" s="53" t="str">
        <f t="shared" si="40"/>
        <v>R+V PrivatPolice (Fläche)
(Stand 07-2012)</v>
      </c>
      <c r="DJ153" s="53" t="str">
        <f>DJ1</f>
        <v>R+V PrivatPolice (Fläche)</v>
      </c>
      <c r="DK153" s="53" t="str">
        <f>DK1</f>
        <v>VdVA</v>
      </c>
      <c r="DL153" s="53" t="s">
        <v>3496</v>
      </c>
      <c r="DM153" s="53" t="str">
        <f t="shared" si="40"/>
        <v>VHV Exklusiv
(Stand 09-2008)</v>
      </c>
      <c r="DN153" s="53" t="str">
        <f t="shared" si="40"/>
        <v>VHV Klassik
(Stand 09-2008)</v>
      </c>
      <c r="DO153" s="53" t="str">
        <f>DO1</f>
        <v>VHV Klassik Garant</v>
      </c>
      <c r="DP153" s="53" t="str">
        <f>DP1</f>
        <v>VHV Klassik Garant Exklusiv</v>
      </c>
      <c r="DQ153" s="61" t="str">
        <f t="shared" ref="DQ153:DX153" si="42">DQ1</f>
        <v>VKB Standard (Für Fr. La Tona) (VGB 88)</v>
      </c>
      <c r="DR153" s="53" t="str">
        <f t="shared" si="42"/>
        <v>VKB (Für Fr. La Tona) (Feuerdeckung inkl. Plus-Paket)</v>
      </c>
      <c r="DS153" s="61" t="str">
        <f t="shared" si="42"/>
        <v>VKB VGB 2000 Plus 2
(Stand 01-2008)</v>
      </c>
      <c r="DT153" s="61" t="str">
        <f>DT1</f>
        <v>VKB Kompakt</v>
      </c>
      <c r="DU153" s="61" t="str">
        <f>DU1</f>
        <v>VKB Optimal</v>
      </c>
      <c r="DV153" s="53" t="str">
        <f t="shared" si="42"/>
        <v>Volksfürsorge Komfort (qm)
Stand (01-2007)</v>
      </c>
      <c r="DW153" s="53" t="str">
        <f t="shared" si="42"/>
        <v>Württembergische KompaktSchutz (11-2010)</v>
      </c>
      <c r="DX153" s="53" t="str">
        <f t="shared" si="42"/>
        <v>Württembergische PremiumSchutz (11-2010)</v>
      </c>
      <c r="DY153" s="53" t="str">
        <f>DY1</f>
        <v>WÜBA Plus</v>
      </c>
      <c r="DZ153" s="53"/>
    </row>
    <row r="154" spans="1:130" s="18" customFormat="1" ht="369" x14ac:dyDescent="0.15">
      <c r="A154" s="77"/>
      <c r="B154" s="46" t="s">
        <v>206</v>
      </c>
      <c r="C154" s="70" t="s">
        <v>2777</v>
      </c>
      <c r="D154" s="70" t="s">
        <v>3525</v>
      </c>
      <c r="E154" s="111" t="s">
        <v>3527</v>
      </c>
      <c r="F154" s="46" t="s">
        <v>3</v>
      </c>
      <c r="G154" s="46" t="s">
        <v>3</v>
      </c>
      <c r="H154" s="70" t="s">
        <v>1482</v>
      </c>
      <c r="I154" s="70" t="s">
        <v>1641</v>
      </c>
      <c r="J154" s="70" t="s">
        <v>1482</v>
      </c>
      <c r="K154" s="70" t="s">
        <v>1638</v>
      </c>
      <c r="L154" s="70" t="s">
        <v>1482</v>
      </c>
      <c r="M154" s="70" t="s">
        <v>3528</v>
      </c>
      <c r="N154" s="47" t="s">
        <v>1372</v>
      </c>
      <c r="O154" s="46" t="s">
        <v>3</v>
      </c>
      <c r="P154" s="47" t="s">
        <v>172</v>
      </c>
      <c r="Q154" s="46" t="s">
        <v>3</v>
      </c>
      <c r="R154" s="47" t="s">
        <v>3255</v>
      </c>
      <c r="S154" s="117"/>
      <c r="T154" s="117"/>
      <c r="U154" s="70" t="s">
        <v>2559</v>
      </c>
      <c r="V154" s="74" t="s">
        <v>804</v>
      </c>
      <c r="W154" s="104" t="s">
        <v>1312</v>
      </c>
      <c r="X154" s="70" t="s">
        <v>1312</v>
      </c>
      <c r="Y154" s="74" t="s">
        <v>2290</v>
      </c>
      <c r="Z154" s="70" t="s">
        <v>2642</v>
      </c>
      <c r="AA154" s="46" t="s">
        <v>3</v>
      </c>
      <c r="AB154" s="74" t="s">
        <v>656</v>
      </c>
      <c r="AC154" s="74" t="s">
        <v>728</v>
      </c>
      <c r="AD154" s="74" t="s">
        <v>698</v>
      </c>
      <c r="AE154" s="74" t="s">
        <v>656</v>
      </c>
      <c r="AF154" s="74" t="s">
        <v>2391</v>
      </c>
      <c r="AG154" s="70" t="s">
        <v>3529</v>
      </c>
      <c r="AH154" s="70" t="s">
        <v>2909</v>
      </c>
      <c r="AI154" s="47" t="s">
        <v>3</v>
      </c>
      <c r="AJ154" s="47" t="s">
        <v>3</v>
      </c>
      <c r="AK154" s="70" t="s">
        <v>3531</v>
      </c>
      <c r="AL154" s="70" t="s">
        <v>3533</v>
      </c>
      <c r="AM154" s="47" t="s">
        <v>3</v>
      </c>
      <c r="AN154" s="20" t="s">
        <v>3</v>
      </c>
      <c r="AO154" s="130" t="s">
        <v>3239</v>
      </c>
      <c r="AP154" s="70" t="s">
        <v>463</v>
      </c>
      <c r="AQ154" s="20" t="s">
        <v>3405</v>
      </c>
      <c r="AR154" s="20" t="s">
        <v>3523</v>
      </c>
      <c r="AS154" s="20"/>
      <c r="AT154" s="20" t="s">
        <v>3537</v>
      </c>
      <c r="AU154" s="20" t="s">
        <v>197</v>
      </c>
      <c r="AV154" s="20" t="s">
        <v>3</v>
      </c>
      <c r="AW154" s="70" t="s">
        <v>1068</v>
      </c>
      <c r="AX154" s="70" t="s">
        <v>2596</v>
      </c>
      <c r="AY154" s="70" t="s">
        <v>2598</v>
      </c>
      <c r="AZ154" s="20" t="s">
        <v>3</v>
      </c>
      <c r="BA154" s="20" t="s">
        <v>3</v>
      </c>
      <c r="BB154" s="70" t="s">
        <v>3120</v>
      </c>
      <c r="BC154" s="20" t="s">
        <v>3</v>
      </c>
      <c r="BD154" s="20" t="s">
        <v>3</v>
      </c>
      <c r="BE154" s="70" t="s">
        <v>2219</v>
      </c>
      <c r="BF154" s="74" t="s">
        <v>1136</v>
      </c>
      <c r="BG154" s="74" t="s">
        <v>1080</v>
      </c>
      <c r="BH154" s="47" t="s">
        <v>249</v>
      </c>
      <c r="BI154" s="47" t="s">
        <v>393</v>
      </c>
      <c r="BJ154" s="70" t="s">
        <v>1929</v>
      </c>
      <c r="BK154" s="70" t="s">
        <v>2475</v>
      </c>
      <c r="BL154" s="70" t="s">
        <v>2358</v>
      </c>
      <c r="BM154" s="46" t="s">
        <v>3</v>
      </c>
      <c r="BN154" s="46" t="s">
        <v>3</v>
      </c>
      <c r="BO154" s="46" t="s">
        <v>3</v>
      </c>
      <c r="BP154" s="74" t="s">
        <v>593</v>
      </c>
      <c r="BQ154" s="47" t="s">
        <v>589</v>
      </c>
      <c r="BR154" s="70" t="s">
        <v>823</v>
      </c>
      <c r="BS154" s="47" t="s">
        <v>223</v>
      </c>
      <c r="BT154" s="47" t="s">
        <v>223</v>
      </c>
      <c r="BU154" s="47" t="s">
        <v>223</v>
      </c>
      <c r="BV154" s="47" t="s">
        <v>223</v>
      </c>
      <c r="BW154" s="74" t="s">
        <v>2051</v>
      </c>
      <c r="BX154" s="74" t="s">
        <v>2051</v>
      </c>
      <c r="BY154" s="47" t="s">
        <v>1069</v>
      </c>
      <c r="BZ154" s="70" t="s">
        <v>1712</v>
      </c>
      <c r="CA154" s="74" t="s">
        <v>2720</v>
      </c>
      <c r="CB154" s="70" t="s">
        <v>2702</v>
      </c>
      <c r="CC154" s="46" t="s">
        <v>3</v>
      </c>
      <c r="CD154" s="46" t="s">
        <v>3</v>
      </c>
      <c r="CE154" s="58"/>
      <c r="CF154" s="58"/>
      <c r="CG154" s="58"/>
      <c r="CH154" s="46" t="s">
        <v>3</v>
      </c>
      <c r="CI154" s="70" t="s">
        <v>3628</v>
      </c>
      <c r="CJ154" s="70" t="s">
        <v>3602</v>
      </c>
      <c r="CK154" s="70" t="s">
        <v>3617</v>
      </c>
      <c r="CL154" s="70" t="s">
        <v>1718</v>
      </c>
      <c r="CM154" s="46" t="s">
        <v>3</v>
      </c>
      <c r="CN154" s="46" t="s">
        <v>3</v>
      </c>
      <c r="CO154" s="74" t="s">
        <v>944</v>
      </c>
      <c r="CP154" s="20" t="s">
        <v>3</v>
      </c>
      <c r="CQ154" s="70" t="s">
        <v>3208</v>
      </c>
      <c r="CR154" s="70" t="s">
        <v>3208</v>
      </c>
      <c r="CS154" s="70" t="s">
        <v>2521</v>
      </c>
      <c r="CT154" s="74" t="s">
        <v>849</v>
      </c>
      <c r="CU154" s="74" t="s">
        <v>843</v>
      </c>
      <c r="CV154" s="47" t="s">
        <v>245</v>
      </c>
      <c r="CW154" s="47" t="s">
        <v>228</v>
      </c>
      <c r="CX154" s="70" t="s">
        <v>1232</v>
      </c>
      <c r="CY154" s="46" t="s">
        <v>3</v>
      </c>
      <c r="CZ154" s="46" t="s">
        <v>3</v>
      </c>
      <c r="DA154" s="70" t="s">
        <v>2179</v>
      </c>
      <c r="DB154" s="70" t="s">
        <v>932</v>
      </c>
      <c r="DC154" s="70" t="s">
        <v>939</v>
      </c>
      <c r="DD154" s="70" t="s">
        <v>938</v>
      </c>
      <c r="DE154" s="47" t="s">
        <v>286</v>
      </c>
      <c r="DF154" s="46" t="s">
        <v>3</v>
      </c>
      <c r="DG154" s="153"/>
      <c r="DH154" s="47" t="s">
        <v>349</v>
      </c>
      <c r="DI154" s="74" t="s">
        <v>1007</v>
      </c>
      <c r="DJ154" s="74" t="s">
        <v>2965</v>
      </c>
      <c r="DK154" s="74" t="s">
        <v>1997</v>
      </c>
      <c r="DL154" s="74"/>
      <c r="DM154" s="46" t="s">
        <v>3</v>
      </c>
      <c r="DN154" s="46" t="s">
        <v>3</v>
      </c>
      <c r="DO154" s="46" t="s">
        <v>3</v>
      </c>
      <c r="DP154" s="74" t="s">
        <v>1072</v>
      </c>
      <c r="DQ154" s="47" t="s">
        <v>3</v>
      </c>
      <c r="DR154" s="47" t="s">
        <v>1403</v>
      </c>
      <c r="DS154" s="47" t="s">
        <v>3</v>
      </c>
      <c r="DT154" s="47" t="s">
        <v>1161</v>
      </c>
      <c r="DU154" s="74" t="s">
        <v>1168</v>
      </c>
      <c r="DV154" s="74" t="s">
        <v>1558</v>
      </c>
      <c r="DW154" s="70" t="s">
        <v>445</v>
      </c>
      <c r="DX154" s="70" t="s">
        <v>448</v>
      </c>
      <c r="DY154" s="74" t="s">
        <v>1495</v>
      </c>
      <c r="DZ154" s="20"/>
    </row>
    <row r="155" spans="1:130" s="18" customFormat="1" ht="90" x14ac:dyDescent="0.15">
      <c r="A155" s="76" t="s">
        <v>402</v>
      </c>
      <c r="B155" s="69"/>
      <c r="C155" s="69" t="s">
        <v>2788</v>
      </c>
      <c r="D155" s="69" t="s">
        <v>2788</v>
      </c>
      <c r="E155" s="112" t="s">
        <v>3280</v>
      </c>
      <c r="F155" s="69"/>
      <c r="G155" s="69" t="s">
        <v>3</v>
      </c>
      <c r="H155" s="69" t="s">
        <v>1637</v>
      </c>
      <c r="I155" s="69" t="s">
        <v>1639</v>
      </c>
      <c r="J155" s="69" t="s">
        <v>1457</v>
      </c>
      <c r="K155" s="69" t="s">
        <v>1640</v>
      </c>
      <c r="L155" s="69" t="s">
        <v>1637</v>
      </c>
      <c r="M155" s="69" t="s">
        <v>1639</v>
      </c>
      <c r="N155" s="69" t="s">
        <v>1222</v>
      </c>
      <c r="O155" s="69"/>
      <c r="P155" s="69"/>
      <c r="Q155" s="69"/>
      <c r="R155" s="69"/>
      <c r="S155" s="128"/>
      <c r="T155" s="128"/>
      <c r="U155" s="69" t="s">
        <v>2558</v>
      </c>
      <c r="V155" s="69" t="s">
        <v>805</v>
      </c>
      <c r="W155" s="106" t="s">
        <v>1313</v>
      </c>
      <c r="X155" s="69" t="s">
        <v>1313</v>
      </c>
      <c r="Y155" s="69" t="s">
        <v>2291</v>
      </c>
      <c r="Z155" s="69" t="s">
        <v>2643</v>
      </c>
      <c r="AA155" s="69" t="s">
        <v>3</v>
      </c>
      <c r="AB155" s="69" t="s">
        <v>727</v>
      </c>
      <c r="AC155" s="69" t="s">
        <v>727</v>
      </c>
      <c r="AD155" s="69" t="s">
        <v>697</v>
      </c>
      <c r="AE155" s="69" t="s">
        <v>727</v>
      </c>
      <c r="AF155" s="69" t="s">
        <v>2390</v>
      </c>
      <c r="AG155" s="69" t="s">
        <v>2412</v>
      </c>
      <c r="AH155" s="69" t="s">
        <v>2910</v>
      </c>
      <c r="AI155" s="69" t="s">
        <v>3</v>
      </c>
      <c r="AJ155" s="69" t="s">
        <v>3</v>
      </c>
      <c r="AK155" s="69" t="s">
        <v>3045</v>
      </c>
      <c r="AL155" s="69" t="s">
        <v>3016</v>
      </c>
      <c r="AM155" s="69" t="s">
        <v>3</v>
      </c>
      <c r="AN155" s="69" t="s">
        <v>3</v>
      </c>
      <c r="AO155" s="131"/>
      <c r="AP155" s="69" t="s">
        <v>464</v>
      </c>
      <c r="AQ155" s="69" t="s">
        <v>3406</v>
      </c>
      <c r="AR155" s="69"/>
      <c r="AS155" s="69"/>
      <c r="AT155" s="69"/>
      <c r="AU155" s="69"/>
      <c r="AV155" s="69" t="s">
        <v>3</v>
      </c>
      <c r="AW155" s="69" t="s">
        <v>573</v>
      </c>
      <c r="AX155" s="69" t="s">
        <v>2597</v>
      </c>
      <c r="AY155" s="69" t="s">
        <v>2595</v>
      </c>
      <c r="AZ155" s="69" t="s">
        <v>3</v>
      </c>
      <c r="BA155" s="69" t="s">
        <v>3</v>
      </c>
      <c r="BB155" s="69" t="s">
        <v>3119</v>
      </c>
      <c r="BC155" s="69" t="s">
        <v>3</v>
      </c>
      <c r="BD155" s="69" t="s">
        <v>3</v>
      </c>
      <c r="BE155" s="69" t="s">
        <v>2220</v>
      </c>
      <c r="BF155" s="69" t="s">
        <v>1135</v>
      </c>
      <c r="BG155" s="69" t="s">
        <v>1084</v>
      </c>
      <c r="BH155" s="69"/>
      <c r="BI155" s="69"/>
      <c r="BJ155" s="69" t="s">
        <v>1923</v>
      </c>
      <c r="BK155" s="69" t="s">
        <v>2476</v>
      </c>
      <c r="BL155" s="69" t="s">
        <v>2338</v>
      </c>
      <c r="BM155" s="69"/>
      <c r="BN155" s="69"/>
      <c r="BO155" s="69"/>
      <c r="BP155" s="69" t="s">
        <v>613</v>
      </c>
      <c r="BQ155" s="69" t="s">
        <v>590</v>
      </c>
      <c r="BR155" s="69"/>
      <c r="BS155" s="69"/>
      <c r="BT155" s="69"/>
      <c r="BU155" s="69"/>
      <c r="BV155" s="69"/>
      <c r="BW155" s="69" t="s">
        <v>2088</v>
      </c>
      <c r="BX155" s="69" t="s">
        <v>2052</v>
      </c>
      <c r="BY155" s="69"/>
      <c r="BZ155" s="69" t="s">
        <v>1713</v>
      </c>
      <c r="CA155" s="69" t="s">
        <v>2721</v>
      </c>
      <c r="CB155" s="108" t="s">
        <v>2701</v>
      </c>
      <c r="CC155" s="69"/>
      <c r="CD155" s="69"/>
      <c r="CE155" s="53" t="str">
        <f>CE1</f>
        <v>ITL afm Protect 2010</v>
      </c>
      <c r="CF155" s="53" t="str">
        <f>CF1</f>
        <v>ITL Eurosecure 2010</v>
      </c>
      <c r="CG155" s="53" t="str">
        <f>CG1</f>
        <v>ITL Existenz 2010</v>
      </c>
      <c r="CH155" s="69" t="s">
        <v>3</v>
      </c>
      <c r="CI155" s="69" t="s">
        <v>3600</v>
      </c>
      <c r="CJ155" s="69" t="s">
        <v>3600</v>
      </c>
      <c r="CK155" s="69" t="s">
        <v>3600</v>
      </c>
      <c r="CL155" s="69" t="s">
        <v>3600</v>
      </c>
      <c r="CM155" s="69" t="s">
        <v>3</v>
      </c>
      <c r="CN155" s="69" t="s">
        <v>3</v>
      </c>
      <c r="CO155" s="69" t="s">
        <v>978</v>
      </c>
      <c r="CP155" s="69" t="s">
        <v>3</v>
      </c>
      <c r="CQ155" s="69" t="s">
        <v>3042</v>
      </c>
      <c r="CR155" s="69" t="s">
        <v>3042</v>
      </c>
      <c r="CS155" s="69" t="s">
        <v>997</v>
      </c>
      <c r="CT155" s="69" t="s">
        <v>845</v>
      </c>
      <c r="CU155" s="69" t="s">
        <v>836</v>
      </c>
      <c r="CV155" s="69"/>
      <c r="CW155" s="69"/>
      <c r="CX155" s="69" t="s">
        <v>1233</v>
      </c>
      <c r="CY155" s="69"/>
      <c r="CZ155" s="69"/>
      <c r="DA155" s="69" t="s">
        <v>2170</v>
      </c>
      <c r="DB155" s="69" t="s">
        <v>910</v>
      </c>
      <c r="DC155" s="69" t="s">
        <v>909</v>
      </c>
      <c r="DD155" s="69" t="s">
        <v>908</v>
      </c>
      <c r="DE155" s="69"/>
      <c r="DF155" s="69"/>
      <c r="DG155" s="152"/>
      <c r="DH155" s="69"/>
      <c r="DI155" s="69" t="s">
        <v>1045</v>
      </c>
      <c r="DJ155" s="69" t="s">
        <v>1045</v>
      </c>
      <c r="DK155" s="69" t="s">
        <v>1988</v>
      </c>
      <c r="DL155" s="69"/>
      <c r="DM155" s="69"/>
      <c r="DN155" s="69"/>
      <c r="DO155" s="69"/>
      <c r="DP155" s="69"/>
      <c r="DQ155" s="69" t="s">
        <v>3</v>
      </c>
      <c r="DR155" s="69" t="s">
        <v>1404</v>
      </c>
      <c r="DS155" s="69" t="s">
        <v>3</v>
      </c>
      <c r="DT155" s="69" t="s">
        <v>1167</v>
      </c>
      <c r="DU155" s="69" t="s">
        <v>1190</v>
      </c>
      <c r="DV155" s="69" t="s">
        <v>1559</v>
      </c>
      <c r="DW155" s="69" t="s">
        <v>411</v>
      </c>
      <c r="DX155" s="69" t="s">
        <v>441</v>
      </c>
      <c r="DY155" s="69" t="s">
        <v>1506</v>
      </c>
      <c r="DZ155" s="69"/>
    </row>
    <row r="156" spans="1:130" s="18" customFormat="1" ht="12" customHeight="1" x14ac:dyDescent="0.15">
      <c r="A156" s="84"/>
      <c r="B156" s="48"/>
      <c r="C156" s="48"/>
      <c r="D156" s="48"/>
      <c r="E156" s="48"/>
      <c r="F156" s="48"/>
      <c r="G156" s="48"/>
      <c r="H156" s="48"/>
      <c r="I156" s="48"/>
      <c r="J156" s="48"/>
      <c r="K156" s="48"/>
      <c r="L156" s="48"/>
      <c r="M156" s="48"/>
      <c r="N156" s="98"/>
      <c r="O156" s="48"/>
      <c r="P156" s="48"/>
      <c r="Q156" s="48"/>
      <c r="R156" s="98"/>
      <c r="S156" s="33"/>
      <c r="T156" s="33"/>
      <c r="U156" s="48"/>
      <c r="V156" s="48"/>
      <c r="W156" s="48"/>
      <c r="X156" s="48"/>
      <c r="Y156" s="48"/>
      <c r="Z156" s="48"/>
      <c r="AA156" s="48"/>
      <c r="AB156" s="48"/>
      <c r="AC156" s="48"/>
      <c r="AD156" s="48"/>
      <c r="AE156" s="48"/>
      <c r="AF156" s="48"/>
      <c r="AG156" s="48"/>
      <c r="AH156" s="48"/>
      <c r="AI156" s="48"/>
      <c r="AJ156" s="48"/>
      <c r="AK156" s="48"/>
      <c r="AL156" s="48"/>
      <c r="AM156" s="48"/>
      <c r="AN156" s="48"/>
      <c r="AO156" s="132"/>
      <c r="AP156" s="48"/>
      <c r="AQ156" s="48"/>
      <c r="AR156" s="48"/>
      <c r="AS156" s="48"/>
      <c r="AT156" s="48"/>
      <c r="AU156" s="48"/>
      <c r="AV156" s="48"/>
      <c r="AW156" s="48"/>
      <c r="AX156" s="48"/>
      <c r="AY156" s="48"/>
      <c r="AZ156" s="58"/>
      <c r="BA156" s="48"/>
      <c r="BB156" s="48"/>
      <c r="BC156" s="58"/>
      <c r="BD156" s="48"/>
      <c r="BE156" s="48"/>
      <c r="BI156" s="48"/>
      <c r="BJ156" s="48"/>
      <c r="BK156" s="48"/>
      <c r="BL156" s="48"/>
      <c r="BM156" s="48"/>
      <c r="BN156" s="48"/>
      <c r="BO156" s="48"/>
      <c r="BP156" s="48"/>
      <c r="BQ156" s="48"/>
      <c r="BR156" s="48"/>
      <c r="BS156" s="48"/>
      <c r="BT156" s="48"/>
      <c r="BU156" s="48"/>
      <c r="BV156" s="48"/>
      <c r="BW156" s="48"/>
      <c r="BX156" s="48"/>
      <c r="BY156" s="48"/>
      <c r="BZ156" s="48"/>
      <c r="CA156" s="48"/>
      <c r="CB156" s="48"/>
      <c r="CC156" s="48"/>
      <c r="CD156" s="48"/>
      <c r="CE156" s="70" t="s">
        <v>1718</v>
      </c>
      <c r="CF156" s="70" t="s">
        <v>1808</v>
      </c>
      <c r="CG156" s="70" t="s">
        <v>1851</v>
      </c>
      <c r="CH156" s="48"/>
      <c r="CI156" s="58"/>
      <c r="CJ156" s="58"/>
      <c r="CK156" s="58"/>
      <c r="CL156" s="48"/>
      <c r="CM156" s="58"/>
      <c r="CN156" s="58"/>
      <c r="CO156" s="8"/>
      <c r="CP156" s="58"/>
      <c r="CQ156" s="48"/>
      <c r="CR156" s="48"/>
      <c r="CS156" s="48"/>
      <c r="CT156" s="48"/>
      <c r="CU156" s="48"/>
      <c r="CV156" s="48"/>
      <c r="CX156" s="48"/>
      <c r="CY156" s="48"/>
      <c r="CZ156" s="48"/>
      <c r="DA156" s="48"/>
      <c r="DB156" s="48"/>
      <c r="DC156" s="48"/>
      <c r="DD156" s="48"/>
      <c r="DE156" s="48"/>
      <c r="DF156" s="48"/>
      <c r="DG156" s="151"/>
      <c r="DH156" s="48"/>
      <c r="DI156" s="48"/>
      <c r="DJ156" s="48"/>
      <c r="DK156" s="48"/>
      <c r="DL156" s="48"/>
      <c r="DM156" s="48"/>
      <c r="DN156" s="48"/>
      <c r="DO156" s="48"/>
      <c r="DP156" s="48"/>
      <c r="DQ156" s="48"/>
      <c r="DR156" s="98"/>
      <c r="DS156" s="48"/>
      <c r="DT156" s="48"/>
      <c r="DV156" s="8"/>
      <c r="DW156" s="58"/>
      <c r="DX156" s="58"/>
      <c r="DY156" s="48"/>
      <c r="DZ156" s="48"/>
    </row>
    <row r="157" spans="1:130" ht="22.5" customHeight="1" x14ac:dyDescent="0.15">
      <c r="A157" s="78" t="s">
        <v>120</v>
      </c>
      <c r="B157" s="53" t="str">
        <f>B1</f>
        <v>Allianz Optimal
(Stand 03-2010)</v>
      </c>
      <c r="C157" s="53" t="str">
        <f>C1</f>
        <v>Allianz inkl. SicherheitPlus
(Stand 2012-10)</v>
      </c>
      <c r="D157" s="53" t="str">
        <f>D1</f>
        <v>Allianz inkl. SicherheitPlus
(Stand 2014-05)</v>
      </c>
      <c r="E157" s="53" t="str">
        <f>E1</f>
        <v>Alte Leipziger comfort
(Stand 2015-07)</v>
      </c>
      <c r="F157" s="53" t="str">
        <f t="shared" ref="F157:BE157" si="43">F1</f>
        <v>Alte Leipziger XXL
(Stand 07-2011)</v>
      </c>
      <c r="G157" s="53" t="str">
        <f t="shared" si="43"/>
        <v>Alte Leipziger XXL
(Stand 01-2013)</v>
      </c>
      <c r="H157" s="53" t="str">
        <f t="shared" si="43"/>
        <v>ARAG Basis (Wohnfläche)
(03-2013)</v>
      </c>
      <c r="I157" s="53" t="str">
        <f t="shared" si="43"/>
        <v>ARAG Comfort (Wohnfläche)
(03-2013)</v>
      </c>
      <c r="J157" s="53" t="str">
        <f t="shared" si="43"/>
        <v>ARAG Basis (Wohnfläche)
(Stand 07-2010)</v>
      </c>
      <c r="K157" s="53" t="str">
        <f t="shared" si="43"/>
        <v xml:space="preserve">ARAG Comfort (Wohnfl.) (Stand 07-2010) </v>
      </c>
      <c r="L157" s="53" t="str">
        <f>L1</f>
        <v>ARAG Basis (Wohnfläche)</v>
      </c>
      <c r="M157" s="53" t="str">
        <f>M1</f>
        <v>ARAG Comfort (Wohnfläche)</v>
      </c>
      <c r="N157" s="53" t="str">
        <f t="shared" si="43"/>
        <v>AXA
(ohne Feuerdeckung)</v>
      </c>
      <c r="O157" s="53" t="str">
        <f t="shared" si="43"/>
        <v>AXA</v>
      </c>
      <c r="P157" s="53" t="str">
        <f t="shared" si="43"/>
        <v>AXA BOXplus Extra</v>
      </c>
      <c r="Q157" s="53" t="str">
        <f t="shared" si="43"/>
        <v>AXA BOXplus Standard</v>
      </c>
      <c r="R157" s="53"/>
      <c r="S157" s="53" t="s">
        <v>3310</v>
      </c>
      <c r="T157" s="53" t="s">
        <v>3311</v>
      </c>
      <c r="U157" s="53" t="str">
        <f>U1</f>
        <v>Baden Badener TOP (WF)</v>
      </c>
      <c r="V157" s="53" t="str">
        <f t="shared" si="43"/>
        <v>Basler Top
(Stand 01-2012)</v>
      </c>
      <c r="W157" s="53" t="str">
        <f t="shared" ref="W157:AD157" si="44">W1</f>
        <v>Basler Ambiente Top
(Stand 07-2012)</v>
      </c>
      <c r="X157" s="53" t="str">
        <f>X1</f>
        <v>Basler Ambiente Top</v>
      </c>
      <c r="Y157" s="53" t="str">
        <f t="shared" si="44"/>
        <v>Concordia Basis
(Stand 09-2006)</v>
      </c>
      <c r="Z157" s="53"/>
      <c r="AA157" s="53" t="str">
        <f t="shared" si="44"/>
        <v>DBV+Partner
(Stand 02-1977)</v>
      </c>
      <c r="AB157" s="53" t="str">
        <f t="shared" si="44"/>
        <v>Debeka Basis
(Stand 04-2012)</v>
      </c>
      <c r="AC157" s="53" t="str">
        <f t="shared" si="44"/>
        <v>Debeka Standard
(Stand 04-2012)</v>
      </c>
      <c r="AD157" s="53" t="str">
        <f t="shared" si="44"/>
        <v>Debeka Top
(Stand 04-2012)</v>
      </c>
      <c r="AE157" s="53" t="str">
        <f t="shared" ref="AE157:AN157" si="45">AE1</f>
        <v>Debeka Basis</v>
      </c>
      <c r="AF157" s="53" t="str">
        <f t="shared" si="45"/>
        <v>Debeka Standard</v>
      </c>
      <c r="AG157" s="53" t="str">
        <f t="shared" si="45"/>
        <v>Debeka Top</v>
      </c>
      <c r="AH157" s="53" t="str">
        <f t="shared" si="45"/>
        <v>die Bayerische
Komfort-Schutz
(Stand 06-2011)</v>
      </c>
      <c r="AI157" s="53" t="str">
        <f t="shared" si="45"/>
        <v>die Bayerische
Standard-Plus
(Stand 06-2011)</v>
      </c>
      <c r="AJ157" s="53" t="str">
        <f t="shared" si="45"/>
        <v>die Bayerische
Standard-Schutz
(Stand 01-2008)</v>
      </c>
      <c r="AK157" s="53" t="str">
        <f t="shared" si="45"/>
        <v>die Bayerische Komfort</v>
      </c>
      <c r="AL157" s="53" t="str">
        <f t="shared" si="45"/>
        <v>die Bayerische Prestige</v>
      </c>
      <c r="AM157" s="53" t="str">
        <f t="shared" si="45"/>
        <v>die Bayerische Smart</v>
      </c>
      <c r="AN157" s="53" t="str">
        <f t="shared" si="45"/>
        <v>Domcura Komfort</v>
      </c>
      <c r="AO157" s="129" t="s">
        <v>3312</v>
      </c>
      <c r="AP157" s="53" t="str">
        <f>AP1</f>
        <v>Domcura Top</v>
      </c>
      <c r="AQ157" s="53" t="str">
        <f>AQ1</f>
        <v>ERGO</v>
      </c>
      <c r="AR157" s="53" t="str">
        <f t="shared" ref="AR157" si="46">AR1</f>
        <v>ERGO spezial</v>
      </c>
      <c r="AS157" s="53" t="str">
        <f>AS1</f>
        <v>ERGO</v>
      </c>
      <c r="AT157" s="53" t="str">
        <f>AT1</f>
        <v>ERGO spezial</v>
      </c>
      <c r="AU157" s="53" t="str">
        <f t="shared" si="43"/>
        <v>Generali KomfortPlus (qm)
(Stand 01-2010)</v>
      </c>
      <c r="AV157" s="53" t="str">
        <f t="shared" si="43"/>
        <v>Generali Basis (qm)
(Stand 10-2012)</v>
      </c>
      <c r="AW157" s="53" t="str">
        <f t="shared" si="43"/>
        <v>Generali KomfortPlus (qm)
(Stand 10-2012)</v>
      </c>
      <c r="AX157" s="53" t="str">
        <f>AX1</f>
        <v>Generali Basis (qm)</v>
      </c>
      <c r="AY157" s="53" t="str">
        <f>AY1</f>
        <v>Generali KomfortPlus (qm)</v>
      </c>
      <c r="AZ157" s="53" t="str">
        <f>AZ1</f>
        <v>Gothaer (qm)</v>
      </c>
      <c r="BA157" s="53" t="str">
        <f>BA1</f>
        <v>Gothaer Top (qm)</v>
      </c>
      <c r="BB157" s="53" t="str">
        <f>BB1</f>
        <v>Gothaer Top Plus (qm)</v>
      </c>
      <c r="BC157" s="53" t="str">
        <f t="shared" si="43"/>
        <v>Gothaer (qm)
(Stand 01-2009)</v>
      </c>
      <c r="BD157" s="53" t="str">
        <f t="shared" si="43"/>
        <v>Gothaer Top (qm)
(Stand 01-2009)</v>
      </c>
      <c r="BE157" s="53" t="str">
        <f t="shared" si="43"/>
        <v>Gothaer Top Plus (qm)
(Stand 01-2009)</v>
      </c>
      <c r="BF157" s="61" t="str">
        <f t="shared" ref="BF157:DN157" si="47">BF1</f>
        <v>Grundeigentümer Schutz 60
(Stand 04-2011)</v>
      </c>
      <c r="BG157" s="61" t="str">
        <f t="shared" si="47"/>
        <v>Grundeigentümer Schutz 60 Plus (Stand 04-2011)</v>
      </c>
      <c r="BH157" s="61" t="str">
        <f t="shared" si="47"/>
        <v>Grundeigentümer Schutz 60 Plus (Stand 10-2010)</v>
      </c>
      <c r="BI157" s="53" t="str">
        <f t="shared" si="47"/>
        <v>HDI Privatschutz
(Stand 01-2011)</v>
      </c>
      <c r="BJ157" s="53" t="str">
        <f t="shared" ref="BJ157:BT157" si="48">BJ1</f>
        <v>HDI Privatschutz (Wert 1914)
(Stand 07-2011)</v>
      </c>
      <c r="BK157" s="53" t="str">
        <f t="shared" si="48"/>
        <v>HDI Privatschutz (Wohnfläche)</v>
      </c>
      <c r="BL157" s="53" t="str">
        <f t="shared" si="48"/>
        <v>Helvetia Komfort</v>
      </c>
      <c r="BM157" s="53" t="str">
        <f t="shared" si="48"/>
        <v>HFK Hausverwalter
(Stand 01-2009)</v>
      </c>
      <c r="BN157" s="53" t="str">
        <f t="shared" si="48"/>
        <v>HFK mit Zusatzdeckung
(Stand 01-2009)</v>
      </c>
      <c r="BO157" s="53" t="str">
        <f t="shared" si="48"/>
        <v>HFK ohne Zusatzdeckung
(Stand 01-2009)</v>
      </c>
      <c r="BP157" s="53" t="str">
        <f t="shared" si="48"/>
        <v>HFK afm mit Zusatzdeckung</v>
      </c>
      <c r="BQ157" s="53" t="str">
        <f t="shared" si="48"/>
        <v>HFK afm ohne Zusatzdeckung</v>
      </c>
      <c r="BR157" s="53" t="str">
        <f t="shared" si="48"/>
        <v>Hiscox Haus &amp; Kunst</v>
      </c>
      <c r="BS157" s="53" t="str">
        <f t="shared" si="48"/>
        <v>HUK Classic</v>
      </c>
      <c r="BT157" s="53" t="str">
        <f t="shared" si="48"/>
        <v>HUK Plus</v>
      </c>
      <c r="BU157" s="53" t="str">
        <f t="shared" si="47"/>
        <v>HUK Classic
(Stand 03-2010)</v>
      </c>
      <c r="BV157" s="53" t="str">
        <f t="shared" si="47"/>
        <v>HUK Plus
(Stand 03-2010)</v>
      </c>
      <c r="BW157" s="53" t="str">
        <f t="shared" si="47"/>
        <v>Inter Exklusiv
(Stand 10-2010)</v>
      </c>
      <c r="BX157" s="53" t="str">
        <f t="shared" si="47"/>
        <v>Inter Premium
(Stand 10-2010)</v>
      </c>
      <c r="BY157" s="53" t="str">
        <f t="shared" si="47"/>
        <v>Interrisk XXL
(Stand 03-2011)</v>
      </c>
      <c r="BZ157" s="53" t="str">
        <f t="shared" si="47"/>
        <v>Interrisk XXL
(Stand 10-2012)</v>
      </c>
      <c r="CA157" s="53" t="str">
        <f>CA1</f>
        <v>InterRisk XL</v>
      </c>
      <c r="CB157" s="53" t="str">
        <f>CB1</f>
        <v>InterRisk XXL</v>
      </c>
      <c r="CC157" s="53" t="str">
        <f>CC1</f>
        <v>ITL afm Protect 2000</v>
      </c>
      <c r="CD157" s="53" t="str">
        <f t="shared" si="47"/>
        <v>ITL afm Protect 2009
(Stand 01-2008)</v>
      </c>
      <c r="CE157" s="69" t="s">
        <v>1768</v>
      </c>
      <c r="CF157" s="69" t="s">
        <v>1853</v>
      </c>
      <c r="CG157" s="69" t="s">
        <v>1852</v>
      </c>
      <c r="CH157" s="53" t="str">
        <f>CH1</f>
        <v>ITL afm Eurosecure 2009</v>
      </c>
      <c r="CI157" s="45" t="s">
        <v>3552</v>
      </c>
      <c r="CJ157" s="45" t="s">
        <v>3550</v>
      </c>
      <c r="CK157" s="45" t="s">
        <v>3549</v>
      </c>
      <c r="CL157" s="45" t="s">
        <v>3551</v>
      </c>
      <c r="CM157" s="53" t="str">
        <f>CM1</f>
        <v>Itzehoer Basis</v>
      </c>
      <c r="CN157" s="53" t="str">
        <f>CN1</f>
        <v>Itzehoer Plus</v>
      </c>
      <c r="CO157" s="11" t="str">
        <f t="shared" si="47"/>
        <v>Marsh Wohngebäude 2011
(Stand 01-2011)</v>
      </c>
      <c r="CP157" s="53"/>
      <c r="CQ157" s="53"/>
      <c r="CR157" s="53"/>
      <c r="CS157" s="53" t="str">
        <f>CS1</f>
        <v>nat. suisse AllRisk</v>
      </c>
      <c r="CT157" s="53" t="str">
        <f>CT1</f>
        <v>nat. suisse Komfort</v>
      </c>
      <c r="CU157" s="53" t="str">
        <f>CU1</f>
        <v>nat. suisse Premium</v>
      </c>
      <c r="CV157" s="53" t="str">
        <f t="shared" si="47"/>
        <v>nat. suisse Ideal-Schutz
(Stand 01-2008)</v>
      </c>
      <c r="CW157" s="61" t="str">
        <f t="shared" si="47"/>
        <v>Neuendorfer
(Stand 01-2008)</v>
      </c>
      <c r="CX157" s="53" t="str">
        <f>CX1</f>
        <v>Nürnberger KomplettSchutz (Wert 1914)</v>
      </c>
      <c r="CY157" s="53" t="str">
        <f t="shared" si="47"/>
        <v>Provinzial Basis
(Stand 01-2009)</v>
      </c>
      <c r="CZ157" s="53" t="str">
        <f t="shared" si="47"/>
        <v>Provinzial Top
(Stand 01-2009)</v>
      </c>
      <c r="DA157" s="53" t="str">
        <f t="shared" si="47"/>
        <v>Provinzial Rheinland
V.I.P.-Intelligent</v>
      </c>
      <c r="DB157" s="53" t="str">
        <f>DB1</f>
        <v>Provinzial Kompaktschutz</v>
      </c>
      <c r="DC157" s="53" t="str">
        <f>DC1</f>
        <v>Provinzial Rundum inkl. Plus</v>
      </c>
      <c r="DD157" s="53" t="str">
        <f>DD1</f>
        <v>Provinzial Rundumschutz</v>
      </c>
      <c r="DE157" s="53" t="str">
        <f t="shared" si="47"/>
        <v>Rhion Plus
(Stand 04-2011)</v>
      </c>
      <c r="DF157" s="53" t="str">
        <f t="shared" si="47"/>
        <v>Rhion Standard
(Stand 04-2011)</v>
      </c>
      <c r="DG157" s="145" t="s">
        <v>3341</v>
      </c>
      <c r="DH157" s="53" t="str">
        <f t="shared" si="47"/>
        <v>R+V PrivatPolice (Fläche)
(Stand 01-2011)</v>
      </c>
      <c r="DI157" s="53" t="str">
        <f t="shared" si="47"/>
        <v>R+V PrivatPolice (Fläche)
(Stand 07-2012)</v>
      </c>
      <c r="DJ157" s="53" t="str">
        <f>DJ1</f>
        <v>R+V PrivatPolice (Fläche)</v>
      </c>
      <c r="DK157" s="53" t="str">
        <f>DK1</f>
        <v>VdVA</v>
      </c>
      <c r="DL157" s="53"/>
      <c r="DM157" s="53" t="str">
        <f t="shared" si="47"/>
        <v>VHV Exklusiv
(Stand 09-2008)</v>
      </c>
      <c r="DN157" s="53" t="str">
        <f t="shared" si="47"/>
        <v>VHV Klassik
(Stand 09-2008)</v>
      </c>
      <c r="DO157" s="53" t="str">
        <f>DO1</f>
        <v>VHV Klassik Garant</v>
      </c>
      <c r="DP157" s="53" t="str">
        <f>DP1</f>
        <v>VHV Klassik Garant Exklusiv</v>
      </c>
      <c r="DQ157" s="61" t="str">
        <f t="shared" ref="DQ157:DX157" si="49">DQ1</f>
        <v>VKB Standard (Für Fr. La Tona) (VGB 88)</v>
      </c>
      <c r="DR157" s="53" t="str">
        <f t="shared" si="49"/>
        <v>VKB (Für Fr. La Tona) (Feuerdeckung inkl. Plus-Paket)</v>
      </c>
      <c r="DS157" s="61" t="str">
        <f t="shared" si="49"/>
        <v>VKB VGB 2000 Plus 2
(Stand 01-2008)</v>
      </c>
      <c r="DT157" s="61" t="str">
        <f>DT1</f>
        <v>VKB Kompakt</v>
      </c>
      <c r="DU157" s="61" t="str">
        <f>DU1</f>
        <v>VKB Optimal</v>
      </c>
      <c r="DV157" s="53" t="str">
        <f t="shared" si="49"/>
        <v>Volksfürsorge Komfort (qm)
Stand (01-2007)</v>
      </c>
      <c r="DW157" s="53" t="str">
        <f t="shared" si="49"/>
        <v>Württembergische KompaktSchutz (11-2010)</v>
      </c>
      <c r="DX157" s="53" t="str">
        <f t="shared" si="49"/>
        <v>Württembergische PremiumSchutz (11-2010)</v>
      </c>
      <c r="DY157" s="53" t="str">
        <f>DY1</f>
        <v>WÜBA Plus</v>
      </c>
      <c r="DZ157" s="53"/>
    </row>
    <row r="158" spans="1:130" s="18" customFormat="1" ht="22.5" customHeight="1" x14ac:dyDescent="0.15">
      <c r="A158" s="77"/>
      <c r="B158" s="47" t="s">
        <v>207</v>
      </c>
      <c r="C158" s="47" t="s">
        <v>2954</v>
      </c>
      <c r="D158" s="47" t="s">
        <v>3395</v>
      </c>
      <c r="E158" s="47" t="s">
        <v>3515</v>
      </c>
      <c r="F158" s="47" t="s">
        <v>1220</v>
      </c>
      <c r="G158" s="47" t="s">
        <v>1585</v>
      </c>
      <c r="H158" s="47" t="s">
        <v>2378</v>
      </c>
      <c r="I158" s="47" t="s">
        <v>2379</v>
      </c>
      <c r="J158" s="47" t="s">
        <v>1416</v>
      </c>
      <c r="K158" s="47" t="s">
        <v>1417</v>
      </c>
      <c r="L158" s="47" t="s">
        <v>3516</v>
      </c>
      <c r="M158" s="47" t="s">
        <v>3517</v>
      </c>
      <c r="N158" s="47" t="s">
        <v>1373</v>
      </c>
      <c r="O158" s="47" t="s">
        <v>122</v>
      </c>
      <c r="P158" s="47" t="s">
        <v>171</v>
      </c>
      <c r="Q158" s="47" t="s">
        <v>171</v>
      </c>
      <c r="R158" s="47" t="s">
        <v>122</v>
      </c>
      <c r="S158" s="117" t="s">
        <v>3303</v>
      </c>
      <c r="T158" s="117" t="s">
        <v>3303</v>
      </c>
      <c r="U158" s="47" t="s">
        <v>3338</v>
      </c>
      <c r="V158" s="47" t="s">
        <v>806</v>
      </c>
      <c r="W158" s="47" t="s">
        <v>1277</v>
      </c>
      <c r="X158" s="47" t="s">
        <v>3520</v>
      </c>
      <c r="Y158" s="47" t="s">
        <v>2279</v>
      </c>
      <c r="Z158" s="47" t="s">
        <v>2600</v>
      </c>
      <c r="AA158" s="47" t="s">
        <v>2206</v>
      </c>
      <c r="AB158" s="47" t="s">
        <v>657</v>
      </c>
      <c r="AC158" s="47" t="s">
        <v>657</v>
      </c>
      <c r="AD158" s="47" t="s">
        <v>657</v>
      </c>
      <c r="AE158" s="47" t="s">
        <v>3391</v>
      </c>
      <c r="AF158" s="47" t="s">
        <v>3391</v>
      </c>
      <c r="AG158" s="47" t="s">
        <v>3391</v>
      </c>
      <c r="AH158" s="47" t="s">
        <v>2913</v>
      </c>
      <c r="AI158" s="47" t="s">
        <v>2912</v>
      </c>
      <c r="AJ158" s="47" t="s">
        <v>2911</v>
      </c>
      <c r="AK158" s="47" t="s">
        <v>3522</v>
      </c>
      <c r="AL158" s="47" t="s">
        <v>3522</v>
      </c>
      <c r="AM158" s="47" t="s">
        <v>3522</v>
      </c>
      <c r="AN158" s="20" t="s">
        <v>188</v>
      </c>
      <c r="AO158" s="134" t="s">
        <v>3392</v>
      </c>
      <c r="AP158" s="20" t="s">
        <v>188</v>
      </c>
      <c r="AQ158" s="20" t="s">
        <v>3436</v>
      </c>
      <c r="AR158" s="20" t="s">
        <v>3512</v>
      </c>
      <c r="AS158" s="20" t="s">
        <v>3512</v>
      </c>
      <c r="AT158" s="20" t="s">
        <v>3512</v>
      </c>
      <c r="AU158" s="20" t="s">
        <v>199</v>
      </c>
      <c r="AV158" s="20" t="s">
        <v>1221</v>
      </c>
      <c r="AW158" s="20" t="s">
        <v>1221</v>
      </c>
      <c r="AX158" s="20" t="s">
        <v>3340</v>
      </c>
      <c r="AY158" s="20" t="s">
        <v>3340</v>
      </c>
      <c r="AZ158" s="20" t="s">
        <v>3099</v>
      </c>
      <c r="BA158" s="20" t="s">
        <v>3099</v>
      </c>
      <c r="BB158" s="20" t="s">
        <v>3099</v>
      </c>
      <c r="BC158" s="20" t="s">
        <v>2224</v>
      </c>
      <c r="BD158" s="20" t="s">
        <v>2224</v>
      </c>
      <c r="BE158" s="20" t="s">
        <v>2224</v>
      </c>
      <c r="BF158" s="47" t="s">
        <v>1078</v>
      </c>
      <c r="BG158" s="47" t="s">
        <v>1079</v>
      </c>
      <c r="BH158" s="47" t="s">
        <v>1077</v>
      </c>
      <c r="BI158" s="47" t="s">
        <v>392</v>
      </c>
      <c r="BJ158" s="47" t="s">
        <v>1891</v>
      </c>
      <c r="BK158" s="47" t="s">
        <v>3437</v>
      </c>
      <c r="BL158" s="47" t="s">
        <v>2359</v>
      </c>
      <c r="BM158" s="47" t="s">
        <v>121</v>
      </c>
      <c r="BN158" s="47" t="s">
        <v>121</v>
      </c>
      <c r="BO158" s="47" t="s">
        <v>121</v>
      </c>
      <c r="BP158" s="47" t="s">
        <v>3324</v>
      </c>
      <c r="BQ158" s="47" t="s">
        <v>3324</v>
      </c>
      <c r="BR158" s="47" t="s">
        <v>816</v>
      </c>
      <c r="BS158" s="47" t="s">
        <v>3438</v>
      </c>
      <c r="BT158" s="47" t="s">
        <v>3438</v>
      </c>
      <c r="BU158" s="47" t="s">
        <v>212</v>
      </c>
      <c r="BV158" s="47" t="s">
        <v>212</v>
      </c>
      <c r="BW158" s="47" t="s">
        <v>2011</v>
      </c>
      <c r="BX158" s="47" t="s">
        <v>2012</v>
      </c>
      <c r="BY158" s="47" t="s">
        <v>1647</v>
      </c>
      <c r="BZ158" s="47" t="s">
        <v>1649</v>
      </c>
      <c r="CA158" s="47" t="s">
        <v>3153</v>
      </c>
      <c r="CB158" s="47" t="s">
        <v>3154</v>
      </c>
      <c r="CC158" s="47" t="s">
        <v>151</v>
      </c>
      <c r="CD158" s="47" t="s">
        <v>123</v>
      </c>
      <c r="CE158" s="48"/>
      <c r="CF158" s="58"/>
      <c r="CG158" s="58"/>
      <c r="CH158" s="47" t="s">
        <v>175</v>
      </c>
      <c r="CI158" s="47" t="s">
        <v>3627</v>
      </c>
      <c r="CJ158" s="47" t="s">
        <v>3554</v>
      </c>
      <c r="CK158" s="47" t="s">
        <v>3626</v>
      </c>
      <c r="CL158" s="47" t="s">
        <v>3553</v>
      </c>
      <c r="CM158" s="47" t="s">
        <v>3451</v>
      </c>
      <c r="CN158" s="47" t="s">
        <v>3451</v>
      </c>
      <c r="CO158" s="47" t="s">
        <v>940</v>
      </c>
      <c r="CP158" s="20" t="s">
        <v>3155</v>
      </c>
      <c r="CQ158" s="20" t="s">
        <v>3157</v>
      </c>
      <c r="CR158" s="20" t="s">
        <v>3156</v>
      </c>
      <c r="CS158" s="46" t="s">
        <v>2492</v>
      </c>
      <c r="CT158" s="47" t="s">
        <v>835</v>
      </c>
      <c r="CU158" s="47" t="s">
        <v>834</v>
      </c>
      <c r="CV158" s="47" t="s">
        <v>246</v>
      </c>
      <c r="CW158" s="47" t="s">
        <v>236</v>
      </c>
      <c r="CX158" s="47" t="s">
        <v>246</v>
      </c>
      <c r="CY158" s="47" t="s">
        <v>121</v>
      </c>
      <c r="CZ158" s="47" t="s">
        <v>121</v>
      </c>
      <c r="DA158" s="47" t="s">
        <v>2127</v>
      </c>
      <c r="DB158" s="47" t="s">
        <v>3539</v>
      </c>
      <c r="DC158" s="47" t="s">
        <v>3540</v>
      </c>
      <c r="DD158" s="47" t="s">
        <v>3541</v>
      </c>
      <c r="DE158" s="47" t="s">
        <v>282</v>
      </c>
      <c r="DF158" s="47" t="s">
        <v>282</v>
      </c>
      <c r="DG158" s="147" t="s">
        <v>3389</v>
      </c>
      <c r="DH158" s="47" t="s">
        <v>999</v>
      </c>
      <c r="DI158" s="47" t="s">
        <v>1001</v>
      </c>
      <c r="DJ158" s="47" t="s">
        <v>3543</v>
      </c>
      <c r="DK158" s="47" t="s">
        <v>3440</v>
      </c>
      <c r="DL158" s="47" t="s">
        <v>3303</v>
      </c>
      <c r="DM158" s="47" t="s">
        <v>124</v>
      </c>
      <c r="DN158" s="47" t="s">
        <v>124</v>
      </c>
      <c r="DO158" s="47" t="s">
        <v>3544</v>
      </c>
      <c r="DP158" s="47" t="s">
        <v>3544</v>
      </c>
      <c r="DQ158" s="47" t="s">
        <v>2916</v>
      </c>
      <c r="DR158" s="47" t="s">
        <v>1405</v>
      </c>
      <c r="DS158" s="47" t="s">
        <v>2665</v>
      </c>
      <c r="DT158" s="47" t="s">
        <v>2491</v>
      </c>
      <c r="DU158" s="47" t="s">
        <v>2491</v>
      </c>
      <c r="DV158" s="20" t="s">
        <v>1565</v>
      </c>
      <c r="DW158" s="47" t="s">
        <v>422</v>
      </c>
      <c r="DX158" s="47" t="s">
        <v>422</v>
      </c>
      <c r="DY158" s="47" t="s">
        <v>246</v>
      </c>
      <c r="DZ158" s="20"/>
    </row>
    <row r="159" spans="1:130" ht="10.5" x14ac:dyDescent="0.15">
      <c r="D159" s="14" t="s">
        <v>3394</v>
      </c>
      <c r="H159" s="14" t="s">
        <v>2377</v>
      </c>
      <c r="I159" s="14" t="s">
        <v>2377</v>
      </c>
      <c r="L159" s="14" t="s">
        <v>2377</v>
      </c>
      <c r="M159" s="14" t="s">
        <v>2377</v>
      </c>
      <c r="N159" s="4"/>
      <c r="R159" s="4"/>
      <c r="U159" s="14" t="s">
        <v>3337</v>
      </c>
      <c r="X159" s="14" t="s">
        <v>3336</v>
      </c>
      <c r="AB159" s="31"/>
      <c r="AC159" s="31"/>
      <c r="AD159" s="31"/>
      <c r="AE159" s="27"/>
      <c r="AF159" s="27"/>
      <c r="AG159" s="27"/>
      <c r="AO159" s="132"/>
      <c r="AX159" s="14" t="s">
        <v>3339</v>
      </c>
      <c r="AY159" s="14" t="s">
        <v>3339</v>
      </c>
      <c r="BS159" s="14" t="s">
        <v>2962</v>
      </c>
      <c r="BT159" s="14" t="s">
        <v>2962</v>
      </c>
      <c r="BW159" s="85"/>
      <c r="BX159" s="85"/>
      <c r="CA159" s="14" t="s">
        <v>2958</v>
      </c>
      <c r="CB159" s="14" t="s">
        <v>2958</v>
      </c>
      <c r="CE159" s="53" t="str">
        <f>CE1</f>
        <v>ITL afm Protect 2010</v>
      </c>
      <c r="CF159" s="53" t="str">
        <f>CF1</f>
        <v>ITL Eurosecure 2010</v>
      </c>
      <c r="CG159" s="53" t="str">
        <f>CG1</f>
        <v>ITL Existenz 2010</v>
      </c>
      <c r="CM159" s="14" t="s">
        <v>2374</v>
      </c>
      <c r="CN159" s="14" t="s">
        <v>2374</v>
      </c>
      <c r="CO159" s="4"/>
      <c r="DB159" s="14" t="s">
        <v>2963</v>
      </c>
      <c r="DC159" s="14" t="s">
        <v>2963</v>
      </c>
      <c r="DD159" s="14" t="s">
        <v>2963</v>
      </c>
      <c r="DG159" s="136"/>
      <c r="DM159" s="85"/>
      <c r="DN159" s="31"/>
      <c r="DO159" s="14" t="s">
        <v>2967</v>
      </c>
      <c r="DP159" s="14" t="s">
        <v>2967</v>
      </c>
      <c r="DQ159" s="27"/>
      <c r="DR159" s="4"/>
      <c r="DS159" s="27"/>
      <c r="DT159" s="27" t="s">
        <v>3547</v>
      </c>
      <c r="DU159" s="27" t="s">
        <v>2490</v>
      </c>
      <c r="DV159" s="4"/>
      <c r="DY159" s="27"/>
    </row>
    <row r="160" spans="1:130" ht="18" x14ac:dyDescent="0.15">
      <c r="A160" s="77" t="s">
        <v>1219</v>
      </c>
      <c r="B160" s="73" t="s">
        <v>826</v>
      </c>
      <c r="C160" s="47" t="s">
        <v>2953</v>
      </c>
      <c r="D160" s="73" t="s">
        <v>3514</v>
      </c>
      <c r="E160" s="73" t="s">
        <v>3514</v>
      </c>
      <c r="F160" s="73" t="s">
        <v>826</v>
      </c>
      <c r="G160" s="73" t="s">
        <v>2953</v>
      </c>
      <c r="H160" s="47" t="s">
        <v>2953</v>
      </c>
      <c r="I160" s="47" t="s">
        <v>2953</v>
      </c>
      <c r="J160" s="73" t="s">
        <v>826</v>
      </c>
      <c r="K160" s="73" t="s">
        <v>826</v>
      </c>
      <c r="L160" s="73" t="s">
        <v>3518</v>
      </c>
      <c r="M160" s="73" t="s">
        <v>3518</v>
      </c>
      <c r="N160" s="73" t="s">
        <v>826</v>
      </c>
      <c r="O160" s="73" t="s">
        <v>2953</v>
      </c>
      <c r="P160" s="73" t="s">
        <v>2953</v>
      </c>
      <c r="Q160" s="73" t="s">
        <v>2953</v>
      </c>
      <c r="R160" s="73" t="s">
        <v>826</v>
      </c>
      <c r="S160" s="73" t="s">
        <v>3519</v>
      </c>
      <c r="T160" s="73" t="s">
        <v>3519</v>
      </c>
      <c r="U160" s="73" t="s">
        <v>3519</v>
      </c>
      <c r="V160" s="73" t="s">
        <v>826</v>
      </c>
      <c r="W160" s="73" t="s">
        <v>826</v>
      </c>
      <c r="X160" s="73" t="s">
        <v>3519</v>
      </c>
      <c r="Y160" s="73" t="s">
        <v>826</v>
      </c>
      <c r="Z160" s="73" t="s">
        <v>826</v>
      </c>
      <c r="AA160" s="73" t="s">
        <v>826</v>
      </c>
      <c r="AB160" s="73" t="s">
        <v>826</v>
      </c>
      <c r="AC160" s="73" t="s">
        <v>826</v>
      </c>
      <c r="AD160" s="73" t="s">
        <v>826</v>
      </c>
      <c r="AE160" s="73" t="s">
        <v>3519</v>
      </c>
      <c r="AF160" s="73" t="s">
        <v>3519</v>
      </c>
      <c r="AG160" s="73" t="s">
        <v>3519</v>
      </c>
      <c r="AH160" s="73" t="s">
        <v>826</v>
      </c>
      <c r="AI160" s="73" t="s">
        <v>826</v>
      </c>
      <c r="AJ160" s="73" t="s">
        <v>826</v>
      </c>
      <c r="AK160" s="73" t="s">
        <v>3519</v>
      </c>
      <c r="AL160" s="73" t="s">
        <v>3519</v>
      </c>
      <c r="AM160" s="73" t="s">
        <v>3519</v>
      </c>
      <c r="AN160" s="73" t="s">
        <v>3519</v>
      </c>
      <c r="AO160" s="73" t="s">
        <v>3519</v>
      </c>
      <c r="AP160" s="73" t="s">
        <v>3519</v>
      </c>
      <c r="AQ160" s="73" t="s">
        <v>3435</v>
      </c>
      <c r="AR160" s="73" t="s">
        <v>826</v>
      </c>
      <c r="AS160" s="73" t="s">
        <v>826</v>
      </c>
      <c r="AT160" s="73" t="s">
        <v>3513</v>
      </c>
      <c r="AU160" s="73" t="s">
        <v>826</v>
      </c>
      <c r="AV160" s="73" t="s">
        <v>826</v>
      </c>
      <c r="AW160" s="73" t="s">
        <v>826</v>
      </c>
      <c r="AX160" s="73" t="s">
        <v>3519</v>
      </c>
      <c r="AY160" s="73" t="s">
        <v>3519</v>
      </c>
      <c r="AZ160" s="73" t="s">
        <v>3519</v>
      </c>
      <c r="BA160" s="73" t="s">
        <v>3519</v>
      </c>
      <c r="BB160" s="73" t="s">
        <v>3519</v>
      </c>
      <c r="BC160" s="73" t="s">
        <v>826</v>
      </c>
      <c r="BD160" s="73" t="s">
        <v>826</v>
      </c>
      <c r="BE160" s="73" t="s">
        <v>826</v>
      </c>
      <c r="BF160" s="73" t="s">
        <v>826</v>
      </c>
      <c r="BG160" s="73" t="s">
        <v>826</v>
      </c>
      <c r="BH160" s="73" t="s">
        <v>826</v>
      </c>
      <c r="BI160" s="73" t="s">
        <v>826</v>
      </c>
      <c r="BJ160" s="73" t="s">
        <v>826</v>
      </c>
      <c r="BK160" s="73" t="s">
        <v>3519</v>
      </c>
      <c r="BL160" s="73" t="s">
        <v>3519</v>
      </c>
      <c r="BP160" s="73" t="s">
        <v>3514</v>
      </c>
      <c r="BQ160" s="73" t="s">
        <v>3514</v>
      </c>
      <c r="BR160" s="73" t="s">
        <v>3538</v>
      </c>
      <c r="BS160" s="73" t="s">
        <v>3538</v>
      </c>
      <c r="BT160" s="73" t="s">
        <v>3538</v>
      </c>
      <c r="BW160" s="73" t="s">
        <v>826</v>
      </c>
      <c r="BX160" s="73" t="s">
        <v>826</v>
      </c>
      <c r="BY160" s="73" t="s">
        <v>826</v>
      </c>
      <c r="BZ160" s="73" t="s">
        <v>826</v>
      </c>
      <c r="CA160" s="73" t="s">
        <v>3538</v>
      </c>
      <c r="CB160" s="73" t="s">
        <v>3538</v>
      </c>
      <c r="CC160" s="73" t="s">
        <v>826</v>
      </c>
      <c r="CD160" s="73" t="s">
        <v>826</v>
      </c>
      <c r="CE160" s="47" t="s">
        <v>1719</v>
      </c>
      <c r="CF160" s="47" t="s">
        <v>1274</v>
      </c>
      <c r="CG160" s="47" t="s">
        <v>138</v>
      </c>
      <c r="CH160" s="73" t="s">
        <v>3390</v>
      </c>
      <c r="CI160" s="73" t="s">
        <v>3601</v>
      </c>
      <c r="CJ160" s="73" t="s">
        <v>3601</v>
      </c>
      <c r="CK160" s="73" t="s">
        <v>3601</v>
      </c>
      <c r="CL160" s="73" t="s">
        <v>3583</v>
      </c>
      <c r="CM160" s="73" t="s">
        <v>3538</v>
      </c>
      <c r="CN160" s="73" t="s">
        <v>3538</v>
      </c>
      <c r="CO160" s="73" t="s">
        <v>826</v>
      </c>
      <c r="CP160" s="73" t="s">
        <v>3538</v>
      </c>
      <c r="CQ160" s="73" t="s">
        <v>3538</v>
      </c>
      <c r="CR160" s="73" t="s">
        <v>3538</v>
      </c>
      <c r="CS160" s="73" t="s">
        <v>826</v>
      </c>
      <c r="CT160" s="73" t="s">
        <v>826</v>
      </c>
      <c r="CU160" s="73" t="s">
        <v>826</v>
      </c>
      <c r="CV160" s="73" t="s">
        <v>826</v>
      </c>
      <c r="CX160" s="73" t="s">
        <v>3538</v>
      </c>
      <c r="CY160" s="73" t="s">
        <v>826</v>
      </c>
      <c r="CZ160" s="73" t="s">
        <v>826</v>
      </c>
      <c r="DA160" s="73" t="s">
        <v>826</v>
      </c>
      <c r="DB160" s="73" t="s">
        <v>3538</v>
      </c>
      <c r="DC160" s="73" t="s">
        <v>3538</v>
      </c>
      <c r="DD160" s="73" t="s">
        <v>3538</v>
      </c>
      <c r="DG160" s="149"/>
      <c r="DH160" s="73" t="s">
        <v>826</v>
      </c>
      <c r="DI160" s="73" t="s">
        <v>826</v>
      </c>
      <c r="DJ160" s="73" t="s">
        <v>3542</v>
      </c>
      <c r="DK160" s="73" t="s">
        <v>3542</v>
      </c>
      <c r="DL160" s="73" t="s">
        <v>3542</v>
      </c>
      <c r="DO160" s="73" t="s">
        <v>3542</v>
      </c>
      <c r="DP160" s="73" t="s">
        <v>3542</v>
      </c>
      <c r="DQ160" s="73" t="s">
        <v>826</v>
      </c>
      <c r="DR160" s="73" t="s">
        <v>826</v>
      </c>
      <c r="DS160" s="73" t="s">
        <v>826</v>
      </c>
      <c r="DT160" s="73" t="s">
        <v>3546</v>
      </c>
      <c r="DU160" s="73" t="s">
        <v>3546</v>
      </c>
      <c r="DV160" s="73" t="s">
        <v>826</v>
      </c>
      <c r="DX160" s="73" t="s">
        <v>826</v>
      </c>
      <c r="DY160" s="73" t="s">
        <v>3548</v>
      </c>
      <c r="DZ160" s="73"/>
    </row>
    <row r="161" spans="14:129" x14ac:dyDescent="0.2">
      <c r="AX161" s="157"/>
      <c r="BU161" s="54"/>
      <c r="BV161" s="54"/>
      <c r="DG161" s="136"/>
      <c r="DM161" s="54"/>
      <c r="DN161" s="54"/>
      <c r="DO161" s="18"/>
      <c r="DP161" s="18"/>
      <c r="DQ161" s="54"/>
      <c r="DS161" s="54"/>
      <c r="DT161" s="54"/>
    </row>
    <row r="162" spans="14:129" ht="18" x14ac:dyDescent="0.2">
      <c r="N162" s="6"/>
      <c r="R162" s="6"/>
      <c r="Z162" s="54"/>
      <c r="AB162" s="54"/>
      <c r="AC162" s="54"/>
      <c r="AD162" s="54"/>
      <c r="AE162" s="54"/>
      <c r="AF162" s="54"/>
      <c r="AG162" s="54"/>
      <c r="AZ162" s="54"/>
      <c r="BC162" s="54"/>
      <c r="BI162" s="54"/>
      <c r="BJ162" s="54"/>
      <c r="BK162" s="54"/>
      <c r="BL162" s="54"/>
      <c r="BS162" s="54"/>
      <c r="BT162" s="54"/>
      <c r="BW162" s="54"/>
      <c r="BX162" s="54"/>
      <c r="BY162" s="54"/>
      <c r="BZ162" s="54"/>
      <c r="CA162" s="54"/>
      <c r="CB162" s="54"/>
      <c r="CC162" s="54"/>
      <c r="CD162" s="54"/>
      <c r="CE162" s="73" t="s">
        <v>3390</v>
      </c>
      <c r="CF162" s="73" t="s">
        <v>3390</v>
      </c>
      <c r="CG162" s="73" t="s">
        <v>3390</v>
      </c>
      <c r="CH162" s="54"/>
      <c r="CI162" s="54"/>
      <c r="CJ162" s="54"/>
      <c r="CK162" s="54"/>
      <c r="CL162" s="54"/>
      <c r="CM162" s="54"/>
      <c r="CN162" s="54"/>
      <c r="CO162" s="6"/>
      <c r="CP162" s="54"/>
      <c r="CQ162" s="54"/>
      <c r="CR162" s="54"/>
      <c r="CS162" s="54"/>
      <c r="CT162" s="54"/>
      <c r="CU162" s="54"/>
      <c r="CV162" s="54"/>
      <c r="CY162" s="54"/>
      <c r="CZ162" s="54"/>
      <c r="DA162" s="54"/>
      <c r="DB162" s="54"/>
      <c r="DC162" s="54"/>
      <c r="DD162" s="54"/>
      <c r="DG162" s="136"/>
      <c r="DH162" s="54"/>
      <c r="DI162" s="54"/>
      <c r="DJ162" s="54"/>
      <c r="DK162" s="54"/>
      <c r="DL162" s="54"/>
      <c r="DO162" s="158"/>
      <c r="DP162" s="158"/>
      <c r="DR162" s="6"/>
      <c r="DV162" s="6"/>
      <c r="DW162" s="54"/>
      <c r="DX162" s="54"/>
      <c r="DY162" s="54"/>
    </row>
    <row r="163" spans="14:129" x14ac:dyDescent="0.2">
      <c r="DG163" s="136"/>
      <c r="DO163" s="18"/>
      <c r="DP163" s="18"/>
    </row>
    <row r="164" spans="14:129" x14ac:dyDescent="0.2">
      <c r="CE164" s="54"/>
      <c r="CF164" s="54"/>
      <c r="CG164" s="54"/>
      <c r="DG164" s="136"/>
    </row>
    <row r="165" spans="14:129" x14ac:dyDescent="0.2">
      <c r="DG165" s="136"/>
    </row>
    <row r="166" spans="14:129" x14ac:dyDescent="0.2">
      <c r="DG166" s="136"/>
    </row>
    <row r="167" spans="14:129" x14ac:dyDescent="0.2">
      <c r="DG167" s="136"/>
    </row>
    <row r="168" spans="14:129" x14ac:dyDescent="0.2">
      <c r="DG168" s="136"/>
    </row>
    <row r="169" spans="14:129" x14ac:dyDescent="0.2">
      <c r="DG169" s="136"/>
    </row>
    <row r="170" spans="14:129" x14ac:dyDescent="0.2">
      <c r="DG170" s="136"/>
    </row>
    <row r="171" spans="14:129" x14ac:dyDescent="0.2">
      <c r="DG171" s="136"/>
    </row>
    <row r="172" spans="14:129" x14ac:dyDescent="0.2">
      <c r="DG172" s="136"/>
    </row>
    <row r="173" spans="14:129" x14ac:dyDescent="0.2">
      <c r="DG173" s="136"/>
    </row>
    <row r="174" spans="14:129" x14ac:dyDescent="0.2">
      <c r="DG174" s="136"/>
    </row>
    <row r="175" spans="14:129" x14ac:dyDescent="0.2">
      <c r="DG175" s="136"/>
    </row>
    <row r="176" spans="14:129" x14ac:dyDescent="0.2">
      <c r="DG176" s="136"/>
    </row>
    <row r="177" spans="111:111" x14ac:dyDescent="0.2">
      <c r="DG177" s="136"/>
    </row>
    <row r="178" spans="111:111" x14ac:dyDescent="0.2">
      <c r="DG178" s="136"/>
    </row>
    <row r="179" spans="111:111" x14ac:dyDescent="0.2">
      <c r="DG179" s="136"/>
    </row>
    <row r="180" spans="111:111" x14ac:dyDescent="0.2">
      <c r="DG180" s="136"/>
    </row>
    <row r="181" spans="111:111" x14ac:dyDescent="0.2">
      <c r="DG181" s="136"/>
    </row>
    <row r="182" spans="111:111" x14ac:dyDescent="0.2">
      <c r="DG182" s="136"/>
    </row>
    <row r="183" spans="111:111" x14ac:dyDescent="0.2">
      <c r="DG183" s="136"/>
    </row>
    <row r="184" spans="111:111" x14ac:dyDescent="0.2">
      <c r="DG184" s="136"/>
    </row>
    <row r="185" spans="111:111" x14ac:dyDescent="0.2">
      <c r="DG185" s="136"/>
    </row>
    <row r="186" spans="111:111" x14ac:dyDescent="0.2">
      <c r="DG186" s="136"/>
    </row>
    <row r="187" spans="111:111" x14ac:dyDescent="0.2">
      <c r="DG187" s="136"/>
    </row>
    <row r="188" spans="111:111" x14ac:dyDescent="0.2">
      <c r="DG188" s="136"/>
    </row>
    <row r="189" spans="111:111" x14ac:dyDescent="0.2">
      <c r="DG189" s="136"/>
    </row>
    <row r="190" spans="111:111" x14ac:dyDescent="0.2">
      <c r="DG190" s="136"/>
    </row>
    <row r="191" spans="111:111" x14ac:dyDescent="0.2">
      <c r="DG191" s="136"/>
    </row>
    <row r="192" spans="111:111" x14ac:dyDescent="0.2">
      <c r="DG192" s="136"/>
    </row>
    <row r="193" spans="111:111" x14ac:dyDescent="0.2">
      <c r="DG193" s="136"/>
    </row>
    <row r="194" spans="111:111" x14ac:dyDescent="0.2">
      <c r="DG194" s="136"/>
    </row>
    <row r="195" spans="111:111" x14ac:dyDescent="0.2">
      <c r="DG195" s="136"/>
    </row>
    <row r="196" spans="111:111" x14ac:dyDescent="0.2">
      <c r="DG196" s="136"/>
    </row>
    <row r="197" spans="111:111" x14ac:dyDescent="0.2">
      <c r="DG197" s="136"/>
    </row>
    <row r="198" spans="111:111" x14ac:dyDescent="0.2">
      <c r="DG198" s="136"/>
    </row>
    <row r="199" spans="111:111" x14ac:dyDescent="0.2">
      <c r="DG199" s="136"/>
    </row>
    <row r="200" spans="111:111" x14ac:dyDescent="0.2">
      <c r="DG200" s="136"/>
    </row>
    <row r="201" spans="111:111" x14ac:dyDescent="0.2">
      <c r="DG201" s="136"/>
    </row>
    <row r="202" spans="111:111" x14ac:dyDescent="0.2">
      <c r="DG202" s="136"/>
    </row>
    <row r="203" spans="111:111" x14ac:dyDescent="0.2">
      <c r="DG203" s="136"/>
    </row>
    <row r="204" spans="111:111" x14ac:dyDescent="0.2">
      <c r="DG204" s="136"/>
    </row>
    <row r="205" spans="111:111" x14ac:dyDescent="0.2">
      <c r="DG205" s="136"/>
    </row>
    <row r="206" spans="111:111" x14ac:dyDescent="0.2">
      <c r="DG206" s="136"/>
    </row>
    <row r="207" spans="111:111" x14ac:dyDescent="0.2">
      <c r="DG207" s="136"/>
    </row>
    <row r="208" spans="111:111" x14ac:dyDescent="0.2">
      <c r="DG208" s="136"/>
    </row>
    <row r="209" spans="111:111" x14ac:dyDescent="0.2">
      <c r="DG209" s="136"/>
    </row>
    <row r="210" spans="111:111" x14ac:dyDescent="0.2">
      <c r="DG210" s="136"/>
    </row>
    <row r="211" spans="111:111" x14ac:dyDescent="0.2">
      <c r="DG211" s="136"/>
    </row>
    <row r="212" spans="111:111" x14ac:dyDescent="0.2">
      <c r="DG212" s="136"/>
    </row>
    <row r="213" spans="111:111" x14ac:dyDescent="0.2">
      <c r="DG213" s="136"/>
    </row>
    <row r="214" spans="111:111" x14ac:dyDescent="0.2">
      <c r="DG214" s="136"/>
    </row>
    <row r="215" spans="111:111" x14ac:dyDescent="0.2">
      <c r="DG215" s="136"/>
    </row>
    <row r="216" spans="111:111" x14ac:dyDescent="0.2">
      <c r="DG216" s="136"/>
    </row>
    <row r="217" spans="111:111" x14ac:dyDescent="0.2">
      <c r="DG217" s="136"/>
    </row>
    <row r="218" spans="111:111" x14ac:dyDescent="0.2">
      <c r="DG218" s="136"/>
    </row>
    <row r="219" spans="111:111" x14ac:dyDescent="0.2">
      <c r="DG219" s="136"/>
    </row>
    <row r="220" spans="111:111" x14ac:dyDescent="0.2">
      <c r="DG220" s="136"/>
    </row>
    <row r="221" spans="111:111" x14ac:dyDescent="0.2">
      <c r="DG221" s="136"/>
    </row>
    <row r="222" spans="111:111" x14ac:dyDescent="0.2">
      <c r="DG222" s="136"/>
    </row>
    <row r="223" spans="111:111" x14ac:dyDescent="0.2">
      <c r="DG223" s="136"/>
    </row>
    <row r="224" spans="111:111" x14ac:dyDescent="0.2">
      <c r="DG224" s="136"/>
    </row>
    <row r="225" spans="111:111" x14ac:dyDescent="0.2">
      <c r="DG225" s="136"/>
    </row>
    <row r="226" spans="111:111" x14ac:dyDescent="0.2">
      <c r="DG226" s="136"/>
    </row>
    <row r="227" spans="111:111" x14ac:dyDescent="0.2">
      <c r="DG227" s="136"/>
    </row>
    <row r="228" spans="111:111" x14ac:dyDescent="0.2">
      <c r="DG228" s="136"/>
    </row>
    <row r="229" spans="111:111" x14ac:dyDescent="0.2">
      <c r="DG229" s="136"/>
    </row>
    <row r="230" spans="111:111" x14ac:dyDescent="0.2">
      <c r="DG230" s="136"/>
    </row>
    <row r="231" spans="111:111" x14ac:dyDescent="0.2">
      <c r="DG231" s="136"/>
    </row>
    <row r="232" spans="111:111" x14ac:dyDescent="0.2">
      <c r="DG232" s="136"/>
    </row>
    <row r="233" spans="111:111" x14ac:dyDescent="0.2">
      <c r="DG233" s="136"/>
    </row>
    <row r="234" spans="111:111" x14ac:dyDescent="0.2">
      <c r="DG234" s="136"/>
    </row>
    <row r="235" spans="111:111" x14ac:dyDescent="0.2">
      <c r="DG235" s="136"/>
    </row>
    <row r="236" spans="111:111" x14ac:dyDescent="0.2">
      <c r="DG236" s="136"/>
    </row>
    <row r="237" spans="111:111" x14ac:dyDescent="0.2">
      <c r="DG237" s="136"/>
    </row>
    <row r="238" spans="111:111" x14ac:dyDescent="0.2">
      <c r="DG238" s="136"/>
    </row>
    <row r="239" spans="111:111" x14ac:dyDescent="0.2">
      <c r="DG239" s="136"/>
    </row>
    <row r="240" spans="111:111" x14ac:dyDescent="0.2">
      <c r="DG240" s="136"/>
    </row>
    <row r="241" spans="111:111" x14ac:dyDescent="0.2">
      <c r="DG241" s="136"/>
    </row>
    <row r="242" spans="111:111" x14ac:dyDescent="0.2">
      <c r="DG242" s="136"/>
    </row>
    <row r="243" spans="111:111" x14ac:dyDescent="0.2">
      <c r="DG243" s="136"/>
    </row>
    <row r="244" spans="111:111" x14ac:dyDescent="0.2">
      <c r="DG244" s="136"/>
    </row>
    <row r="245" spans="111:111" x14ac:dyDescent="0.2">
      <c r="DG245" s="136"/>
    </row>
    <row r="246" spans="111:111" x14ac:dyDescent="0.2">
      <c r="DG246" s="136"/>
    </row>
    <row r="247" spans="111:111" x14ac:dyDescent="0.2">
      <c r="DG247" s="136"/>
    </row>
    <row r="248" spans="111:111" x14ac:dyDescent="0.2">
      <c r="DG248" s="136"/>
    </row>
    <row r="249" spans="111:111" x14ac:dyDescent="0.2">
      <c r="DG249" s="136"/>
    </row>
    <row r="250" spans="111:111" x14ac:dyDescent="0.2">
      <c r="DG250" s="136"/>
    </row>
    <row r="251" spans="111:111" x14ac:dyDescent="0.2">
      <c r="DG251" s="136"/>
    </row>
    <row r="252" spans="111:111" x14ac:dyDescent="0.2">
      <c r="DG252" s="136"/>
    </row>
    <row r="253" spans="111:111" x14ac:dyDescent="0.2">
      <c r="DG253" s="136"/>
    </row>
    <row r="254" spans="111:111" x14ac:dyDescent="0.2">
      <c r="DG254" s="136"/>
    </row>
    <row r="255" spans="111:111" x14ac:dyDescent="0.2">
      <c r="DG255" s="136"/>
    </row>
    <row r="256" spans="111:111" x14ac:dyDescent="0.2">
      <c r="DG256" s="136"/>
    </row>
    <row r="257" spans="111:111" x14ac:dyDescent="0.2">
      <c r="DG257" s="136"/>
    </row>
    <row r="258" spans="111:111" x14ac:dyDescent="0.2">
      <c r="DG258" s="136"/>
    </row>
    <row r="259" spans="111:111" x14ac:dyDescent="0.2">
      <c r="DG259" s="136"/>
    </row>
    <row r="260" spans="111:111" x14ac:dyDescent="0.2">
      <c r="DG260" s="136"/>
    </row>
    <row r="261" spans="111:111" x14ac:dyDescent="0.2">
      <c r="DG261" s="136"/>
    </row>
    <row r="262" spans="111:111" x14ac:dyDescent="0.2">
      <c r="DG262" s="136"/>
    </row>
    <row r="263" spans="111:111" x14ac:dyDescent="0.2">
      <c r="DG263" s="136"/>
    </row>
    <row r="264" spans="111:111" x14ac:dyDescent="0.2">
      <c r="DG264" s="136"/>
    </row>
    <row r="265" spans="111:111" x14ac:dyDescent="0.2">
      <c r="DG265" s="136"/>
    </row>
    <row r="266" spans="111:111" x14ac:dyDescent="0.2">
      <c r="DG266" s="136"/>
    </row>
    <row r="267" spans="111:111" x14ac:dyDescent="0.2">
      <c r="DG267" s="136"/>
    </row>
    <row r="268" spans="111:111" x14ac:dyDescent="0.2">
      <c r="DG268" s="136"/>
    </row>
    <row r="269" spans="111:111" x14ac:dyDescent="0.2">
      <c r="DG269" s="136"/>
    </row>
    <row r="270" spans="111:111" x14ac:dyDescent="0.2">
      <c r="DG270" s="136"/>
    </row>
    <row r="271" spans="111:111" x14ac:dyDescent="0.2">
      <c r="DG271" s="136"/>
    </row>
    <row r="272" spans="111:111" x14ac:dyDescent="0.2">
      <c r="DG272" s="136"/>
    </row>
    <row r="273" spans="111:111" x14ac:dyDescent="0.2">
      <c r="DG273" s="136"/>
    </row>
    <row r="274" spans="111:111" x14ac:dyDescent="0.2">
      <c r="DG274" s="136"/>
    </row>
    <row r="275" spans="111:111" x14ac:dyDescent="0.2">
      <c r="DG275" s="136"/>
    </row>
    <row r="276" spans="111:111" x14ac:dyDescent="0.2">
      <c r="DG276" s="136"/>
    </row>
    <row r="277" spans="111:111" x14ac:dyDescent="0.2">
      <c r="DG277" s="136"/>
    </row>
    <row r="278" spans="111:111" x14ac:dyDescent="0.2">
      <c r="DG278" s="136"/>
    </row>
    <row r="279" spans="111:111" x14ac:dyDescent="0.2">
      <c r="DG279" s="136"/>
    </row>
    <row r="280" spans="111:111" x14ac:dyDescent="0.2">
      <c r="DG280" s="136"/>
    </row>
    <row r="281" spans="111:111" x14ac:dyDescent="0.2">
      <c r="DG281" s="136"/>
    </row>
    <row r="282" spans="111:111" x14ac:dyDescent="0.2">
      <c r="DG282" s="136"/>
    </row>
    <row r="283" spans="111:111" x14ac:dyDescent="0.2">
      <c r="DG283" s="136"/>
    </row>
    <row r="284" spans="111:111" x14ac:dyDescent="0.2">
      <c r="DG284" s="136"/>
    </row>
    <row r="285" spans="111:111" x14ac:dyDescent="0.2">
      <c r="DG285" s="136"/>
    </row>
    <row r="286" spans="111:111" x14ac:dyDescent="0.2">
      <c r="DG286" s="136"/>
    </row>
    <row r="287" spans="111:111" x14ac:dyDescent="0.2">
      <c r="DG287" s="136"/>
    </row>
    <row r="288" spans="111:111" x14ac:dyDescent="0.2">
      <c r="DG288" s="136"/>
    </row>
    <row r="289" spans="111:111" x14ac:dyDescent="0.2">
      <c r="DG289" s="136"/>
    </row>
    <row r="290" spans="111:111" x14ac:dyDescent="0.2">
      <c r="DG290" s="136"/>
    </row>
    <row r="291" spans="111:111" x14ac:dyDescent="0.2">
      <c r="DG291" s="136"/>
    </row>
    <row r="292" spans="111:111" x14ac:dyDescent="0.2">
      <c r="DG292" s="136"/>
    </row>
    <row r="293" spans="111:111" x14ac:dyDescent="0.2">
      <c r="DG293" s="136"/>
    </row>
    <row r="294" spans="111:111" x14ac:dyDescent="0.2">
      <c r="DG294" s="136"/>
    </row>
    <row r="295" spans="111:111" x14ac:dyDescent="0.2">
      <c r="DG295" s="136"/>
    </row>
    <row r="296" spans="111:111" x14ac:dyDescent="0.2">
      <c r="DG296" s="136"/>
    </row>
    <row r="297" spans="111:111" x14ac:dyDescent="0.2">
      <c r="DG297" s="136"/>
    </row>
    <row r="298" spans="111:111" x14ac:dyDescent="0.2">
      <c r="DG298" s="136"/>
    </row>
    <row r="299" spans="111:111" x14ac:dyDescent="0.2">
      <c r="DG299" s="136"/>
    </row>
    <row r="300" spans="111:111" x14ac:dyDescent="0.2">
      <c r="DG300" s="136"/>
    </row>
    <row r="301" spans="111:111" x14ac:dyDescent="0.2">
      <c r="DG301" s="136"/>
    </row>
    <row r="302" spans="111:111" x14ac:dyDescent="0.2">
      <c r="DG302" s="136"/>
    </row>
    <row r="303" spans="111:111" x14ac:dyDescent="0.2">
      <c r="DG303" s="136"/>
    </row>
    <row r="304" spans="111:111" x14ac:dyDescent="0.2">
      <c r="DG304" s="136"/>
    </row>
    <row r="305" spans="111:111" x14ac:dyDescent="0.2">
      <c r="DG305" s="136"/>
    </row>
    <row r="306" spans="111:111" x14ac:dyDescent="0.2">
      <c r="DG306" s="136"/>
    </row>
    <row r="307" spans="111:111" x14ac:dyDescent="0.2">
      <c r="DG307" s="136"/>
    </row>
    <row r="308" spans="111:111" x14ac:dyDescent="0.2">
      <c r="DG308" s="136"/>
    </row>
    <row r="309" spans="111:111" x14ac:dyDescent="0.2">
      <c r="DG309" s="136"/>
    </row>
    <row r="310" spans="111:111" x14ac:dyDescent="0.2">
      <c r="DG310" s="136"/>
    </row>
    <row r="311" spans="111:111" x14ac:dyDescent="0.2">
      <c r="DG311" s="136"/>
    </row>
    <row r="312" spans="111:111" x14ac:dyDescent="0.2">
      <c r="DG312" s="136"/>
    </row>
  </sheetData>
  <conditionalFormatting sqref="BI160:BJ160 Y160:Z160 C160 O160:Q160 G160:I160 BW160:BZ160 CD160">
    <cfRule type="cellIs" dxfId="39" priority="65" stopIfTrue="1" operator="equal">
      <formula>#REF!</formula>
    </cfRule>
  </conditionalFormatting>
  <conditionalFormatting sqref="BY142:BZ142">
    <cfRule type="containsBlanks" dxfId="38" priority="67" stopIfTrue="1">
      <formula>LEN(TRIM(BY142))=0</formula>
    </cfRule>
  </conditionalFormatting>
  <conditionalFormatting sqref="DS160">
    <cfRule type="cellIs" dxfId="37" priority="50" stopIfTrue="1" operator="equal">
      <formula>#REF!</formula>
    </cfRule>
  </conditionalFormatting>
  <conditionalFormatting sqref="DQ160">
    <cfRule type="cellIs" dxfId="36" priority="46" stopIfTrue="1" operator="equal">
      <formula>#REF!</formula>
    </cfRule>
  </conditionalFormatting>
  <conditionalFormatting sqref="CU160">
    <cfRule type="cellIs" dxfId="35" priority="37" stopIfTrue="1" operator="equal">
      <formula>#REF!</formula>
    </cfRule>
  </conditionalFormatting>
  <conditionalFormatting sqref="CT160">
    <cfRule type="cellIs" dxfId="34" priority="36" stopIfTrue="1" operator="equal">
      <formula>#REF!</formula>
    </cfRule>
  </conditionalFormatting>
  <conditionalFormatting sqref="CS160">
    <cfRule type="cellIs" dxfId="33" priority="35" stopIfTrue="1" operator="equal">
      <formula>#REF!</formula>
    </cfRule>
  </conditionalFormatting>
  <conditionalFormatting sqref="AQ160:AR160">
    <cfRule type="cellIs" dxfId="32" priority="34" stopIfTrue="1" operator="equal">
      <formula>#REF!</formula>
    </cfRule>
  </conditionalFormatting>
  <conditionalFormatting sqref="DZ160">
    <cfRule type="cellIs" dxfId="31" priority="33" stopIfTrue="1" operator="equal">
      <formula>#REF!</formula>
    </cfRule>
  </conditionalFormatting>
  <conditionalFormatting sqref="AQ160">
    <cfRule type="cellIs" dxfId="30" priority="32" stopIfTrue="1" operator="equal">
      <formula>#REF!</formula>
    </cfRule>
  </conditionalFormatting>
  <conditionalFormatting sqref="D160 DJ160:DL160 DO160:DP160 DY160 DT160:DU160">
    <cfRule type="cellIs" dxfId="29" priority="28" stopIfTrue="1" operator="equal">
      <formula>#REF!</formula>
    </cfRule>
  </conditionalFormatting>
  <conditionalFormatting sqref="E160">
    <cfRule type="cellIs" dxfId="28" priority="27" stopIfTrue="1" operator="equal">
      <formula>#REF!</formula>
    </cfRule>
  </conditionalFormatting>
  <conditionalFormatting sqref="L160:M160">
    <cfRule type="cellIs" dxfId="27" priority="26" stopIfTrue="1" operator="equal">
      <formula>#REF!</formula>
    </cfRule>
  </conditionalFormatting>
  <conditionalFormatting sqref="S160:T160">
    <cfRule type="cellIs" dxfId="26" priority="25" stopIfTrue="1" operator="equal">
      <formula>#REF!</formula>
    </cfRule>
  </conditionalFormatting>
  <conditionalFormatting sqref="U160">
    <cfRule type="cellIs" dxfId="25" priority="24" stopIfTrue="1" operator="equal">
      <formula>#REF!</formula>
    </cfRule>
  </conditionalFormatting>
  <conditionalFormatting sqref="X160">
    <cfRule type="cellIs" dxfId="24" priority="23" stopIfTrue="1" operator="equal">
      <formula>#REF!</formula>
    </cfRule>
  </conditionalFormatting>
  <conditionalFormatting sqref="AE160:AG160">
    <cfRule type="cellIs" dxfId="23" priority="22" stopIfTrue="1" operator="equal">
      <formula>#REF!</formula>
    </cfRule>
  </conditionalFormatting>
  <conditionalFormatting sqref="AK160:AM160">
    <cfRule type="cellIs" dxfId="22" priority="21" stopIfTrue="1" operator="equal">
      <formula>#REF!</formula>
    </cfRule>
  </conditionalFormatting>
  <conditionalFormatting sqref="AN160:AP160">
    <cfRule type="cellIs" dxfId="21" priority="20" stopIfTrue="1" operator="equal">
      <formula>#REF!</formula>
    </cfRule>
  </conditionalFormatting>
  <conditionalFormatting sqref="AS160:AT160">
    <cfRule type="cellIs" dxfId="20" priority="19" stopIfTrue="1" operator="equal">
      <formula>#REF!</formula>
    </cfRule>
  </conditionalFormatting>
  <conditionalFormatting sqref="AT160">
    <cfRule type="cellIs" dxfId="19" priority="18" stopIfTrue="1" operator="equal">
      <formula>#REF!</formula>
    </cfRule>
  </conditionalFormatting>
  <conditionalFormatting sqref="AS160">
    <cfRule type="cellIs" dxfId="18" priority="17" stopIfTrue="1" operator="equal">
      <formula>#REF!</formula>
    </cfRule>
  </conditionalFormatting>
  <conditionalFormatting sqref="AX160:BB160">
    <cfRule type="cellIs" dxfId="17" priority="16" stopIfTrue="1" operator="equal">
      <formula>#REF!</formula>
    </cfRule>
  </conditionalFormatting>
  <conditionalFormatting sqref="BK160">
    <cfRule type="cellIs" dxfId="16" priority="15" stopIfTrue="1" operator="equal">
      <formula>#REF!</formula>
    </cfRule>
  </conditionalFormatting>
  <conditionalFormatting sqref="BL160 BP160:BQ160">
    <cfRule type="cellIs" dxfId="15" priority="14" stopIfTrue="1" operator="equal">
      <formula>#REF!</formula>
    </cfRule>
  </conditionalFormatting>
  <conditionalFormatting sqref="BR160:BT160">
    <cfRule type="cellIs" dxfId="14" priority="13" stopIfTrue="1" operator="equal">
      <formula>#REF!</formula>
    </cfRule>
  </conditionalFormatting>
  <conditionalFormatting sqref="CA160:CB160">
    <cfRule type="cellIs" dxfId="13" priority="12" stopIfTrue="1" operator="equal">
      <formula>#REF!</formula>
    </cfRule>
  </conditionalFormatting>
  <conditionalFormatting sqref="CB142">
    <cfRule type="containsBlanks" dxfId="12" priority="11" stopIfTrue="1">
      <formula>LEN(TRIM(#REF!))=0</formula>
    </cfRule>
  </conditionalFormatting>
  <conditionalFormatting sqref="CH160">
    <cfRule type="cellIs" dxfId="11" priority="10" stopIfTrue="1" operator="equal">
      <formula>#REF!</formula>
    </cfRule>
  </conditionalFormatting>
  <conditionalFormatting sqref="CL160">
    <cfRule type="cellIs" dxfId="10" priority="9" stopIfTrue="1" operator="equal">
      <formula>#REF!</formula>
    </cfRule>
  </conditionalFormatting>
  <conditionalFormatting sqref="CJ160">
    <cfRule type="cellIs" dxfId="9" priority="8" stopIfTrue="1" operator="equal">
      <formula>#REF!</formula>
    </cfRule>
  </conditionalFormatting>
  <conditionalFormatting sqref="CK160">
    <cfRule type="cellIs" dxfId="8" priority="7" stopIfTrue="1" operator="equal">
      <formula>#REF!</formula>
    </cfRule>
  </conditionalFormatting>
  <conditionalFormatting sqref="CI160">
    <cfRule type="cellIs" dxfId="7" priority="6" stopIfTrue="1" operator="equal">
      <formula>#REF!</formula>
    </cfRule>
  </conditionalFormatting>
  <conditionalFormatting sqref="CM160:CN160">
    <cfRule type="cellIs" dxfId="6" priority="5" stopIfTrue="1" operator="equal">
      <formula>#REF!</formula>
    </cfRule>
  </conditionalFormatting>
  <conditionalFormatting sqref="CP160:CR160">
    <cfRule type="cellIs" dxfId="5" priority="4" stopIfTrue="1" operator="equal">
      <formula>#REF!</formula>
    </cfRule>
  </conditionalFormatting>
  <conditionalFormatting sqref="CX160">
    <cfRule type="cellIs" dxfId="4" priority="3" stopIfTrue="1" operator="equal">
      <formula>#REF!</formula>
    </cfRule>
  </conditionalFormatting>
  <conditionalFormatting sqref="DB160:DD160">
    <cfRule type="cellIs" dxfId="3" priority="2" stopIfTrue="1" operator="equal">
      <formula>#REF!</formula>
    </cfRule>
  </conditionalFormatting>
  <pageMargins left="0.70866141732283472" right="0.70866141732283472" top="0.78740157480314965" bottom="0.78740157480314965"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31" stopIfTrue="1" operator="equal" id="{EC5E1380-71DA-4EE9-B691-F57168200E5A}">
            <xm:f>'WG-Daten'!#REF!</xm:f>
            <x14:dxf>
              <fill>
                <patternFill>
                  <bgColor indexed="22"/>
                </patternFill>
              </fill>
            </x14:dxf>
          </x14:cfRule>
          <xm:sqref>CE162</xm:sqref>
        </x14:conditionalFormatting>
        <x14:conditionalFormatting xmlns:xm="http://schemas.microsoft.com/office/excel/2006/main">
          <x14:cfRule type="cellIs" priority="30" stopIfTrue="1" operator="equal" id="{D3B06035-5D4D-43A2-8E9D-0533A58D6F2E}">
            <xm:f>'WG-Daten'!#REF!</xm:f>
            <x14:dxf>
              <fill>
                <patternFill>
                  <bgColor indexed="22"/>
                </patternFill>
              </fill>
            </x14:dxf>
          </x14:cfRule>
          <xm:sqref>CF162</xm:sqref>
        </x14:conditionalFormatting>
        <x14:conditionalFormatting xmlns:xm="http://schemas.microsoft.com/office/excel/2006/main">
          <x14:cfRule type="cellIs" priority="29" stopIfTrue="1" operator="equal" id="{E1EE0738-16B5-4DAA-81CA-72E669622817}">
            <xm:f>'WG-Daten'!#REF!</xm:f>
            <x14:dxf>
              <fill>
                <patternFill>
                  <bgColor indexed="22"/>
                </patternFill>
              </fill>
            </x14:dxf>
          </x14:cfRule>
          <xm:sqref>CG162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2"/>
  <sheetViews>
    <sheetView topLeftCell="A76" workbookViewId="0">
      <selection activeCell="X37" sqref="X37"/>
    </sheetView>
  </sheetViews>
  <sheetFormatPr baseColWidth="10" defaultRowHeight="12.75" x14ac:dyDescent="0.2"/>
  <cols>
    <col min="1" max="1" width="3.85546875" style="163" customWidth="1"/>
    <col min="2" max="2" width="40.7109375" style="36" customWidth="1"/>
    <col min="3" max="3" width="4.5703125" style="163" customWidth="1"/>
    <col min="4" max="4" width="40.7109375" style="36" customWidth="1"/>
    <col min="5" max="5" width="3.85546875" style="163" customWidth="1"/>
    <col min="6" max="6" width="37.42578125" style="167" customWidth="1"/>
  </cols>
  <sheetData>
    <row r="1" spans="2:4" x14ac:dyDescent="0.2">
      <c r="B1" s="78" t="s">
        <v>3668</v>
      </c>
      <c r="D1" s="99"/>
    </row>
    <row r="2" spans="2:4" x14ac:dyDescent="0.2">
      <c r="B2" s="25" t="s">
        <v>3682</v>
      </c>
      <c r="D2" s="25" t="s">
        <v>5</v>
      </c>
    </row>
    <row r="3" spans="2:4" x14ac:dyDescent="0.2">
      <c r="B3" s="166" t="s">
        <v>402</v>
      </c>
      <c r="D3" s="166" t="s">
        <v>402</v>
      </c>
    </row>
    <row r="4" spans="2:4" x14ac:dyDescent="0.2">
      <c r="B4" s="161" t="s">
        <v>3681</v>
      </c>
      <c r="D4" s="166"/>
    </row>
    <row r="5" spans="2:4" x14ac:dyDescent="0.2">
      <c r="B5" s="166" t="s">
        <v>402</v>
      </c>
      <c r="D5" s="166"/>
    </row>
    <row r="6" spans="2:4" x14ac:dyDescent="0.2">
      <c r="B6" s="25" t="s">
        <v>80</v>
      </c>
      <c r="D6" s="25" t="s">
        <v>80</v>
      </c>
    </row>
    <row r="7" spans="2:4" x14ac:dyDescent="0.2">
      <c r="B7" s="166" t="s">
        <v>402</v>
      </c>
      <c r="D7" s="166" t="s">
        <v>402</v>
      </c>
    </row>
    <row r="8" spans="2:4" x14ac:dyDescent="0.2">
      <c r="B8" s="161" t="s">
        <v>3683</v>
      </c>
      <c r="D8" s="166"/>
    </row>
    <row r="9" spans="2:4" x14ac:dyDescent="0.2">
      <c r="B9" s="166" t="s">
        <v>402</v>
      </c>
      <c r="D9" s="166"/>
    </row>
    <row r="10" spans="2:4" x14ac:dyDescent="0.2">
      <c r="B10" s="161" t="s">
        <v>3669</v>
      </c>
      <c r="D10" s="166"/>
    </row>
    <row r="11" spans="2:4" x14ac:dyDescent="0.2">
      <c r="B11" s="166" t="s">
        <v>402</v>
      </c>
      <c r="D11" s="166"/>
    </row>
    <row r="12" spans="2:4" x14ac:dyDescent="0.2">
      <c r="B12" s="25" t="s">
        <v>3640</v>
      </c>
      <c r="D12" s="25" t="s">
        <v>2590</v>
      </c>
    </row>
    <row r="13" spans="2:4" x14ac:dyDescent="0.2">
      <c r="B13" s="166" t="s">
        <v>402</v>
      </c>
      <c r="D13" s="166" t="s">
        <v>402</v>
      </c>
    </row>
    <row r="14" spans="2:4" ht="18" x14ac:dyDescent="0.2">
      <c r="B14" s="161" t="s">
        <v>3670</v>
      </c>
      <c r="D14" s="169"/>
    </row>
    <row r="15" spans="2:4" x14ac:dyDescent="0.2">
      <c r="B15" s="166" t="s">
        <v>402</v>
      </c>
      <c r="D15" s="169"/>
    </row>
    <row r="16" spans="2:4" ht="18" x14ac:dyDescent="0.2">
      <c r="B16" s="161" t="s">
        <v>3671</v>
      </c>
      <c r="D16" s="169"/>
    </row>
    <row r="17" spans="1:4" x14ac:dyDescent="0.2">
      <c r="B17" s="166" t="s">
        <v>402</v>
      </c>
      <c r="D17" s="169"/>
    </row>
    <row r="18" spans="1:4" x14ac:dyDescent="0.2">
      <c r="B18" s="21"/>
      <c r="D18" s="21"/>
    </row>
    <row r="19" spans="1:4" x14ac:dyDescent="0.2">
      <c r="B19" s="78" t="s">
        <v>3665</v>
      </c>
      <c r="D19" s="78" t="s">
        <v>4</v>
      </c>
    </row>
    <row r="20" spans="1:4" x14ac:dyDescent="0.2">
      <c r="A20" s="163">
        <v>1</v>
      </c>
      <c r="B20" s="25" t="s">
        <v>29</v>
      </c>
      <c r="D20" s="25" t="s">
        <v>29</v>
      </c>
    </row>
    <row r="21" spans="1:4" x14ac:dyDescent="0.2">
      <c r="B21" s="166" t="s">
        <v>402</v>
      </c>
      <c r="D21" s="166" t="s">
        <v>402</v>
      </c>
    </row>
    <row r="22" spans="1:4" x14ac:dyDescent="0.2">
      <c r="A22" s="163">
        <v>2</v>
      </c>
      <c r="B22" s="25" t="s">
        <v>57</v>
      </c>
      <c r="C22" s="163">
        <v>3</v>
      </c>
      <c r="D22" s="25" t="s">
        <v>28</v>
      </c>
    </row>
    <row r="23" spans="1:4" x14ac:dyDescent="0.2">
      <c r="B23" s="166" t="s">
        <v>402</v>
      </c>
      <c r="D23" s="166" t="s">
        <v>402</v>
      </c>
    </row>
    <row r="24" spans="1:4" x14ac:dyDescent="0.2">
      <c r="A24" s="163">
        <v>3</v>
      </c>
      <c r="B24" s="25" t="s">
        <v>3649</v>
      </c>
      <c r="C24" s="163">
        <v>2</v>
      </c>
      <c r="D24" s="25" t="s">
        <v>57</v>
      </c>
    </row>
    <row r="25" spans="1:4" x14ac:dyDescent="0.2">
      <c r="B25" s="166" t="s">
        <v>402</v>
      </c>
      <c r="D25" s="166" t="s">
        <v>402</v>
      </c>
    </row>
    <row r="26" spans="1:4" x14ac:dyDescent="0.2">
      <c r="A26" s="163">
        <v>4</v>
      </c>
      <c r="B26" s="162" t="s">
        <v>3643</v>
      </c>
      <c r="D26" s="25" t="s">
        <v>10</v>
      </c>
    </row>
    <row r="27" spans="1:4" x14ac:dyDescent="0.2">
      <c r="B27" s="166" t="s">
        <v>402</v>
      </c>
      <c r="D27" s="166" t="s">
        <v>402</v>
      </c>
    </row>
    <row r="28" spans="1:4" x14ac:dyDescent="0.2">
      <c r="A28" s="163">
        <v>5</v>
      </c>
      <c r="B28" s="162" t="s">
        <v>3645</v>
      </c>
      <c r="D28" s="79" t="s">
        <v>11</v>
      </c>
    </row>
    <row r="29" spans="1:4" x14ac:dyDescent="0.2">
      <c r="B29" s="166" t="s">
        <v>402</v>
      </c>
      <c r="D29" s="166" t="s">
        <v>402</v>
      </c>
    </row>
    <row r="30" spans="1:4" x14ac:dyDescent="0.2">
      <c r="A30" s="163">
        <v>6</v>
      </c>
      <c r="B30" s="161" t="s">
        <v>3666</v>
      </c>
      <c r="D30" s="166"/>
    </row>
    <row r="31" spans="1:4" x14ac:dyDescent="0.2">
      <c r="B31" s="166" t="s">
        <v>402</v>
      </c>
      <c r="D31" s="166"/>
    </row>
    <row r="32" spans="1:4" x14ac:dyDescent="0.2">
      <c r="A32" s="163">
        <v>7</v>
      </c>
      <c r="B32" s="25" t="s">
        <v>56</v>
      </c>
      <c r="D32" s="25" t="s">
        <v>56</v>
      </c>
    </row>
    <row r="33" spans="1:6" x14ac:dyDescent="0.2">
      <c r="B33" s="166" t="s">
        <v>402</v>
      </c>
      <c r="D33" s="166" t="s">
        <v>402</v>
      </c>
    </row>
    <row r="34" spans="1:6" x14ac:dyDescent="0.2">
      <c r="A34" s="163">
        <v>8</v>
      </c>
      <c r="B34" s="161" t="s">
        <v>3648</v>
      </c>
      <c r="D34" s="169"/>
    </row>
    <row r="35" spans="1:6" x14ac:dyDescent="0.2">
      <c r="B35" s="166" t="s">
        <v>402</v>
      </c>
      <c r="D35" s="169"/>
      <c r="F35" s="171"/>
    </row>
    <row r="36" spans="1:6" x14ac:dyDescent="0.2">
      <c r="B36" s="167" t="s">
        <v>19</v>
      </c>
      <c r="D36" s="167" t="s">
        <v>19</v>
      </c>
    </row>
    <row r="37" spans="1:6" x14ac:dyDescent="0.2">
      <c r="B37" s="166" t="s">
        <v>402</v>
      </c>
      <c r="D37" s="166" t="s">
        <v>402</v>
      </c>
    </row>
    <row r="38" spans="1:6" x14ac:dyDescent="0.2">
      <c r="B38" s="21"/>
      <c r="D38" s="21"/>
    </row>
    <row r="39" spans="1:6" x14ac:dyDescent="0.2">
      <c r="B39" s="75" t="s">
        <v>3653</v>
      </c>
      <c r="D39" s="75" t="s">
        <v>45</v>
      </c>
    </row>
    <row r="40" spans="1:6" ht="18" x14ac:dyDescent="0.2">
      <c r="B40" s="80" t="s">
        <v>3654</v>
      </c>
      <c r="D40" s="159" t="s">
        <v>55</v>
      </c>
    </row>
    <row r="41" spans="1:6" x14ac:dyDescent="0.2">
      <c r="A41" s="163">
        <v>9</v>
      </c>
      <c r="B41" s="25" t="s">
        <v>8</v>
      </c>
      <c r="D41" s="25" t="s">
        <v>8</v>
      </c>
    </row>
    <row r="42" spans="1:6" x14ac:dyDescent="0.2">
      <c r="B42" s="166" t="s">
        <v>402</v>
      </c>
      <c r="D42" s="166" t="s">
        <v>402</v>
      </c>
    </row>
    <row r="43" spans="1:6" x14ac:dyDescent="0.2">
      <c r="A43" s="163">
        <v>10</v>
      </c>
      <c r="B43" s="26" t="s">
        <v>6</v>
      </c>
      <c r="D43" s="26" t="s">
        <v>6</v>
      </c>
    </row>
    <row r="44" spans="1:6" x14ac:dyDescent="0.2">
      <c r="B44" s="166" t="s">
        <v>402</v>
      </c>
      <c r="D44" s="166" t="s">
        <v>402</v>
      </c>
    </row>
    <row r="45" spans="1:6" x14ac:dyDescent="0.2">
      <c r="A45" s="163">
        <v>11</v>
      </c>
      <c r="B45" s="26" t="s">
        <v>2118</v>
      </c>
      <c r="C45" s="163">
        <v>14</v>
      </c>
      <c r="D45" s="25" t="s">
        <v>7</v>
      </c>
    </row>
    <row r="46" spans="1:6" x14ac:dyDescent="0.2">
      <c r="B46" s="166" t="s">
        <v>402</v>
      </c>
      <c r="D46" s="166" t="s">
        <v>402</v>
      </c>
    </row>
    <row r="47" spans="1:6" ht="38.25" x14ac:dyDescent="0.2">
      <c r="A47" s="163">
        <v>12</v>
      </c>
      <c r="B47" s="26" t="s">
        <v>3650</v>
      </c>
      <c r="C47" s="165" t="s">
        <v>3696</v>
      </c>
      <c r="D47" s="26" t="s">
        <v>82</v>
      </c>
    </row>
    <row r="48" spans="1:6" x14ac:dyDescent="0.2">
      <c r="B48" s="166" t="s">
        <v>402</v>
      </c>
      <c r="D48" s="166" t="s">
        <v>402</v>
      </c>
    </row>
    <row r="49" spans="1:6" ht="17.25" customHeight="1" x14ac:dyDescent="0.2">
      <c r="A49" s="163">
        <v>13</v>
      </c>
      <c r="B49" s="25" t="s">
        <v>79</v>
      </c>
      <c r="C49" s="163">
        <v>16</v>
      </c>
      <c r="D49" s="26" t="s">
        <v>34</v>
      </c>
      <c r="E49" s="163">
        <v>56</v>
      </c>
      <c r="F49" s="26" t="s">
        <v>35</v>
      </c>
    </row>
    <row r="50" spans="1:6" x14ac:dyDescent="0.2">
      <c r="B50" s="166" t="s">
        <v>402</v>
      </c>
      <c r="D50" s="166" t="s">
        <v>402</v>
      </c>
      <c r="F50" s="166" t="s">
        <v>402</v>
      </c>
    </row>
    <row r="51" spans="1:6" x14ac:dyDescent="0.2">
      <c r="A51" s="163">
        <v>14</v>
      </c>
      <c r="B51" s="162" t="s">
        <v>3652</v>
      </c>
    </row>
    <row r="52" spans="1:6" x14ac:dyDescent="0.2">
      <c r="B52" s="166" t="s">
        <v>402</v>
      </c>
    </row>
    <row r="53" spans="1:6" x14ac:dyDescent="0.2">
      <c r="A53" s="163">
        <v>15</v>
      </c>
      <c r="B53" s="173" t="s">
        <v>3684</v>
      </c>
    </row>
    <row r="54" spans="1:6" x14ac:dyDescent="0.2">
      <c r="B54" s="166" t="s">
        <v>402</v>
      </c>
    </row>
    <row r="55" spans="1:6" ht="27.75" customHeight="1" x14ac:dyDescent="0.2">
      <c r="A55" s="163">
        <v>16</v>
      </c>
      <c r="B55" s="26" t="s">
        <v>34</v>
      </c>
      <c r="C55" s="163">
        <v>17</v>
      </c>
      <c r="D55" s="25" t="s">
        <v>744</v>
      </c>
      <c r="E55" s="163">
        <v>52</v>
      </c>
      <c r="F55" s="25" t="s">
        <v>2815</v>
      </c>
    </row>
    <row r="56" spans="1:6" x14ac:dyDescent="0.2">
      <c r="B56" s="166" t="s">
        <v>402</v>
      </c>
      <c r="D56" s="166" t="s">
        <v>402</v>
      </c>
      <c r="F56" s="166" t="s">
        <v>402</v>
      </c>
    </row>
    <row r="57" spans="1:6" ht="18" x14ac:dyDescent="0.2">
      <c r="A57" s="163">
        <v>17</v>
      </c>
      <c r="B57" s="162" t="s">
        <v>3674</v>
      </c>
      <c r="C57" s="163">
        <v>13</v>
      </c>
      <c r="D57" s="25" t="s">
        <v>79</v>
      </c>
    </row>
    <row r="58" spans="1:6" x14ac:dyDescent="0.2">
      <c r="B58" s="166" t="s">
        <v>402</v>
      </c>
      <c r="D58" s="166" t="s">
        <v>402</v>
      </c>
      <c r="E58" s="163">
        <v>59</v>
      </c>
      <c r="F58" s="25" t="s">
        <v>3631</v>
      </c>
    </row>
    <row r="59" spans="1:6" x14ac:dyDescent="0.2">
      <c r="A59" s="163">
        <v>18</v>
      </c>
      <c r="B59" s="25" t="s">
        <v>42</v>
      </c>
      <c r="D59" s="25" t="s">
        <v>42</v>
      </c>
      <c r="F59" s="166" t="s">
        <v>402</v>
      </c>
    </row>
    <row r="60" spans="1:6" x14ac:dyDescent="0.2">
      <c r="B60" s="166" t="s">
        <v>402</v>
      </c>
      <c r="D60" s="166" t="s">
        <v>402</v>
      </c>
    </row>
    <row r="61" spans="1:6" x14ac:dyDescent="0.2">
      <c r="B61" s="25"/>
    </row>
    <row r="62" spans="1:6" x14ac:dyDescent="0.2">
      <c r="B62" s="75" t="s">
        <v>3655</v>
      </c>
    </row>
    <row r="63" spans="1:6" x14ac:dyDescent="0.2">
      <c r="A63" s="163">
        <v>19</v>
      </c>
      <c r="B63" s="25" t="s">
        <v>52</v>
      </c>
      <c r="D63" s="25" t="s">
        <v>52</v>
      </c>
    </row>
    <row r="64" spans="1:6" x14ac:dyDescent="0.2">
      <c r="B64" s="166" t="s">
        <v>402</v>
      </c>
      <c r="D64" s="166" t="s">
        <v>402</v>
      </c>
    </row>
    <row r="65" spans="1:4" x14ac:dyDescent="0.2">
      <c r="A65" s="163">
        <v>20</v>
      </c>
      <c r="B65" s="161" t="s">
        <v>3676</v>
      </c>
      <c r="C65" s="163">
        <v>25</v>
      </c>
      <c r="D65" s="25" t="s">
        <v>13</v>
      </c>
    </row>
    <row r="66" spans="1:4" x14ac:dyDescent="0.2">
      <c r="B66" s="166" t="s">
        <v>402</v>
      </c>
      <c r="D66" s="166" t="s">
        <v>402</v>
      </c>
    </row>
    <row r="67" spans="1:4" ht="18" x14ac:dyDescent="0.2">
      <c r="B67" s="80" t="s">
        <v>3685</v>
      </c>
      <c r="D67" s="80" t="s">
        <v>142</v>
      </c>
    </row>
    <row r="68" spans="1:4" ht="18" x14ac:dyDescent="0.2">
      <c r="A68" s="163">
        <v>21</v>
      </c>
      <c r="B68" s="162" t="s">
        <v>3687</v>
      </c>
      <c r="D68" s="25" t="s">
        <v>31</v>
      </c>
    </row>
    <row r="69" spans="1:4" x14ac:dyDescent="0.2">
      <c r="B69" s="166" t="s">
        <v>402</v>
      </c>
      <c r="D69" s="166" t="s">
        <v>402</v>
      </c>
    </row>
    <row r="70" spans="1:4" x14ac:dyDescent="0.2">
      <c r="A70" s="163">
        <v>22</v>
      </c>
      <c r="B70" s="25" t="s">
        <v>3688</v>
      </c>
      <c r="C70" s="163">
        <v>31</v>
      </c>
      <c r="D70" s="25" t="s">
        <v>78</v>
      </c>
    </row>
    <row r="71" spans="1:4" x14ac:dyDescent="0.2">
      <c r="B71" s="166" t="s">
        <v>402</v>
      </c>
      <c r="D71" s="166" t="s">
        <v>402</v>
      </c>
    </row>
    <row r="72" spans="1:4" x14ac:dyDescent="0.2">
      <c r="A72" s="163">
        <v>23</v>
      </c>
      <c r="B72" s="161" t="s">
        <v>3658</v>
      </c>
      <c r="D72" s="166"/>
    </row>
    <row r="73" spans="1:4" x14ac:dyDescent="0.2">
      <c r="B73" s="166" t="s">
        <v>402</v>
      </c>
      <c r="D73" s="166"/>
    </row>
    <row r="74" spans="1:4" ht="18" x14ac:dyDescent="0.2">
      <c r="A74" s="163">
        <v>24</v>
      </c>
      <c r="B74" s="162" t="s">
        <v>3686</v>
      </c>
      <c r="D74" s="25" t="s">
        <v>22</v>
      </c>
    </row>
    <row r="75" spans="1:4" x14ac:dyDescent="0.2">
      <c r="B75" s="166" t="s">
        <v>402</v>
      </c>
      <c r="D75" s="166" t="s">
        <v>402</v>
      </c>
    </row>
    <row r="76" spans="1:4" x14ac:dyDescent="0.2">
      <c r="A76" s="163">
        <v>25</v>
      </c>
      <c r="B76" s="25" t="s">
        <v>13</v>
      </c>
      <c r="D76" s="166"/>
    </row>
    <row r="77" spans="1:4" x14ac:dyDescent="0.2">
      <c r="B77" s="166" t="s">
        <v>402</v>
      </c>
      <c r="D77" s="166"/>
    </row>
    <row r="78" spans="1:4" ht="18" x14ac:dyDescent="0.2">
      <c r="A78" s="163">
        <v>26</v>
      </c>
      <c r="B78" s="162" t="s">
        <v>3659</v>
      </c>
      <c r="D78" s="25" t="s">
        <v>9</v>
      </c>
    </row>
    <row r="79" spans="1:4" x14ac:dyDescent="0.2">
      <c r="B79" s="166" t="s">
        <v>402</v>
      </c>
      <c r="D79" s="166" t="s">
        <v>402</v>
      </c>
    </row>
    <row r="80" spans="1:4" x14ac:dyDescent="0.2">
      <c r="A80" s="163">
        <v>27</v>
      </c>
      <c r="B80" s="25" t="s">
        <v>30</v>
      </c>
      <c r="D80" s="25" t="s">
        <v>30</v>
      </c>
    </row>
    <row r="81" spans="1:4" x14ac:dyDescent="0.2">
      <c r="B81" s="166" t="s">
        <v>402</v>
      </c>
      <c r="D81" s="166" t="s">
        <v>402</v>
      </c>
    </row>
    <row r="82" spans="1:4" x14ac:dyDescent="0.2">
      <c r="A82" s="163">
        <v>28</v>
      </c>
      <c r="B82" s="25" t="s">
        <v>143</v>
      </c>
      <c r="D82" s="25" t="s">
        <v>143</v>
      </c>
    </row>
    <row r="83" spans="1:4" x14ac:dyDescent="0.2">
      <c r="B83" s="166" t="s">
        <v>402</v>
      </c>
      <c r="D83" s="166" t="s">
        <v>402</v>
      </c>
    </row>
    <row r="84" spans="1:4" x14ac:dyDescent="0.2">
      <c r="A84" s="163">
        <v>29</v>
      </c>
      <c r="B84" s="161" t="s">
        <v>3689</v>
      </c>
      <c r="D84" s="28"/>
    </row>
    <row r="85" spans="1:4" x14ac:dyDescent="0.2">
      <c r="B85" s="166" t="s">
        <v>402</v>
      </c>
      <c r="D85" s="28"/>
    </row>
    <row r="86" spans="1:4" x14ac:dyDescent="0.2">
      <c r="A86" s="163">
        <v>30</v>
      </c>
      <c r="B86" s="161" t="s">
        <v>3690</v>
      </c>
      <c r="D86" s="28"/>
    </row>
    <row r="87" spans="1:4" x14ac:dyDescent="0.2">
      <c r="B87" s="166" t="s">
        <v>402</v>
      </c>
      <c r="D87" s="28"/>
    </row>
    <row r="88" spans="1:4" x14ac:dyDescent="0.2">
      <c r="A88" s="163">
        <v>31</v>
      </c>
      <c r="B88" s="25" t="s">
        <v>78</v>
      </c>
      <c r="D88" s="28"/>
    </row>
    <row r="89" spans="1:4" x14ac:dyDescent="0.2">
      <c r="B89" s="166" t="s">
        <v>402</v>
      </c>
      <c r="D89" s="28"/>
    </row>
    <row r="90" spans="1:4" x14ac:dyDescent="0.2">
      <c r="B90" s="28"/>
      <c r="D90" s="28"/>
    </row>
    <row r="91" spans="1:4" x14ac:dyDescent="0.2">
      <c r="B91" s="90" t="s">
        <v>144</v>
      </c>
      <c r="D91" s="90" t="s">
        <v>144</v>
      </c>
    </row>
    <row r="92" spans="1:4" x14ac:dyDescent="0.2">
      <c r="A92" s="163">
        <v>32</v>
      </c>
      <c r="B92" s="161" t="s">
        <v>3692</v>
      </c>
      <c r="C92" s="163">
        <v>36</v>
      </c>
      <c r="D92" s="25" t="s">
        <v>22</v>
      </c>
    </row>
    <row r="93" spans="1:4" x14ac:dyDescent="0.2">
      <c r="B93" s="166" t="s">
        <v>402</v>
      </c>
      <c r="D93" s="166" t="s">
        <v>402</v>
      </c>
    </row>
    <row r="94" spans="1:4" x14ac:dyDescent="0.2">
      <c r="A94" s="163">
        <v>33</v>
      </c>
      <c r="B94" s="25" t="s">
        <v>40</v>
      </c>
      <c r="C94" s="163">
        <v>43</v>
      </c>
      <c r="D94" s="25" t="s">
        <v>26</v>
      </c>
    </row>
    <row r="95" spans="1:4" x14ac:dyDescent="0.2">
      <c r="B95" s="166" t="s">
        <v>402</v>
      </c>
      <c r="D95" s="166" t="s">
        <v>402</v>
      </c>
    </row>
    <row r="96" spans="1:4" x14ac:dyDescent="0.2">
      <c r="A96" s="163">
        <v>34</v>
      </c>
      <c r="B96" s="25" t="s">
        <v>39</v>
      </c>
      <c r="C96" s="163">
        <v>41</v>
      </c>
      <c r="D96" s="25" t="s">
        <v>76</v>
      </c>
    </row>
    <row r="97" spans="1:4" x14ac:dyDescent="0.2">
      <c r="B97" s="166" t="s">
        <v>402</v>
      </c>
      <c r="D97" s="166" t="s">
        <v>402</v>
      </c>
    </row>
    <row r="98" spans="1:4" x14ac:dyDescent="0.2">
      <c r="A98" s="163">
        <v>35</v>
      </c>
      <c r="B98" s="25" t="s">
        <v>77</v>
      </c>
      <c r="D98" s="25" t="s">
        <v>77</v>
      </c>
    </row>
    <row r="99" spans="1:4" x14ac:dyDescent="0.2">
      <c r="B99" s="166" t="s">
        <v>402</v>
      </c>
      <c r="D99" s="166" t="s">
        <v>402</v>
      </c>
    </row>
    <row r="100" spans="1:4" ht="18" x14ac:dyDescent="0.2">
      <c r="A100" s="163">
        <v>36</v>
      </c>
      <c r="B100" s="25" t="s">
        <v>3693</v>
      </c>
      <c r="C100" s="163">
        <v>34</v>
      </c>
      <c r="D100" s="25" t="s">
        <v>39</v>
      </c>
    </row>
    <row r="101" spans="1:4" x14ac:dyDescent="0.2">
      <c r="B101" s="166" t="s">
        <v>402</v>
      </c>
      <c r="D101" s="166" t="s">
        <v>402</v>
      </c>
    </row>
    <row r="102" spans="1:4" x14ac:dyDescent="0.2">
      <c r="A102" s="163">
        <v>37</v>
      </c>
      <c r="B102" s="161" t="s">
        <v>3691</v>
      </c>
      <c r="C102" s="163">
        <v>33</v>
      </c>
      <c r="D102" s="25" t="s">
        <v>40</v>
      </c>
    </row>
    <row r="103" spans="1:4" x14ac:dyDescent="0.2">
      <c r="B103" s="166" t="s">
        <v>402</v>
      </c>
      <c r="D103" s="166" t="s">
        <v>402</v>
      </c>
    </row>
    <row r="104" spans="1:4" x14ac:dyDescent="0.2">
      <c r="A104" s="163">
        <v>38</v>
      </c>
      <c r="B104" s="161" t="s">
        <v>13</v>
      </c>
      <c r="D104" s="166"/>
    </row>
    <row r="105" spans="1:4" x14ac:dyDescent="0.2">
      <c r="B105" s="166" t="s">
        <v>402</v>
      </c>
      <c r="D105" s="166"/>
    </row>
    <row r="106" spans="1:4" ht="18" x14ac:dyDescent="0.2">
      <c r="A106" s="163">
        <v>39</v>
      </c>
      <c r="B106" s="161" t="s">
        <v>3659</v>
      </c>
      <c r="D106" s="166"/>
    </row>
    <row r="107" spans="1:4" x14ac:dyDescent="0.2">
      <c r="B107" s="166" t="s">
        <v>402</v>
      </c>
      <c r="D107" s="166"/>
    </row>
    <row r="108" spans="1:4" x14ac:dyDescent="0.2">
      <c r="A108" s="163">
        <v>40</v>
      </c>
      <c r="B108" s="161" t="s">
        <v>30</v>
      </c>
      <c r="D108" s="166"/>
    </row>
    <row r="109" spans="1:4" x14ac:dyDescent="0.2">
      <c r="B109" s="166" t="s">
        <v>402</v>
      </c>
      <c r="D109" s="166"/>
    </row>
    <row r="110" spans="1:4" x14ac:dyDescent="0.2">
      <c r="A110" s="163">
        <v>41</v>
      </c>
      <c r="B110" s="25" t="s">
        <v>78</v>
      </c>
      <c r="D110" s="166"/>
    </row>
    <row r="111" spans="1:4" x14ac:dyDescent="0.2">
      <c r="B111" s="166" t="s">
        <v>402</v>
      </c>
      <c r="D111" s="166"/>
    </row>
    <row r="112" spans="1:4" x14ac:dyDescent="0.2">
      <c r="A112" s="163">
        <v>42</v>
      </c>
      <c r="B112" s="161" t="s">
        <v>3690</v>
      </c>
      <c r="D112" s="166"/>
    </row>
    <row r="113" spans="1:4" x14ac:dyDescent="0.2">
      <c r="B113" s="166" t="s">
        <v>402</v>
      </c>
      <c r="D113" s="166"/>
    </row>
    <row r="114" spans="1:4" x14ac:dyDescent="0.2">
      <c r="A114" s="163">
        <v>43</v>
      </c>
      <c r="B114" s="25" t="s">
        <v>26</v>
      </c>
      <c r="D114" s="166"/>
    </row>
    <row r="115" spans="1:4" x14ac:dyDescent="0.2">
      <c r="B115" s="166" t="s">
        <v>402</v>
      </c>
      <c r="D115" s="166"/>
    </row>
    <row r="116" spans="1:4" x14ac:dyDescent="0.2">
      <c r="A116" s="163">
        <v>44</v>
      </c>
      <c r="B116" s="25" t="s">
        <v>41</v>
      </c>
      <c r="D116" s="25" t="s">
        <v>41</v>
      </c>
    </row>
    <row r="117" spans="1:4" x14ac:dyDescent="0.2">
      <c r="B117" s="166" t="s">
        <v>402</v>
      </c>
      <c r="D117" s="166" t="s">
        <v>402</v>
      </c>
    </row>
    <row r="118" spans="1:4" x14ac:dyDescent="0.2">
      <c r="B118" s="28"/>
      <c r="D118" s="28"/>
    </row>
    <row r="119" spans="1:4" ht="18" x14ac:dyDescent="0.2">
      <c r="B119" s="90" t="s">
        <v>3660</v>
      </c>
      <c r="D119" s="90" t="s">
        <v>25</v>
      </c>
    </row>
    <row r="120" spans="1:4" x14ac:dyDescent="0.2">
      <c r="A120" s="163">
        <v>45</v>
      </c>
      <c r="B120" s="25" t="s">
        <v>688</v>
      </c>
      <c r="D120" s="25" t="s">
        <v>688</v>
      </c>
    </row>
    <row r="121" spans="1:4" x14ac:dyDescent="0.2">
      <c r="B121" s="166" t="s">
        <v>402</v>
      </c>
      <c r="D121" s="166" t="s">
        <v>402</v>
      </c>
    </row>
    <row r="122" spans="1:4" ht="18" x14ac:dyDescent="0.2">
      <c r="A122" s="163">
        <v>46</v>
      </c>
      <c r="B122" s="162" t="s">
        <v>3694</v>
      </c>
      <c r="D122" s="25" t="s">
        <v>689</v>
      </c>
    </row>
    <row r="123" spans="1:4" x14ac:dyDescent="0.2">
      <c r="B123" s="166" t="s">
        <v>402</v>
      </c>
      <c r="D123" s="166" t="s">
        <v>402</v>
      </c>
    </row>
    <row r="124" spans="1:4" ht="18" x14ac:dyDescent="0.2">
      <c r="A124" s="163">
        <v>47</v>
      </c>
      <c r="B124" s="161" t="s">
        <v>3678</v>
      </c>
      <c r="D124" s="169"/>
    </row>
    <row r="125" spans="1:4" x14ac:dyDescent="0.2">
      <c r="B125" s="166" t="s">
        <v>402</v>
      </c>
      <c r="D125" s="169"/>
    </row>
    <row r="126" spans="1:4" x14ac:dyDescent="0.2">
      <c r="B126" s="28"/>
      <c r="D126" s="28"/>
    </row>
    <row r="127" spans="1:4" ht="18" x14ac:dyDescent="0.2">
      <c r="B127" s="80" t="s">
        <v>3661</v>
      </c>
      <c r="D127" s="80" t="s">
        <v>24</v>
      </c>
    </row>
    <row r="128" spans="1:4" x14ac:dyDescent="0.2">
      <c r="A128" s="163">
        <v>48</v>
      </c>
      <c r="B128" s="25" t="s">
        <v>688</v>
      </c>
      <c r="D128" s="25" t="s">
        <v>688</v>
      </c>
    </row>
    <row r="129" spans="1:4" x14ac:dyDescent="0.2">
      <c r="B129" s="166" t="s">
        <v>402</v>
      </c>
      <c r="D129" s="166" t="s">
        <v>402</v>
      </c>
    </row>
    <row r="130" spans="1:4" x14ac:dyDescent="0.2">
      <c r="A130" s="163">
        <v>49</v>
      </c>
      <c r="B130" s="25" t="s">
        <v>689</v>
      </c>
      <c r="D130" s="25" t="s">
        <v>689</v>
      </c>
    </row>
    <row r="131" spans="1:4" x14ac:dyDescent="0.2">
      <c r="B131" s="166" t="s">
        <v>402</v>
      </c>
      <c r="D131" s="166" t="s">
        <v>402</v>
      </c>
    </row>
    <row r="132" spans="1:4" x14ac:dyDescent="0.2">
      <c r="B132" s="28"/>
      <c r="D132" s="28"/>
    </row>
    <row r="133" spans="1:4" x14ac:dyDescent="0.2">
      <c r="B133" s="75" t="s">
        <v>3656</v>
      </c>
      <c r="D133" s="28"/>
    </row>
    <row r="134" spans="1:4" x14ac:dyDescent="0.2">
      <c r="A134" s="163">
        <v>50</v>
      </c>
      <c r="B134" s="161" t="s">
        <v>3657</v>
      </c>
      <c r="D134" s="28"/>
    </row>
    <row r="135" spans="1:4" x14ac:dyDescent="0.2">
      <c r="B135" s="166" t="s">
        <v>402</v>
      </c>
      <c r="D135" s="28"/>
    </row>
    <row r="136" spans="1:4" ht="27" x14ac:dyDescent="0.2">
      <c r="A136" s="163">
        <v>51</v>
      </c>
      <c r="B136" s="161" t="s">
        <v>3679</v>
      </c>
      <c r="D136" s="28"/>
    </row>
    <row r="137" spans="1:4" x14ac:dyDescent="0.2">
      <c r="B137" s="166" t="s">
        <v>402</v>
      </c>
      <c r="D137" s="28"/>
    </row>
    <row r="138" spans="1:4" x14ac:dyDescent="0.2">
      <c r="B138" s="28"/>
      <c r="D138" s="28"/>
    </row>
    <row r="139" spans="1:4" x14ac:dyDescent="0.2">
      <c r="B139" s="75" t="s">
        <v>3641</v>
      </c>
      <c r="D139" s="28"/>
    </row>
    <row r="140" spans="1:4" ht="27" x14ac:dyDescent="0.2">
      <c r="A140" s="163">
        <v>52</v>
      </c>
      <c r="B140" s="25" t="s">
        <v>2815</v>
      </c>
      <c r="D140" s="28"/>
    </row>
    <row r="141" spans="1:4" x14ac:dyDescent="0.2">
      <c r="B141" s="166" t="s">
        <v>402</v>
      </c>
      <c r="D141" s="28"/>
    </row>
    <row r="142" spans="1:4" x14ac:dyDescent="0.2">
      <c r="A142" s="163">
        <v>53</v>
      </c>
      <c r="B142" s="25" t="s">
        <v>3677</v>
      </c>
      <c r="D142" s="28"/>
    </row>
    <row r="143" spans="1:4" x14ac:dyDescent="0.2">
      <c r="B143" s="166" t="s">
        <v>402</v>
      </c>
      <c r="D143" s="28"/>
    </row>
    <row r="144" spans="1:4" x14ac:dyDescent="0.2">
      <c r="A144" s="163">
        <v>54</v>
      </c>
      <c r="B144" s="25" t="s">
        <v>18</v>
      </c>
      <c r="D144" s="28"/>
    </row>
    <row r="145" spans="1:4" x14ac:dyDescent="0.2">
      <c r="B145" s="166" t="s">
        <v>402</v>
      </c>
      <c r="D145" s="28"/>
    </row>
    <row r="146" spans="1:4" x14ac:dyDescent="0.2">
      <c r="A146" s="163">
        <v>55</v>
      </c>
      <c r="B146" s="25" t="s">
        <v>37</v>
      </c>
      <c r="D146" s="28"/>
    </row>
    <row r="147" spans="1:4" x14ac:dyDescent="0.2">
      <c r="B147" s="166" t="s">
        <v>402</v>
      </c>
      <c r="D147" s="28"/>
    </row>
    <row r="148" spans="1:4" x14ac:dyDescent="0.2">
      <c r="A148" s="163">
        <v>56</v>
      </c>
      <c r="B148" s="172" t="s">
        <v>35</v>
      </c>
      <c r="D148" s="28"/>
    </row>
    <row r="149" spans="1:4" x14ac:dyDescent="0.2">
      <c r="B149" s="166" t="s">
        <v>402</v>
      </c>
      <c r="D149" s="28"/>
    </row>
    <row r="150" spans="1:4" x14ac:dyDescent="0.2">
      <c r="A150" s="163">
        <v>57</v>
      </c>
      <c r="B150" s="161" t="s">
        <v>3642</v>
      </c>
      <c r="D150" s="28"/>
    </row>
    <row r="151" spans="1:4" x14ac:dyDescent="0.2">
      <c r="B151" s="166" t="s">
        <v>402</v>
      </c>
      <c r="D151" s="28"/>
    </row>
    <row r="152" spans="1:4" ht="18" x14ac:dyDescent="0.2">
      <c r="A152" s="163">
        <v>58</v>
      </c>
      <c r="B152" s="161" t="s">
        <v>3667</v>
      </c>
      <c r="D152" s="28"/>
    </row>
    <row r="153" spans="1:4" x14ac:dyDescent="0.2">
      <c r="B153" s="166" t="s">
        <v>402</v>
      </c>
      <c r="D153" s="28"/>
    </row>
    <row r="154" spans="1:4" x14ac:dyDescent="0.2">
      <c r="A154" s="163">
        <v>59</v>
      </c>
      <c r="B154" s="162" t="s">
        <v>3680</v>
      </c>
      <c r="D154" s="28"/>
    </row>
    <row r="155" spans="1:4" x14ac:dyDescent="0.2">
      <c r="B155" s="166" t="s">
        <v>402</v>
      </c>
      <c r="D155" s="28"/>
    </row>
    <row r="156" spans="1:4" x14ac:dyDescent="0.2">
      <c r="B156" s="28"/>
      <c r="D156" s="28"/>
    </row>
    <row r="157" spans="1:4" x14ac:dyDescent="0.2">
      <c r="B157" s="91" t="s">
        <v>27</v>
      </c>
      <c r="D157" s="91" t="s">
        <v>27</v>
      </c>
    </row>
    <row r="158" spans="1:4" x14ac:dyDescent="0.2">
      <c r="A158" s="163">
        <v>60</v>
      </c>
      <c r="B158" s="161" t="s">
        <v>3675</v>
      </c>
      <c r="C158" s="163">
        <v>61</v>
      </c>
      <c r="D158" s="25" t="s">
        <v>75</v>
      </c>
    </row>
    <row r="159" spans="1:4" x14ac:dyDescent="0.2">
      <c r="B159" s="166" t="s">
        <v>402</v>
      </c>
      <c r="D159" s="166" t="s">
        <v>402</v>
      </c>
    </row>
    <row r="160" spans="1:4" x14ac:dyDescent="0.2">
      <c r="A160" s="163">
        <v>61</v>
      </c>
      <c r="B160" s="25" t="s">
        <v>75</v>
      </c>
      <c r="C160" s="163">
        <v>62</v>
      </c>
      <c r="D160" s="25" t="s">
        <v>74</v>
      </c>
    </row>
    <row r="161" spans="1:4" x14ac:dyDescent="0.2">
      <c r="B161" s="166" t="s">
        <v>402</v>
      </c>
      <c r="D161" s="166" t="s">
        <v>402</v>
      </c>
    </row>
    <row r="162" spans="1:4" x14ac:dyDescent="0.2">
      <c r="A162" s="163">
        <v>62</v>
      </c>
      <c r="B162" s="25" t="s">
        <v>74</v>
      </c>
      <c r="C162" s="163">
        <v>67</v>
      </c>
      <c r="D162" s="25" t="s">
        <v>73</v>
      </c>
    </row>
    <row r="163" spans="1:4" x14ac:dyDescent="0.2">
      <c r="B163" s="166" t="s">
        <v>402</v>
      </c>
      <c r="D163" s="166" t="s">
        <v>402</v>
      </c>
    </row>
    <row r="164" spans="1:4" x14ac:dyDescent="0.2">
      <c r="A164" s="163">
        <v>63</v>
      </c>
      <c r="B164" s="25" t="s">
        <v>72</v>
      </c>
      <c r="C164" s="163">
        <v>68</v>
      </c>
      <c r="D164" s="25" t="s">
        <v>58</v>
      </c>
    </row>
    <row r="165" spans="1:4" x14ac:dyDescent="0.2">
      <c r="B165" s="166" t="s">
        <v>402</v>
      </c>
      <c r="D165" s="166" t="s">
        <v>402</v>
      </c>
    </row>
    <row r="166" spans="1:4" x14ac:dyDescent="0.2">
      <c r="A166" s="163">
        <v>64</v>
      </c>
      <c r="B166" s="25" t="s">
        <v>32</v>
      </c>
      <c r="C166" s="163">
        <v>63</v>
      </c>
      <c r="D166" s="25" t="s">
        <v>72</v>
      </c>
    </row>
    <row r="167" spans="1:4" x14ac:dyDescent="0.2">
      <c r="B167" s="166" t="s">
        <v>402</v>
      </c>
      <c r="D167" s="166" t="s">
        <v>402</v>
      </c>
    </row>
    <row r="168" spans="1:4" x14ac:dyDescent="0.2">
      <c r="A168" s="163">
        <v>65</v>
      </c>
      <c r="B168" s="25" t="s">
        <v>3646</v>
      </c>
      <c r="C168" s="163">
        <v>64</v>
      </c>
      <c r="D168" s="25" t="s">
        <v>32</v>
      </c>
    </row>
    <row r="169" spans="1:4" x14ac:dyDescent="0.2">
      <c r="B169" s="166" t="s">
        <v>402</v>
      </c>
      <c r="D169" s="166" t="s">
        <v>402</v>
      </c>
    </row>
    <row r="170" spans="1:4" x14ac:dyDescent="0.2">
      <c r="A170" s="163">
        <v>66</v>
      </c>
      <c r="B170" s="161" t="s">
        <v>3647</v>
      </c>
      <c r="C170" s="163">
        <v>65</v>
      </c>
      <c r="D170" s="25" t="s">
        <v>61</v>
      </c>
    </row>
    <row r="171" spans="1:4" x14ac:dyDescent="0.2">
      <c r="B171" s="166" t="s">
        <v>402</v>
      </c>
      <c r="D171" s="166" t="s">
        <v>402</v>
      </c>
    </row>
    <row r="172" spans="1:4" ht="18" x14ac:dyDescent="0.2">
      <c r="A172" s="163">
        <v>67</v>
      </c>
      <c r="B172" s="25" t="s">
        <v>73</v>
      </c>
      <c r="C172" s="163">
        <v>69</v>
      </c>
      <c r="D172" s="25" t="s">
        <v>71</v>
      </c>
    </row>
    <row r="173" spans="1:4" x14ac:dyDescent="0.2">
      <c r="B173" s="166" t="s">
        <v>402</v>
      </c>
      <c r="D173" s="166" t="s">
        <v>402</v>
      </c>
    </row>
    <row r="174" spans="1:4" x14ac:dyDescent="0.2">
      <c r="A174" s="163">
        <v>68</v>
      </c>
      <c r="B174" s="25" t="s">
        <v>58</v>
      </c>
      <c r="C174" s="163">
        <v>70</v>
      </c>
      <c r="D174" s="25" t="s">
        <v>36</v>
      </c>
    </row>
    <row r="175" spans="1:4" x14ac:dyDescent="0.2">
      <c r="B175" s="166" t="s">
        <v>402</v>
      </c>
      <c r="D175" s="166" t="s">
        <v>402</v>
      </c>
    </row>
    <row r="176" spans="1:4" ht="18" x14ac:dyDescent="0.2">
      <c r="A176" s="163">
        <v>69</v>
      </c>
      <c r="B176" s="25" t="s">
        <v>3673</v>
      </c>
      <c r="C176" s="163">
        <v>70</v>
      </c>
      <c r="D176" s="25" t="s">
        <v>20</v>
      </c>
    </row>
    <row r="177" spans="1:6" x14ac:dyDescent="0.2">
      <c r="B177" s="166" t="s">
        <v>402</v>
      </c>
      <c r="D177" s="166" t="s">
        <v>402</v>
      </c>
    </row>
    <row r="178" spans="1:6" ht="18" x14ac:dyDescent="0.2">
      <c r="A178" s="163">
        <v>70</v>
      </c>
      <c r="B178" s="25" t="s">
        <v>3672</v>
      </c>
      <c r="C178" s="163">
        <v>71</v>
      </c>
      <c r="D178" s="25" t="s">
        <v>70</v>
      </c>
    </row>
    <row r="179" spans="1:6" x14ac:dyDescent="0.2">
      <c r="B179" s="166" t="s">
        <v>402</v>
      </c>
      <c r="D179" s="166" t="s">
        <v>402</v>
      </c>
    </row>
    <row r="180" spans="1:6" ht="18" x14ac:dyDescent="0.2">
      <c r="A180" s="163">
        <v>71</v>
      </c>
      <c r="B180" s="25" t="s">
        <v>70</v>
      </c>
      <c r="C180" s="163">
        <v>72</v>
      </c>
      <c r="D180" s="25" t="s">
        <v>69</v>
      </c>
    </row>
    <row r="181" spans="1:6" x14ac:dyDescent="0.2">
      <c r="B181" s="166" t="s">
        <v>402</v>
      </c>
      <c r="D181" s="166" t="s">
        <v>402</v>
      </c>
    </row>
    <row r="182" spans="1:6" ht="18" x14ac:dyDescent="0.2">
      <c r="A182" s="163">
        <v>72</v>
      </c>
      <c r="B182" s="25" t="s">
        <v>69</v>
      </c>
      <c r="C182" s="163">
        <v>74</v>
      </c>
      <c r="D182" s="25" t="s">
        <v>68</v>
      </c>
    </row>
    <row r="183" spans="1:6" x14ac:dyDescent="0.2">
      <c r="B183" s="166" t="s">
        <v>402</v>
      </c>
      <c r="D183" s="166" t="s">
        <v>402</v>
      </c>
    </row>
    <row r="184" spans="1:6" x14ac:dyDescent="0.2">
      <c r="A184" s="163">
        <v>73</v>
      </c>
      <c r="B184" s="161" t="s">
        <v>3662</v>
      </c>
      <c r="C184" s="163">
        <v>75</v>
      </c>
      <c r="D184" s="25" t="s">
        <v>67</v>
      </c>
    </row>
    <row r="185" spans="1:6" x14ac:dyDescent="0.2">
      <c r="B185" s="166" t="s">
        <v>402</v>
      </c>
      <c r="D185" s="166" t="s">
        <v>402</v>
      </c>
    </row>
    <row r="186" spans="1:6" x14ac:dyDescent="0.2">
      <c r="A186" s="163">
        <v>74</v>
      </c>
      <c r="B186" s="25" t="s">
        <v>68</v>
      </c>
      <c r="C186" s="163">
        <v>76</v>
      </c>
      <c r="D186" s="25" t="s">
        <v>66</v>
      </c>
      <c r="E186" s="163">
        <v>53</v>
      </c>
      <c r="F186" s="25" t="s">
        <v>65</v>
      </c>
    </row>
    <row r="187" spans="1:6" x14ac:dyDescent="0.2">
      <c r="B187" s="166" t="s">
        <v>402</v>
      </c>
      <c r="D187" s="166" t="s">
        <v>402</v>
      </c>
      <c r="F187" s="166" t="s">
        <v>402</v>
      </c>
    </row>
    <row r="188" spans="1:6" x14ac:dyDescent="0.2">
      <c r="A188" s="163">
        <v>75</v>
      </c>
      <c r="B188" s="25" t="s">
        <v>67</v>
      </c>
      <c r="D188" s="170"/>
      <c r="E188" s="163">
        <v>54</v>
      </c>
      <c r="F188" s="25" t="s">
        <v>18</v>
      </c>
    </row>
    <row r="189" spans="1:6" x14ac:dyDescent="0.2">
      <c r="B189" s="166" t="s">
        <v>402</v>
      </c>
      <c r="D189" s="170"/>
      <c r="F189" s="166" t="s">
        <v>402</v>
      </c>
    </row>
    <row r="190" spans="1:6" x14ac:dyDescent="0.2">
      <c r="A190" s="163">
        <v>76</v>
      </c>
      <c r="B190" s="25" t="s">
        <v>66</v>
      </c>
      <c r="D190" s="170"/>
      <c r="E190" s="163">
        <v>55</v>
      </c>
      <c r="F190" s="25" t="s">
        <v>37</v>
      </c>
    </row>
    <row r="191" spans="1:6" x14ac:dyDescent="0.2">
      <c r="B191" s="166" t="s">
        <v>402</v>
      </c>
      <c r="D191" s="170"/>
      <c r="F191" s="166" t="s">
        <v>402</v>
      </c>
    </row>
    <row r="192" spans="1:6" x14ac:dyDescent="0.2">
      <c r="A192" s="163">
        <v>77</v>
      </c>
      <c r="B192" s="25" t="s">
        <v>33</v>
      </c>
      <c r="D192" s="25" t="s">
        <v>33</v>
      </c>
    </row>
    <row r="193" spans="1:4" x14ac:dyDescent="0.2">
      <c r="B193" s="166" t="s">
        <v>402</v>
      </c>
      <c r="D193" s="166" t="s">
        <v>402</v>
      </c>
    </row>
    <row r="194" spans="1:4" x14ac:dyDescent="0.2">
      <c r="A194" s="163">
        <v>78</v>
      </c>
      <c r="B194" s="25" t="s">
        <v>49</v>
      </c>
      <c r="D194" s="25" t="s">
        <v>49</v>
      </c>
    </row>
    <row r="195" spans="1:4" x14ac:dyDescent="0.2">
      <c r="B195" s="166" t="s">
        <v>402</v>
      </c>
      <c r="D195" s="166" t="s">
        <v>402</v>
      </c>
    </row>
    <row r="196" spans="1:4" x14ac:dyDescent="0.2">
      <c r="A196" s="163">
        <v>79</v>
      </c>
      <c r="B196" s="25" t="s">
        <v>50</v>
      </c>
      <c r="D196" s="25" t="s">
        <v>50</v>
      </c>
    </row>
    <row r="197" spans="1:4" x14ac:dyDescent="0.2">
      <c r="B197" s="166" t="s">
        <v>402</v>
      </c>
      <c r="D197" s="166" t="s">
        <v>402</v>
      </c>
    </row>
    <row r="198" spans="1:4" x14ac:dyDescent="0.2">
      <c r="A198" s="163">
        <v>80</v>
      </c>
      <c r="B198" s="83"/>
      <c r="D198" s="83"/>
    </row>
    <row r="199" spans="1:4" x14ac:dyDescent="0.2">
      <c r="B199" s="92" t="s">
        <v>46</v>
      </c>
      <c r="D199" s="92" t="s">
        <v>46</v>
      </c>
    </row>
    <row r="200" spans="1:4" x14ac:dyDescent="0.2">
      <c r="B200" s="161" t="s">
        <v>3695</v>
      </c>
      <c r="D200" s="164"/>
    </row>
    <row r="201" spans="1:4" x14ac:dyDescent="0.2">
      <c r="B201" s="166" t="s">
        <v>402</v>
      </c>
      <c r="D201" s="164"/>
    </row>
    <row r="202" spans="1:4" ht="18" x14ac:dyDescent="0.2">
      <c r="B202" s="162" t="s">
        <v>3663</v>
      </c>
      <c r="D202" s="25" t="s">
        <v>401</v>
      </c>
    </row>
    <row r="203" spans="1:4" x14ac:dyDescent="0.2">
      <c r="B203" s="166" t="s">
        <v>402</v>
      </c>
      <c r="D203" s="166" t="s">
        <v>402</v>
      </c>
    </row>
    <row r="204" spans="1:4" ht="18" x14ac:dyDescent="0.2">
      <c r="B204" s="162" t="s">
        <v>3664</v>
      </c>
      <c r="D204" s="169"/>
    </row>
    <row r="205" spans="1:4" x14ac:dyDescent="0.2">
      <c r="B205" s="166" t="s">
        <v>402</v>
      </c>
      <c r="D205" s="169"/>
    </row>
    <row r="206" spans="1:4" x14ac:dyDescent="0.2">
      <c r="B206" s="28"/>
      <c r="D206" s="28"/>
    </row>
    <row r="207" spans="1:4" x14ac:dyDescent="0.2">
      <c r="B207" s="94" t="s">
        <v>86</v>
      </c>
      <c r="D207" s="94" t="s">
        <v>86</v>
      </c>
    </row>
    <row r="208" spans="1:4" x14ac:dyDescent="0.2">
      <c r="B208" s="25" t="s">
        <v>85</v>
      </c>
      <c r="D208" s="25" t="s">
        <v>85</v>
      </c>
    </row>
    <row r="209" spans="2:4" x14ac:dyDescent="0.2">
      <c r="B209" s="166" t="s">
        <v>402</v>
      </c>
      <c r="D209" s="166" t="s">
        <v>402</v>
      </c>
    </row>
    <row r="210" spans="2:4" x14ac:dyDescent="0.2">
      <c r="B210" s="25" t="s">
        <v>83</v>
      </c>
      <c r="D210" s="25" t="s">
        <v>83</v>
      </c>
    </row>
    <row r="211" spans="2:4" x14ac:dyDescent="0.2">
      <c r="B211" s="166" t="s">
        <v>402</v>
      </c>
      <c r="D211" s="166" t="s">
        <v>402</v>
      </c>
    </row>
    <row r="212" spans="2:4" x14ac:dyDescent="0.2">
      <c r="B212" s="25" t="s">
        <v>304</v>
      </c>
      <c r="D212" s="25" t="s">
        <v>304</v>
      </c>
    </row>
    <row r="213" spans="2:4" x14ac:dyDescent="0.2">
      <c r="B213" s="166" t="s">
        <v>402</v>
      </c>
      <c r="D213" s="166" t="s">
        <v>402</v>
      </c>
    </row>
    <row r="214" spans="2:4" x14ac:dyDescent="0.2">
      <c r="B214" s="28"/>
      <c r="D214" s="28"/>
    </row>
    <row r="215" spans="2:4" x14ac:dyDescent="0.2">
      <c r="B215" s="78" t="s">
        <v>177</v>
      </c>
      <c r="D215" s="78" t="s">
        <v>177</v>
      </c>
    </row>
    <row r="216" spans="2:4" x14ac:dyDescent="0.2">
      <c r="B216" s="25"/>
      <c r="D216" s="25"/>
    </row>
    <row r="217" spans="2:4" x14ac:dyDescent="0.2">
      <c r="B217" s="166" t="s">
        <v>402</v>
      </c>
      <c r="D217" s="166" t="s">
        <v>402</v>
      </c>
    </row>
    <row r="218" spans="2:4" x14ac:dyDescent="0.2">
      <c r="B218" s="168"/>
      <c r="D218" s="168"/>
    </row>
    <row r="219" spans="2:4" x14ac:dyDescent="0.2">
      <c r="B219" s="78" t="s">
        <v>120</v>
      </c>
      <c r="D219" s="78" t="s">
        <v>120</v>
      </c>
    </row>
    <row r="220" spans="2:4" x14ac:dyDescent="0.2">
      <c r="B220" s="25"/>
      <c r="D220" s="25"/>
    </row>
    <row r="222" spans="2:4" x14ac:dyDescent="0.2">
      <c r="B222" s="25" t="s">
        <v>1219</v>
      </c>
      <c r="D222" s="25" t="s">
        <v>1219</v>
      </c>
    </row>
  </sheetData>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7</vt:i4>
      </vt:variant>
    </vt:vector>
  </HeadingPairs>
  <TitlesOfParts>
    <vt:vector size="14" baseType="lpstr">
      <vt:lpstr>WG-Druck</vt:lpstr>
      <vt:lpstr>WG-Daten</vt:lpstr>
      <vt:lpstr>WG-Daten Archiv</vt:lpstr>
      <vt:lpstr>Definitionen</vt:lpstr>
      <vt:lpstr>Gesellschaften</vt:lpstr>
      <vt:lpstr>Archiv Daten 2018-12 alt </vt:lpstr>
      <vt:lpstr>Aufbau 2019 NeuAlt </vt:lpstr>
      <vt:lpstr>Auswahl1WG</vt:lpstr>
      <vt:lpstr>Auswahl2WG</vt:lpstr>
      <vt:lpstr>Auswahl3WG</vt:lpstr>
      <vt:lpstr>AuswMatrixWG</vt:lpstr>
      <vt:lpstr>'WG-Druck'!Drucktitel</vt:lpstr>
      <vt:lpstr>GesMatrixWG</vt:lpstr>
      <vt:lpstr>VergleichMatrixWG</vt:lpstr>
    </vt:vector>
  </TitlesOfParts>
  <Company>afm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Ringo Wilken</dc:creator>
  <cp:lastModifiedBy>Andreas Kiss</cp:lastModifiedBy>
  <cp:lastPrinted>2019-04-12T10:47:35Z</cp:lastPrinted>
  <dcterms:created xsi:type="dcterms:W3CDTF">2006-03-21T16:51:38Z</dcterms:created>
  <dcterms:modified xsi:type="dcterms:W3CDTF">2020-10-21T11:49:06Z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-998245924</vt:i4>
  </property>
  <property fmtid="{D5CDD505-2E9C-101B-9397-08002B2CF9AE}" pid="3" name="_EmailSubject">
    <vt:lpwstr>Ausschreibung "hochwertige Gebäudeversicherung" | Ellerbrock</vt:lpwstr>
  </property>
  <property fmtid="{D5CDD505-2E9C-101B-9397-08002B2CF9AE}" pid="4" name="_AuthorEmail">
    <vt:lpwstr>Huber@afm-gruppe.de</vt:lpwstr>
  </property>
  <property fmtid="{D5CDD505-2E9C-101B-9397-08002B2CF9AE}" pid="5" name="_AuthorEmailDisplayName">
    <vt:lpwstr>Huber, Christoph</vt:lpwstr>
  </property>
  <property fmtid="{D5CDD505-2E9C-101B-9397-08002B2CF9AE}" pid="6" name="_NewReviewCycle">
    <vt:lpwstr/>
  </property>
  <property fmtid="{D5CDD505-2E9C-101B-9397-08002B2CF9AE}" pid="7" name="_PreviousAdHocReviewCycleID">
    <vt:i4>514893518</vt:i4>
  </property>
  <property fmtid="{D5CDD505-2E9C-101B-9397-08002B2CF9AE}" pid="8" name="_ReviewingToolsShownOnce">
    <vt:lpwstr/>
  </property>
</Properties>
</file>